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5.xml" ContentType="application/vnd.openxmlformats-officedocument.drawing+xml"/>
  <Override PartName="/xl/ctrlProps/ctrlProp37.xml" ContentType="application/vnd.ms-excel.controlproperties+xml"/>
  <Override PartName="/xl/drawings/drawing16.xml" ContentType="application/vnd.openxmlformats-officedocument.drawing+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Fibras\Desktop\"/>
    </mc:Choice>
  </mc:AlternateContent>
  <xr:revisionPtr revIDLastSave="0" documentId="13_ncr:1_{32DD1285-DE7B-492C-8EA0-6B37F0666510}" xr6:coauthVersionLast="47" xr6:coauthVersionMax="47" xr10:uidLastSave="{00000000-0000-0000-0000-000000000000}"/>
  <workbookProtection workbookAlgorithmName="SHA-512" workbookHashValue="BXwBUJO69X5eDe2II+Gjz/+ya1y7ZO1mKWYWGrB2wRMNqHRi3yMadS8SB8fwWE/fr4Mump3SY2LMIJGLD7iTHg==" workbookSaltValue="T9R7tSuXuKtYY1iB+0ZUGw==" workbookSpinCount="100000" lockStructure="1"/>
  <bookViews>
    <workbookView showSheetTabs="0" xWindow="-120" yWindow="-120" windowWidth="20730" windowHeight="11160" firstSheet="13" activeTab="13" xr2:uid="{00000000-000D-0000-FFFF-FFFF00000000}"/>
  </bookViews>
  <sheets>
    <sheet name="MENU" sheetId="26" r:id="rId1"/>
    <sheet name="Mallas Electrosoldadas" sheetId="3" r:id="rId2"/>
    <sheet name="Barras de Refuerzo" sheetId="10" r:id="rId3"/>
    <sheet name="Muros" sheetId="6" r:id="rId4"/>
    <sheet name="Steel Deck" sheetId="13" r:id="rId5"/>
    <sheet name="Estanteria Individual" sheetId="16" r:id="rId6"/>
    <sheet name="Montacargas Dual" sheetId="28" r:id="rId7"/>
    <sheet name="Estanterias Contiguas" sheetId="17" r:id="rId8"/>
    <sheet name="Montacargas" sheetId="18" state="hidden" r:id="rId9"/>
    <sheet name="PCA 1984" sheetId="20" r:id="rId10"/>
    <sheet name="AASHTO 1993" sheetId="21" r:id="rId11"/>
    <sheet name="Lanzado y Prefabricado" sheetId="22" r:id="rId12"/>
    <sheet name="Conversión dosificación" sheetId="31" r:id="rId13"/>
    <sheet name="INICIO" sheetId="27" r:id="rId14"/>
    <sheet name="T &amp; C" sheetId="29" r:id="rId15"/>
    <sheet name="T &amp; C (2)" sheetId="30" r:id="rId16"/>
  </sheets>
  <definedNames>
    <definedName name="_xlnm._FilterDatabase" localSheetId="1" hidden="1">'Mallas Electrosoldadas'!$P$64:$U$116</definedName>
    <definedName name="a" localSheetId="5">'Estanteria Individual'!$I$217</definedName>
    <definedName name="a" localSheetId="7">'Estanterias Contiguas'!$K$225</definedName>
    <definedName name="a" localSheetId="8">Montacargas!$K$212</definedName>
    <definedName name="a" localSheetId="6">'Montacargas Dual'!$K$229</definedName>
    <definedName name="a_l" localSheetId="5">'Estanteria Individual'!$I$189</definedName>
    <definedName name="a_l" localSheetId="7">'Estanterias Contiguas'!$K$195</definedName>
    <definedName name="a_l" localSheetId="8">Montacargas!$K$186</definedName>
    <definedName name="a_l" localSheetId="6">'Montacargas Dual'!$K$199</definedName>
    <definedName name="AA_1" localSheetId="5">'Estanteria Individual'!$D$35</definedName>
    <definedName name="AA_1" localSheetId="7">'Estanterias Contiguas'!$D$35</definedName>
    <definedName name="AA_1" localSheetId="8">Montacargas!#REF!</definedName>
    <definedName name="AA_1" localSheetId="6">'Montacargas Dual'!$D$37</definedName>
    <definedName name="Acomb" localSheetId="7">'Estanterias Contiguas'!$K$226</definedName>
    <definedName name="Acomb" localSheetId="6">'Montacargas Dual'!$K$230</definedName>
    <definedName name="aequiv" localSheetId="7">'Estanterias Contiguas'!$K$227</definedName>
    <definedName name="aequiv" localSheetId="6">'Montacargas Dual'!$K$231</definedName>
    <definedName name="Agregados" localSheetId="2">'Barras de Refuerzo'!$S$79:$S$80</definedName>
    <definedName name="Agregados" localSheetId="1">'Mallas Electrosoldadas'!$W$65:$W$66</definedName>
    <definedName name="Agregados" localSheetId="3">Muros!$V$66:$V$67</definedName>
    <definedName name="_xlnm.Print_Area" localSheetId="12">'Conversión dosificación'!$A$1:$L$32</definedName>
    <definedName name="_xlnm.Print_Area" localSheetId="5">'Estanteria Individual'!$A$1:$E$167</definedName>
    <definedName name="_xlnm.Print_Area" localSheetId="13">INICIO!$A$1:$K$84</definedName>
    <definedName name="_xlnm.Print_Area" localSheetId="6">'Montacargas Dual'!$A$1:$E$174</definedName>
    <definedName name="_xlnm.Print_Area" localSheetId="3">Muros!$A$1:$L$61</definedName>
    <definedName name="_xlnm.Print_Area" localSheetId="4">'Steel Deck'!$A$1:$L$66</definedName>
    <definedName name="Barras" localSheetId="2">'Barras de Refuerzo'!$N$80:$N$89</definedName>
    <definedName name="Barras" localSheetId="3">Muros!$N$122:$N$131</definedName>
    <definedName name="Barras_U_SI" localSheetId="13">#REF!</definedName>
    <definedName name="Barras_U_SI" localSheetId="14">#REF!</definedName>
    <definedName name="Barras_U_SI" localSheetId="15">#REF!</definedName>
    <definedName name="BB_1" localSheetId="5">'Estanteria Individual'!$D$37</definedName>
    <definedName name="BB_1" localSheetId="7">'Estanterias Contiguas'!$D$37</definedName>
    <definedName name="BB_1" localSheetId="8">Montacargas!$D$37</definedName>
    <definedName name="BB_1" localSheetId="6">'Montacargas Dual'!$D$42</definedName>
    <definedName name="C_dual1" localSheetId="6">'Montacargas Dual'!$K$284</definedName>
    <definedName name="C_dual10" localSheetId="6">'Montacargas Dual'!$L$287</definedName>
    <definedName name="C_dual11" localSheetId="6">'Montacargas Dual'!$L$288</definedName>
    <definedName name="C_dual12" localSheetId="6">'Montacargas Dual'!$L$289</definedName>
    <definedName name="C_dual2" localSheetId="6">'Montacargas Dual'!$K$285</definedName>
    <definedName name="C_dual3" localSheetId="6">'Montacargas Dual'!$K$286</definedName>
    <definedName name="C_dual4" localSheetId="6">'Montacargas Dual'!$K$287</definedName>
    <definedName name="C_dual5" localSheetId="6">'Montacargas Dual'!$K$288</definedName>
    <definedName name="C_dual6" localSheetId="6">'Montacargas Dual'!$K$289</definedName>
    <definedName name="C_dual7" localSheetId="6">'Montacargas Dual'!$L$284</definedName>
    <definedName name="C_dual8" localSheetId="6">'Montacargas Dual'!$L$285</definedName>
    <definedName name="C_dual9" localSheetId="6">'Montacargas Dual'!$L$286</definedName>
    <definedName name="car_f_soporte" localSheetId="9">'PCA 1984'!$G$56</definedName>
    <definedName name="Caso_dual" localSheetId="6">'Montacargas Dual'!$J$280</definedName>
    <definedName name="Categoría_eje_carga" localSheetId="9">'PCA 1984'!$M$119:$M$122</definedName>
    <definedName name="Cd_" localSheetId="10">'AASHTO 1993'!$G$58</definedName>
    <definedName name="CE_sr" localSheetId="3">Muros!$D$56</definedName>
    <definedName name="Celda_det_MR" localSheetId="5">'Estanteria Individual'!$C$15</definedName>
    <definedName name="cod_cond_ref" localSheetId="9">'PCA 1984'!$M$157</definedName>
    <definedName name="cod_modulo_rotura" localSheetId="9">'PCA 1984'!$M$153</definedName>
    <definedName name="cod_pu" localSheetId="6">'Montacargas Dual'!$J$284:$J$289</definedName>
    <definedName name="cod_verif" localSheetId="9">'PCA 1984'!$BP$119:$BP$280</definedName>
    <definedName name="Codigo_verificacion" localSheetId="9">OFFSET('PCA 1984'!cod_verif,,,,7)</definedName>
    <definedName name="cond_ref" localSheetId="9">'PCA 1984'!$G$77</definedName>
    <definedName name="cond_sbr" localSheetId="9">'PCA 1984'!$X$125</definedName>
    <definedName name="cond_soporte" localSheetId="9">'PCA 1984'!$V$122</definedName>
    <definedName name="Condicion_borde" localSheetId="9">'PCA 1984'!$M$138:$M$139</definedName>
    <definedName name="Condicion_juntas" localSheetId="9">'PCA 1984'!$M$132:$M$133</definedName>
    <definedName name="Condicion_Refuerzo" localSheetId="9">'PCA 1984'!$M$144:$M$145</definedName>
    <definedName name="Condiciones_soporte" localSheetId="9">'PCA 1984'!$W$125:$W$127</definedName>
    <definedName name="d" localSheetId="5">'Estanteria Individual'!$I$180</definedName>
    <definedName name="d" localSheetId="7">'Estanterias Contiguas'!$K$186</definedName>
    <definedName name="d" localSheetId="8">Montacargas!$K$177</definedName>
    <definedName name="d" localSheetId="6">'Montacargas Dual'!$K$190</definedName>
    <definedName name="D_DESIGNR_inches" localSheetId="10">'AASHTO 1993'!$T$85</definedName>
    <definedName name="D_fpc" localSheetId="2">'Barras de Refuerzo'!$F$70</definedName>
    <definedName name="D_fpc" localSheetId="11">'Lanzado y Prefabricado'!$F$51</definedName>
    <definedName name="D_fpc" localSheetId="1">'Mallas Electrosoldadas'!$F$54</definedName>
    <definedName name="D_fpc" localSheetId="3">Muros!$F$59</definedName>
    <definedName name="D_fpc" localSheetId="4">'Steel Deck'!$F$64</definedName>
    <definedName name="D_Step" localSheetId="10">'AASHTO 1993'!$O$89</definedName>
    <definedName name="DESIGN_D__inches" localSheetId="10">'AASHTO 1993'!$P$85</definedName>
    <definedName name="determinacion_MR" localSheetId="5">'Estanteria Individual'!$M$170:$M$171</definedName>
    <definedName name="Dfb" localSheetId="5">'Estanteria Individual'!$D$21</definedName>
    <definedName name="Dfb" localSheetId="7">'Estanterias Contiguas'!$D$21</definedName>
    <definedName name="Dfb" localSheetId="8">Montacargas!$D$21</definedName>
    <definedName name="Dfb" localSheetId="6">'Montacargas Dual'!$D$21</definedName>
    <definedName name="DFPC" localSheetId="10">'AASHTO 1993'!$G$28</definedName>
    <definedName name="dosif_fibra" localSheetId="9">'PCA 1984'!$G$82</definedName>
    <definedName name="dosif_fm" localSheetId="12">'Conversión dosificación'!$C$20</definedName>
    <definedName name="dosif_fpc" localSheetId="12">'Conversión dosificación'!$F$27</definedName>
    <definedName name="Ecm" localSheetId="5">'Estanteria Individual'!$I$178</definedName>
    <definedName name="Ecm" localSheetId="7">'Estanterias Contiguas'!$K$184</definedName>
    <definedName name="Ecm" localSheetId="8">Montacargas!$K$175</definedName>
    <definedName name="Ecm" localSheetId="6">'Montacargas Dual'!$K$188</definedName>
    <definedName name="ejemplo_r" localSheetId="9">'PCA 1984'!$BQ$21:$CA$21</definedName>
    <definedName name="ENSAYO" localSheetId="9">'PCA 1984'!$BQ$119:$BQ$280</definedName>
    <definedName name="ESALS" localSheetId="10">'AASHTO 1993'!$E$15</definedName>
    <definedName name="esb" localSheetId="9">'PCA 1984'!$G$51</definedName>
    <definedName name="espesor_pr" localSheetId="9">'PCA 1984'!$G$103</definedName>
    <definedName name="f_600" localSheetId="12">'Conversión dosificación'!#REF!</definedName>
    <definedName name="f_600" localSheetId="11">'Lanzado y Prefabricado'!$D$49</definedName>
    <definedName name="f_c" localSheetId="12">'Conversión dosificación'!$C$16</definedName>
    <definedName name="F_Carga" localSheetId="6">'Montacargas Dual'!$K$233</definedName>
    <definedName name="fcd" localSheetId="5">'Estanteria Individual'!$I$240</definedName>
    <definedName name="fcd" localSheetId="7">'Estanterias Contiguas'!$K$248</definedName>
    <definedName name="fcd" localSheetId="8">Montacargas!$K$235</definedName>
    <definedName name="fcd" localSheetId="6">'Montacargas Dual'!$K$250</definedName>
    <definedName name="fck" localSheetId="5">'Estanteria Individual'!$D$17</definedName>
    <definedName name="fck" localSheetId="7">'Estanterias Contiguas'!$D$17</definedName>
    <definedName name="fck" localSheetId="8">Montacargas!$D$17</definedName>
    <definedName name="fck" localSheetId="6">'Montacargas Dual'!$D$17</definedName>
    <definedName name="fcm" localSheetId="5">'Estanteria Individual'!$I$175</definedName>
    <definedName name="fcm" localSheetId="7">'Estanterias Contiguas'!$K$181</definedName>
    <definedName name="fcm" localSheetId="8">Montacargas!$K$172</definedName>
    <definedName name="fcm" localSheetId="6">'Montacargas Dual'!$K$185</definedName>
    <definedName name="fctk_0.05" localSheetId="5">'Estanteria Individual'!$I$177</definedName>
    <definedName name="fctk_0.05" localSheetId="7">'Estanterias Contiguas'!$K$183</definedName>
    <definedName name="fctk_0.05" localSheetId="8">Montacargas!$K$174</definedName>
    <definedName name="fctk_0.05" localSheetId="6">'Montacargas Dual'!$K$187</definedName>
    <definedName name="fctk_fl" localSheetId="5">'Estanteria Individual'!$I$179</definedName>
    <definedName name="fctk_fl" localSheetId="7">'Estanterias Contiguas'!$K$185</definedName>
    <definedName name="fctk_fl" localSheetId="8">Montacargas!$K$176</definedName>
    <definedName name="fctk_fl" localSheetId="6">'Montacargas Dual'!$K$189</definedName>
    <definedName name="fctm" localSheetId="5">'Estanteria Individual'!$I$176</definedName>
    <definedName name="fctm" localSheetId="7">'Estanterias Contiguas'!$K$182</definedName>
    <definedName name="fctm" localSheetId="8">Montacargas!$K$173</definedName>
    <definedName name="fctm" localSheetId="6">'Montacargas Dual'!$K$186</definedName>
    <definedName name="fcu" localSheetId="5">'Estanteria Individual'!$I$174</definedName>
    <definedName name="fcu" localSheetId="7">'Estanterias Contiguas'!$K$180</definedName>
    <definedName name="fcu" localSheetId="8">Montacargas!$K$171</definedName>
    <definedName name="fcu" localSheetId="6">'Montacargas Dual'!$K$184</definedName>
    <definedName name="fr" localSheetId="5">'Estanteria Individual'!$D$19</definedName>
    <definedName name="fr" localSheetId="7">'Estanterias Contiguas'!$D$19</definedName>
    <definedName name="fr" localSheetId="8">Montacargas!$D$19</definedName>
    <definedName name="fr" localSheetId="6">'Montacargas Dual'!$D$19</definedName>
    <definedName name="frlk" localSheetId="5">'Estanteria Individual'!$M$172</definedName>
    <definedName name="frlk" localSheetId="7">'Estanterias Contiguas'!$K$176</definedName>
    <definedName name="frlk" localSheetId="6">'Montacargas Dual'!$K$180</definedName>
    <definedName name="FS_Borde" localSheetId="5">'Estanteria Individual'!$G$171</definedName>
    <definedName name="FS_Esquina" localSheetId="5">'Estanteria Individual'!$G$172</definedName>
    <definedName name="FS_Global" localSheetId="5">'Estanteria Individual'!$D$43</definedName>
    <definedName name="FS_Global" localSheetId="7">'Estanterias Contiguas'!$D$45</definedName>
    <definedName name="FS_Global" localSheetId="8">Montacargas!$D$43</definedName>
    <definedName name="FS_Global" localSheetId="6">'Montacargas Dual'!$D$49</definedName>
    <definedName name="FS_Interno" localSheetId="5">'Estanteria Individual'!$G$170</definedName>
    <definedName name="FS_parcial" localSheetId="5">'Estanteria Individual'!$D$41</definedName>
    <definedName name="FS_parcial" localSheetId="7">'Estanterias Contiguas'!$D$43</definedName>
    <definedName name="FS_parcial" localSheetId="8">Montacargas!$D$41</definedName>
    <definedName name="FS_parcial" localSheetId="6">'Montacargas Dual'!$D$47</definedName>
    <definedName name="gc" localSheetId="5">'Estanteria Individual'!$I$213</definedName>
    <definedName name="gc" localSheetId="7">'Estanterias Contiguas'!$K$221</definedName>
    <definedName name="gc" localSheetId="8">Montacargas!$K$208</definedName>
    <definedName name="gc" localSheetId="6">'Montacargas Dual'!$K$225</definedName>
    <definedName name="gf1_" localSheetId="5">'Estanteria Individual'!$I$214</definedName>
    <definedName name="gf1_" localSheetId="7">'Estanterias Contiguas'!$K$222</definedName>
    <definedName name="gf1_" localSheetId="8">Montacargas!$K$209</definedName>
    <definedName name="gf1_" localSheetId="6">'Montacargas Dual'!$K$226</definedName>
    <definedName name="gf2_" localSheetId="5">'Estanteria Individual'!$I$215</definedName>
    <definedName name="gf2_" localSheetId="7">'Estanterias Contiguas'!$K$223</definedName>
    <definedName name="gf2_" localSheetId="8">Montacargas!$K$210</definedName>
    <definedName name="gf2_" localSheetId="6">'Montacargas Dual'!$K$227</definedName>
    <definedName name="gf3_" localSheetId="5">'Estanteria Individual'!$I$216</definedName>
    <definedName name="gf3_" localSheetId="7">'Estanterias Contiguas'!$K$224</definedName>
    <definedName name="gf3_" localSheetId="8">Montacargas!$K$211</definedName>
    <definedName name="gf3_" localSheetId="6">'Montacargas Dual'!$K$228</definedName>
    <definedName name="gs1_" localSheetId="5">'Estanteria Individual'!$I$211</definedName>
    <definedName name="gs1_" localSheetId="7">'Estanterias Contiguas'!$K$219</definedName>
    <definedName name="gs1_" localSheetId="8">Montacargas!$K$206</definedName>
    <definedName name="gs1_" localSheetId="6">'Montacargas Dual'!$K$223</definedName>
    <definedName name="gs2_" localSheetId="5">'Estanteria Individual'!$I$212</definedName>
    <definedName name="gs2_" localSheetId="7">'Estanterias Contiguas'!$K$220</definedName>
    <definedName name="gs2_" localSheetId="8">Montacargas!$K$207</definedName>
    <definedName name="gs2_" localSheetId="6">'Montacargas Dual'!$K$224</definedName>
    <definedName name="h" localSheetId="5">'Estanteria Individual'!$D$45</definedName>
    <definedName name="h" localSheetId="7">'Estanterias Contiguas'!$D$47</definedName>
    <definedName name="h" localSheetId="8">Montacargas!$D$51</definedName>
    <definedName name="h" localSheetId="6">'Montacargas Dual'!$D$51</definedName>
    <definedName name="J_" localSheetId="10">'AASHTO 1993'!$G$53</definedName>
    <definedName name="k" localSheetId="5">'Estanteria Individual'!$D$11</definedName>
    <definedName name="k" localSheetId="7">'Estanterias Contiguas'!$D$11</definedName>
    <definedName name="k" localSheetId="8">Montacargas!$D$11</definedName>
    <definedName name="k" localSheetId="6">'Montacargas Dual'!$D$11</definedName>
    <definedName name="K_MODULE" localSheetId="10">'AASHTO 1993'!$G$38</definedName>
    <definedName name="k1_" localSheetId="5">'Estanteria Individual'!$I$181</definedName>
    <definedName name="k1_" localSheetId="7">'Estanterias Contiguas'!$K$187</definedName>
    <definedName name="k1_" localSheetId="8">Montacargas!$K$178</definedName>
    <definedName name="k1_" localSheetId="6">'Montacargas Dual'!$K$191</definedName>
    <definedName name="k2_" localSheetId="5">'Estanteria Individual'!$I$241</definedName>
    <definedName name="k2_" localSheetId="7">'Estanterias Contiguas'!$K$249</definedName>
    <definedName name="k2_" localSheetId="8">Montacargas!$K$236</definedName>
    <definedName name="k2_" localSheetId="6">'Montacargas Dual'!$K$251</definedName>
    <definedName name="k3_" localSheetId="5">'Estanteria Individual'!$I$183</definedName>
    <definedName name="k3_" localSheetId="7">'Estanterias Contiguas'!$K$189</definedName>
    <definedName name="k3_" localSheetId="8">Montacargas!$K$180</definedName>
    <definedName name="k3_" localSheetId="6">'Montacargas Dual'!$K$193</definedName>
    <definedName name="l" localSheetId="5">'Estanteria Individual'!$I$184</definedName>
    <definedName name="l" localSheetId="7">'Estanterias Contiguas'!$K$190</definedName>
    <definedName name="l" localSheetId="8">Montacargas!$K$181</definedName>
    <definedName name="l" localSheetId="6">'Montacargas Dual'!$K$194</definedName>
    <definedName name="ln_vmsopi" localSheetId="9">'PCA 1984'!$AA$123</definedName>
    <definedName name="Mallas_U_SI" localSheetId="12">'Conversión dosificación'!$N$34:$N$85</definedName>
    <definedName name="Mallas_U_SI" localSheetId="11">'Lanzado y Prefabricado'!$N$58:$N$109</definedName>
    <definedName name="Mallas_U_SI" localSheetId="1">'Mallas Electrosoldadas'!$P$65:$P$116</definedName>
    <definedName name="Mallas_U_SI" localSheetId="3">Muros!$N$66:$N$117</definedName>
    <definedName name="Mallas_U_SI" localSheetId="4">'Steel Deck'!$O$77:$O$128</definedName>
    <definedName name="Mn" localSheetId="5">'Estanteria Individual'!$I$186</definedName>
    <definedName name="Mn" localSheetId="7">'Estanterias Contiguas'!$K$192</definedName>
    <definedName name="Mn" localSheetId="8">Montacargas!$K$183</definedName>
    <definedName name="Mn" localSheetId="6">'Montacargas Dual'!$K$196</definedName>
    <definedName name="mod_f_rotura" localSheetId="9">'PCA 1984'!$G$87</definedName>
    <definedName name="modulo_rotura" localSheetId="9">'PCA 1984'!$M$150:$M$151</definedName>
    <definedName name="Mp" localSheetId="5">'Estanteria Individual'!$I$187</definedName>
    <definedName name="Mp" localSheetId="7">'Estanterias Contiguas'!$K$193</definedName>
    <definedName name="Mp" localSheetId="8">Montacargas!$K$184</definedName>
    <definedName name="Mp" localSheetId="6">'Montacargas Dual'!$K$197</definedName>
    <definedName name="n" localSheetId="5">'Estanteria Individual'!$I$210</definedName>
    <definedName name="n" localSheetId="7">'Estanterias Contiguas'!$K$218</definedName>
    <definedName name="n" localSheetId="8">Montacargas!$K$205</definedName>
    <definedName name="n" localSheetId="6">'Montacargas Dual'!$K$222</definedName>
    <definedName name="PCC_IMR" localSheetId="10">'AASHTO 1993'!$G$33</definedName>
    <definedName name="PCC_ME" localSheetId="10">'AASHTO 1993'!$G$23</definedName>
    <definedName name="PCC_MR" localSheetId="10">'AASHTO 1993'!$G$18</definedName>
    <definedName name="Pi" localSheetId="10">'AASHTO 1993'!$G$63</definedName>
    <definedName name="Pp_max1" localSheetId="5">'Estanteria Individual'!$I$253</definedName>
    <definedName name="Pp_max1" localSheetId="7">'Estanterias Contiguas'!$K$261</definedName>
    <definedName name="Pp_max1" localSheetId="8">Montacargas!$K$248</definedName>
    <definedName name="Pp_max1" localSheetId="6">'Montacargas Dual'!$K$263</definedName>
    <definedName name="Pp_max2" localSheetId="5">'Estanteria Individual'!$I$254</definedName>
    <definedName name="Pp_max2" localSheetId="7">'Estanterias Contiguas'!$K$262</definedName>
    <definedName name="Pp_max2" localSheetId="8">Montacargas!$K$249</definedName>
    <definedName name="Pp_max2" localSheetId="6">'Montacargas Dual'!$K$264</definedName>
    <definedName name="Pp_max3" localSheetId="5">'Estanteria Individual'!$I$255</definedName>
    <definedName name="Pp_max3" localSheetId="7">'Estanterias Contiguas'!$K$263</definedName>
    <definedName name="Pp_max3" localSheetId="8">Montacargas!$K$250</definedName>
    <definedName name="Pp_max3" localSheetId="6">'Montacargas Dual'!$K$265</definedName>
    <definedName name="Pp_max4" localSheetId="5">'Estanteria Individual'!$I$256</definedName>
    <definedName name="Pp_max4" localSheetId="7">'Estanterias Contiguas'!$K$264</definedName>
    <definedName name="Pp_max4" localSheetId="8">Montacargas!$K$251</definedName>
    <definedName name="Pp_max4" localSheetId="6">'Montacargas Dual'!$K$266</definedName>
    <definedName name="Pp_max5" localSheetId="5">'Estanteria Individual'!$I$261</definedName>
    <definedName name="Pp_max5" localSheetId="7">'Estanterias Contiguas'!$K$269</definedName>
    <definedName name="Pp_max5" localSheetId="8">Montacargas!$K$256</definedName>
    <definedName name="Pp_max5" localSheetId="6">'Montacargas Dual'!$K$271</definedName>
    <definedName name="Pp_max6" localSheetId="5">'Estanteria Individual'!$I$262</definedName>
    <definedName name="Pp_max6" localSheetId="7">'Estanterias Contiguas'!$K$270</definedName>
    <definedName name="Pp_max6" localSheetId="8">Montacargas!$K$257</definedName>
    <definedName name="Pp_max6" localSheetId="6">'Montacargas Dual'!$K$272</definedName>
    <definedName name="Pp_max7" localSheetId="5">'Estanteria Individual'!$I$263</definedName>
    <definedName name="Pp_max7" localSheetId="7">'Estanterias Contiguas'!$K$271</definedName>
    <definedName name="Pp_max7" localSheetId="8">Montacargas!$K$258</definedName>
    <definedName name="Pp_max7" localSheetId="6">'Montacargas Dual'!$K$273</definedName>
    <definedName name="Pp_max8" localSheetId="5">'Estanteria Individual'!$I$264</definedName>
    <definedName name="Pp_max8" localSheetId="7">'Estanterias Contiguas'!$K$272</definedName>
    <definedName name="Pp_max8" localSheetId="8">Montacargas!$K$259</definedName>
    <definedName name="Pp_max8" localSheetId="6">'Montacargas Dual'!$K$274</definedName>
    <definedName name="Print_Area" localSheetId="10">'AASHTO 1993'!$A$1:$J$81</definedName>
    <definedName name="Print_Area" localSheetId="2">'Barras de Refuerzo'!$A$1:$L$73</definedName>
    <definedName name="Print_Area" localSheetId="12">'Conversión dosificación'!$A$1:$L$30</definedName>
    <definedName name="Print_Area" localSheetId="5">'Estanteria Individual'!$A$1:$E$166</definedName>
    <definedName name="Print_Area" localSheetId="7">'Estanterias Contiguas'!$A$1:$E$168</definedName>
    <definedName name="Print_Area" localSheetId="13">INICIO!$A$1:$K$86</definedName>
    <definedName name="Print_Area" localSheetId="11">'Lanzado y Prefabricado'!$A$1:$L$54</definedName>
    <definedName name="Print_Area" localSheetId="1">'Mallas Electrosoldadas'!$A$1:$M$57</definedName>
    <definedName name="Print_Area" localSheetId="0">MENU!$A$1:$H$40</definedName>
    <definedName name="Print_Area" localSheetId="8">Montacargas!$A$1:$E$163</definedName>
    <definedName name="Print_Area" localSheetId="6">'Montacargas Dual'!$A$1:$E$172</definedName>
    <definedName name="Print_Area" localSheetId="3">Muros!$A$1:$L$61</definedName>
    <definedName name="Print_Area" localSheetId="9">'PCA 1984'!$A:$K</definedName>
    <definedName name="Print_Area" localSheetId="4">'Steel Deck'!$A$1:$L$69</definedName>
    <definedName name="Print_Area" localSheetId="14">'T &amp; C'!$A$1:$H$43</definedName>
    <definedName name="Print_Area" localSheetId="15">'T &amp; C (2)'!$A$1:$H$43</definedName>
    <definedName name="Print_Titles" localSheetId="10">'AASHTO 1993'!$1:$7</definedName>
    <definedName name="Print_Titles" localSheetId="5">'Estanteria Individual'!$1:$7</definedName>
    <definedName name="Print_Titles" localSheetId="7">'Estanterias Contiguas'!$1:$6</definedName>
    <definedName name="Print_Titles" localSheetId="8">Montacargas!$1:$8</definedName>
    <definedName name="Print_Titles" localSheetId="6">'Montacargas Dual'!$1:$6</definedName>
    <definedName name="Print_Titles" localSheetId="9">'PCA 1984'!$1:$11</definedName>
    <definedName name="Pt" localSheetId="10">'AASHTO 1993'!$G$68</definedName>
    <definedName name="Pu_1" localSheetId="5">'Estanteria Individual'!$D$67</definedName>
    <definedName name="Pu_1" localSheetId="7">'Estanterias Contiguas'!$D$68</definedName>
    <definedName name="Pu_1" localSheetId="8">Montacargas!$D$69</definedName>
    <definedName name="Pu_1" localSheetId="6">'Montacargas Dual'!$D$72</definedName>
    <definedName name="Pu_2" localSheetId="5">'Estanteria Individual'!$D$68</definedName>
    <definedName name="Pu_2" localSheetId="7">'Estanterias Contiguas'!$D$69</definedName>
    <definedName name="Pu_2" localSheetId="8">Montacargas!$D$70</definedName>
    <definedName name="Pu_2" localSheetId="6">'Montacargas Dual'!$D$73</definedName>
    <definedName name="Pu_3" localSheetId="5">'Estanteria Individual'!$D$69</definedName>
    <definedName name="Pu_3" localSheetId="7">'Estanterias Contiguas'!$D$70</definedName>
    <definedName name="Pu_3" localSheetId="8">Montacargas!$D$71</definedName>
    <definedName name="Pu_3" localSheetId="6">'Montacargas Dual'!$D$74</definedName>
    <definedName name="Pu_4" localSheetId="5">'Estanteria Individual'!$D$103</definedName>
    <definedName name="Pu_4" localSheetId="7">'Estanterias Contiguas'!$D$105</definedName>
    <definedName name="Pu_4" localSheetId="8">Montacargas!$D$104</definedName>
    <definedName name="Pu_4" localSheetId="6">'Montacargas Dual'!$D$109</definedName>
    <definedName name="Pu_5" localSheetId="5">'Estanteria Individual'!$D$104</definedName>
    <definedName name="Pu_5" localSheetId="7">'Estanterias Contiguas'!$D$106</definedName>
    <definedName name="Pu_5" localSheetId="8">Montacargas!$D$105</definedName>
    <definedName name="Pu_5" localSheetId="6">'Montacargas Dual'!$D$110</definedName>
    <definedName name="Pu_6" localSheetId="5">'Estanteria Individual'!$D$105</definedName>
    <definedName name="Pu_6" localSheetId="7">'Estanterias Contiguas'!$D$107</definedName>
    <definedName name="Pu_6" localSheetId="8">Montacargas!$D$106</definedName>
    <definedName name="Pu_6" localSheetId="6">'Montacargas Dual'!$D$111</definedName>
    <definedName name="Pu_7" localSheetId="5">'Estanteria Individual'!$D$144</definedName>
    <definedName name="Pu_7" localSheetId="7">'Estanterias Contiguas'!$D$147</definedName>
    <definedName name="Pu_7" localSheetId="8">Montacargas!$D$143</definedName>
    <definedName name="Pu_7" localSheetId="6">'Montacargas Dual'!$D$151</definedName>
    <definedName name="Pu_8" localSheetId="5">'Estanteria Individual'!$D$145</definedName>
    <definedName name="Pu_8" localSheetId="7">'Estanterias Contiguas'!$D$148</definedName>
    <definedName name="Pu_8" localSheetId="8">Montacargas!$D$144</definedName>
    <definedName name="Pu_8" localSheetId="6">'Montacargas Dual'!$D$152</definedName>
    <definedName name="Pu_9" localSheetId="5">'Estanteria Individual'!$D$146</definedName>
    <definedName name="Pu_9" localSheetId="7">'Estanterias Contiguas'!$D$149</definedName>
    <definedName name="Pu_9" localSheetId="8">Montacargas!$D$145</definedName>
    <definedName name="Pu_9" localSheetId="6">'Montacargas Dual'!$D$153</definedName>
    <definedName name="Q1_" localSheetId="5">'Estanteria Individual'!$D$39</definedName>
    <definedName name="Q1_" localSheetId="7">'Estanterias Contiguas'!$D$41</definedName>
    <definedName name="Q1_" localSheetId="8">Montacargas!$D$35</definedName>
    <definedName name="Q1_" localSheetId="6">'Montacargas Dual'!$D$40</definedName>
    <definedName name="Q1_ult" localSheetId="5">'Estanteria Individual'!$D$66</definedName>
    <definedName name="Q1_ult" localSheetId="7">'Estanterias Contiguas'!$D$67</definedName>
    <definedName name="Q1_ult" localSheetId="8">Montacargas!$D$68</definedName>
    <definedName name="Q1_ult" localSheetId="6">'Montacargas Dual'!$D$71</definedName>
    <definedName name="Q1_ult_ep" localSheetId="5">'Estanteria Individual'!$D$143</definedName>
    <definedName name="Q1_ult_ep" localSheetId="7">'Estanterias Contiguas'!$D$146</definedName>
    <definedName name="Q1_ult_ep" localSheetId="8">Montacargas!$D$142</definedName>
    <definedName name="Q1_ult_ep" localSheetId="6">'Montacargas Dual'!$D$150</definedName>
    <definedName name="Q1_ult_jb" localSheetId="5">'Estanteria Individual'!$D$102</definedName>
    <definedName name="Q1_ult_jb" localSheetId="7">'Estanterias Contiguas'!$D$104</definedName>
    <definedName name="Q1_ult_jb" localSheetId="8">Montacargas!$D$103</definedName>
    <definedName name="Q1_ult_jb" localSheetId="6">'Montacargas Dual'!$D$108</definedName>
    <definedName name="qq_1" localSheetId="6">'Montacargas Dual'!$D$36</definedName>
    <definedName name="R_" localSheetId="10">'AASHTO 1993'!$G$43</definedName>
    <definedName name="rango_actualizar" localSheetId="9">'PCA 1984'!$G$46:$J$53</definedName>
    <definedName name="rango_de_diseño" localSheetId="9">'PCA 1984'!$BI$207:$BI$209</definedName>
    <definedName name="rango_espesor" localSheetId="9">OFFSET('PCA 1984'!rango_de_diseño,,,,2)</definedName>
    <definedName name="Re_3" localSheetId="2">'Barras de Refuerzo'!$D$68</definedName>
    <definedName name="Re_3" localSheetId="5">'Estanteria Individual'!$I$185</definedName>
    <definedName name="Re_3" localSheetId="7">'Estanterias Contiguas'!$K$191</definedName>
    <definedName name="Re_3" localSheetId="1">'Mallas Electrosoldadas'!$D$52</definedName>
    <definedName name="Re_3" localSheetId="8">Montacargas!$K$182</definedName>
    <definedName name="Re_3" localSheetId="6">'Montacargas Dual'!$K$195</definedName>
    <definedName name="Re_3" localSheetId="4">'Steel Deck'!$D$62</definedName>
    <definedName name="Re_3_fm" localSheetId="12">'Conversión dosificación'!$O$36</definedName>
    <definedName name="rel_aspecto_fm" localSheetId="12">'Conversión dosificación'!$L$16</definedName>
    <definedName name="Sel_cond_soporte" localSheetId="9">'PCA 1984'!$G$46</definedName>
    <definedName name="sel_modulo_rotura" localSheetId="9">'PCA 1984'!$G$72</definedName>
    <definedName name="So" localSheetId="10">'AASHTO 1993'!$G$48</definedName>
    <definedName name="Soporte" localSheetId="9">'PCA 1984'!$V$118:$V$121</definedName>
    <definedName name="TDPC" localSheetId="9">'PCA 1984'!$D$15</definedName>
    <definedName name="TDPCA" localSheetId="9">'PCA 1984'!$G$99</definedName>
    <definedName name="texto_cond1" localSheetId="9">'PCA 1984'!$B$51</definedName>
    <definedName name="texto_cond2" localSheetId="9">'PCA 1984'!$B$56</definedName>
    <definedName name="texto_cond3" localSheetId="9">'PCA 1984'!$B$82</definedName>
    <definedName name="texto_cond4" localSheetId="9">'PCA 1984'!$B$87</definedName>
    <definedName name="Tipo_de_Suelo" localSheetId="9">'PCA 1984'!$W$118:$W$121</definedName>
    <definedName name="Tipo_malla" localSheetId="3">Muros!$C$44</definedName>
    <definedName name="Tipo_malla" localSheetId="4">'Steel Deck'!$C$42</definedName>
    <definedName name="Tipo_Soporte" localSheetId="9">'PCA 1984'!$B$32</definedName>
    <definedName name="u0_1" localSheetId="5">'Estanteria Individual'!$I$243</definedName>
    <definedName name="u0_1" localSheetId="7">'Estanterias Contiguas'!$K$251</definedName>
    <definedName name="u0_1" localSheetId="8">Montacargas!$K$238</definedName>
    <definedName name="u0_1" localSheetId="6">'Montacargas Dual'!$K$253</definedName>
    <definedName name="u0_2" localSheetId="5">'Estanteria Individual'!$I$244</definedName>
    <definedName name="u0_2" localSheetId="7">'Estanterias Contiguas'!$K$252</definedName>
    <definedName name="u0_2" localSheetId="8">Montacargas!$K$239</definedName>
    <definedName name="u0_2" localSheetId="6">'Montacargas Dual'!$K$254</definedName>
    <definedName name="u0_3" localSheetId="5">'Estanteria Individual'!$I$245</definedName>
    <definedName name="u0_3" localSheetId="7">'Estanterias Contiguas'!$K$253</definedName>
    <definedName name="u0_3" localSheetId="8">Montacargas!$K$240</definedName>
    <definedName name="u0_3" localSheetId="6">'Montacargas Dual'!$K$255</definedName>
    <definedName name="u0_4" localSheetId="5">'Estanteria Individual'!$I$246</definedName>
    <definedName name="u0_4" localSheetId="7">'Estanterias Contiguas'!$K$254</definedName>
    <definedName name="u0_4" localSheetId="8">Montacargas!$K$241</definedName>
    <definedName name="u0_4" localSheetId="6">'Montacargas Dual'!$K$256</definedName>
    <definedName name="u1_1" localSheetId="5">'Estanteria Individual'!$I$257</definedName>
    <definedName name="u1_1" localSheetId="7">'Estanterias Contiguas'!$K$265</definedName>
    <definedName name="u1_1" localSheetId="8">Montacargas!$K$252</definedName>
    <definedName name="u1_1" localSheetId="6">'Montacargas Dual'!$K$267</definedName>
    <definedName name="u1_2" localSheetId="5">'Estanteria Individual'!$I$258</definedName>
    <definedName name="u1_2" localSheetId="7">'Estanterias Contiguas'!$K$266</definedName>
    <definedName name="u1_2" localSheetId="8">Montacargas!$K$253</definedName>
    <definedName name="u1_2" localSheetId="6">'Montacargas Dual'!$K$268</definedName>
    <definedName name="u1_3" localSheetId="5">'Estanteria Individual'!$I$259</definedName>
    <definedName name="u1_3" localSheetId="7">'Estanterias Contiguas'!$K$267</definedName>
    <definedName name="u1_3" localSheetId="8">Montacargas!$K$254</definedName>
    <definedName name="u1_3" localSheetId="6">'Montacargas Dual'!$K$269</definedName>
    <definedName name="u1_4" localSheetId="5">'Estanteria Individual'!$I$260</definedName>
    <definedName name="u1_4" localSheetId="7">'Estanterias Contiguas'!$K$268</definedName>
    <definedName name="u1_4" localSheetId="8">Montacargas!$K$255</definedName>
    <definedName name="u1_4" localSheetId="6">'Montacargas Dual'!$K$270</definedName>
    <definedName name="Valores_de_k__pci" localSheetId="9">'PCA 1984'!$X$118:$X$121</definedName>
    <definedName name="var_borde" localSheetId="9">'PCA 1984'!$G$65</definedName>
    <definedName name="var_categoria" localSheetId="9">'PCA 1984'!$B$20</definedName>
    <definedName name="var_codigo_verificacion" localSheetId="9">'PCA 1984'!$BV$116</definedName>
    <definedName name="var_juntas" localSheetId="9">'PCA 1984'!$G$60</definedName>
    <definedName name="var_soporte" localSheetId="9">'PCA 1984'!$B$32</definedName>
    <definedName name="vm_sopi" localSheetId="9">'PCA 1984'!$AA$122</definedName>
    <definedName name="vmax" localSheetId="5">'Estanteria Individual'!$I$242</definedName>
    <definedName name="vmax" localSheetId="7">'Estanterias Contiguas'!$K$250</definedName>
    <definedName name="vmax" localSheetId="8">Montacargas!$K$237</definedName>
    <definedName name="vmax" localSheetId="6">'Montacargas Dual'!$K$252</definedName>
    <definedName name="vp_1" localSheetId="5">'Estanteria Individual'!$I$247</definedName>
    <definedName name="vp_1" localSheetId="7">'Estanterias Contiguas'!$K$255</definedName>
    <definedName name="vp_1" localSheetId="8">Montacargas!$K$242</definedName>
    <definedName name="vp_1" localSheetId="6">'Montacargas Dual'!$K$257</definedName>
    <definedName name="vp_2" localSheetId="5">'Estanteria Individual'!$I$248</definedName>
    <definedName name="vp_2" localSheetId="7">'Estanterias Contiguas'!$K$256</definedName>
    <definedName name="vp_2" localSheetId="8">Montacargas!$K$243</definedName>
    <definedName name="vp_2" localSheetId="6">'Montacargas Dual'!$K$258</definedName>
    <definedName name="vp_3" localSheetId="5">'Estanteria Individual'!$I$249</definedName>
    <definedName name="vp_3" localSheetId="7">'Estanterias Contiguas'!$K$257</definedName>
    <definedName name="vp_3" localSheetId="8">Montacargas!$K$244</definedName>
    <definedName name="vp_3" localSheetId="6">'Montacargas Dual'!$K$259</definedName>
    <definedName name="vp_4" localSheetId="5">'Estanteria Individual'!$I$250</definedName>
    <definedName name="vp_4" localSheetId="7">'Estanterias Contiguas'!$K$258</definedName>
    <definedName name="vp_4" localSheetId="8">Montacargas!$K$245</definedName>
    <definedName name="vp_4" localSheetId="6">'Montacargas Dual'!$K$260</definedName>
    <definedName name="vRd_ct" localSheetId="5">'Estanteria Individual'!$I$182</definedName>
    <definedName name="vRd_ct" localSheetId="7">'Estanterias Contiguas'!$K$188</definedName>
    <definedName name="vRd_ct" localSheetId="8">Montacargas!$K$179</definedName>
    <definedName name="vRd_ct" localSheetId="6">'Montacargas Dual'!$K$192</definedName>
    <definedName name="Z" localSheetId="7">'Estanterias Contiguas'!$D$39</definedName>
    <definedName name="Z" localSheetId="6">'Montacargas Dual'!$D$44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 i="31" l="1"/>
  <c r="D47" i="6"/>
  <c r="P131" i="6"/>
  <c r="Q131" i="6" s="1"/>
  <c r="P130" i="6"/>
  <c r="Q130" i="6" s="1"/>
  <c r="P129" i="6"/>
  <c r="Q129" i="6" s="1"/>
  <c r="P128" i="6"/>
  <c r="Q128" i="6" s="1"/>
  <c r="P127" i="6"/>
  <c r="Q127" i="6" s="1"/>
  <c r="P126" i="6"/>
  <c r="Q126" i="6" s="1"/>
  <c r="P125" i="6"/>
  <c r="Q125" i="6" s="1"/>
  <c r="P124" i="6"/>
  <c r="Q124" i="6" s="1"/>
  <c r="P123" i="6"/>
  <c r="Q123" i="6" s="1"/>
  <c r="P122" i="6"/>
  <c r="Q122" i="6" s="1"/>
  <c r="D43" i="3" l="1"/>
  <c r="D42" i="3"/>
  <c r="D41" i="3"/>
  <c r="D40" i="3"/>
  <c r="K42" i="3" l="1"/>
  <c r="D37" i="28"/>
  <c r="K228" i="28"/>
  <c r="K233" i="28"/>
  <c r="D71" i="28" s="1"/>
  <c r="K251" i="28"/>
  <c r="K250" i="28"/>
  <c r="K212" i="18"/>
  <c r="K190" i="28"/>
  <c r="K186" i="28"/>
  <c r="K187" i="28" s="1"/>
  <c r="K189" i="28" s="1"/>
  <c r="K185" i="28"/>
  <c r="K188" i="28" s="1"/>
  <c r="K184" i="28"/>
  <c r="D49" i="28"/>
  <c r="D43" i="18"/>
  <c r="D39" i="18"/>
  <c r="D38" i="18"/>
  <c r="D108" i="28"/>
  <c r="D45" i="17"/>
  <c r="K222" i="17"/>
  <c r="D146" i="17" s="1"/>
  <c r="K182" i="17"/>
  <c r="D43" i="16"/>
  <c r="I214" i="16"/>
  <c r="D66" i="16" s="1"/>
  <c r="I176" i="16"/>
  <c r="F32" i="13"/>
  <c r="D34" i="13"/>
  <c r="D36" i="13" s="1"/>
  <c r="D46" i="13"/>
  <c r="R58" i="22"/>
  <c r="S58" i="22"/>
  <c r="R59" i="22"/>
  <c r="S59" i="22"/>
  <c r="R60" i="22"/>
  <c r="S60" i="22"/>
  <c r="R61" i="22"/>
  <c r="S61" i="22"/>
  <c r="R62" i="22"/>
  <c r="S62" i="22"/>
  <c r="R63" i="22"/>
  <c r="S63" i="22"/>
  <c r="R64" i="22"/>
  <c r="S64" i="22"/>
  <c r="R65" i="22"/>
  <c r="S65" i="22"/>
  <c r="R66" i="22"/>
  <c r="S66" i="22"/>
  <c r="R67" i="22"/>
  <c r="S67" i="22"/>
  <c r="R68" i="22"/>
  <c r="S68" i="22"/>
  <c r="R69" i="22"/>
  <c r="S69" i="22"/>
  <c r="R70" i="22"/>
  <c r="S70" i="22"/>
  <c r="R71" i="22"/>
  <c r="S71" i="22"/>
  <c r="R72" i="22"/>
  <c r="S72" i="22"/>
  <c r="R73" i="22"/>
  <c r="S73" i="22"/>
  <c r="R74" i="22"/>
  <c r="S74" i="22"/>
  <c r="R75" i="22"/>
  <c r="S75" i="22"/>
  <c r="R76" i="22"/>
  <c r="S76" i="22"/>
  <c r="R77" i="22"/>
  <c r="S77" i="22"/>
  <c r="R78" i="22"/>
  <c r="S78" i="22"/>
  <c r="R79" i="22"/>
  <c r="S79" i="22"/>
  <c r="R80" i="22"/>
  <c r="S80" i="22"/>
  <c r="R81" i="22"/>
  <c r="S81" i="22"/>
  <c r="R82" i="22"/>
  <c r="S82" i="22"/>
  <c r="R83" i="22"/>
  <c r="S83" i="22"/>
  <c r="R84" i="22"/>
  <c r="S84" i="22"/>
  <c r="R85" i="22"/>
  <c r="S85" i="22"/>
  <c r="R86" i="22"/>
  <c r="S86" i="22"/>
  <c r="R87" i="22"/>
  <c r="S87" i="22"/>
  <c r="R88" i="22"/>
  <c r="S88" i="22"/>
  <c r="R89" i="22"/>
  <c r="S89" i="22"/>
  <c r="P90" i="22"/>
  <c r="Q90" i="22"/>
  <c r="P91" i="22"/>
  <c r="Q91" i="22"/>
  <c r="P92" i="22"/>
  <c r="Q92" i="22"/>
  <c r="P93" i="22"/>
  <c r="Q93" i="22"/>
  <c r="P94" i="22"/>
  <c r="Q94" i="22"/>
  <c r="P95" i="22"/>
  <c r="Q95" i="22"/>
  <c r="P96" i="22"/>
  <c r="Q96" i="22"/>
  <c r="P97" i="22"/>
  <c r="Q97" i="22"/>
  <c r="P98" i="22"/>
  <c r="Q98" i="22"/>
  <c r="P99" i="22"/>
  <c r="Q99" i="22"/>
  <c r="P100" i="22"/>
  <c r="Q100" i="22"/>
  <c r="P101" i="22"/>
  <c r="Q101" i="22"/>
  <c r="P102" i="22"/>
  <c r="Q102" i="22"/>
  <c r="P103" i="22"/>
  <c r="Q103" i="22"/>
  <c r="P104" i="22"/>
  <c r="Q104" i="22"/>
  <c r="P105" i="22"/>
  <c r="Q105" i="22"/>
  <c r="P106" i="22"/>
  <c r="Q106" i="22"/>
  <c r="P107" i="22"/>
  <c r="Q107" i="22"/>
  <c r="P108" i="22"/>
  <c r="Q108" i="22"/>
  <c r="P109" i="22"/>
  <c r="Q109" i="22"/>
  <c r="D39" i="22"/>
  <c r="D38" i="22"/>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V301" i="21"/>
  <c r="V302" i="21"/>
  <c r="V303" i="21"/>
  <c r="V304" i="21"/>
  <c r="V305" i="21"/>
  <c r="V306" i="21"/>
  <c r="V307" i="21"/>
  <c r="V308" i="21"/>
  <c r="V309" i="21"/>
  <c r="V310" i="21"/>
  <c r="V311" i="21"/>
  <c r="V312" i="21"/>
  <c r="V313" i="21"/>
  <c r="V314" i="21"/>
  <c r="V315" i="21"/>
  <c r="V316" i="21"/>
  <c r="V317" i="21"/>
  <c r="V318" i="21"/>
  <c r="V319" i="21"/>
  <c r="V320" i="21"/>
  <c r="V321" i="21"/>
  <c r="V322" i="21"/>
  <c r="V323" i="21"/>
  <c r="V324" i="21"/>
  <c r="V325" i="21"/>
  <c r="V326" i="21"/>
  <c r="V327" i="21"/>
  <c r="V328" i="21"/>
  <c r="V329" i="21"/>
  <c r="V330" i="21"/>
  <c r="V331" i="21"/>
  <c r="V332" i="21"/>
  <c r="V333" i="21"/>
  <c r="V334" i="21"/>
  <c r="V335" i="21"/>
  <c r="V336" i="21"/>
  <c r="V337" i="21"/>
  <c r="V338" i="21"/>
  <c r="V339" i="21"/>
  <c r="V340" i="21"/>
  <c r="V341" i="21"/>
  <c r="V342" i="21"/>
  <c r="V343" i="21"/>
  <c r="V344" i="21"/>
  <c r="V345" i="21"/>
  <c r="V346" i="21"/>
  <c r="V347" i="21"/>
  <c r="V348" i="21"/>
  <c r="V349" i="21"/>
  <c r="V350" i="21"/>
  <c r="V351" i="21"/>
  <c r="V352" i="21"/>
  <c r="V353" i="21"/>
  <c r="V354" i="21"/>
  <c r="V355" i="21"/>
  <c r="V356" i="21"/>
  <c r="V357" i="21"/>
  <c r="V358" i="21"/>
  <c r="V359" i="21"/>
  <c r="V360" i="21"/>
  <c r="V361" i="21"/>
  <c r="V362" i="21"/>
  <c r="V363" i="21"/>
  <c r="V364" i="21"/>
  <c r="V365" i="21"/>
  <c r="V366" i="21"/>
  <c r="V367" i="21"/>
  <c r="V368" i="21"/>
  <c r="V369" i="21"/>
  <c r="V370" i="21"/>
  <c r="V371" i="21"/>
  <c r="V372" i="21"/>
  <c r="V373" i="21"/>
  <c r="V374" i="21"/>
  <c r="V375" i="21"/>
  <c r="V376" i="21"/>
  <c r="V377" i="21"/>
  <c r="V378" i="21"/>
  <c r="V379" i="21"/>
  <c r="V380" i="21"/>
  <c r="V381" i="21"/>
  <c r="V382" i="21"/>
  <c r="V383" i="21"/>
  <c r="V384" i="21"/>
  <c r="V385" i="21"/>
  <c r="V386" i="21"/>
  <c r="V387" i="21"/>
  <c r="V388" i="21"/>
  <c r="V389" i="21"/>
  <c r="V390" i="21"/>
  <c r="V391" i="21"/>
  <c r="V392" i="21"/>
  <c r="V393" i="21"/>
  <c r="V394" i="21"/>
  <c r="V395" i="21"/>
  <c r="V396" i="21"/>
  <c r="V397" i="21"/>
  <c r="V398" i="21"/>
  <c r="V399" i="21"/>
  <c r="V400" i="21"/>
  <c r="V401" i="21"/>
  <c r="V402" i="21"/>
  <c r="V403" i="21"/>
  <c r="V404" i="21"/>
  <c r="V405" i="21"/>
  <c r="V406" i="21"/>
  <c r="V407" i="21"/>
  <c r="V408" i="21"/>
  <c r="V409" i="21"/>
  <c r="V410" i="21"/>
  <c r="V411" i="21"/>
  <c r="V412" i="21"/>
  <c r="V413" i="21"/>
  <c r="V414" i="21"/>
  <c r="V415" i="21"/>
  <c r="V416" i="21"/>
  <c r="V417" i="21"/>
  <c r="V418" i="21"/>
  <c r="V419" i="21"/>
  <c r="V420" i="21"/>
  <c r="V421" i="21"/>
  <c r="V422" i="21"/>
  <c r="V423" i="21"/>
  <c r="V424" i="21"/>
  <c r="V425" i="21"/>
  <c r="V426" i="21"/>
  <c r="V427" i="21"/>
  <c r="V428" i="21"/>
  <c r="V429" i="21"/>
  <c r="V430" i="21"/>
  <c r="V431" i="21"/>
  <c r="V432" i="21"/>
  <c r="V433" i="21"/>
  <c r="V434" i="21"/>
  <c r="V435" i="21"/>
  <c r="V436" i="21"/>
  <c r="V437" i="21"/>
  <c r="V438" i="21"/>
  <c r="V439" i="21"/>
  <c r="V440" i="21"/>
  <c r="V441" i="21"/>
  <c r="V442" i="21"/>
  <c r="V443" i="21"/>
  <c r="V444" i="21"/>
  <c r="V445" i="21"/>
  <c r="V446" i="21"/>
  <c r="V447" i="21"/>
  <c r="V448" i="21"/>
  <c r="V449" i="21"/>
  <c r="V450" i="21"/>
  <c r="V451" i="21"/>
  <c r="V452" i="21"/>
  <c r="V453" i="21"/>
  <c r="V454" i="21"/>
  <c r="V455" i="21"/>
  <c r="V456" i="21"/>
  <c r="V457" i="21"/>
  <c r="V458" i="21"/>
  <c r="V459" i="21"/>
  <c r="V460" i="21"/>
  <c r="V461" i="21"/>
  <c r="V462" i="21"/>
  <c r="V463" i="21"/>
  <c r="V464" i="21"/>
  <c r="V465" i="21"/>
  <c r="V466" i="21"/>
  <c r="V467" i="21"/>
  <c r="V468" i="21"/>
  <c r="V469" i="21"/>
  <c r="V470" i="21"/>
  <c r="V471" i="21"/>
  <c r="V472" i="21"/>
  <c r="V473" i="21"/>
  <c r="V474" i="21"/>
  <c r="V475" i="21"/>
  <c r="V476" i="21"/>
  <c r="V477" i="21"/>
  <c r="V478" i="21"/>
  <c r="V479" i="21"/>
  <c r="V480" i="21"/>
  <c r="V481" i="21"/>
  <c r="V482" i="21"/>
  <c r="V483" i="21"/>
  <c r="V484" i="21"/>
  <c r="V485" i="21"/>
  <c r="V486" i="21"/>
  <c r="V487" i="21"/>
  <c r="V488" i="21"/>
  <c r="V489" i="21"/>
  <c r="V490" i="21"/>
  <c r="V491" i="21"/>
  <c r="V492" i="21"/>
  <c r="V493" i="21"/>
  <c r="V494" i="21"/>
  <c r="V495" i="21"/>
  <c r="V496" i="21"/>
  <c r="V497" i="21"/>
  <c r="V498" i="21"/>
  <c r="V499" i="21"/>
  <c r="V500" i="21"/>
  <c r="V501" i="21"/>
  <c r="V502" i="21"/>
  <c r="V503" i="21"/>
  <c r="V504" i="21"/>
  <c r="V505" i="21"/>
  <c r="V506" i="21"/>
  <c r="V507" i="21"/>
  <c r="V508" i="21"/>
  <c r="V509" i="21"/>
  <c r="V510" i="21"/>
  <c r="V511" i="21"/>
  <c r="V512" i="21"/>
  <c r="V513" i="21"/>
  <c r="V514" i="21"/>
  <c r="V515" i="21"/>
  <c r="V516" i="21"/>
  <c r="V517" i="21"/>
  <c r="V518" i="21"/>
  <c r="V519" i="21"/>
  <c r="V520" i="21"/>
  <c r="V521" i="21"/>
  <c r="V522" i="21"/>
  <c r="V523" i="21"/>
  <c r="V524" i="21"/>
  <c r="V525" i="21"/>
  <c r="V526" i="21"/>
  <c r="V527" i="21"/>
  <c r="V528" i="21"/>
  <c r="V529" i="21"/>
  <c r="V530" i="21"/>
  <c r="V531" i="21"/>
  <c r="V532" i="21"/>
  <c r="V533" i="21"/>
  <c r="V534" i="21"/>
  <c r="V535" i="21"/>
  <c r="V536" i="21"/>
  <c r="V537" i="21"/>
  <c r="V538" i="21"/>
  <c r="V539" i="21"/>
  <c r="V540" i="21"/>
  <c r="V541" i="21"/>
  <c r="V542" i="21"/>
  <c r="V543" i="21"/>
  <c r="V544" i="21"/>
  <c r="V545" i="21"/>
  <c r="V546" i="21"/>
  <c r="V547" i="21"/>
  <c r="V548" i="21"/>
  <c r="V549" i="21"/>
  <c r="V550" i="21"/>
  <c r="V551" i="21"/>
  <c r="V552" i="21"/>
  <c r="V553" i="21"/>
  <c r="V554" i="21"/>
  <c r="V555" i="21"/>
  <c r="V556" i="21"/>
  <c r="V557" i="21"/>
  <c r="V558" i="21"/>
  <c r="V559" i="21"/>
  <c r="V560" i="21"/>
  <c r="V561" i="21"/>
  <c r="V562" i="21"/>
  <c r="V563" i="21"/>
  <c r="V564" i="21"/>
  <c r="V565" i="21"/>
  <c r="V566" i="21"/>
  <c r="V567" i="21"/>
  <c r="V568" i="21"/>
  <c r="V569" i="21"/>
  <c r="V570" i="21"/>
  <c r="V571" i="21"/>
  <c r="V572" i="21"/>
  <c r="V573" i="21"/>
  <c r="V574" i="21"/>
  <c r="V575" i="21"/>
  <c r="V576" i="21"/>
  <c r="V577" i="21"/>
  <c r="V578" i="21"/>
  <c r="V579" i="21"/>
  <c r="V580" i="21"/>
  <c r="V581" i="21"/>
  <c r="V582" i="21"/>
  <c r="V583" i="21"/>
  <c r="V584" i="21"/>
  <c r="V585" i="21"/>
  <c r="V586" i="21"/>
  <c r="V587" i="21"/>
  <c r="V588" i="21"/>
  <c r="V589" i="21"/>
  <c r="V590" i="21"/>
  <c r="V591" i="21"/>
  <c r="V592" i="21"/>
  <c r="V593" i="21"/>
  <c r="V594" i="21"/>
  <c r="V595" i="21"/>
  <c r="V596" i="21"/>
  <c r="V597" i="21"/>
  <c r="V598" i="21"/>
  <c r="V599" i="21"/>
  <c r="V600" i="21"/>
  <c r="V601" i="21"/>
  <c r="V602" i="21"/>
  <c r="V603" i="21"/>
  <c r="V604" i="21"/>
  <c r="V605" i="21"/>
  <c r="V606" i="21"/>
  <c r="V607" i="21"/>
  <c r="V608" i="21"/>
  <c r="V609" i="21"/>
  <c r="V610" i="21"/>
  <c r="V611" i="21"/>
  <c r="V612" i="21"/>
  <c r="V613" i="21"/>
  <c r="V614" i="21"/>
  <c r="V615" i="21"/>
  <c r="V616" i="21"/>
  <c r="V617" i="21"/>
  <c r="V618" i="21"/>
  <c r="V619" i="21"/>
  <c r="V620" i="21"/>
  <c r="V621" i="21"/>
  <c r="V622" i="21"/>
  <c r="V623" i="21"/>
  <c r="V624" i="21"/>
  <c r="V625" i="21"/>
  <c r="V626" i="21"/>
  <c r="V627" i="21"/>
  <c r="V628" i="21"/>
  <c r="V629" i="21"/>
  <c r="V630" i="21"/>
  <c r="V631" i="21"/>
  <c r="V632" i="21"/>
  <c r="V633" i="21"/>
  <c r="V634" i="21"/>
  <c r="V635" i="21"/>
  <c r="V636" i="21"/>
  <c r="V637" i="21"/>
  <c r="V638" i="21"/>
  <c r="V639" i="21"/>
  <c r="V640" i="21"/>
  <c r="V641" i="21"/>
  <c r="V642" i="21"/>
  <c r="V643" i="21"/>
  <c r="V644" i="21"/>
  <c r="V645" i="21"/>
  <c r="V646" i="21"/>
  <c r="V647" i="21"/>
  <c r="V648" i="21"/>
  <c r="V649" i="21"/>
  <c r="V650" i="21"/>
  <c r="V651" i="21"/>
  <c r="V652" i="21"/>
  <c r="V653" i="21"/>
  <c r="V654" i="21"/>
  <c r="V655" i="21"/>
  <c r="V656" i="21"/>
  <c r="V657" i="21"/>
  <c r="V658" i="21"/>
  <c r="V659" i="21"/>
  <c r="V660" i="21"/>
  <c r="V661" i="21"/>
  <c r="V662" i="21"/>
  <c r="V663" i="21"/>
  <c r="V664" i="21"/>
  <c r="V665" i="21"/>
  <c r="V666" i="21"/>
  <c r="V667" i="21"/>
  <c r="V668" i="21"/>
  <c r="V669" i="21"/>
  <c r="V670" i="21"/>
  <c r="V671" i="21"/>
  <c r="V672" i="21"/>
  <c r="V673" i="21"/>
  <c r="V674" i="21"/>
  <c r="V675" i="21"/>
  <c r="V676" i="21"/>
  <c r="V677" i="21"/>
  <c r="V678" i="21"/>
  <c r="V679" i="21"/>
  <c r="V680" i="21"/>
  <c r="V681" i="21"/>
  <c r="V682" i="21"/>
  <c r="V683" i="21"/>
  <c r="V684" i="21"/>
  <c r="V685" i="21"/>
  <c r="V686" i="21"/>
  <c r="V687" i="21"/>
  <c r="V688" i="21"/>
  <c r="V689" i="21"/>
  <c r="V690" i="21"/>
  <c r="V691" i="21"/>
  <c r="V692" i="21"/>
  <c r="V693" i="21"/>
  <c r="V694" i="21"/>
  <c r="V695" i="21"/>
  <c r="V696" i="21"/>
  <c r="V697" i="21"/>
  <c r="V698" i="21"/>
  <c r="V699" i="21"/>
  <c r="V700" i="21"/>
  <c r="V701" i="21"/>
  <c r="V702" i="21"/>
  <c r="V703" i="21"/>
  <c r="V704" i="21"/>
  <c r="V705" i="21"/>
  <c r="V706" i="21"/>
  <c r="V707" i="21"/>
  <c r="V708" i="21"/>
  <c r="V709" i="21"/>
  <c r="V710" i="21"/>
  <c r="V711" i="21"/>
  <c r="V712" i="21"/>
  <c r="V713" i="21"/>
  <c r="V714" i="21"/>
  <c r="V715" i="21"/>
  <c r="V716" i="21"/>
  <c r="V717" i="21"/>
  <c r="V718" i="21"/>
  <c r="V719" i="21"/>
  <c r="V720" i="21"/>
  <c r="V721" i="21"/>
  <c r="V722" i="21"/>
  <c r="V723" i="21"/>
  <c r="V724" i="21"/>
  <c r="V725" i="21"/>
  <c r="V726" i="21"/>
  <c r="V727" i="21"/>
  <c r="V728" i="21"/>
  <c r="V729" i="21"/>
  <c r="V730" i="21"/>
  <c r="V731" i="21"/>
  <c r="V732" i="21"/>
  <c r="V733" i="21"/>
  <c r="V734" i="21"/>
  <c r="V735" i="21"/>
  <c r="V736" i="21"/>
  <c r="V737" i="21"/>
  <c r="V738" i="21"/>
  <c r="V739" i="21"/>
  <c r="V740" i="21"/>
  <c r="V741" i="21"/>
  <c r="V742" i="21"/>
  <c r="V743" i="21"/>
  <c r="V744" i="21"/>
  <c r="V745" i="21"/>
  <c r="V746" i="21"/>
  <c r="V747" i="21"/>
  <c r="V748" i="21"/>
  <c r="V749" i="21"/>
  <c r="V750" i="21"/>
  <c r="V751" i="21"/>
  <c r="V752" i="21"/>
  <c r="V753" i="21"/>
  <c r="V754" i="21"/>
  <c r="V755" i="21"/>
  <c r="V756" i="21"/>
  <c r="V757" i="21"/>
  <c r="V758" i="21"/>
  <c r="V759" i="21"/>
  <c r="V760" i="21"/>
  <c r="V761" i="21"/>
  <c r="V762" i="21"/>
  <c r="V763" i="21"/>
  <c r="V764" i="21"/>
  <c r="V765" i="21"/>
  <c r="V766" i="21"/>
  <c r="V767" i="21"/>
  <c r="V768" i="21"/>
  <c r="V769" i="21"/>
  <c r="V770" i="21"/>
  <c r="V771" i="21"/>
  <c r="V772" i="21"/>
  <c r="V773" i="21"/>
  <c r="V774" i="21"/>
  <c r="V775" i="21"/>
  <c r="V776" i="21"/>
  <c r="V777" i="21"/>
  <c r="V778" i="21"/>
  <c r="V779" i="21"/>
  <c r="V780" i="21"/>
  <c r="V781" i="21"/>
  <c r="V782" i="21"/>
  <c r="V783" i="21"/>
  <c r="V784" i="21"/>
  <c r="V785" i="21"/>
  <c r="V786" i="21"/>
  <c r="V787" i="21"/>
  <c r="V788" i="21"/>
  <c r="V789" i="21"/>
  <c r="V790" i="21"/>
  <c r="V791" i="21"/>
  <c r="V792" i="21"/>
  <c r="V793" i="21"/>
  <c r="V794" i="21"/>
  <c r="V795" i="21"/>
  <c r="V796" i="21"/>
  <c r="V797" i="21"/>
  <c r="V798" i="21"/>
  <c r="V799" i="21"/>
  <c r="V800" i="21"/>
  <c r="V801" i="21"/>
  <c r="V802" i="21"/>
  <c r="V803" i="21"/>
  <c r="V804" i="21"/>
  <c r="V805" i="21"/>
  <c r="V806" i="21"/>
  <c r="V807" i="21"/>
  <c r="V808" i="21"/>
  <c r="V809" i="21"/>
  <c r="V810" i="21"/>
  <c r="V811" i="21"/>
  <c r="V812" i="21"/>
  <c r="V813" i="21"/>
  <c r="V814" i="21"/>
  <c r="V815" i="21"/>
  <c r="V816" i="21"/>
  <c r="V817" i="21"/>
  <c r="V818" i="21"/>
  <c r="V819" i="21"/>
  <c r="V820" i="21"/>
  <c r="V821" i="21"/>
  <c r="V822" i="21"/>
  <c r="V823" i="21"/>
  <c r="V824" i="21"/>
  <c r="V825" i="21"/>
  <c r="V826" i="21"/>
  <c r="V827" i="21"/>
  <c r="V828" i="21"/>
  <c r="V829" i="21"/>
  <c r="V830" i="21"/>
  <c r="V831" i="21"/>
  <c r="V832" i="21"/>
  <c r="V833" i="21"/>
  <c r="V834" i="21"/>
  <c r="V835" i="21"/>
  <c r="V836" i="21"/>
  <c r="V837" i="21"/>
  <c r="V838" i="21"/>
  <c r="V839" i="21"/>
  <c r="V840" i="21"/>
  <c r="V841" i="21"/>
  <c r="V842" i="21"/>
  <c r="V843" i="21"/>
  <c r="V844" i="21"/>
  <c r="V845" i="21"/>
  <c r="V846" i="21"/>
  <c r="V847" i="21"/>
  <c r="V848" i="21"/>
  <c r="V849" i="21"/>
  <c r="V850" i="21"/>
  <c r="V851" i="21"/>
  <c r="V852" i="21"/>
  <c r="V853" i="21"/>
  <c r="V854" i="21"/>
  <c r="V855" i="21"/>
  <c r="V856" i="21"/>
  <c r="V857" i="21"/>
  <c r="V858" i="21"/>
  <c r="V859" i="21"/>
  <c r="V860" i="21"/>
  <c r="V861" i="21"/>
  <c r="V862" i="21"/>
  <c r="V863" i="21"/>
  <c r="V864" i="21"/>
  <c r="V865" i="21"/>
  <c r="V866" i="21"/>
  <c r="V867" i="21"/>
  <c r="V868" i="21"/>
  <c r="V869" i="21"/>
  <c r="V870" i="21"/>
  <c r="V871" i="21"/>
  <c r="V872" i="21"/>
  <c r="V873" i="21"/>
  <c r="V874" i="21"/>
  <c r="V875" i="21"/>
  <c r="V876" i="21"/>
  <c r="V877" i="21"/>
  <c r="V878" i="21"/>
  <c r="V879" i="21"/>
  <c r="V880" i="21"/>
  <c r="V881" i="21"/>
  <c r="V882" i="21"/>
  <c r="V883" i="21"/>
  <c r="V884" i="21"/>
  <c r="V885" i="21"/>
  <c r="V886" i="21"/>
  <c r="V887" i="21"/>
  <c r="V888" i="21"/>
  <c r="V889" i="21"/>
  <c r="V890" i="21"/>
  <c r="V891" i="21"/>
  <c r="V892" i="21"/>
  <c r="V893" i="21"/>
  <c r="V894" i="21"/>
  <c r="V895" i="21"/>
  <c r="V896" i="21"/>
  <c r="V897" i="21"/>
  <c r="V898" i="21"/>
  <c r="V899" i="21"/>
  <c r="V900" i="21"/>
  <c r="V901" i="21"/>
  <c r="V902" i="21"/>
  <c r="V903" i="21"/>
  <c r="V904" i="21"/>
  <c r="V905" i="21"/>
  <c r="V906" i="21"/>
  <c r="V907" i="21"/>
  <c r="V908" i="21"/>
  <c r="V909" i="21"/>
  <c r="V910" i="21"/>
  <c r="V911" i="21"/>
  <c r="V912" i="21"/>
  <c r="V913" i="21"/>
  <c r="V914" i="21"/>
  <c r="V915" i="21"/>
  <c r="V916" i="21"/>
  <c r="V917" i="21"/>
  <c r="V918" i="21"/>
  <c r="V919" i="21"/>
  <c r="V920" i="21"/>
  <c r="V921" i="21"/>
  <c r="V922" i="21"/>
  <c r="V923" i="21"/>
  <c r="V924" i="21"/>
  <c r="V925" i="21"/>
  <c r="V926" i="21"/>
  <c r="V927" i="21"/>
  <c r="V928" i="21"/>
  <c r="V929" i="21"/>
  <c r="V930" i="21"/>
  <c r="V931" i="21"/>
  <c r="V932" i="21"/>
  <c r="V933" i="21"/>
  <c r="V934" i="21"/>
  <c r="V935" i="21"/>
  <c r="V936" i="21"/>
  <c r="V937" i="21"/>
  <c r="V938" i="21"/>
  <c r="V939" i="21"/>
  <c r="V940" i="21"/>
  <c r="V941" i="21"/>
  <c r="V942" i="21"/>
  <c r="V943" i="21"/>
  <c r="V944" i="21"/>
  <c r="V945" i="21"/>
  <c r="V946" i="21"/>
  <c r="V947" i="21"/>
  <c r="V948" i="21"/>
  <c r="V949" i="21"/>
  <c r="V950" i="21"/>
  <c r="V951" i="21"/>
  <c r="V952" i="21"/>
  <c r="V953" i="21"/>
  <c r="V954" i="21"/>
  <c r="V955" i="21"/>
  <c r="V956" i="21"/>
  <c r="V957" i="21"/>
  <c r="V958" i="21"/>
  <c r="V959" i="21"/>
  <c r="V960" i="21"/>
  <c r="V961" i="21"/>
  <c r="V962" i="21"/>
  <c r="V963" i="21"/>
  <c r="V964" i="21"/>
  <c r="V965" i="21"/>
  <c r="V966" i="21"/>
  <c r="V967" i="21"/>
  <c r="V968" i="21"/>
  <c r="V969" i="21"/>
  <c r="V970" i="21"/>
  <c r="V971" i="21"/>
  <c r="V972" i="21"/>
  <c r="V973" i="21"/>
  <c r="V974" i="21"/>
  <c r="V975" i="21"/>
  <c r="V976" i="21"/>
  <c r="V977" i="21"/>
  <c r="V978" i="21"/>
  <c r="V979" i="21"/>
  <c r="V980" i="21"/>
  <c r="V981" i="21"/>
  <c r="V982" i="21"/>
  <c r="V983" i="21"/>
  <c r="V984" i="21"/>
  <c r="V985" i="21"/>
  <c r="V986" i="21"/>
  <c r="V987" i="21"/>
  <c r="V988" i="21"/>
  <c r="V989" i="21"/>
  <c r="V990" i="21"/>
  <c r="V991" i="21"/>
  <c r="V992" i="21"/>
  <c r="V993" i="21"/>
  <c r="V994" i="21"/>
  <c r="V995" i="21"/>
  <c r="V996" i="21"/>
  <c r="V997" i="21"/>
  <c r="V998" i="21"/>
  <c r="V999" i="21"/>
  <c r="V1000" i="21"/>
  <c r="V1001" i="21"/>
  <c r="V1002" i="21"/>
  <c r="V1003" i="21"/>
  <c r="V1004" i="21"/>
  <c r="V1005" i="21"/>
  <c r="V1006" i="21"/>
  <c r="V1007" i="21"/>
  <c r="V1008" i="21"/>
  <c r="V1009" i="21"/>
  <c r="V1010" i="21"/>
  <c r="V1011" i="21"/>
  <c r="V1012" i="21"/>
  <c r="V1013" i="21"/>
  <c r="V1014" i="21"/>
  <c r="V1015" i="21"/>
  <c r="V1016" i="21"/>
  <c r="V1017" i="21"/>
  <c r="V1018" i="21"/>
  <c r="V1019" i="21"/>
  <c r="V1020" i="21"/>
  <c r="V1021" i="21"/>
  <c r="V1022" i="21"/>
  <c r="V1023" i="21"/>
  <c r="V1024" i="21"/>
  <c r="V1025" i="21"/>
  <c r="V1026" i="21"/>
  <c r="V1027" i="21"/>
  <c r="V1028" i="21"/>
  <c r="V1029" i="21"/>
  <c r="V1030" i="21"/>
  <c r="V1031" i="21"/>
  <c r="V1032" i="21"/>
  <c r="V1033" i="21"/>
  <c r="V1034" i="21"/>
  <c r="V1035" i="21"/>
  <c r="V1036" i="21"/>
  <c r="V1037" i="21"/>
  <c r="V1038" i="21"/>
  <c r="V1039" i="21"/>
  <c r="V1040" i="21"/>
  <c r="V1041" i="21"/>
  <c r="V1042" i="21"/>
  <c r="V1043" i="21"/>
  <c r="V1044" i="21"/>
  <c r="V1045" i="21"/>
  <c r="V1046" i="21"/>
  <c r="V1047" i="21"/>
  <c r="V1048" i="21"/>
  <c r="V1049" i="21"/>
  <c r="V1050" i="21"/>
  <c r="V1051" i="21"/>
  <c r="V1052" i="21"/>
  <c r="V1053" i="21"/>
  <c r="V1054" i="21"/>
  <c r="V1055" i="21"/>
  <c r="V1056" i="21"/>
  <c r="V1057" i="21"/>
  <c r="V1058" i="21"/>
  <c r="V1059" i="21"/>
  <c r="V1060" i="21"/>
  <c r="V1061" i="21"/>
  <c r="V1062" i="21"/>
  <c r="V1063" i="21"/>
  <c r="V1064" i="21"/>
  <c r="V1065" i="21"/>
  <c r="V1066" i="21"/>
  <c r="V1067" i="21"/>
  <c r="V1068" i="21"/>
  <c r="V1069" i="21"/>
  <c r="V1070" i="21"/>
  <c r="V1071" i="21"/>
  <c r="V1072" i="21"/>
  <c r="V1073" i="21"/>
  <c r="V1074" i="21"/>
  <c r="V1075" i="21"/>
  <c r="V1076" i="21"/>
  <c r="V1077" i="21"/>
  <c r="V1078" i="21"/>
  <c r="V1079" i="21"/>
  <c r="V1080" i="21"/>
  <c r="V1081" i="21"/>
  <c r="V1082" i="21"/>
  <c r="V1083" i="21"/>
  <c r="V1084" i="21"/>
  <c r="V1085" i="21"/>
  <c r="V1086" i="21"/>
  <c r="V1087" i="21"/>
  <c r="V1088" i="21"/>
  <c r="V1089" i="21"/>
  <c r="V1090" i="21"/>
  <c r="V1091" i="21"/>
  <c r="V1092" i="21"/>
  <c r="V1093" i="21"/>
  <c r="V1094" i="21"/>
  <c r="V1095" i="21"/>
  <c r="V1096" i="21"/>
  <c r="V1097" i="21"/>
  <c r="V1098" i="21"/>
  <c r="V1099" i="21"/>
  <c r="V1100" i="21"/>
  <c r="V1101" i="21"/>
  <c r="V1102" i="21"/>
  <c r="V1103" i="21"/>
  <c r="V1104" i="21"/>
  <c r="V1105" i="21"/>
  <c r="V1106" i="21"/>
  <c r="V1107" i="21"/>
  <c r="V1108" i="21"/>
  <c r="V1109" i="21"/>
  <c r="V1110" i="21"/>
  <c r="V1111" i="21"/>
  <c r="V1112" i="21"/>
  <c r="V1113" i="21"/>
  <c r="V1114" i="21"/>
  <c r="V1115" i="21"/>
  <c r="V1116" i="21"/>
  <c r="V1117" i="21"/>
  <c r="V1118" i="21"/>
  <c r="V1119" i="21"/>
  <c r="V1120" i="21"/>
  <c r="V1121" i="21"/>
  <c r="V1122" i="21"/>
  <c r="V1123" i="21"/>
  <c r="V1124" i="21"/>
  <c r="V1125" i="21"/>
  <c r="V1126" i="21"/>
  <c r="V1127" i="21"/>
  <c r="V1128" i="21"/>
  <c r="V1129" i="21"/>
  <c r="V1130" i="21"/>
  <c r="V1131" i="21"/>
  <c r="V1132" i="21"/>
  <c r="V1133" i="21"/>
  <c r="V1134" i="21"/>
  <c r="V1135" i="21"/>
  <c r="V1136" i="21"/>
  <c r="V1137" i="21"/>
  <c r="V1138" i="21"/>
  <c r="V1139" i="21"/>
  <c r="V1140" i="21"/>
  <c r="V1141" i="21"/>
  <c r="V1142" i="21"/>
  <c r="V1143" i="21"/>
  <c r="V1144" i="21"/>
  <c r="V1145" i="21"/>
  <c r="V1146" i="21"/>
  <c r="V1147" i="21"/>
  <c r="V1148" i="21"/>
  <c r="V1149" i="21"/>
  <c r="V1150" i="21"/>
  <c r="V1151" i="21"/>
  <c r="V1152" i="21"/>
  <c r="V1153" i="21"/>
  <c r="V1154" i="21"/>
  <c r="V1155" i="21"/>
  <c r="V1156" i="21"/>
  <c r="V1157" i="21"/>
  <c r="V1158" i="21"/>
  <c r="V1159" i="21"/>
  <c r="V1160" i="21"/>
  <c r="V1161" i="21"/>
  <c r="V1162" i="21"/>
  <c r="V1163" i="21"/>
  <c r="V1164" i="21"/>
  <c r="V1165" i="21"/>
  <c r="V1166" i="21"/>
  <c r="V1167" i="21"/>
  <c r="V1168" i="21"/>
  <c r="V1169" i="21"/>
  <c r="V1170" i="21"/>
  <c r="V1171" i="21"/>
  <c r="V1172" i="21"/>
  <c r="V1173" i="21"/>
  <c r="V1174" i="21"/>
  <c r="V1175" i="21"/>
  <c r="V1176" i="21"/>
  <c r="V1177" i="21"/>
  <c r="V1178" i="21"/>
  <c r="V1179" i="21"/>
  <c r="V1180" i="21"/>
  <c r="V1181" i="21"/>
  <c r="V1182" i="21"/>
  <c r="V1183" i="21"/>
  <c r="V1184" i="21"/>
  <c r="V1185" i="21"/>
  <c r="V1186" i="21"/>
  <c r="V1187" i="21"/>
  <c r="V1188" i="21"/>
  <c r="V1189" i="21"/>
  <c r="V1190" i="21"/>
  <c r="V1191" i="21"/>
  <c r="V1192" i="21"/>
  <c r="V1193" i="21"/>
  <c r="V1194" i="21"/>
  <c r="W1194" i="21"/>
  <c r="U1194" i="21"/>
  <c r="T1194" i="21"/>
  <c r="S1194" i="21"/>
  <c r="R1194" i="21"/>
  <c r="Q1194" i="21"/>
  <c r="P1194" i="21"/>
  <c r="O1194" i="21"/>
  <c r="W1193" i="21"/>
  <c r="U1193" i="21"/>
  <c r="T1193" i="21"/>
  <c r="S1193" i="21"/>
  <c r="R1193" i="21"/>
  <c r="Q1193" i="21"/>
  <c r="P1193" i="21"/>
  <c r="O1193" i="21"/>
  <c r="W1192" i="21"/>
  <c r="U1192" i="21"/>
  <c r="T1192" i="21"/>
  <c r="S1192" i="21"/>
  <c r="R1192" i="21"/>
  <c r="Q1192" i="21"/>
  <c r="P1192" i="21"/>
  <c r="O1192" i="21"/>
  <c r="W1191" i="21"/>
  <c r="U1191" i="21"/>
  <c r="T1191" i="21"/>
  <c r="S1191" i="21"/>
  <c r="R1191" i="21"/>
  <c r="Q1191" i="21"/>
  <c r="P1191" i="21"/>
  <c r="O1191" i="21"/>
  <c r="W1190" i="21"/>
  <c r="U1190" i="21"/>
  <c r="T1190" i="21"/>
  <c r="S1190" i="21"/>
  <c r="R1190" i="21"/>
  <c r="Q1190" i="21"/>
  <c r="P1190" i="21"/>
  <c r="O1190" i="21"/>
  <c r="W1189" i="21"/>
  <c r="U1189" i="21"/>
  <c r="T1189" i="21"/>
  <c r="S1189" i="21"/>
  <c r="R1189" i="21"/>
  <c r="Q1189" i="21"/>
  <c r="P1189" i="21"/>
  <c r="O1189" i="21"/>
  <c r="W1188" i="21"/>
  <c r="U1188" i="21"/>
  <c r="T1188" i="21"/>
  <c r="S1188" i="21"/>
  <c r="R1188" i="21"/>
  <c r="Q1188" i="21"/>
  <c r="P1188" i="21"/>
  <c r="O1188" i="21"/>
  <c r="W1187" i="21"/>
  <c r="U1187" i="21"/>
  <c r="T1187" i="21"/>
  <c r="S1187" i="21"/>
  <c r="R1187" i="21"/>
  <c r="Q1187" i="21"/>
  <c r="P1187" i="21"/>
  <c r="O1187" i="21"/>
  <c r="W1186" i="21"/>
  <c r="U1186" i="21"/>
  <c r="T1186" i="21"/>
  <c r="S1186" i="21"/>
  <c r="R1186" i="21"/>
  <c r="Q1186" i="21"/>
  <c r="P1186" i="21"/>
  <c r="O1186" i="21"/>
  <c r="W1185" i="21"/>
  <c r="U1185" i="21"/>
  <c r="T1185" i="21"/>
  <c r="S1185" i="21"/>
  <c r="R1185" i="21"/>
  <c r="Q1185" i="21"/>
  <c r="P1185" i="21"/>
  <c r="O1185" i="21"/>
  <c r="W1184" i="21"/>
  <c r="U1184" i="21"/>
  <c r="T1184" i="21"/>
  <c r="S1184" i="21"/>
  <c r="R1184" i="21"/>
  <c r="Q1184" i="21"/>
  <c r="P1184" i="21"/>
  <c r="O1184" i="21"/>
  <c r="W1183" i="21"/>
  <c r="U1183" i="21"/>
  <c r="T1183" i="21"/>
  <c r="S1183" i="21"/>
  <c r="R1183" i="21"/>
  <c r="Q1183" i="21"/>
  <c r="P1183" i="21"/>
  <c r="O1183" i="21"/>
  <c r="W1182" i="21"/>
  <c r="U1182" i="21"/>
  <c r="T1182" i="21"/>
  <c r="S1182" i="21"/>
  <c r="R1182" i="21"/>
  <c r="Q1182" i="21"/>
  <c r="P1182" i="21"/>
  <c r="O1182" i="21"/>
  <c r="W1181" i="21"/>
  <c r="U1181" i="21"/>
  <c r="T1181" i="21"/>
  <c r="S1181" i="21"/>
  <c r="R1181" i="21"/>
  <c r="Q1181" i="21"/>
  <c r="P1181" i="21"/>
  <c r="O1181" i="21"/>
  <c r="W1180" i="21"/>
  <c r="U1180" i="21"/>
  <c r="T1180" i="21"/>
  <c r="S1180" i="21"/>
  <c r="R1180" i="21"/>
  <c r="Q1180" i="21"/>
  <c r="P1180" i="21"/>
  <c r="O1180" i="21"/>
  <c r="W1179" i="21"/>
  <c r="U1179" i="21"/>
  <c r="T1179" i="21"/>
  <c r="S1179" i="21"/>
  <c r="R1179" i="21"/>
  <c r="Q1179" i="21"/>
  <c r="P1179" i="21"/>
  <c r="O1179" i="21"/>
  <c r="W1178" i="21"/>
  <c r="U1178" i="21"/>
  <c r="T1178" i="21"/>
  <c r="S1178" i="21"/>
  <c r="R1178" i="21"/>
  <c r="Q1178" i="21"/>
  <c r="P1178" i="21"/>
  <c r="O1178" i="21"/>
  <c r="W1177" i="21"/>
  <c r="U1177" i="21"/>
  <c r="T1177" i="21"/>
  <c r="S1177" i="21"/>
  <c r="R1177" i="21"/>
  <c r="Q1177" i="21"/>
  <c r="P1177" i="21"/>
  <c r="O1177" i="21"/>
  <c r="W1176" i="21"/>
  <c r="U1176" i="21"/>
  <c r="T1176" i="21"/>
  <c r="S1176" i="21"/>
  <c r="R1176" i="21"/>
  <c r="Q1176" i="21"/>
  <c r="P1176" i="21"/>
  <c r="O1176" i="21"/>
  <c r="W1175" i="21"/>
  <c r="U1175" i="21"/>
  <c r="T1175" i="21"/>
  <c r="S1175" i="21"/>
  <c r="R1175" i="21"/>
  <c r="Q1175" i="21"/>
  <c r="P1175" i="21"/>
  <c r="O1175" i="21"/>
  <c r="W1174" i="21"/>
  <c r="U1174" i="21"/>
  <c r="T1174" i="21"/>
  <c r="S1174" i="21"/>
  <c r="R1174" i="21"/>
  <c r="Q1174" i="21"/>
  <c r="P1174" i="21"/>
  <c r="O1174" i="21"/>
  <c r="W1173" i="21"/>
  <c r="U1173" i="21"/>
  <c r="T1173" i="21"/>
  <c r="S1173" i="21"/>
  <c r="R1173" i="21"/>
  <c r="Q1173" i="21"/>
  <c r="P1173" i="21"/>
  <c r="O1173" i="21"/>
  <c r="W1172" i="21"/>
  <c r="U1172" i="21"/>
  <c r="T1172" i="21"/>
  <c r="S1172" i="21"/>
  <c r="R1172" i="21"/>
  <c r="Q1172" i="21"/>
  <c r="P1172" i="21"/>
  <c r="O1172" i="21"/>
  <c r="W1171" i="21"/>
  <c r="U1171" i="21"/>
  <c r="T1171" i="21"/>
  <c r="S1171" i="21"/>
  <c r="R1171" i="21"/>
  <c r="Q1171" i="21"/>
  <c r="P1171" i="21"/>
  <c r="O1171" i="21"/>
  <c r="W1170" i="21"/>
  <c r="U1170" i="21"/>
  <c r="T1170" i="21"/>
  <c r="S1170" i="21"/>
  <c r="R1170" i="21"/>
  <c r="Q1170" i="21"/>
  <c r="P1170" i="21"/>
  <c r="O1170" i="21"/>
  <c r="W1169" i="21"/>
  <c r="U1169" i="21"/>
  <c r="T1169" i="21"/>
  <c r="S1169" i="21"/>
  <c r="R1169" i="21"/>
  <c r="Q1169" i="21"/>
  <c r="P1169" i="21"/>
  <c r="O1169" i="21"/>
  <c r="W1168" i="21"/>
  <c r="U1168" i="21"/>
  <c r="T1168" i="21"/>
  <c r="S1168" i="21"/>
  <c r="R1168" i="21"/>
  <c r="Q1168" i="21"/>
  <c r="P1168" i="21"/>
  <c r="O1168" i="21"/>
  <c r="W1167" i="21"/>
  <c r="U1167" i="21"/>
  <c r="T1167" i="21"/>
  <c r="S1167" i="21"/>
  <c r="R1167" i="21"/>
  <c r="Q1167" i="21"/>
  <c r="P1167" i="21"/>
  <c r="O1167" i="21"/>
  <c r="W1166" i="21"/>
  <c r="U1166" i="21"/>
  <c r="T1166" i="21"/>
  <c r="S1166" i="21"/>
  <c r="R1166" i="21"/>
  <c r="Q1166" i="21"/>
  <c r="P1166" i="21"/>
  <c r="O1166" i="21"/>
  <c r="W1165" i="21"/>
  <c r="U1165" i="21"/>
  <c r="T1165" i="21"/>
  <c r="S1165" i="21"/>
  <c r="R1165" i="21"/>
  <c r="Q1165" i="21"/>
  <c r="P1165" i="21"/>
  <c r="O1165" i="21"/>
  <c r="W1164" i="21"/>
  <c r="U1164" i="21"/>
  <c r="T1164" i="21"/>
  <c r="S1164" i="21"/>
  <c r="R1164" i="21"/>
  <c r="Q1164" i="21"/>
  <c r="P1164" i="21"/>
  <c r="O1164" i="21"/>
  <c r="W1163" i="21"/>
  <c r="U1163" i="21"/>
  <c r="T1163" i="21"/>
  <c r="S1163" i="21"/>
  <c r="R1163" i="21"/>
  <c r="Q1163" i="21"/>
  <c r="P1163" i="21"/>
  <c r="O1163" i="21"/>
  <c r="W1162" i="21"/>
  <c r="U1162" i="21"/>
  <c r="T1162" i="21"/>
  <c r="S1162" i="21"/>
  <c r="R1162" i="21"/>
  <c r="Q1162" i="21"/>
  <c r="P1162" i="21"/>
  <c r="O1162" i="21"/>
  <c r="W1161" i="21"/>
  <c r="U1161" i="21"/>
  <c r="T1161" i="21"/>
  <c r="S1161" i="21"/>
  <c r="R1161" i="21"/>
  <c r="Q1161" i="21"/>
  <c r="P1161" i="21"/>
  <c r="O1161" i="21"/>
  <c r="W1160" i="21"/>
  <c r="U1160" i="21"/>
  <c r="T1160" i="21"/>
  <c r="S1160" i="21"/>
  <c r="R1160" i="21"/>
  <c r="Q1160" i="21"/>
  <c r="P1160" i="21"/>
  <c r="O1160" i="21"/>
  <c r="W1159" i="21"/>
  <c r="U1159" i="21"/>
  <c r="T1159" i="21"/>
  <c r="S1159" i="21"/>
  <c r="R1159" i="21"/>
  <c r="Q1159" i="21"/>
  <c r="P1159" i="21"/>
  <c r="O1159" i="21"/>
  <c r="W1158" i="21"/>
  <c r="U1158" i="21"/>
  <c r="T1158" i="21"/>
  <c r="S1158" i="21"/>
  <c r="R1158" i="21"/>
  <c r="Q1158" i="21"/>
  <c r="P1158" i="21"/>
  <c r="O1158" i="21"/>
  <c r="W1157" i="21"/>
  <c r="U1157" i="21"/>
  <c r="T1157" i="21"/>
  <c r="S1157" i="21"/>
  <c r="R1157" i="21"/>
  <c r="Q1157" i="21"/>
  <c r="P1157" i="21"/>
  <c r="O1157" i="21"/>
  <c r="W1156" i="21"/>
  <c r="U1156" i="21"/>
  <c r="T1156" i="21"/>
  <c r="S1156" i="21"/>
  <c r="R1156" i="21"/>
  <c r="Q1156" i="21"/>
  <c r="P1156" i="21"/>
  <c r="O1156" i="21"/>
  <c r="W1155" i="21"/>
  <c r="U1155" i="21"/>
  <c r="T1155" i="21"/>
  <c r="S1155" i="21"/>
  <c r="R1155" i="21"/>
  <c r="Q1155" i="21"/>
  <c r="P1155" i="21"/>
  <c r="O1155" i="21"/>
  <c r="W1154" i="21"/>
  <c r="U1154" i="21"/>
  <c r="T1154" i="21"/>
  <c r="S1154" i="21"/>
  <c r="R1154" i="21"/>
  <c r="Q1154" i="21"/>
  <c r="P1154" i="21"/>
  <c r="O1154" i="21"/>
  <c r="W1153" i="21"/>
  <c r="U1153" i="21"/>
  <c r="T1153" i="21"/>
  <c r="S1153" i="21"/>
  <c r="R1153" i="21"/>
  <c r="Q1153" i="21"/>
  <c r="P1153" i="21"/>
  <c r="O1153" i="21"/>
  <c r="W1152" i="21"/>
  <c r="U1152" i="21"/>
  <c r="T1152" i="21"/>
  <c r="S1152" i="21"/>
  <c r="R1152" i="21"/>
  <c r="Q1152" i="21"/>
  <c r="P1152" i="21"/>
  <c r="O1152" i="21"/>
  <c r="W1151" i="21"/>
  <c r="U1151" i="21"/>
  <c r="T1151" i="21"/>
  <c r="S1151" i="21"/>
  <c r="R1151" i="21"/>
  <c r="Q1151" i="21"/>
  <c r="P1151" i="21"/>
  <c r="O1151" i="21"/>
  <c r="W1150" i="21"/>
  <c r="U1150" i="21"/>
  <c r="T1150" i="21"/>
  <c r="S1150" i="21"/>
  <c r="R1150" i="21"/>
  <c r="Q1150" i="21"/>
  <c r="P1150" i="21"/>
  <c r="O1150" i="21"/>
  <c r="W1149" i="21"/>
  <c r="U1149" i="21"/>
  <c r="T1149" i="21"/>
  <c r="S1149" i="21"/>
  <c r="R1149" i="21"/>
  <c r="Q1149" i="21"/>
  <c r="P1149" i="21"/>
  <c r="O1149" i="21"/>
  <c r="W1148" i="21"/>
  <c r="U1148" i="21"/>
  <c r="T1148" i="21"/>
  <c r="S1148" i="21"/>
  <c r="R1148" i="21"/>
  <c r="Q1148" i="21"/>
  <c r="P1148" i="21"/>
  <c r="O1148" i="21"/>
  <c r="W1147" i="21"/>
  <c r="U1147" i="21"/>
  <c r="T1147" i="21"/>
  <c r="S1147" i="21"/>
  <c r="R1147" i="21"/>
  <c r="Q1147" i="21"/>
  <c r="P1147" i="21"/>
  <c r="O1147" i="21"/>
  <c r="W1146" i="21"/>
  <c r="U1146" i="21"/>
  <c r="T1146" i="21"/>
  <c r="S1146" i="21"/>
  <c r="R1146" i="21"/>
  <c r="Q1146" i="21"/>
  <c r="P1146" i="21"/>
  <c r="O1146" i="21"/>
  <c r="W1145" i="21"/>
  <c r="U1145" i="21"/>
  <c r="T1145" i="21"/>
  <c r="S1145" i="21"/>
  <c r="R1145" i="21"/>
  <c r="Q1145" i="21"/>
  <c r="P1145" i="21"/>
  <c r="O1145" i="21"/>
  <c r="W1144" i="21"/>
  <c r="U1144" i="21"/>
  <c r="T1144" i="21"/>
  <c r="S1144" i="21"/>
  <c r="R1144" i="21"/>
  <c r="Q1144" i="21"/>
  <c r="P1144" i="21"/>
  <c r="O1144" i="21"/>
  <c r="W1143" i="21"/>
  <c r="U1143" i="21"/>
  <c r="T1143" i="21"/>
  <c r="S1143" i="21"/>
  <c r="R1143" i="21"/>
  <c r="Q1143" i="21"/>
  <c r="P1143" i="21"/>
  <c r="O1143" i="21"/>
  <c r="W1142" i="21"/>
  <c r="U1142" i="21"/>
  <c r="T1142" i="21"/>
  <c r="S1142" i="21"/>
  <c r="R1142" i="21"/>
  <c r="Q1142" i="21"/>
  <c r="P1142" i="21"/>
  <c r="O1142" i="21"/>
  <c r="W1141" i="21"/>
  <c r="U1141" i="21"/>
  <c r="T1141" i="21"/>
  <c r="S1141" i="21"/>
  <c r="R1141" i="21"/>
  <c r="Q1141" i="21"/>
  <c r="P1141" i="21"/>
  <c r="O1141" i="21"/>
  <c r="W1140" i="21"/>
  <c r="U1140" i="21"/>
  <c r="T1140" i="21"/>
  <c r="S1140" i="21"/>
  <c r="R1140" i="21"/>
  <c r="Q1140" i="21"/>
  <c r="P1140" i="21"/>
  <c r="O1140" i="21"/>
  <c r="W1139" i="21"/>
  <c r="U1139" i="21"/>
  <c r="T1139" i="21"/>
  <c r="S1139" i="21"/>
  <c r="R1139" i="21"/>
  <c r="Q1139" i="21"/>
  <c r="P1139" i="21"/>
  <c r="O1139" i="21"/>
  <c r="W1138" i="21"/>
  <c r="U1138" i="21"/>
  <c r="T1138" i="21"/>
  <c r="S1138" i="21"/>
  <c r="R1138" i="21"/>
  <c r="Q1138" i="21"/>
  <c r="P1138" i="21"/>
  <c r="O1138" i="21"/>
  <c r="W1137" i="21"/>
  <c r="U1137" i="21"/>
  <c r="T1137" i="21"/>
  <c r="S1137" i="21"/>
  <c r="R1137" i="21"/>
  <c r="Q1137" i="21"/>
  <c r="P1137" i="21"/>
  <c r="O1137" i="21"/>
  <c r="W1136" i="21"/>
  <c r="U1136" i="21"/>
  <c r="T1136" i="21"/>
  <c r="S1136" i="21"/>
  <c r="R1136" i="21"/>
  <c r="Q1136" i="21"/>
  <c r="P1136" i="21"/>
  <c r="O1136" i="21"/>
  <c r="W1135" i="21"/>
  <c r="U1135" i="21"/>
  <c r="T1135" i="21"/>
  <c r="S1135" i="21"/>
  <c r="R1135" i="21"/>
  <c r="Q1135" i="21"/>
  <c r="P1135" i="21"/>
  <c r="O1135" i="21"/>
  <c r="W1134" i="21"/>
  <c r="U1134" i="21"/>
  <c r="T1134" i="21"/>
  <c r="S1134" i="21"/>
  <c r="R1134" i="21"/>
  <c r="Q1134" i="21"/>
  <c r="P1134" i="21"/>
  <c r="O1134" i="21"/>
  <c r="W1133" i="21"/>
  <c r="U1133" i="21"/>
  <c r="T1133" i="21"/>
  <c r="S1133" i="21"/>
  <c r="R1133" i="21"/>
  <c r="Q1133" i="21"/>
  <c r="P1133" i="21"/>
  <c r="O1133" i="21"/>
  <c r="W1132" i="21"/>
  <c r="U1132" i="21"/>
  <c r="T1132" i="21"/>
  <c r="S1132" i="21"/>
  <c r="R1132" i="21"/>
  <c r="Q1132" i="21"/>
  <c r="P1132" i="21"/>
  <c r="O1132" i="21"/>
  <c r="W1131" i="21"/>
  <c r="U1131" i="21"/>
  <c r="T1131" i="21"/>
  <c r="S1131" i="21"/>
  <c r="R1131" i="21"/>
  <c r="Q1131" i="21"/>
  <c r="P1131" i="21"/>
  <c r="O1131" i="21"/>
  <c r="W1130" i="21"/>
  <c r="U1130" i="21"/>
  <c r="T1130" i="21"/>
  <c r="S1130" i="21"/>
  <c r="R1130" i="21"/>
  <c r="Q1130" i="21"/>
  <c r="P1130" i="21"/>
  <c r="O1130" i="21"/>
  <c r="W1129" i="21"/>
  <c r="U1129" i="21"/>
  <c r="T1129" i="21"/>
  <c r="S1129" i="21"/>
  <c r="R1129" i="21"/>
  <c r="Q1129" i="21"/>
  <c r="P1129" i="21"/>
  <c r="O1129" i="21"/>
  <c r="W1128" i="21"/>
  <c r="U1128" i="21"/>
  <c r="T1128" i="21"/>
  <c r="S1128" i="21"/>
  <c r="R1128" i="21"/>
  <c r="Q1128" i="21"/>
  <c r="P1128" i="21"/>
  <c r="O1128" i="21"/>
  <c r="W1127" i="21"/>
  <c r="U1127" i="21"/>
  <c r="T1127" i="21"/>
  <c r="S1127" i="21"/>
  <c r="R1127" i="21"/>
  <c r="Q1127" i="21"/>
  <c r="P1127" i="21"/>
  <c r="O1127" i="21"/>
  <c r="W1126" i="21"/>
  <c r="U1126" i="21"/>
  <c r="T1126" i="21"/>
  <c r="S1126" i="21"/>
  <c r="R1126" i="21"/>
  <c r="Q1126" i="21"/>
  <c r="P1126" i="21"/>
  <c r="O1126" i="21"/>
  <c r="W1125" i="21"/>
  <c r="U1125" i="21"/>
  <c r="T1125" i="21"/>
  <c r="S1125" i="21"/>
  <c r="R1125" i="21"/>
  <c r="Q1125" i="21"/>
  <c r="P1125" i="21"/>
  <c r="O1125" i="21"/>
  <c r="W1124" i="21"/>
  <c r="U1124" i="21"/>
  <c r="T1124" i="21"/>
  <c r="S1124" i="21"/>
  <c r="R1124" i="21"/>
  <c r="Q1124" i="21"/>
  <c r="P1124" i="21"/>
  <c r="O1124" i="21"/>
  <c r="W1123" i="21"/>
  <c r="U1123" i="21"/>
  <c r="T1123" i="21"/>
  <c r="S1123" i="21"/>
  <c r="R1123" i="21"/>
  <c r="Q1123" i="21"/>
  <c r="P1123" i="21"/>
  <c r="O1123" i="21"/>
  <c r="W1122" i="21"/>
  <c r="U1122" i="21"/>
  <c r="T1122" i="21"/>
  <c r="S1122" i="21"/>
  <c r="R1122" i="21"/>
  <c r="Q1122" i="21"/>
  <c r="P1122" i="21"/>
  <c r="O1122" i="21"/>
  <c r="W1121" i="21"/>
  <c r="U1121" i="21"/>
  <c r="T1121" i="21"/>
  <c r="S1121" i="21"/>
  <c r="R1121" i="21"/>
  <c r="Q1121" i="21"/>
  <c r="P1121" i="21"/>
  <c r="O1121" i="21"/>
  <c r="W1120" i="21"/>
  <c r="U1120" i="21"/>
  <c r="T1120" i="21"/>
  <c r="S1120" i="21"/>
  <c r="R1120" i="21"/>
  <c r="Q1120" i="21"/>
  <c r="P1120" i="21"/>
  <c r="O1120" i="21"/>
  <c r="W1119" i="21"/>
  <c r="U1119" i="21"/>
  <c r="T1119" i="21"/>
  <c r="S1119" i="21"/>
  <c r="R1119" i="21"/>
  <c r="Q1119" i="21"/>
  <c r="P1119" i="21"/>
  <c r="O1119" i="21"/>
  <c r="W1118" i="21"/>
  <c r="U1118" i="21"/>
  <c r="T1118" i="21"/>
  <c r="S1118" i="21"/>
  <c r="R1118" i="21"/>
  <c r="Q1118" i="21"/>
  <c r="P1118" i="21"/>
  <c r="O1118" i="21"/>
  <c r="W1117" i="21"/>
  <c r="U1117" i="21"/>
  <c r="T1117" i="21"/>
  <c r="S1117" i="21"/>
  <c r="R1117" i="21"/>
  <c r="Q1117" i="21"/>
  <c r="P1117" i="21"/>
  <c r="O1117" i="21"/>
  <c r="W1116" i="21"/>
  <c r="U1116" i="21"/>
  <c r="T1116" i="21"/>
  <c r="S1116" i="21"/>
  <c r="R1116" i="21"/>
  <c r="Q1116" i="21"/>
  <c r="P1116" i="21"/>
  <c r="O1116" i="21"/>
  <c r="W1115" i="21"/>
  <c r="U1115" i="21"/>
  <c r="T1115" i="21"/>
  <c r="S1115" i="21"/>
  <c r="R1115" i="21"/>
  <c r="Q1115" i="21"/>
  <c r="P1115" i="21"/>
  <c r="O1115" i="21"/>
  <c r="W1114" i="21"/>
  <c r="U1114" i="21"/>
  <c r="T1114" i="21"/>
  <c r="S1114" i="21"/>
  <c r="R1114" i="21"/>
  <c r="Q1114" i="21"/>
  <c r="P1114" i="21"/>
  <c r="O1114" i="21"/>
  <c r="W1113" i="21"/>
  <c r="U1113" i="21"/>
  <c r="T1113" i="21"/>
  <c r="S1113" i="21"/>
  <c r="R1113" i="21"/>
  <c r="Q1113" i="21"/>
  <c r="P1113" i="21"/>
  <c r="O1113" i="21"/>
  <c r="W1112" i="21"/>
  <c r="U1112" i="21"/>
  <c r="T1112" i="21"/>
  <c r="S1112" i="21"/>
  <c r="R1112" i="21"/>
  <c r="Q1112" i="21"/>
  <c r="P1112" i="21"/>
  <c r="O1112" i="21"/>
  <c r="W1111" i="21"/>
  <c r="U1111" i="21"/>
  <c r="T1111" i="21"/>
  <c r="S1111" i="21"/>
  <c r="R1111" i="21"/>
  <c r="Q1111" i="21"/>
  <c r="P1111" i="21"/>
  <c r="O1111" i="21"/>
  <c r="W1110" i="21"/>
  <c r="U1110" i="21"/>
  <c r="T1110" i="21"/>
  <c r="S1110" i="21"/>
  <c r="R1110" i="21"/>
  <c r="Q1110" i="21"/>
  <c r="P1110" i="21"/>
  <c r="O1110" i="21"/>
  <c r="W1109" i="21"/>
  <c r="U1109" i="21"/>
  <c r="T1109" i="21"/>
  <c r="S1109" i="21"/>
  <c r="R1109" i="21"/>
  <c r="Q1109" i="21"/>
  <c r="P1109" i="21"/>
  <c r="O1109" i="21"/>
  <c r="W1108" i="21"/>
  <c r="U1108" i="21"/>
  <c r="T1108" i="21"/>
  <c r="S1108" i="21"/>
  <c r="R1108" i="21"/>
  <c r="Q1108" i="21"/>
  <c r="P1108" i="21"/>
  <c r="O1108" i="21"/>
  <c r="W1107" i="21"/>
  <c r="U1107" i="21"/>
  <c r="T1107" i="21"/>
  <c r="S1107" i="21"/>
  <c r="R1107" i="21"/>
  <c r="Q1107" i="21"/>
  <c r="P1107" i="21"/>
  <c r="O1107" i="21"/>
  <c r="W1106" i="21"/>
  <c r="U1106" i="21"/>
  <c r="T1106" i="21"/>
  <c r="S1106" i="21"/>
  <c r="R1106" i="21"/>
  <c r="Q1106" i="21"/>
  <c r="P1106" i="21"/>
  <c r="O1106" i="21"/>
  <c r="W1105" i="21"/>
  <c r="U1105" i="21"/>
  <c r="T1105" i="21"/>
  <c r="S1105" i="21"/>
  <c r="R1105" i="21"/>
  <c r="Q1105" i="21"/>
  <c r="P1105" i="21"/>
  <c r="O1105" i="21"/>
  <c r="W1104" i="21"/>
  <c r="U1104" i="21"/>
  <c r="T1104" i="21"/>
  <c r="S1104" i="21"/>
  <c r="R1104" i="21"/>
  <c r="Q1104" i="21"/>
  <c r="P1104" i="21"/>
  <c r="O1104" i="21"/>
  <c r="W1103" i="21"/>
  <c r="U1103" i="21"/>
  <c r="T1103" i="21"/>
  <c r="S1103" i="21"/>
  <c r="R1103" i="21"/>
  <c r="Q1103" i="21"/>
  <c r="P1103" i="21"/>
  <c r="O1103" i="21"/>
  <c r="W1102" i="21"/>
  <c r="U1102" i="21"/>
  <c r="T1102" i="21"/>
  <c r="S1102" i="21"/>
  <c r="R1102" i="21"/>
  <c r="Q1102" i="21"/>
  <c r="P1102" i="21"/>
  <c r="O1102" i="21"/>
  <c r="W1101" i="21"/>
  <c r="U1101" i="21"/>
  <c r="T1101" i="21"/>
  <c r="S1101" i="21"/>
  <c r="R1101" i="21"/>
  <c r="Q1101" i="21"/>
  <c r="P1101" i="21"/>
  <c r="O1101" i="21"/>
  <c r="W1100" i="21"/>
  <c r="U1100" i="21"/>
  <c r="T1100" i="21"/>
  <c r="S1100" i="21"/>
  <c r="R1100" i="21"/>
  <c r="Q1100" i="21"/>
  <c r="P1100" i="21"/>
  <c r="O1100" i="21"/>
  <c r="W1099" i="21"/>
  <c r="U1099" i="21"/>
  <c r="T1099" i="21"/>
  <c r="S1099" i="21"/>
  <c r="R1099" i="21"/>
  <c r="Q1099" i="21"/>
  <c r="P1099" i="21"/>
  <c r="O1099" i="21"/>
  <c r="W1098" i="21"/>
  <c r="U1098" i="21"/>
  <c r="T1098" i="21"/>
  <c r="S1098" i="21"/>
  <c r="R1098" i="21"/>
  <c r="Q1098" i="21"/>
  <c r="P1098" i="21"/>
  <c r="O1098" i="21"/>
  <c r="W1097" i="21"/>
  <c r="U1097" i="21"/>
  <c r="T1097" i="21"/>
  <c r="S1097" i="21"/>
  <c r="R1097" i="21"/>
  <c r="Q1097" i="21"/>
  <c r="P1097" i="21"/>
  <c r="O1097" i="21"/>
  <c r="W1096" i="21"/>
  <c r="U1096" i="21"/>
  <c r="T1096" i="21"/>
  <c r="S1096" i="21"/>
  <c r="R1096" i="21"/>
  <c r="Q1096" i="21"/>
  <c r="P1096" i="21"/>
  <c r="O1096" i="21"/>
  <c r="W1095" i="21"/>
  <c r="U1095" i="21"/>
  <c r="T1095" i="21"/>
  <c r="S1095" i="21"/>
  <c r="R1095" i="21"/>
  <c r="Q1095" i="21"/>
  <c r="P1095" i="21"/>
  <c r="O1095" i="21"/>
  <c r="W1094" i="21"/>
  <c r="U1094" i="21"/>
  <c r="T1094" i="21"/>
  <c r="S1094" i="21"/>
  <c r="R1094" i="21"/>
  <c r="Q1094" i="21"/>
  <c r="P1094" i="21"/>
  <c r="O1094" i="21"/>
  <c r="W1093" i="21"/>
  <c r="U1093" i="21"/>
  <c r="T1093" i="21"/>
  <c r="S1093" i="21"/>
  <c r="R1093" i="21"/>
  <c r="Q1093" i="21"/>
  <c r="P1093" i="21"/>
  <c r="O1093" i="21"/>
  <c r="W1092" i="21"/>
  <c r="U1092" i="21"/>
  <c r="T1092" i="21"/>
  <c r="S1092" i="21"/>
  <c r="R1092" i="21"/>
  <c r="Q1092" i="21"/>
  <c r="P1092" i="21"/>
  <c r="O1092" i="21"/>
  <c r="W1091" i="21"/>
  <c r="U1091" i="21"/>
  <c r="T1091" i="21"/>
  <c r="S1091" i="21"/>
  <c r="R1091" i="21"/>
  <c r="Q1091" i="21"/>
  <c r="P1091" i="21"/>
  <c r="O1091" i="21"/>
  <c r="W1090" i="21"/>
  <c r="U1090" i="21"/>
  <c r="T1090" i="21"/>
  <c r="S1090" i="21"/>
  <c r="R1090" i="21"/>
  <c r="Q1090" i="21"/>
  <c r="P1090" i="21"/>
  <c r="O1090" i="21"/>
  <c r="W1089" i="21"/>
  <c r="U1089" i="21"/>
  <c r="T1089" i="21"/>
  <c r="S1089" i="21"/>
  <c r="R1089" i="21"/>
  <c r="Q1089" i="21"/>
  <c r="P1089" i="21"/>
  <c r="O1089" i="21"/>
  <c r="W1088" i="21"/>
  <c r="U1088" i="21"/>
  <c r="T1088" i="21"/>
  <c r="S1088" i="21"/>
  <c r="R1088" i="21"/>
  <c r="Q1088" i="21"/>
  <c r="P1088" i="21"/>
  <c r="O1088" i="21"/>
  <c r="W1087" i="21"/>
  <c r="U1087" i="21"/>
  <c r="T1087" i="21"/>
  <c r="S1087" i="21"/>
  <c r="R1087" i="21"/>
  <c r="Q1087" i="21"/>
  <c r="P1087" i="21"/>
  <c r="O1087" i="21"/>
  <c r="W1086" i="21"/>
  <c r="U1086" i="21"/>
  <c r="T1086" i="21"/>
  <c r="S1086" i="21"/>
  <c r="R1086" i="21"/>
  <c r="Q1086" i="21"/>
  <c r="P1086" i="21"/>
  <c r="O1086" i="21"/>
  <c r="W1085" i="21"/>
  <c r="U1085" i="21"/>
  <c r="T1085" i="21"/>
  <c r="S1085" i="21"/>
  <c r="R1085" i="21"/>
  <c r="Q1085" i="21"/>
  <c r="P1085" i="21"/>
  <c r="O1085" i="21"/>
  <c r="W1084" i="21"/>
  <c r="U1084" i="21"/>
  <c r="T1084" i="21"/>
  <c r="S1084" i="21"/>
  <c r="R1084" i="21"/>
  <c r="Q1084" i="21"/>
  <c r="P1084" i="21"/>
  <c r="O1084" i="21"/>
  <c r="W1083" i="21"/>
  <c r="U1083" i="21"/>
  <c r="T1083" i="21"/>
  <c r="S1083" i="21"/>
  <c r="R1083" i="21"/>
  <c r="Q1083" i="21"/>
  <c r="P1083" i="21"/>
  <c r="O1083" i="21"/>
  <c r="W1082" i="21"/>
  <c r="U1082" i="21"/>
  <c r="T1082" i="21"/>
  <c r="S1082" i="21"/>
  <c r="R1082" i="21"/>
  <c r="Q1082" i="21"/>
  <c r="P1082" i="21"/>
  <c r="O1082" i="21"/>
  <c r="W1081" i="21"/>
  <c r="U1081" i="21"/>
  <c r="T1081" i="21"/>
  <c r="S1081" i="21"/>
  <c r="R1081" i="21"/>
  <c r="Q1081" i="21"/>
  <c r="P1081" i="21"/>
  <c r="O1081" i="21"/>
  <c r="W1080" i="21"/>
  <c r="U1080" i="21"/>
  <c r="T1080" i="21"/>
  <c r="S1080" i="21"/>
  <c r="R1080" i="21"/>
  <c r="Q1080" i="21"/>
  <c r="P1080" i="21"/>
  <c r="O1080" i="21"/>
  <c r="W1079" i="21"/>
  <c r="U1079" i="21"/>
  <c r="T1079" i="21"/>
  <c r="S1079" i="21"/>
  <c r="R1079" i="21"/>
  <c r="Q1079" i="21"/>
  <c r="P1079" i="21"/>
  <c r="O1079" i="21"/>
  <c r="W1078" i="21"/>
  <c r="U1078" i="21"/>
  <c r="T1078" i="21"/>
  <c r="S1078" i="21"/>
  <c r="R1078" i="21"/>
  <c r="Q1078" i="21"/>
  <c r="P1078" i="21"/>
  <c r="O1078" i="21"/>
  <c r="W1077" i="21"/>
  <c r="U1077" i="21"/>
  <c r="T1077" i="21"/>
  <c r="S1077" i="21"/>
  <c r="R1077" i="21"/>
  <c r="Q1077" i="21"/>
  <c r="P1077" i="21"/>
  <c r="O1077" i="21"/>
  <c r="W1076" i="21"/>
  <c r="U1076" i="21"/>
  <c r="T1076" i="21"/>
  <c r="S1076" i="21"/>
  <c r="R1076" i="21"/>
  <c r="Q1076" i="21"/>
  <c r="P1076" i="21"/>
  <c r="O1076" i="21"/>
  <c r="W1075" i="21"/>
  <c r="U1075" i="21"/>
  <c r="T1075" i="21"/>
  <c r="S1075" i="21"/>
  <c r="R1075" i="21"/>
  <c r="Q1075" i="21"/>
  <c r="P1075" i="21"/>
  <c r="O1075" i="21"/>
  <c r="W1074" i="21"/>
  <c r="U1074" i="21"/>
  <c r="T1074" i="21"/>
  <c r="S1074" i="21"/>
  <c r="R1074" i="21"/>
  <c r="Q1074" i="21"/>
  <c r="P1074" i="21"/>
  <c r="O1074" i="21"/>
  <c r="W1073" i="21"/>
  <c r="U1073" i="21"/>
  <c r="T1073" i="21"/>
  <c r="S1073" i="21"/>
  <c r="R1073" i="21"/>
  <c r="Q1073" i="21"/>
  <c r="P1073" i="21"/>
  <c r="O1073" i="21"/>
  <c r="W1072" i="21"/>
  <c r="U1072" i="21"/>
  <c r="T1072" i="21"/>
  <c r="S1072" i="21"/>
  <c r="R1072" i="21"/>
  <c r="Q1072" i="21"/>
  <c r="P1072" i="21"/>
  <c r="O1072" i="21"/>
  <c r="W1071" i="21"/>
  <c r="U1071" i="21"/>
  <c r="T1071" i="21"/>
  <c r="S1071" i="21"/>
  <c r="R1071" i="21"/>
  <c r="Q1071" i="21"/>
  <c r="P1071" i="21"/>
  <c r="O1071" i="21"/>
  <c r="W1070" i="21"/>
  <c r="U1070" i="21"/>
  <c r="T1070" i="21"/>
  <c r="S1070" i="21"/>
  <c r="R1070" i="21"/>
  <c r="Q1070" i="21"/>
  <c r="P1070" i="21"/>
  <c r="O1070" i="21"/>
  <c r="W1069" i="21"/>
  <c r="U1069" i="21"/>
  <c r="T1069" i="21"/>
  <c r="S1069" i="21"/>
  <c r="R1069" i="21"/>
  <c r="Q1069" i="21"/>
  <c r="P1069" i="21"/>
  <c r="O1069" i="21"/>
  <c r="W1068" i="21"/>
  <c r="U1068" i="21"/>
  <c r="T1068" i="21"/>
  <c r="S1068" i="21"/>
  <c r="R1068" i="21"/>
  <c r="Q1068" i="21"/>
  <c r="P1068" i="21"/>
  <c r="O1068" i="21"/>
  <c r="W1067" i="21"/>
  <c r="U1067" i="21"/>
  <c r="T1067" i="21"/>
  <c r="S1067" i="21"/>
  <c r="R1067" i="21"/>
  <c r="Q1067" i="21"/>
  <c r="P1067" i="21"/>
  <c r="O1067" i="21"/>
  <c r="W1066" i="21"/>
  <c r="U1066" i="21"/>
  <c r="T1066" i="21"/>
  <c r="S1066" i="21"/>
  <c r="R1066" i="21"/>
  <c r="Q1066" i="21"/>
  <c r="P1066" i="21"/>
  <c r="O1066" i="21"/>
  <c r="W1065" i="21"/>
  <c r="U1065" i="21"/>
  <c r="T1065" i="21"/>
  <c r="S1065" i="21"/>
  <c r="R1065" i="21"/>
  <c r="Q1065" i="21"/>
  <c r="P1065" i="21"/>
  <c r="O1065" i="21"/>
  <c r="W1064" i="21"/>
  <c r="U1064" i="21"/>
  <c r="T1064" i="21"/>
  <c r="S1064" i="21"/>
  <c r="R1064" i="21"/>
  <c r="Q1064" i="21"/>
  <c r="P1064" i="21"/>
  <c r="O1064" i="21"/>
  <c r="W1063" i="21"/>
  <c r="U1063" i="21"/>
  <c r="T1063" i="21"/>
  <c r="S1063" i="21"/>
  <c r="R1063" i="21"/>
  <c r="Q1063" i="21"/>
  <c r="P1063" i="21"/>
  <c r="O1063" i="21"/>
  <c r="W1062" i="21"/>
  <c r="U1062" i="21"/>
  <c r="T1062" i="21"/>
  <c r="S1062" i="21"/>
  <c r="R1062" i="21"/>
  <c r="Q1062" i="21"/>
  <c r="P1062" i="21"/>
  <c r="O1062" i="21"/>
  <c r="W1061" i="21"/>
  <c r="U1061" i="21"/>
  <c r="T1061" i="21"/>
  <c r="S1061" i="21"/>
  <c r="R1061" i="21"/>
  <c r="Q1061" i="21"/>
  <c r="P1061" i="21"/>
  <c r="O1061" i="21"/>
  <c r="W1060" i="21"/>
  <c r="U1060" i="21"/>
  <c r="T1060" i="21"/>
  <c r="S1060" i="21"/>
  <c r="R1060" i="21"/>
  <c r="Q1060" i="21"/>
  <c r="P1060" i="21"/>
  <c r="O1060" i="21"/>
  <c r="W1059" i="21"/>
  <c r="U1059" i="21"/>
  <c r="T1059" i="21"/>
  <c r="S1059" i="21"/>
  <c r="R1059" i="21"/>
  <c r="Q1059" i="21"/>
  <c r="P1059" i="21"/>
  <c r="O1059" i="21"/>
  <c r="W1058" i="21"/>
  <c r="U1058" i="21"/>
  <c r="T1058" i="21"/>
  <c r="S1058" i="21"/>
  <c r="R1058" i="21"/>
  <c r="Q1058" i="21"/>
  <c r="P1058" i="21"/>
  <c r="O1058" i="21"/>
  <c r="W1057" i="21"/>
  <c r="U1057" i="21"/>
  <c r="T1057" i="21"/>
  <c r="S1057" i="21"/>
  <c r="R1057" i="21"/>
  <c r="Q1057" i="21"/>
  <c r="P1057" i="21"/>
  <c r="O1057" i="21"/>
  <c r="W1056" i="21"/>
  <c r="U1056" i="21"/>
  <c r="T1056" i="21"/>
  <c r="S1056" i="21"/>
  <c r="R1056" i="21"/>
  <c r="Q1056" i="21"/>
  <c r="P1056" i="21"/>
  <c r="O1056" i="21"/>
  <c r="W1055" i="21"/>
  <c r="U1055" i="21"/>
  <c r="T1055" i="21"/>
  <c r="S1055" i="21"/>
  <c r="R1055" i="21"/>
  <c r="Q1055" i="21"/>
  <c r="P1055" i="21"/>
  <c r="O1055" i="21"/>
  <c r="W1054" i="21"/>
  <c r="U1054" i="21"/>
  <c r="T1054" i="21"/>
  <c r="S1054" i="21"/>
  <c r="R1054" i="21"/>
  <c r="Q1054" i="21"/>
  <c r="P1054" i="21"/>
  <c r="O1054" i="21"/>
  <c r="W1053" i="21"/>
  <c r="U1053" i="21"/>
  <c r="T1053" i="21"/>
  <c r="S1053" i="21"/>
  <c r="R1053" i="21"/>
  <c r="Q1053" i="21"/>
  <c r="P1053" i="21"/>
  <c r="O1053" i="21"/>
  <c r="W1052" i="21"/>
  <c r="U1052" i="21"/>
  <c r="T1052" i="21"/>
  <c r="S1052" i="21"/>
  <c r="R1052" i="21"/>
  <c r="Q1052" i="21"/>
  <c r="P1052" i="21"/>
  <c r="O1052" i="21"/>
  <c r="W1051" i="21"/>
  <c r="U1051" i="21"/>
  <c r="T1051" i="21"/>
  <c r="S1051" i="21"/>
  <c r="R1051" i="21"/>
  <c r="Q1051" i="21"/>
  <c r="P1051" i="21"/>
  <c r="O1051" i="21"/>
  <c r="W1050" i="21"/>
  <c r="U1050" i="21"/>
  <c r="T1050" i="21"/>
  <c r="S1050" i="21"/>
  <c r="R1050" i="21"/>
  <c r="Q1050" i="21"/>
  <c r="P1050" i="21"/>
  <c r="O1050" i="21"/>
  <c r="W1049" i="21"/>
  <c r="U1049" i="21"/>
  <c r="T1049" i="21"/>
  <c r="S1049" i="21"/>
  <c r="R1049" i="21"/>
  <c r="Q1049" i="21"/>
  <c r="P1049" i="21"/>
  <c r="O1049" i="21"/>
  <c r="W1048" i="21"/>
  <c r="U1048" i="21"/>
  <c r="T1048" i="21"/>
  <c r="S1048" i="21"/>
  <c r="R1048" i="21"/>
  <c r="Q1048" i="21"/>
  <c r="P1048" i="21"/>
  <c r="O1048" i="21"/>
  <c r="W1047" i="21"/>
  <c r="U1047" i="21"/>
  <c r="T1047" i="21"/>
  <c r="S1047" i="21"/>
  <c r="R1047" i="21"/>
  <c r="Q1047" i="21"/>
  <c r="P1047" i="21"/>
  <c r="O1047" i="21"/>
  <c r="W1046" i="21"/>
  <c r="U1046" i="21"/>
  <c r="T1046" i="21"/>
  <c r="S1046" i="21"/>
  <c r="R1046" i="21"/>
  <c r="Q1046" i="21"/>
  <c r="P1046" i="21"/>
  <c r="O1046" i="21"/>
  <c r="W1045" i="21"/>
  <c r="U1045" i="21"/>
  <c r="T1045" i="21"/>
  <c r="S1045" i="21"/>
  <c r="R1045" i="21"/>
  <c r="Q1045" i="21"/>
  <c r="P1045" i="21"/>
  <c r="O1045" i="21"/>
  <c r="W1044" i="21"/>
  <c r="U1044" i="21"/>
  <c r="T1044" i="21"/>
  <c r="S1044" i="21"/>
  <c r="R1044" i="21"/>
  <c r="Q1044" i="21"/>
  <c r="P1044" i="21"/>
  <c r="O1044" i="21"/>
  <c r="W1043" i="21"/>
  <c r="U1043" i="21"/>
  <c r="T1043" i="21"/>
  <c r="S1043" i="21"/>
  <c r="R1043" i="21"/>
  <c r="Q1043" i="21"/>
  <c r="P1043" i="21"/>
  <c r="O1043" i="21"/>
  <c r="W1042" i="21"/>
  <c r="U1042" i="21"/>
  <c r="T1042" i="21"/>
  <c r="S1042" i="21"/>
  <c r="R1042" i="21"/>
  <c r="Q1042" i="21"/>
  <c r="P1042" i="21"/>
  <c r="O1042" i="21"/>
  <c r="W1041" i="21"/>
  <c r="U1041" i="21"/>
  <c r="T1041" i="21"/>
  <c r="S1041" i="21"/>
  <c r="R1041" i="21"/>
  <c r="Q1041" i="21"/>
  <c r="P1041" i="21"/>
  <c r="O1041" i="21"/>
  <c r="W1040" i="21"/>
  <c r="U1040" i="21"/>
  <c r="T1040" i="21"/>
  <c r="S1040" i="21"/>
  <c r="R1040" i="21"/>
  <c r="Q1040" i="21"/>
  <c r="P1040" i="21"/>
  <c r="O1040" i="21"/>
  <c r="W1039" i="21"/>
  <c r="U1039" i="21"/>
  <c r="T1039" i="21"/>
  <c r="S1039" i="21"/>
  <c r="R1039" i="21"/>
  <c r="Q1039" i="21"/>
  <c r="P1039" i="21"/>
  <c r="O1039" i="21"/>
  <c r="W1038" i="21"/>
  <c r="U1038" i="21"/>
  <c r="T1038" i="21"/>
  <c r="S1038" i="21"/>
  <c r="R1038" i="21"/>
  <c r="Q1038" i="21"/>
  <c r="P1038" i="21"/>
  <c r="O1038" i="21"/>
  <c r="W1037" i="21"/>
  <c r="U1037" i="21"/>
  <c r="T1037" i="21"/>
  <c r="S1037" i="21"/>
  <c r="R1037" i="21"/>
  <c r="Q1037" i="21"/>
  <c r="P1037" i="21"/>
  <c r="O1037" i="21"/>
  <c r="W1036" i="21"/>
  <c r="U1036" i="21"/>
  <c r="T1036" i="21"/>
  <c r="S1036" i="21"/>
  <c r="R1036" i="21"/>
  <c r="Q1036" i="21"/>
  <c r="P1036" i="21"/>
  <c r="O1036" i="21"/>
  <c r="W1035" i="21"/>
  <c r="U1035" i="21"/>
  <c r="T1035" i="21"/>
  <c r="S1035" i="21"/>
  <c r="R1035" i="21"/>
  <c r="Q1035" i="21"/>
  <c r="P1035" i="21"/>
  <c r="O1035" i="21"/>
  <c r="W1034" i="21"/>
  <c r="U1034" i="21"/>
  <c r="T1034" i="21"/>
  <c r="S1034" i="21"/>
  <c r="R1034" i="21"/>
  <c r="Q1034" i="21"/>
  <c r="P1034" i="21"/>
  <c r="O1034" i="21"/>
  <c r="W1033" i="21"/>
  <c r="U1033" i="21"/>
  <c r="T1033" i="21"/>
  <c r="S1033" i="21"/>
  <c r="R1033" i="21"/>
  <c r="Q1033" i="21"/>
  <c r="P1033" i="21"/>
  <c r="O1033" i="21"/>
  <c r="W1032" i="21"/>
  <c r="U1032" i="21"/>
  <c r="T1032" i="21"/>
  <c r="S1032" i="21"/>
  <c r="R1032" i="21"/>
  <c r="Q1032" i="21"/>
  <c r="P1032" i="21"/>
  <c r="O1032" i="21"/>
  <c r="W1031" i="21"/>
  <c r="U1031" i="21"/>
  <c r="T1031" i="21"/>
  <c r="S1031" i="21"/>
  <c r="R1031" i="21"/>
  <c r="Q1031" i="21"/>
  <c r="P1031" i="21"/>
  <c r="O1031" i="21"/>
  <c r="W1030" i="21"/>
  <c r="U1030" i="21"/>
  <c r="T1030" i="21"/>
  <c r="S1030" i="21"/>
  <c r="R1030" i="21"/>
  <c r="Q1030" i="21"/>
  <c r="P1030" i="21"/>
  <c r="O1030" i="21"/>
  <c r="W1029" i="21"/>
  <c r="U1029" i="21"/>
  <c r="T1029" i="21"/>
  <c r="S1029" i="21"/>
  <c r="R1029" i="21"/>
  <c r="Q1029" i="21"/>
  <c r="P1029" i="21"/>
  <c r="O1029" i="21"/>
  <c r="W1028" i="21"/>
  <c r="U1028" i="21"/>
  <c r="T1028" i="21"/>
  <c r="S1028" i="21"/>
  <c r="R1028" i="21"/>
  <c r="Q1028" i="21"/>
  <c r="P1028" i="21"/>
  <c r="O1028" i="21"/>
  <c r="W1027" i="21"/>
  <c r="U1027" i="21"/>
  <c r="T1027" i="21"/>
  <c r="S1027" i="21"/>
  <c r="R1027" i="21"/>
  <c r="Q1027" i="21"/>
  <c r="P1027" i="21"/>
  <c r="O1027" i="21"/>
  <c r="W1026" i="21"/>
  <c r="U1026" i="21"/>
  <c r="T1026" i="21"/>
  <c r="S1026" i="21"/>
  <c r="R1026" i="21"/>
  <c r="Q1026" i="21"/>
  <c r="P1026" i="21"/>
  <c r="O1026" i="21"/>
  <c r="W1025" i="21"/>
  <c r="U1025" i="21"/>
  <c r="T1025" i="21"/>
  <c r="S1025" i="21"/>
  <c r="R1025" i="21"/>
  <c r="Q1025" i="21"/>
  <c r="P1025" i="21"/>
  <c r="O1025" i="21"/>
  <c r="W1024" i="21"/>
  <c r="U1024" i="21"/>
  <c r="T1024" i="21"/>
  <c r="S1024" i="21"/>
  <c r="R1024" i="21"/>
  <c r="Q1024" i="21"/>
  <c r="P1024" i="21"/>
  <c r="O1024" i="21"/>
  <c r="W1023" i="21"/>
  <c r="U1023" i="21"/>
  <c r="T1023" i="21"/>
  <c r="S1023" i="21"/>
  <c r="R1023" i="21"/>
  <c r="Q1023" i="21"/>
  <c r="P1023" i="21"/>
  <c r="O1023" i="21"/>
  <c r="W1022" i="21"/>
  <c r="U1022" i="21"/>
  <c r="T1022" i="21"/>
  <c r="S1022" i="21"/>
  <c r="R1022" i="21"/>
  <c r="Q1022" i="21"/>
  <c r="P1022" i="21"/>
  <c r="O1022" i="21"/>
  <c r="W1021" i="21"/>
  <c r="U1021" i="21"/>
  <c r="T1021" i="21"/>
  <c r="S1021" i="21"/>
  <c r="R1021" i="21"/>
  <c r="Q1021" i="21"/>
  <c r="P1021" i="21"/>
  <c r="O1021" i="21"/>
  <c r="W1020" i="21"/>
  <c r="U1020" i="21"/>
  <c r="T1020" i="21"/>
  <c r="S1020" i="21"/>
  <c r="R1020" i="21"/>
  <c r="Q1020" i="21"/>
  <c r="P1020" i="21"/>
  <c r="O1020" i="21"/>
  <c r="W1019" i="21"/>
  <c r="U1019" i="21"/>
  <c r="T1019" i="21"/>
  <c r="S1019" i="21"/>
  <c r="R1019" i="21"/>
  <c r="Q1019" i="21"/>
  <c r="P1019" i="21"/>
  <c r="O1019" i="21"/>
  <c r="W1018" i="21"/>
  <c r="U1018" i="21"/>
  <c r="T1018" i="21"/>
  <c r="S1018" i="21"/>
  <c r="R1018" i="21"/>
  <c r="Q1018" i="21"/>
  <c r="P1018" i="21"/>
  <c r="O1018" i="21"/>
  <c r="W1017" i="21"/>
  <c r="U1017" i="21"/>
  <c r="T1017" i="21"/>
  <c r="S1017" i="21"/>
  <c r="R1017" i="21"/>
  <c r="Q1017" i="21"/>
  <c r="P1017" i="21"/>
  <c r="O1017" i="21"/>
  <c r="W1016" i="21"/>
  <c r="U1016" i="21"/>
  <c r="T1016" i="21"/>
  <c r="S1016" i="21"/>
  <c r="R1016" i="21"/>
  <c r="Q1016" i="21"/>
  <c r="P1016" i="21"/>
  <c r="O1016" i="21"/>
  <c r="W1015" i="21"/>
  <c r="U1015" i="21"/>
  <c r="T1015" i="21"/>
  <c r="S1015" i="21"/>
  <c r="R1015" i="21"/>
  <c r="Q1015" i="21"/>
  <c r="P1015" i="21"/>
  <c r="O1015" i="21"/>
  <c r="W1014" i="21"/>
  <c r="U1014" i="21"/>
  <c r="T1014" i="21"/>
  <c r="S1014" i="21"/>
  <c r="R1014" i="21"/>
  <c r="Q1014" i="21"/>
  <c r="P1014" i="21"/>
  <c r="O1014" i="21"/>
  <c r="W1013" i="21"/>
  <c r="U1013" i="21"/>
  <c r="T1013" i="21"/>
  <c r="S1013" i="21"/>
  <c r="R1013" i="21"/>
  <c r="Q1013" i="21"/>
  <c r="P1013" i="21"/>
  <c r="O1013" i="21"/>
  <c r="W1012" i="21"/>
  <c r="U1012" i="21"/>
  <c r="T1012" i="21"/>
  <c r="S1012" i="21"/>
  <c r="R1012" i="21"/>
  <c r="Q1012" i="21"/>
  <c r="P1012" i="21"/>
  <c r="O1012" i="21"/>
  <c r="W1011" i="21"/>
  <c r="U1011" i="21"/>
  <c r="T1011" i="21"/>
  <c r="S1011" i="21"/>
  <c r="R1011" i="21"/>
  <c r="Q1011" i="21"/>
  <c r="P1011" i="21"/>
  <c r="O1011" i="21"/>
  <c r="W1010" i="21"/>
  <c r="U1010" i="21"/>
  <c r="T1010" i="21"/>
  <c r="S1010" i="21"/>
  <c r="R1010" i="21"/>
  <c r="Q1010" i="21"/>
  <c r="P1010" i="21"/>
  <c r="O1010" i="21"/>
  <c r="W1009" i="21"/>
  <c r="U1009" i="21"/>
  <c r="T1009" i="21"/>
  <c r="S1009" i="21"/>
  <c r="R1009" i="21"/>
  <c r="Q1009" i="21"/>
  <c r="P1009" i="21"/>
  <c r="O1009" i="21"/>
  <c r="W1008" i="21"/>
  <c r="U1008" i="21"/>
  <c r="T1008" i="21"/>
  <c r="S1008" i="21"/>
  <c r="R1008" i="21"/>
  <c r="Q1008" i="21"/>
  <c r="P1008" i="21"/>
  <c r="O1008" i="21"/>
  <c r="W1007" i="21"/>
  <c r="U1007" i="21"/>
  <c r="T1007" i="21"/>
  <c r="S1007" i="21"/>
  <c r="R1007" i="21"/>
  <c r="Q1007" i="21"/>
  <c r="P1007" i="21"/>
  <c r="O1007" i="21"/>
  <c r="W1006" i="21"/>
  <c r="U1006" i="21"/>
  <c r="T1006" i="21"/>
  <c r="S1006" i="21"/>
  <c r="R1006" i="21"/>
  <c r="Q1006" i="21"/>
  <c r="P1006" i="21"/>
  <c r="O1006" i="21"/>
  <c r="W1005" i="21"/>
  <c r="U1005" i="21"/>
  <c r="T1005" i="21"/>
  <c r="S1005" i="21"/>
  <c r="R1005" i="21"/>
  <c r="Q1005" i="21"/>
  <c r="P1005" i="21"/>
  <c r="O1005" i="21"/>
  <c r="W1004" i="21"/>
  <c r="U1004" i="21"/>
  <c r="T1004" i="21"/>
  <c r="S1004" i="21"/>
  <c r="R1004" i="21"/>
  <c r="Q1004" i="21"/>
  <c r="P1004" i="21"/>
  <c r="O1004" i="21"/>
  <c r="W1003" i="21"/>
  <c r="U1003" i="21"/>
  <c r="T1003" i="21"/>
  <c r="S1003" i="21"/>
  <c r="R1003" i="21"/>
  <c r="Q1003" i="21"/>
  <c r="P1003" i="21"/>
  <c r="O1003" i="21"/>
  <c r="W1002" i="21"/>
  <c r="U1002" i="21"/>
  <c r="T1002" i="21"/>
  <c r="S1002" i="21"/>
  <c r="R1002" i="21"/>
  <c r="Q1002" i="21"/>
  <c r="P1002" i="21"/>
  <c r="O1002" i="21"/>
  <c r="W1001" i="21"/>
  <c r="U1001" i="21"/>
  <c r="T1001" i="21"/>
  <c r="S1001" i="21"/>
  <c r="R1001" i="21"/>
  <c r="Q1001" i="21"/>
  <c r="P1001" i="21"/>
  <c r="O1001" i="21"/>
  <c r="W1000" i="21"/>
  <c r="U1000" i="21"/>
  <c r="T1000" i="21"/>
  <c r="S1000" i="21"/>
  <c r="R1000" i="21"/>
  <c r="Q1000" i="21"/>
  <c r="P1000" i="21"/>
  <c r="O1000" i="21"/>
  <c r="W999" i="21"/>
  <c r="U999" i="21"/>
  <c r="T999" i="21"/>
  <c r="S999" i="21"/>
  <c r="R999" i="21"/>
  <c r="Q999" i="21"/>
  <c r="P999" i="21"/>
  <c r="O999" i="21"/>
  <c r="W998" i="21"/>
  <c r="U998" i="21"/>
  <c r="T998" i="21"/>
  <c r="S998" i="21"/>
  <c r="R998" i="21"/>
  <c r="Q998" i="21"/>
  <c r="P998" i="21"/>
  <c r="O998" i="21"/>
  <c r="W997" i="21"/>
  <c r="U997" i="21"/>
  <c r="T997" i="21"/>
  <c r="S997" i="21"/>
  <c r="R997" i="21"/>
  <c r="Q997" i="21"/>
  <c r="P997" i="21"/>
  <c r="O997" i="21"/>
  <c r="W996" i="21"/>
  <c r="U996" i="21"/>
  <c r="T996" i="21"/>
  <c r="S996" i="21"/>
  <c r="R996" i="21"/>
  <c r="Q996" i="21"/>
  <c r="P996" i="21"/>
  <c r="O996" i="21"/>
  <c r="W995" i="21"/>
  <c r="U995" i="21"/>
  <c r="T995" i="21"/>
  <c r="S995" i="21"/>
  <c r="R995" i="21"/>
  <c r="Q995" i="21"/>
  <c r="P995" i="21"/>
  <c r="O995" i="21"/>
  <c r="W994" i="21"/>
  <c r="U994" i="21"/>
  <c r="T994" i="21"/>
  <c r="S994" i="21"/>
  <c r="R994" i="21"/>
  <c r="Q994" i="21"/>
  <c r="P994" i="21"/>
  <c r="O994" i="21"/>
  <c r="W993" i="21"/>
  <c r="U993" i="21"/>
  <c r="T993" i="21"/>
  <c r="S993" i="21"/>
  <c r="R993" i="21"/>
  <c r="Q993" i="21"/>
  <c r="P993" i="21"/>
  <c r="O993" i="21"/>
  <c r="W992" i="21"/>
  <c r="U992" i="21"/>
  <c r="T992" i="21"/>
  <c r="S992" i="21"/>
  <c r="R992" i="21"/>
  <c r="Q992" i="21"/>
  <c r="P992" i="21"/>
  <c r="O992" i="21"/>
  <c r="W991" i="21"/>
  <c r="U991" i="21"/>
  <c r="T991" i="21"/>
  <c r="S991" i="21"/>
  <c r="R991" i="21"/>
  <c r="Q991" i="21"/>
  <c r="P991" i="21"/>
  <c r="O991" i="21"/>
  <c r="W990" i="21"/>
  <c r="U990" i="21"/>
  <c r="T990" i="21"/>
  <c r="S990" i="21"/>
  <c r="R990" i="21"/>
  <c r="Q990" i="21"/>
  <c r="P990" i="21"/>
  <c r="O990" i="21"/>
  <c r="W989" i="21"/>
  <c r="U989" i="21"/>
  <c r="T989" i="21"/>
  <c r="S989" i="21"/>
  <c r="R989" i="21"/>
  <c r="Q989" i="21"/>
  <c r="P989" i="21"/>
  <c r="O989" i="21"/>
  <c r="W988" i="21"/>
  <c r="U988" i="21"/>
  <c r="T988" i="21"/>
  <c r="S988" i="21"/>
  <c r="R988" i="21"/>
  <c r="Q988" i="21"/>
  <c r="P988" i="21"/>
  <c r="O988" i="21"/>
  <c r="W987" i="21"/>
  <c r="U987" i="21"/>
  <c r="T987" i="21"/>
  <c r="S987" i="21"/>
  <c r="R987" i="21"/>
  <c r="Q987" i="21"/>
  <c r="P987" i="21"/>
  <c r="O987" i="21"/>
  <c r="W986" i="21"/>
  <c r="U986" i="21"/>
  <c r="T986" i="21"/>
  <c r="S986" i="21"/>
  <c r="R986" i="21"/>
  <c r="Q986" i="21"/>
  <c r="P986" i="21"/>
  <c r="O986" i="21"/>
  <c r="W985" i="21"/>
  <c r="U985" i="21"/>
  <c r="T985" i="21"/>
  <c r="S985" i="21"/>
  <c r="R985" i="21"/>
  <c r="Q985" i="21"/>
  <c r="P985" i="21"/>
  <c r="O985" i="21"/>
  <c r="W984" i="21"/>
  <c r="U984" i="21"/>
  <c r="T984" i="21"/>
  <c r="S984" i="21"/>
  <c r="R984" i="21"/>
  <c r="Q984" i="21"/>
  <c r="P984" i="21"/>
  <c r="O984" i="21"/>
  <c r="W983" i="21"/>
  <c r="U983" i="21"/>
  <c r="T983" i="21"/>
  <c r="S983" i="21"/>
  <c r="R983" i="21"/>
  <c r="Q983" i="21"/>
  <c r="P983" i="21"/>
  <c r="O983" i="21"/>
  <c r="W982" i="21"/>
  <c r="U982" i="21"/>
  <c r="T982" i="21"/>
  <c r="S982" i="21"/>
  <c r="R982" i="21"/>
  <c r="Q982" i="21"/>
  <c r="P982" i="21"/>
  <c r="O982" i="21"/>
  <c r="W981" i="21"/>
  <c r="U981" i="21"/>
  <c r="T981" i="21"/>
  <c r="S981" i="21"/>
  <c r="R981" i="21"/>
  <c r="Q981" i="21"/>
  <c r="P981" i="21"/>
  <c r="O981" i="21"/>
  <c r="W980" i="21"/>
  <c r="U980" i="21"/>
  <c r="T980" i="21"/>
  <c r="S980" i="21"/>
  <c r="R980" i="21"/>
  <c r="Q980" i="21"/>
  <c r="P980" i="21"/>
  <c r="O980" i="21"/>
  <c r="W979" i="21"/>
  <c r="U979" i="21"/>
  <c r="T979" i="21"/>
  <c r="S979" i="21"/>
  <c r="R979" i="21"/>
  <c r="Q979" i="21"/>
  <c r="P979" i="21"/>
  <c r="O979" i="21"/>
  <c r="W978" i="21"/>
  <c r="U978" i="21"/>
  <c r="T978" i="21"/>
  <c r="S978" i="21"/>
  <c r="R978" i="21"/>
  <c r="Q978" i="21"/>
  <c r="P978" i="21"/>
  <c r="O978" i="21"/>
  <c r="W977" i="21"/>
  <c r="U977" i="21"/>
  <c r="T977" i="21"/>
  <c r="S977" i="21"/>
  <c r="R977" i="21"/>
  <c r="Q977" i="21"/>
  <c r="P977" i="21"/>
  <c r="O977" i="21"/>
  <c r="W976" i="21"/>
  <c r="U976" i="21"/>
  <c r="T976" i="21"/>
  <c r="S976" i="21"/>
  <c r="R976" i="21"/>
  <c r="Q976" i="21"/>
  <c r="P976" i="21"/>
  <c r="O976" i="21"/>
  <c r="W975" i="21"/>
  <c r="U975" i="21"/>
  <c r="T975" i="21"/>
  <c r="S975" i="21"/>
  <c r="R975" i="21"/>
  <c r="Q975" i="21"/>
  <c r="P975" i="21"/>
  <c r="O975" i="21"/>
  <c r="W974" i="21"/>
  <c r="U974" i="21"/>
  <c r="T974" i="21"/>
  <c r="S974" i="21"/>
  <c r="R974" i="21"/>
  <c r="Q974" i="21"/>
  <c r="P974" i="21"/>
  <c r="O974" i="21"/>
  <c r="W973" i="21"/>
  <c r="U973" i="21"/>
  <c r="T973" i="21"/>
  <c r="S973" i="21"/>
  <c r="R973" i="21"/>
  <c r="Q973" i="21"/>
  <c r="P973" i="21"/>
  <c r="O973" i="21"/>
  <c r="W972" i="21"/>
  <c r="U972" i="21"/>
  <c r="T972" i="21"/>
  <c r="S972" i="21"/>
  <c r="R972" i="21"/>
  <c r="Q972" i="21"/>
  <c r="P972" i="21"/>
  <c r="O972" i="21"/>
  <c r="W971" i="21"/>
  <c r="U971" i="21"/>
  <c r="T971" i="21"/>
  <c r="S971" i="21"/>
  <c r="R971" i="21"/>
  <c r="Q971" i="21"/>
  <c r="P971" i="21"/>
  <c r="O971" i="21"/>
  <c r="W970" i="21"/>
  <c r="U970" i="21"/>
  <c r="T970" i="21"/>
  <c r="S970" i="21"/>
  <c r="R970" i="21"/>
  <c r="Q970" i="21"/>
  <c r="P970" i="21"/>
  <c r="O970" i="21"/>
  <c r="W969" i="21"/>
  <c r="U969" i="21"/>
  <c r="T969" i="21"/>
  <c r="S969" i="21"/>
  <c r="R969" i="21"/>
  <c r="Q969" i="21"/>
  <c r="P969" i="21"/>
  <c r="O969" i="21"/>
  <c r="W968" i="21"/>
  <c r="U968" i="21"/>
  <c r="T968" i="21"/>
  <c r="S968" i="21"/>
  <c r="R968" i="21"/>
  <c r="Q968" i="21"/>
  <c r="P968" i="21"/>
  <c r="O968" i="21"/>
  <c r="W967" i="21"/>
  <c r="U967" i="21"/>
  <c r="T967" i="21"/>
  <c r="S967" i="21"/>
  <c r="R967" i="21"/>
  <c r="Q967" i="21"/>
  <c r="P967" i="21"/>
  <c r="O967" i="21"/>
  <c r="W966" i="21"/>
  <c r="U966" i="21"/>
  <c r="T966" i="21"/>
  <c r="S966" i="21"/>
  <c r="R966" i="21"/>
  <c r="Q966" i="21"/>
  <c r="P966" i="21"/>
  <c r="O966" i="21"/>
  <c r="W965" i="21"/>
  <c r="U965" i="21"/>
  <c r="T965" i="21"/>
  <c r="S965" i="21"/>
  <c r="R965" i="21"/>
  <c r="Q965" i="21"/>
  <c r="P965" i="21"/>
  <c r="O965" i="21"/>
  <c r="W964" i="21"/>
  <c r="U964" i="21"/>
  <c r="T964" i="21"/>
  <c r="S964" i="21"/>
  <c r="R964" i="21"/>
  <c r="Q964" i="21"/>
  <c r="P964" i="21"/>
  <c r="O964" i="21"/>
  <c r="W963" i="21"/>
  <c r="U963" i="21"/>
  <c r="T963" i="21"/>
  <c r="S963" i="21"/>
  <c r="R963" i="21"/>
  <c r="Q963" i="21"/>
  <c r="P963" i="21"/>
  <c r="O963" i="21"/>
  <c r="W962" i="21"/>
  <c r="U962" i="21"/>
  <c r="T962" i="21"/>
  <c r="S962" i="21"/>
  <c r="R962" i="21"/>
  <c r="Q962" i="21"/>
  <c r="P962" i="21"/>
  <c r="O962" i="21"/>
  <c r="W961" i="21"/>
  <c r="U961" i="21"/>
  <c r="T961" i="21"/>
  <c r="S961" i="21"/>
  <c r="R961" i="21"/>
  <c r="Q961" i="21"/>
  <c r="P961" i="21"/>
  <c r="O961" i="21"/>
  <c r="W960" i="21"/>
  <c r="U960" i="21"/>
  <c r="T960" i="21"/>
  <c r="S960" i="21"/>
  <c r="R960" i="21"/>
  <c r="Q960" i="21"/>
  <c r="P960" i="21"/>
  <c r="O960" i="21"/>
  <c r="W959" i="21"/>
  <c r="U959" i="21"/>
  <c r="T959" i="21"/>
  <c r="S959" i="21"/>
  <c r="R959" i="21"/>
  <c r="Q959" i="21"/>
  <c r="P959" i="21"/>
  <c r="O959" i="21"/>
  <c r="W958" i="21"/>
  <c r="U958" i="21"/>
  <c r="T958" i="21"/>
  <c r="S958" i="21"/>
  <c r="R958" i="21"/>
  <c r="Q958" i="21"/>
  <c r="P958" i="21"/>
  <c r="O958" i="21"/>
  <c r="W957" i="21"/>
  <c r="U957" i="21"/>
  <c r="T957" i="21"/>
  <c r="S957" i="21"/>
  <c r="R957" i="21"/>
  <c r="Q957" i="21"/>
  <c r="P957" i="21"/>
  <c r="O957" i="21"/>
  <c r="W956" i="21"/>
  <c r="U956" i="21"/>
  <c r="T956" i="21"/>
  <c r="S956" i="21"/>
  <c r="R956" i="21"/>
  <c r="Q956" i="21"/>
  <c r="P956" i="21"/>
  <c r="O956" i="21"/>
  <c r="W955" i="21"/>
  <c r="U955" i="21"/>
  <c r="T955" i="21"/>
  <c r="S955" i="21"/>
  <c r="R955" i="21"/>
  <c r="Q955" i="21"/>
  <c r="P955" i="21"/>
  <c r="O955" i="21"/>
  <c r="W954" i="21"/>
  <c r="U954" i="21"/>
  <c r="T954" i="21"/>
  <c r="S954" i="21"/>
  <c r="R954" i="21"/>
  <c r="Q954" i="21"/>
  <c r="P954" i="21"/>
  <c r="O954" i="21"/>
  <c r="W953" i="21"/>
  <c r="U953" i="21"/>
  <c r="T953" i="21"/>
  <c r="S953" i="21"/>
  <c r="R953" i="21"/>
  <c r="Q953" i="21"/>
  <c r="P953" i="21"/>
  <c r="O953" i="21"/>
  <c r="W952" i="21"/>
  <c r="U952" i="21"/>
  <c r="T952" i="21"/>
  <c r="S952" i="21"/>
  <c r="R952" i="21"/>
  <c r="Q952" i="21"/>
  <c r="P952" i="21"/>
  <c r="O952" i="21"/>
  <c r="W951" i="21"/>
  <c r="U951" i="21"/>
  <c r="T951" i="21"/>
  <c r="S951" i="21"/>
  <c r="R951" i="21"/>
  <c r="Q951" i="21"/>
  <c r="P951" i="21"/>
  <c r="O951" i="21"/>
  <c r="W950" i="21"/>
  <c r="U950" i="21"/>
  <c r="T950" i="21"/>
  <c r="S950" i="21"/>
  <c r="R950" i="21"/>
  <c r="Q950" i="21"/>
  <c r="P950" i="21"/>
  <c r="O950" i="21"/>
  <c r="W949" i="21"/>
  <c r="U949" i="21"/>
  <c r="T949" i="21"/>
  <c r="S949" i="21"/>
  <c r="R949" i="21"/>
  <c r="Q949" i="21"/>
  <c r="P949" i="21"/>
  <c r="O949" i="21"/>
  <c r="W948" i="21"/>
  <c r="U948" i="21"/>
  <c r="T948" i="21"/>
  <c r="S948" i="21"/>
  <c r="R948" i="21"/>
  <c r="Q948" i="21"/>
  <c r="P948" i="21"/>
  <c r="O948" i="21"/>
  <c r="W947" i="21"/>
  <c r="U947" i="21"/>
  <c r="T947" i="21"/>
  <c r="S947" i="21"/>
  <c r="R947" i="21"/>
  <c r="Q947" i="21"/>
  <c r="P947" i="21"/>
  <c r="O947" i="21"/>
  <c r="W946" i="21"/>
  <c r="U946" i="21"/>
  <c r="T946" i="21"/>
  <c r="S946" i="21"/>
  <c r="R946" i="21"/>
  <c r="Q946" i="21"/>
  <c r="P946" i="21"/>
  <c r="O946" i="21"/>
  <c r="W945" i="21"/>
  <c r="U945" i="21"/>
  <c r="T945" i="21"/>
  <c r="S945" i="21"/>
  <c r="R945" i="21"/>
  <c r="Q945" i="21"/>
  <c r="P945" i="21"/>
  <c r="O945" i="21"/>
  <c r="W944" i="21"/>
  <c r="U944" i="21"/>
  <c r="T944" i="21"/>
  <c r="S944" i="21"/>
  <c r="R944" i="21"/>
  <c r="Q944" i="21"/>
  <c r="P944" i="21"/>
  <c r="O944" i="21"/>
  <c r="W943" i="21"/>
  <c r="U943" i="21"/>
  <c r="T943" i="21"/>
  <c r="S943" i="21"/>
  <c r="R943" i="21"/>
  <c r="Q943" i="21"/>
  <c r="P943" i="21"/>
  <c r="O943" i="21"/>
  <c r="W942" i="21"/>
  <c r="U942" i="21"/>
  <c r="T942" i="21"/>
  <c r="S942" i="21"/>
  <c r="R942" i="21"/>
  <c r="Q942" i="21"/>
  <c r="P942" i="21"/>
  <c r="O942" i="21"/>
  <c r="W941" i="21"/>
  <c r="U941" i="21"/>
  <c r="T941" i="21"/>
  <c r="S941" i="21"/>
  <c r="R941" i="21"/>
  <c r="Q941" i="21"/>
  <c r="P941" i="21"/>
  <c r="O941" i="21"/>
  <c r="W940" i="21"/>
  <c r="U940" i="21"/>
  <c r="T940" i="21"/>
  <c r="S940" i="21"/>
  <c r="R940" i="21"/>
  <c r="Q940" i="21"/>
  <c r="P940" i="21"/>
  <c r="O940" i="21"/>
  <c r="W939" i="21"/>
  <c r="U939" i="21"/>
  <c r="T939" i="21"/>
  <c r="S939" i="21"/>
  <c r="R939" i="21"/>
  <c r="Q939" i="21"/>
  <c r="P939" i="21"/>
  <c r="O939" i="21"/>
  <c r="W938" i="21"/>
  <c r="U938" i="21"/>
  <c r="T938" i="21"/>
  <c r="S938" i="21"/>
  <c r="R938" i="21"/>
  <c r="Q938" i="21"/>
  <c r="P938" i="21"/>
  <c r="O938" i="21"/>
  <c r="W937" i="21"/>
  <c r="U937" i="21"/>
  <c r="T937" i="21"/>
  <c r="S937" i="21"/>
  <c r="R937" i="21"/>
  <c r="Q937" i="21"/>
  <c r="P937" i="21"/>
  <c r="O937" i="21"/>
  <c r="W936" i="21"/>
  <c r="U936" i="21"/>
  <c r="T936" i="21"/>
  <c r="S936" i="21"/>
  <c r="R936" i="21"/>
  <c r="Q936" i="21"/>
  <c r="P936" i="21"/>
  <c r="O936" i="21"/>
  <c r="W935" i="21"/>
  <c r="U935" i="21"/>
  <c r="T935" i="21"/>
  <c r="S935" i="21"/>
  <c r="R935" i="21"/>
  <c r="Q935" i="21"/>
  <c r="P935" i="21"/>
  <c r="O935" i="21"/>
  <c r="W934" i="21"/>
  <c r="U934" i="21"/>
  <c r="T934" i="21"/>
  <c r="S934" i="21"/>
  <c r="R934" i="21"/>
  <c r="Q934" i="21"/>
  <c r="P934" i="21"/>
  <c r="O934" i="21"/>
  <c r="W933" i="21"/>
  <c r="U933" i="21"/>
  <c r="T933" i="21"/>
  <c r="S933" i="21"/>
  <c r="R933" i="21"/>
  <c r="Q933" i="21"/>
  <c r="P933" i="21"/>
  <c r="O933" i="21"/>
  <c r="W932" i="21"/>
  <c r="U932" i="21"/>
  <c r="T932" i="21"/>
  <c r="S932" i="21"/>
  <c r="R932" i="21"/>
  <c r="Q932" i="21"/>
  <c r="P932" i="21"/>
  <c r="O932" i="21"/>
  <c r="W931" i="21"/>
  <c r="U931" i="21"/>
  <c r="T931" i="21"/>
  <c r="S931" i="21"/>
  <c r="R931" i="21"/>
  <c r="Q931" i="21"/>
  <c r="P931" i="21"/>
  <c r="O931" i="21"/>
  <c r="W930" i="21"/>
  <c r="U930" i="21"/>
  <c r="T930" i="21"/>
  <c r="S930" i="21"/>
  <c r="R930" i="21"/>
  <c r="Q930" i="21"/>
  <c r="P930" i="21"/>
  <c r="O930" i="21"/>
  <c r="W929" i="21"/>
  <c r="U929" i="21"/>
  <c r="T929" i="21"/>
  <c r="S929" i="21"/>
  <c r="R929" i="21"/>
  <c r="Q929" i="21"/>
  <c r="P929" i="21"/>
  <c r="O929" i="21"/>
  <c r="W928" i="21"/>
  <c r="U928" i="21"/>
  <c r="T928" i="21"/>
  <c r="S928" i="21"/>
  <c r="R928" i="21"/>
  <c r="Q928" i="21"/>
  <c r="P928" i="21"/>
  <c r="O928" i="21"/>
  <c r="W927" i="21"/>
  <c r="U927" i="21"/>
  <c r="T927" i="21"/>
  <c r="S927" i="21"/>
  <c r="R927" i="21"/>
  <c r="Q927" i="21"/>
  <c r="P927" i="21"/>
  <c r="O927" i="21"/>
  <c r="W926" i="21"/>
  <c r="U926" i="21"/>
  <c r="T926" i="21"/>
  <c r="S926" i="21"/>
  <c r="R926" i="21"/>
  <c r="Q926" i="21"/>
  <c r="P926" i="21"/>
  <c r="O926" i="21"/>
  <c r="W925" i="21"/>
  <c r="U925" i="21"/>
  <c r="T925" i="21"/>
  <c r="S925" i="21"/>
  <c r="R925" i="21"/>
  <c r="Q925" i="21"/>
  <c r="P925" i="21"/>
  <c r="O925" i="21"/>
  <c r="W924" i="21"/>
  <c r="U924" i="21"/>
  <c r="T924" i="21"/>
  <c r="S924" i="21"/>
  <c r="R924" i="21"/>
  <c r="Q924" i="21"/>
  <c r="P924" i="21"/>
  <c r="O924" i="21"/>
  <c r="W923" i="21"/>
  <c r="U923" i="21"/>
  <c r="T923" i="21"/>
  <c r="S923" i="21"/>
  <c r="R923" i="21"/>
  <c r="Q923" i="21"/>
  <c r="P923" i="21"/>
  <c r="O923" i="21"/>
  <c r="W922" i="21"/>
  <c r="U922" i="21"/>
  <c r="T922" i="21"/>
  <c r="S922" i="21"/>
  <c r="R922" i="21"/>
  <c r="Q922" i="21"/>
  <c r="P922" i="21"/>
  <c r="O922" i="21"/>
  <c r="W921" i="21"/>
  <c r="U921" i="21"/>
  <c r="T921" i="21"/>
  <c r="S921" i="21"/>
  <c r="R921" i="21"/>
  <c r="Q921" i="21"/>
  <c r="P921" i="21"/>
  <c r="O921" i="21"/>
  <c r="W920" i="21"/>
  <c r="U920" i="21"/>
  <c r="T920" i="21"/>
  <c r="S920" i="21"/>
  <c r="R920" i="21"/>
  <c r="Q920" i="21"/>
  <c r="P920" i="21"/>
  <c r="O920" i="21"/>
  <c r="W919" i="21"/>
  <c r="U919" i="21"/>
  <c r="T919" i="21"/>
  <c r="S919" i="21"/>
  <c r="R919" i="21"/>
  <c r="Q919" i="21"/>
  <c r="P919" i="21"/>
  <c r="O919" i="21"/>
  <c r="W918" i="21"/>
  <c r="U918" i="21"/>
  <c r="T918" i="21"/>
  <c r="S918" i="21"/>
  <c r="R918" i="21"/>
  <c r="Q918" i="21"/>
  <c r="P918" i="21"/>
  <c r="O918" i="21"/>
  <c r="W917" i="21"/>
  <c r="U917" i="21"/>
  <c r="T917" i="21"/>
  <c r="S917" i="21"/>
  <c r="R917" i="21"/>
  <c r="Q917" i="21"/>
  <c r="P917" i="21"/>
  <c r="O917" i="21"/>
  <c r="W916" i="21"/>
  <c r="U916" i="21"/>
  <c r="T916" i="21"/>
  <c r="S916" i="21"/>
  <c r="R916" i="21"/>
  <c r="Q916" i="21"/>
  <c r="P916" i="21"/>
  <c r="O916" i="21"/>
  <c r="W915" i="21"/>
  <c r="U915" i="21"/>
  <c r="T915" i="21"/>
  <c r="S915" i="21"/>
  <c r="R915" i="21"/>
  <c r="Q915" i="21"/>
  <c r="P915" i="21"/>
  <c r="O915" i="21"/>
  <c r="W914" i="21"/>
  <c r="U914" i="21"/>
  <c r="T914" i="21"/>
  <c r="S914" i="21"/>
  <c r="R914" i="21"/>
  <c r="Q914" i="21"/>
  <c r="P914" i="21"/>
  <c r="O914" i="21"/>
  <c r="W913" i="21"/>
  <c r="U913" i="21"/>
  <c r="T913" i="21"/>
  <c r="S913" i="21"/>
  <c r="R913" i="21"/>
  <c r="Q913" i="21"/>
  <c r="P913" i="21"/>
  <c r="O913" i="21"/>
  <c r="W912" i="21"/>
  <c r="U912" i="21"/>
  <c r="T912" i="21"/>
  <c r="S912" i="21"/>
  <c r="R912" i="21"/>
  <c r="Q912" i="21"/>
  <c r="P912" i="21"/>
  <c r="O912" i="21"/>
  <c r="W911" i="21"/>
  <c r="U911" i="21"/>
  <c r="T911" i="21"/>
  <c r="S911" i="21"/>
  <c r="R911" i="21"/>
  <c r="Q911" i="21"/>
  <c r="P911" i="21"/>
  <c r="O911" i="21"/>
  <c r="W910" i="21"/>
  <c r="U910" i="21"/>
  <c r="T910" i="21"/>
  <c r="S910" i="21"/>
  <c r="R910" i="21"/>
  <c r="Q910" i="21"/>
  <c r="P910" i="21"/>
  <c r="O910" i="21"/>
  <c r="W909" i="21"/>
  <c r="U909" i="21"/>
  <c r="T909" i="21"/>
  <c r="S909" i="21"/>
  <c r="R909" i="21"/>
  <c r="Q909" i="21"/>
  <c r="P909" i="21"/>
  <c r="O909" i="21"/>
  <c r="W908" i="21"/>
  <c r="U908" i="21"/>
  <c r="T908" i="21"/>
  <c r="S908" i="21"/>
  <c r="R908" i="21"/>
  <c r="Q908" i="21"/>
  <c r="P908" i="21"/>
  <c r="O908" i="21"/>
  <c r="W907" i="21"/>
  <c r="U907" i="21"/>
  <c r="T907" i="21"/>
  <c r="S907" i="21"/>
  <c r="R907" i="21"/>
  <c r="Q907" i="21"/>
  <c r="P907" i="21"/>
  <c r="O907" i="21"/>
  <c r="W906" i="21"/>
  <c r="U906" i="21"/>
  <c r="T906" i="21"/>
  <c r="S906" i="21"/>
  <c r="R906" i="21"/>
  <c r="Q906" i="21"/>
  <c r="P906" i="21"/>
  <c r="O906" i="21"/>
  <c r="W905" i="21"/>
  <c r="U905" i="21"/>
  <c r="T905" i="21"/>
  <c r="S905" i="21"/>
  <c r="R905" i="21"/>
  <c r="Q905" i="21"/>
  <c r="P905" i="21"/>
  <c r="O905" i="21"/>
  <c r="W904" i="21"/>
  <c r="U904" i="21"/>
  <c r="T904" i="21"/>
  <c r="S904" i="21"/>
  <c r="R904" i="21"/>
  <c r="Q904" i="21"/>
  <c r="P904" i="21"/>
  <c r="O904" i="21"/>
  <c r="W903" i="21"/>
  <c r="U903" i="21"/>
  <c r="T903" i="21"/>
  <c r="S903" i="21"/>
  <c r="R903" i="21"/>
  <c r="Q903" i="21"/>
  <c r="P903" i="21"/>
  <c r="O903" i="21"/>
  <c r="W902" i="21"/>
  <c r="U902" i="21"/>
  <c r="T902" i="21"/>
  <c r="S902" i="21"/>
  <c r="R902" i="21"/>
  <c r="Q902" i="21"/>
  <c r="P902" i="21"/>
  <c r="O902" i="21"/>
  <c r="W901" i="21"/>
  <c r="U901" i="21"/>
  <c r="T901" i="21"/>
  <c r="S901" i="21"/>
  <c r="R901" i="21"/>
  <c r="Q901" i="21"/>
  <c r="P901" i="21"/>
  <c r="O901" i="21"/>
  <c r="W900" i="21"/>
  <c r="U900" i="21"/>
  <c r="T900" i="21"/>
  <c r="S900" i="21"/>
  <c r="R900" i="21"/>
  <c r="Q900" i="21"/>
  <c r="P900" i="21"/>
  <c r="O900" i="21"/>
  <c r="W899" i="21"/>
  <c r="U899" i="21"/>
  <c r="T899" i="21"/>
  <c r="S899" i="21"/>
  <c r="R899" i="21"/>
  <c r="Q899" i="21"/>
  <c r="P899" i="21"/>
  <c r="O899" i="21"/>
  <c r="W898" i="21"/>
  <c r="U898" i="21"/>
  <c r="T898" i="21"/>
  <c r="S898" i="21"/>
  <c r="R898" i="21"/>
  <c r="Q898" i="21"/>
  <c r="P898" i="21"/>
  <c r="O898" i="21"/>
  <c r="W897" i="21"/>
  <c r="U897" i="21"/>
  <c r="T897" i="21"/>
  <c r="S897" i="21"/>
  <c r="R897" i="21"/>
  <c r="Q897" i="21"/>
  <c r="P897" i="21"/>
  <c r="O897" i="21"/>
  <c r="W896" i="21"/>
  <c r="U896" i="21"/>
  <c r="T896" i="21"/>
  <c r="S896" i="21"/>
  <c r="R896" i="21"/>
  <c r="Q896" i="21"/>
  <c r="P896" i="21"/>
  <c r="O896" i="21"/>
  <c r="W895" i="21"/>
  <c r="U895" i="21"/>
  <c r="T895" i="21"/>
  <c r="S895" i="21"/>
  <c r="R895" i="21"/>
  <c r="Q895" i="21"/>
  <c r="P895" i="21"/>
  <c r="O895" i="21"/>
  <c r="W894" i="21"/>
  <c r="U894" i="21"/>
  <c r="T894" i="21"/>
  <c r="S894" i="21"/>
  <c r="R894" i="21"/>
  <c r="Q894" i="21"/>
  <c r="P894" i="21"/>
  <c r="O894" i="21"/>
  <c r="W893" i="21"/>
  <c r="U893" i="21"/>
  <c r="T893" i="21"/>
  <c r="S893" i="21"/>
  <c r="R893" i="21"/>
  <c r="Q893" i="21"/>
  <c r="P893" i="21"/>
  <c r="O893" i="21"/>
  <c r="W892" i="21"/>
  <c r="U892" i="21"/>
  <c r="T892" i="21"/>
  <c r="S892" i="21"/>
  <c r="R892" i="21"/>
  <c r="Q892" i="21"/>
  <c r="P892" i="21"/>
  <c r="O892" i="21"/>
  <c r="W891" i="21"/>
  <c r="U891" i="21"/>
  <c r="T891" i="21"/>
  <c r="S891" i="21"/>
  <c r="R891" i="21"/>
  <c r="Q891" i="21"/>
  <c r="P891" i="21"/>
  <c r="O891" i="21"/>
  <c r="W890" i="21"/>
  <c r="U890" i="21"/>
  <c r="T890" i="21"/>
  <c r="S890" i="21"/>
  <c r="R890" i="21"/>
  <c r="Q890" i="21"/>
  <c r="P890" i="21"/>
  <c r="O890" i="21"/>
  <c r="W889" i="21"/>
  <c r="U889" i="21"/>
  <c r="T889" i="21"/>
  <c r="S889" i="21"/>
  <c r="R889" i="21"/>
  <c r="Q889" i="21"/>
  <c r="P889" i="21"/>
  <c r="O889" i="21"/>
  <c r="W888" i="21"/>
  <c r="U888" i="21"/>
  <c r="T888" i="21"/>
  <c r="S888" i="21"/>
  <c r="R888" i="21"/>
  <c r="Q888" i="21"/>
  <c r="P888" i="21"/>
  <c r="O888" i="21"/>
  <c r="W887" i="21"/>
  <c r="U887" i="21"/>
  <c r="T887" i="21"/>
  <c r="S887" i="21"/>
  <c r="R887" i="21"/>
  <c r="Q887" i="21"/>
  <c r="P887" i="21"/>
  <c r="O887" i="21"/>
  <c r="W886" i="21"/>
  <c r="U886" i="21"/>
  <c r="T886" i="21"/>
  <c r="S886" i="21"/>
  <c r="R886" i="21"/>
  <c r="Q886" i="21"/>
  <c r="P886" i="21"/>
  <c r="O886" i="21"/>
  <c r="W885" i="21"/>
  <c r="U885" i="21"/>
  <c r="T885" i="21"/>
  <c r="S885" i="21"/>
  <c r="R885" i="21"/>
  <c r="Q885" i="21"/>
  <c r="P885" i="21"/>
  <c r="O885" i="21"/>
  <c r="W884" i="21"/>
  <c r="U884" i="21"/>
  <c r="T884" i="21"/>
  <c r="S884" i="21"/>
  <c r="R884" i="21"/>
  <c r="Q884" i="21"/>
  <c r="P884" i="21"/>
  <c r="O884" i="21"/>
  <c r="W883" i="21"/>
  <c r="U883" i="21"/>
  <c r="T883" i="21"/>
  <c r="S883" i="21"/>
  <c r="R883" i="21"/>
  <c r="Q883" i="21"/>
  <c r="P883" i="21"/>
  <c r="O883" i="21"/>
  <c r="W882" i="21"/>
  <c r="U882" i="21"/>
  <c r="T882" i="21"/>
  <c r="S882" i="21"/>
  <c r="R882" i="21"/>
  <c r="Q882" i="21"/>
  <c r="P882" i="21"/>
  <c r="O882" i="21"/>
  <c r="W881" i="21"/>
  <c r="U881" i="21"/>
  <c r="T881" i="21"/>
  <c r="S881" i="21"/>
  <c r="R881" i="21"/>
  <c r="Q881" i="21"/>
  <c r="P881" i="21"/>
  <c r="O881" i="21"/>
  <c r="W880" i="21"/>
  <c r="U880" i="21"/>
  <c r="T880" i="21"/>
  <c r="S880" i="21"/>
  <c r="R880" i="21"/>
  <c r="Q880" i="21"/>
  <c r="P880" i="21"/>
  <c r="O880" i="21"/>
  <c r="W879" i="21"/>
  <c r="U879" i="21"/>
  <c r="T879" i="21"/>
  <c r="S879" i="21"/>
  <c r="R879" i="21"/>
  <c r="Q879" i="21"/>
  <c r="P879" i="21"/>
  <c r="O879" i="21"/>
  <c r="W878" i="21"/>
  <c r="U878" i="21"/>
  <c r="T878" i="21"/>
  <c r="S878" i="21"/>
  <c r="R878" i="21"/>
  <c r="Q878" i="21"/>
  <c r="P878" i="21"/>
  <c r="O878" i="21"/>
  <c r="W877" i="21"/>
  <c r="U877" i="21"/>
  <c r="T877" i="21"/>
  <c r="S877" i="21"/>
  <c r="R877" i="21"/>
  <c r="Q877" i="21"/>
  <c r="P877" i="21"/>
  <c r="O877" i="21"/>
  <c r="W876" i="21"/>
  <c r="U876" i="21"/>
  <c r="T876" i="21"/>
  <c r="S876" i="21"/>
  <c r="R876" i="21"/>
  <c r="Q876" i="21"/>
  <c r="P876" i="21"/>
  <c r="O876" i="21"/>
  <c r="W875" i="21"/>
  <c r="U875" i="21"/>
  <c r="T875" i="21"/>
  <c r="S875" i="21"/>
  <c r="R875" i="21"/>
  <c r="Q875" i="21"/>
  <c r="P875" i="21"/>
  <c r="O875" i="21"/>
  <c r="W874" i="21"/>
  <c r="U874" i="21"/>
  <c r="T874" i="21"/>
  <c r="S874" i="21"/>
  <c r="R874" i="21"/>
  <c r="Q874" i="21"/>
  <c r="P874" i="21"/>
  <c r="O874" i="21"/>
  <c r="W873" i="21"/>
  <c r="U873" i="21"/>
  <c r="T873" i="21"/>
  <c r="S873" i="21"/>
  <c r="R873" i="21"/>
  <c r="Q873" i="21"/>
  <c r="P873" i="21"/>
  <c r="O873" i="21"/>
  <c r="W872" i="21"/>
  <c r="U872" i="21"/>
  <c r="T872" i="21"/>
  <c r="S872" i="21"/>
  <c r="R872" i="21"/>
  <c r="Q872" i="21"/>
  <c r="P872" i="21"/>
  <c r="O872" i="21"/>
  <c r="W871" i="21"/>
  <c r="U871" i="21"/>
  <c r="T871" i="21"/>
  <c r="S871" i="21"/>
  <c r="R871" i="21"/>
  <c r="Q871" i="21"/>
  <c r="P871" i="21"/>
  <c r="O871" i="21"/>
  <c r="W870" i="21"/>
  <c r="U870" i="21"/>
  <c r="T870" i="21"/>
  <c r="S870" i="21"/>
  <c r="R870" i="21"/>
  <c r="Q870" i="21"/>
  <c r="P870" i="21"/>
  <c r="O870" i="21"/>
  <c r="W869" i="21"/>
  <c r="U869" i="21"/>
  <c r="T869" i="21"/>
  <c r="S869" i="21"/>
  <c r="R869" i="21"/>
  <c r="Q869" i="21"/>
  <c r="P869" i="21"/>
  <c r="O869" i="21"/>
  <c r="W868" i="21"/>
  <c r="U868" i="21"/>
  <c r="T868" i="21"/>
  <c r="S868" i="21"/>
  <c r="R868" i="21"/>
  <c r="Q868" i="21"/>
  <c r="P868" i="21"/>
  <c r="O868" i="21"/>
  <c r="W867" i="21"/>
  <c r="U867" i="21"/>
  <c r="T867" i="21"/>
  <c r="S867" i="21"/>
  <c r="R867" i="21"/>
  <c r="Q867" i="21"/>
  <c r="P867" i="21"/>
  <c r="O867" i="21"/>
  <c r="W866" i="21"/>
  <c r="U866" i="21"/>
  <c r="T866" i="21"/>
  <c r="S866" i="21"/>
  <c r="R866" i="21"/>
  <c r="Q866" i="21"/>
  <c r="P866" i="21"/>
  <c r="O866" i="21"/>
  <c r="W865" i="21"/>
  <c r="U865" i="21"/>
  <c r="T865" i="21"/>
  <c r="S865" i="21"/>
  <c r="R865" i="21"/>
  <c r="Q865" i="21"/>
  <c r="P865" i="21"/>
  <c r="O865" i="21"/>
  <c r="W864" i="21"/>
  <c r="U864" i="21"/>
  <c r="T864" i="21"/>
  <c r="S864" i="21"/>
  <c r="R864" i="21"/>
  <c r="Q864" i="21"/>
  <c r="P864" i="21"/>
  <c r="O864" i="21"/>
  <c r="W863" i="21"/>
  <c r="U863" i="21"/>
  <c r="T863" i="21"/>
  <c r="S863" i="21"/>
  <c r="R863" i="21"/>
  <c r="Q863" i="21"/>
  <c r="P863" i="21"/>
  <c r="O863" i="21"/>
  <c r="W862" i="21"/>
  <c r="U862" i="21"/>
  <c r="T862" i="21"/>
  <c r="S862" i="21"/>
  <c r="R862" i="21"/>
  <c r="Q862" i="21"/>
  <c r="P862" i="21"/>
  <c r="O862" i="21"/>
  <c r="W861" i="21"/>
  <c r="U861" i="21"/>
  <c r="T861" i="21"/>
  <c r="S861" i="21"/>
  <c r="R861" i="21"/>
  <c r="Q861" i="21"/>
  <c r="P861" i="21"/>
  <c r="O861" i="21"/>
  <c r="W860" i="21"/>
  <c r="U860" i="21"/>
  <c r="T860" i="21"/>
  <c r="S860" i="21"/>
  <c r="R860" i="21"/>
  <c r="Q860" i="21"/>
  <c r="P860" i="21"/>
  <c r="O860" i="21"/>
  <c r="W859" i="21"/>
  <c r="U859" i="21"/>
  <c r="T859" i="21"/>
  <c r="S859" i="21"/>
  <c r="R859" i="21"/>
  <c r="Q859" i="21"/>
  <c r="P859" i="21"/>
  <c r="O859" i="21"/>
  <c r="W858" i="21"/>
  <c r="U858" i="21"/>
  <c r="T858" i="21"/>
  <c r="S858" i="21"/>
  <c r="R858" i="21"/>
  <c r="Q858" i="21"/>
  <c r="P858" i="21"/>
  <c r="O858" i="21"/>
  <c r="W857" i="21"/>
  <c r="U857" i="21"/>
  <c r="T857" i="21"/>
  <c r="S857" i="21"/>
  <c r="R857" i="21"/>
  <c r="Q857" i="21"/>
  <c r="P857" i="21"/>
  <c r="O857" i="21"/>
  <c r="W856" i="21"/>
  <c r="U856" i="21"/>
  <c r="T856" i="21"/>
  <c r="S856" i="21"/>
  <c r="R856" i="21"/>
  <c r="Q856" i="21"/>
  <c r="P856" i="21"/>
  <c r="O856" i="21"/>
  <c r="W855" i="21"/>
  <c r="U855" i="21"/>
  <c r="T855" i="21"/>
  <c r="S855" i="21"/>
  <c r="R855" i="21"/>
  <c r="Q855" i="21"/>
  <c r="P855" i="21"/>
  <c r="O855" i="21"/>
  <c r="W854" i="21"/>
  <c r="U854" i="21"/>
  <c r="T854" i="21"/>
  <c r="S854" i="21"/>
  <c r="R854" i="21"/>
  <c r="Q854" i="21"/>
  <c r="P854" i="21"/>
  <c r="O854" i="21"/>
  <c r="W853" i="21"/>
  <c r="U853" i="21"/>
  <c r="T853" i="21"/>
  <c r="S853" i="21"/>
  <c r="R853" i="21"/>
  <c r="Q853" i="21"/>
  <c r="P853" i="21"/>
  <c r="O853" i="21"/>
  <c r="W852" i="21"/>
  <c r="U852" i="21"/>
  <c r="T852" i="21"/>
  <c r="S852" i="21"/>
  <c r="R852" i="21"/>
  <c r="Q852" i="21"/>
  <c r="P852" i="21"/>
  <c r="O852" i="21"/>
  <c r="W851" i="21"/>
  <c r="U851" i="21"/>
  <c r="T851" i="21"/>
  <c r="S851" i="21"/>
  <c r="R851" i="21"/>
  <c r="Q851" i="21"/>
  <c r="P851" i="21"/>
  <c r="O851" i="21"/>
  <c r="W850" i="21"/>
  <c r="U850" i="21"/>
  <c r="T850" i="21"/>
  <c r="S850" i="21"/>
  <c r="R850" i="21"/>
  <c r="Q850" i="21"/>
  <c r="P850" i="21"/>
  <c r="O850" i="21"/>
  <c r="W849" i="21"/>
  <c r="U849" i="21"/>
  <c r="T849" i="21"/>
  <c r="S849" i="21"/>
  <c r="R849" i="21"/>
  <c r="Q849" i="21"/>
  <c r="P849" i="21"/>
  <c r="O849" i="21"/>
  <c r="W848" i="21"/>
  <c r="U848" i="21"/>
  <c r="T848" i="21"/>
  <c r="S848" i="21"/>
  <c r="R848" i="21"/>
  <c r="Q848" i="21"/>
  <c r="P848" i="21"/>
  <c r="O848" i="21"/>
  <c r="W847" i="21"/>
  <c r="U847" i="21"/>
  <c r="T847" i="21"/>
  <c r="S847" i="21"/>
  <c r="R847" i="21"/>
  <c r="Q847" i="21"/>
  <c r="P847" i="21"/>
  <c r="O847" i="21"/>
  <c r="W846" i="21"/>
  <c r="U846" i="21"/>
  <c r="T846" i="21"/>
  <c r="S846" i="21"/>
  <c r="R846" i="21"/>
  <c r="Q846" i="21"/>
  <c r="P846" i="21"/>
  <c r="O846" i="21"/>
  <c r="W845" i="21"/>
  <c r="U845" i="21"/>
  <c r="T845" i="21"/>
  <c r="S845" i="21"/>
  <c r="R845" i="21"/>
  <c r="Q845" i="21"/>
  <c r="P845" i="21"/>
  <c r="O845" i="21"/>
  <c r="W844" i="21"/>
  <c r="U844" i="21"/>
  <c r="T844" i="21"/>
  <c r="S844" i="21"/>
  <c r="R844" i="21"/>
  <c r="Q844" i="21"/>
  <c r="P844" i="21"/>
  <c r="O844" i="21"/>
  <c r="W843" i="21"/>
  <c r="U843" i="21"/>
  <c r="T843" i="21"/>
  <c r="S843" i="21"/>
  <c r="R843" i="21"/>
  <c r="Q843" i="21"/>
  <c r="P843" i="21"/>
  <c r="O843" i="21"/>
  <c r="W842" i="21"/>
  <c r="U842" i="21"/>
  <c r="T842" i="21"/>
  <c r="S842" i="21"/>
  <c r="R842" i="21"/>
  <c r="Q842" i="21"/>
  <c r="P842" i="21"/>
  <c r="O842" i="21"/>
  <c r="W841" i="21"/>
  <c r="U841" i="21"/>
  <c r="T841" i="21"/>
  <c r="S841" i="21"/>
  <c r="R841" i="21"/>
  <c r="Q841" i="21"/>
  <c r="P841" i="21"/>
  <c r="O841" i="21"/>
  <c r="W840" i="21"/>
  <c r="U840" i="21"/>
  <c r="T840" i="21"/>
  <c r="S840" i="21"/>
  <c r="R840" i="21"/>
  <c r="Q840" i="21"/>
  <c r="P840" i="21"/>
  <c r="O840" i="21"/>
  <c r="W839" i="21"/>
  <c r="U839" i="21"/>
  <c r="T839" i="21"/>
  <c r="S839" i="21"/>
  <c r="R839" i="21"/>
  <c r="Q839" i="21"/>
  <c r="P839" i="21"/>
  <c r="O839" i="21"/>
  <c r="W838" i="21"/>
  <c r="U838" i="21"/>
  <c r="T838" i="21"/>
  <c r="S838" i="21"/>
  <c r="R838" i="21"/>
  <c r="Q838" i="21"/>
  <c r="P838" i="21"/>
  <c r="O838" i="21"/>
  <c r="W837" i="21"/>
  <c r="U837" i="21"/>
  <c r="T837" i="21"/>
  <c r="S837" i="21"/>
  <c r="R837" i="21"/>
  <c r="Q837" i="21"/>
  <c r="P837" i="21"/>
  <c r="O837" i="21"/>
  <c r="W836" i="21"/>
  <c r="U836" i="21"/>
  <c r="T836" i="21"/>
  <c r="S836" i="21"/>
  <c r="R836" i="21"/>
  <c r="Q836" i="21"/>
  <c r="P836" i="21"/>
  <c r="O836" i="21"/>
  <c r="W835" i="21"/>
  <c r="U835" i="21"/>
  <c r="T835" i="21"/>
  <c r="S835" i="21"/>
  <c r="R835" i="21"/>
  <c r="Q835" i="21"/>
  <c r="P835" i="21"/>
  <c r="O835" i="21"/>
  <c r="W834" i="21"/>
  <c r="U834" i="21"/>
  <c r="T834" i="21"/>
  <c r="S834" i="21"/>
  <c r="R834" i="21"/>
  <c r="Q834" i="21"/>
  <c r="P834" i="21"/>
  <c r="O834" i="21"/>
  <c r="W833" i="21"/>
  <c r="U833" i="21"/>
  <c r="T833" i="21"/>
  <c r="S833" i="21"/>
  <c r="R833" i="21"/>
  <c r="Q833" i="21"/>
  <c r="P833" i="21"/>
  <c r="O833" i="21"/>
  <c r="W832" i="21"/>
  <c r="U832" i="21"/>
  <c r="T832" i="21"/>
  <c r="S832" i="21"/>
  <c r="R832" i="21"/>
  <c r="Q832" i="21"/>
  <c r="P832" i="21"/>
  <c r="O832" i="21"/>
  <c r="W831" i="21"/>
  <c r="U831" i="21"/>
  <c r="T831" i="21"/>
  <c r="S831" i="21"/>
  <c r="R831" i="21"/>
  <c r="Q831" i="21"/>
  <c r="P831" i="21"/>
  <c r="O831" i="21"/>
  <c r="W830" i="21"/>
  <c r="U830" i="21"/>
  <c r="T830" i="21"/>
  <c r="S830" i="21"/>
  <c r="R830" i="21"/>
  <c r="Q830" i="21"/>
  <c r="P830" i="21"/>
  <c r="O830" i="21"/>
  <c r="W829" i="21"/>
  <c r="U829" i="21"/>
  <c r="T829" i="21"/>
  <c r="S829" i="21"/>
  <c r="R829" i="21"/>
  <c r="Q829" i="21"/>
  <c r="P829" i="21"/>
  <c r="O829" i="21"/>
  <c r="W828" i="21"/>
  <c r="U828" i="21"/>
  <c r="T828" i="21"/>
  <c r="S828" i="21"/>
  <c r="R828" i="21"/>
  <c r="Q828" i="21"/>
  <c r="P828" i="21"/>
  <c r="O828" i="21"/>
  <c r="W827" i="21"/>
  <c r="U827" i="21"/>
  <c r="T827" i="21"/>
  <c r="S827" i="21"/>
  <c r="R827" i="21"/>
  <c r="Q827" i="21"/>
  <c r="P827" i="21"/>
  <c r="O827" i="21"/>
  <c r="W826" i="21"/>
  <c r="U826" i="21"/>
  <c r="T826" i="21"/>
  <c r="S826" i="21"/>
  <c r="R826" i="21"/>
  <c r="Q826" i="21"/>
  <c r="P826" i="21"/>
  <c r="O826" i="21"/>
  <c r="W825" i="21"/>
  <c r="U825" i="21"/>
  <c r="T825" i="21"/>
  <c r="S825" i="21"/>
  <c r="R825" i="21"/>
  <c r="Q825" i="21"/>
  <c r="P825" i="21"/>
  <c r="O825" i="21"/>
  <c r="W824" i="21"/>
  <c r="U824" i="21"/>
  <c r="T824" i="21"/>
  <c r="S824" i="21"/>
  <c r="R824" i="21"/>
  <c r="Q824" i="21"/>
  <c r="P824" i="21"/>
  <c r="O824" i="21"/>
  <c r="W823" i="21"/>
  <c r="U823" i="21"/>
  <c r="T823" i="21"/>
  <c r="S823" i="21"/>
  <c r="R823" i="21"/>
  <c r="Q823" i="21"/>
  <c r="P823" i="21"/>
  <c r="O823" i="21"/>
  <c r="W822" i="21"/>
  <c r="U822" i="21"/>
  <c r="T822" i="21"/>
  <c r="S822" i="21"/>
  <c r="R822" i="21"/>
  <c r="Q822" i="21"/>
  <c r="P822" i="21"/>
  <c r="O822" i="21"/>
  <c r="W821" i="21"/>
  <c r="U821" i="21"/>
  <c r="T821" i="21"/>
  <c r="S821" i="21"/>
  <c r="R821" i="21"/>
  <c r="Q821" i="21"/>
  <c r="P821" i="21"/>
  <c r="O821" i="21"/>
  <c r="W820" i="21"/>
  <c r="U820" i="21"/>
  <c r="T820" i="21"/>
  <c r="S820" i="21"/>
  <c r="R820" i="21"/>
  <c r="Q820" i="21"/>
  <c r="P820" i="21"/>
  <c r="O820" i="21"/>
  <c r="W819" i="21"/>
  <c r="U819" i="21"/>
  <c r="T819" i="21"/>
  <c r="S819" i="21"/>
  <c r="R819" i="21"/>
  <c r="Q819" i="21"/>
  <c r="P819" i="21"/>
  <c r="O819" i="21"/>
  <c r="W818" i="21"/>
  <c r="U818" i="21"/>
  <c r="T818" i="21"/>
  <c r="S818" i="21"/>
  <c r="R818" i="21"/>
  <c r="Q818" i="21"/>
  <c r="P818" i="21"/>
  <c r="O818" i="21"/>
  <c r="W817" i="21"/>
  <c r="U817" i="21"/>
  <c r="T817" i="21"/>
  <c r="S817" i="21"/>
  <c r="R817" i="21"/>
  <c r="Q817" i="21"/>
  <c r="P817" i="21"/>
  <c r="O817" i="21"/>
  <c r="W816" i="21"/>
  <c r="U816" i="21"/>
  <c r="T816" i="21"/>
  <c r="S816" i="21"/>
  <c r="R816" i="21"/>
  <c r="Q816" i="21"/>
  <c r="P816" i="21"/>
  <c r="O816" i="21"/>
  <c r="W815" i="21"/>
  <c r="U815" i="21"/>
  <c r="T815" i="21"/>
  <c r="S815" i="21"/>
  <c r="R815" i="21"/>
  <c r="Q815" i="21"/>
  <c r="P815" i="21"/>
  <c r="O815" i="21"/>
  <c r="W814" i="21"/>
  <c r="U814" i="21"/>
  <c r="T814" i="21"/>
  <c r="S814" i="21"/>
  <c r="R814" i="21"/>
  <c r="Q814" i="21"/>
  <c r="P814" i="21"/>
  <c r="O814" i="21"/>
  <c r="W813" i="21"/>
  <c r="U813" i="21"/>
  <c r="T813" i="21"/>
  <c r="S813" i="21"/>
  <c r="R813" i="21"/>
  <c r="Q813" i="21"/>
  <c r="P813" i="21"/>
  <c r="O813" i="21"/>
  <c r="W812" i="21"/>
  <c r="U812" i="21"/>
  <c r="T812" i="21"/>
  <c r="S812" i="21"/>
  <c r="R812" i="21"/>
  <c r="Q812" i="21"/>
  <c r="P812" i="21"/>
  <c r="O812" i="21"/>
  <c r="W811" i="21"/>
  <c r="U811" i="21"/>
  <c r="T811" i="21"/>
  <c r="S811" i="21"/>
  <c r="R811" i="21"/>
  <c r="Q811" i="21"/>
  <c r="P811" i="21"/>
  <c r="O811" i="21"/>
  <c r="W810" i="21"/>
  <c r="U810" i="21"/>
  <c r="T810" i="21"/>
  <c r="S810" i="21"/>
  <c r="R810" i="21"/>
  <c r="Q810" i="21"/>
  <c r="P810" i="21"/>
  <c r="O810" i="21"/>
  <c r="W809" i="21"/>
  <c r="U809" i="21"/>
  <c r="T809" i="21"/>
  <c r="S809" i="21"/>
  <c r="R809" i="21"/>
  <c r="Q809" i="21"/>
  <c r="P809" i="21"/>
  <c r="O809" i="21"/>
  <c r="W808" i="21"/>
  <c r="U808" i="21"/>
  <c r="T808" i="21"/>
  <c r="S808" i="21"/>
  <c r="R808" i="21"/>
  <c r="Q808" i="21"/>
  <c r="P808" i="21"/>
  <c r="O808" i="21"/>
  <c r="W807" i="21"/>
  <c r="U807" i="21"/>
  <c r="T807" i="21"/>
  <c r="S807" i="21"/>
  <c r="R807" i="21"/>
  <c r="Q807" i="21"/>
  <c r="P807" i="21"/>
  <c r="O807" i="21"/>
  <c r="W806" i="21"/>
  <c r="U806" i="21"/>
  <c r="T806" i="21"/>
  <c r="S806" i="21"/>
  <c r="R806" i="21"/>
  <c r="Q806" i="21"/>
  <c r="P806" i="21"/>
  <c r="O806" i="21"/>
  <c r="W805" i="21"/>
  <c r="U805" i="21"/>
  <c r="T805" i="21"/>
  <c r="S805" i="21"/>
  <c r="R805" i="21"/>
  <c r="Q805" i="21"/>
  <c r="P805" i="21"/>
  <c r="O805" i="21"/>
  <c r="W804" i="21"/>
  <c r="U804" i="21"/>
  <c r="T804" i="21"/>
  <c r="S804" i="21"/>
  <c r="R804" i="21"/>
  <c r="Q804" i="21"/>
  <c r="P804" i="21"/>
  <c r="O804" i="21"/>
  <c r="W803" i="21"/>
  <c r="U803" i="21"/>
  <c r="T803" i="21"/>
  <c r="S803" i="21"/>
  <c r="R803" i="21"/>
  <c r="Q803" i="21"/>
  <c r="P803" i="21"/>
  <c r="O803" i="21"/>
  <c r="W802" i="21"/>
  <c r="U802" i="21"/>
  <c r="T802" i="21"/>
  <c r="S802" i="21"/>
  <c r="R802" i="21"/>
  <c r="Q802" i="21"/>
  <c r="P802" i="21"/>
  <c r="O802" i="21"/>
  <c r="W801" i="21"/>
  <c r="U801" i="21"/>
  <c r="T801" i="21"/>
  <c r="S801" i="21"/>
  <c r="R801" i="21"/>
  <c r="Q801" i="21"/>
  <c r="P801" i="21"/>
  <c r="O801" i="21"/>
  <c r="W800" i="21"/>
  <c r="U800" i="21"/>
  <c r="T800" i="21"/>
  <c r="S800" i="21"/>
  <c r="R800" i="21"/>
  <c r="Q800" i="21"/>
  <c r="P800" i="21"/>
  <c r="O800" i="21"/>
  <c r="W799" i="21"/>
  <c r="U799" i="21"/>
  <c r="T799" i="21"/>
  <c r="S799" i="21"/>
  <c r="R799" i="21"/>
  <c r="Q799" i="21"/>
  <c r="P799" i="21"/>
  <c r="O799" i="21"/>
  <c r="W798" i="21"/>
  <c r="U798" i="21"/>
  <c r="T798" i="21"/>
  <c r="S798" i="21"/>
  <c r="R798" i="21"/>
  <c r="Q798" i="21"/>
  <c r="P798" i="21"/>
  <c r="O798" i="21"/>
  <c r="W797" i="21"/>
  <c r="U797" i="21"/>
  <c r="T797" i="21"/>
  <c r="S797" i="21"/>
  <c r="R797" i="21"/>
  <c r="Q797" i="21"/>
  <c r="P797" i="21"/>
  <c r="O797" i="21"/>
  <c r="W796" i="21"/>
  <c r="U796" i="21"/>
  <c r="T796" i="21"/>
  <c r="S796" i="21"/>
  <c r="R796" i="21"/>
  <c r="Q796" i="21"/>
  <c r="P796" i="21"/>
  <c r="O796" i="21"/>
  <c r="W795" i="21"/>
  <c r="U795" i="21"/>
  <c r="T795" i="21"/>
  <c r="S795" i="21"/>
  <c r="R795" i="21"/>
  <c r="Q795" i="21"/>
  <c r="P795" i="21"/>
  <c r="O795" i="21"/>
  <c r="W794" i="21"/>
  <c r="U794" i="21"/>
  <c r="T794" i="21"/>
  <c r="S794" i="21"/>
  <c r="R794" i="21"/>
  <c r="Q794" i="21"/>
  <c r="P794" i="21"/>
  <c r="O794" i="21"/>
  <c r="W793" i="21"/>
  <c r="U793" i="21"/>
  <c r="T793" i="21"/>
  <c r="S793" i="21"/>
  <c r="R793" i="21"/>
  <c r="Q793" i="21"/>
  <c r="P793" i="21"/>
  <c r="O793" i="21"/>
  <c r="W792" i="21"/>
  <c r="U792" i="21"/>
  <c r="T792" i="21"/>
  <c r="S792" i="21"/>
  <c r="R792" i="21"/>
  <c r="Q792" i="21"/>
  <c r="P792" i="21"/>
  <c r="O792" i="21"/>
  <c r="W791" i="21"/>
  <c r="U791" i="21"/>
  <c r="T791" i="21"/>
  <c r="S791" i="21"/>
  <c r="R791" i="21"/>
  <c r="Q791" i="21"/>
  <c r="P791" i="21"/>
  <c r="O791" i="21"/>
  <c r="W790" i="21"/>
  <c r="U790" i="21"/>
  <c r="T790" i="21"/>
  <c r="S790" i="21"/>
  <c r="R790" i="21"/>
  <c r="Q790" i="21"/>
  <c r="P790" i="21"/>
  <c r="O790" i="21"/>
  <c r="W789" i="21"/>
  <c r="U789" i="21"/>
  <c r="T789" i="21"/>
  <c r="S789" i="21"/>
  <c r="R789" i="21"/>
  <c r="Q789" i="21"/>
  <c r="P789" i="21"/>
  <c r="O789" i="21"/>
  <c r="W788" i="21"/>
  <c r="U788" i="21"/>
  <c r="T788" i="21"/>
  <c r="S788" i="21"/>
  <c r="R788" i="21"/>
  <c r="Q788" i="21"/>
  <c r="P788" i="21"/>
  <c r="O788" i="21"/>
  <c r="W787" i="21"/>
  <c r="U787" i="21"/>
  <c r="T787" i="21"/>
  <c r="S787" i="21"/>
  <c r="R787" i="21"/>
  <c r="Q787" i="21"/>
  <c r="P787" i="21"/>
  <c r="O787" i="21"/>
  <c r="W786" i="21"/>
  <c r="U786" i="21"/>
  <c r="T786" i="21"/>
  <c r="S786" i="21"/>
  <c r="R786" i="21"/>
  <c r="Q786" i="21"/>
  <c r="P786" i="21"/>
  <c r="O786" i="21"/>
  <c r="W785" i="21"/>
  <c r="U785" i="21"/>
  <c r="T785" i="21"/>
  <c r="S785" i="21"/>
  <c r="R785" i="21"/>
  <c r="Q785" i="21"/>
  <c r="P785" i="21"/>
  <c r="O785" i="21"/>
  <c r="W784" i="21"/>
  <c r="U784" i="21"/>
  <c r="T784" i="21"/>
  <c r="S784" i="21"/>
  <c r="R784" i="21"/>
  <c r="Q784" i="21"/>
  <c r="P784" i="21"/>
  <c r="O784" i="21"/>
  <c r="W783" i="21"/>
  <c r="U783" i="21"/>
  <c r="T783" i="21"/>
  <c r="S783" i="21"/>
  <c r="R783" i="21"/>
  <c r="Q783" i="21"/>
  <c r="P783" i="21"/>
  <c r="O783" i="21"/>
  <c r="W782" i="21"/>
  <c r="U782" i="21"/>
  <c r="T782" i="21"/>
  <c r="S782" i="21"/>
  <c r="R782" i="21"/>
  <c r="Q782" i="21"/>
  <c r="P782" i="21"/>
  <c r="O782" i="21"/>
  <c r="W781" i="21"/>
  <c r="U781" i="21"/>
  <c r="T781" i="21"/>
  <c r="S781" i="21"/>
  <c r="R781" i="21"/>
  <c r="Q781" i="21"/>
  <c r="P781" i="21"/>
  <c r="O781" i="21"/>
  <c r="W780" i="21"/>
  <c r="U780" i="21"/>
  <c r="T780" i="21"/>
  <c r="S780" i="21"/>
  <c r="R780" i="21"/>
  <c r="Q780" i="21"/>
  <c r="P780" i="21"/>
  <c r="O780" i="21"/>
  <c r="W779" i="21"/>
  <c r="U779" i="21"/>
  <c r="T779" i="21"/>
  <c r="S779" i="21"/>
  <c r="R779" i="21"/>
  <c r="Q779" i="21"/>
  <c r="P779" i="21"/>
  <c r="O779" i="21"/>
  <c r="W778" i="21"/>
  <c r="U778" i="21"/>
  <c r="T778" i="21"/>
  <c r="S778" i="21"/>
  <c r="R778" i="21"/>
  <c r="Q778" i="21"/>
  <c r="P778" i="21"/>
  <c r="O778" i="21"/>
  <c r="W777" i="21"/>
  <c r="U777" i="21"/>
  <c r="T777" i="21"/>
  <c r="S777" i="21"/>
  <c r="R777" i="21"/>
  <c r="Q777" i="21"/>
  <c r="P777" i="21"/>
  <c r="O777" i="21"/>
  <c r="W776" i="21"/>
  <c r="U776" i="21"/>
  <c r="T776" i="21"/>
  <c r="S776" i="21"/>
  <c r="R776" i="21"/>
  <c r="Q776" i="21"/>
  <c r="P776" i="21"/>
  <c r="O776" i="21"/>
  <c r="W775" i="21"/>
  <c r="U775" i="21"/>
  <c r="T775" i="21"/>
  <c r="S775" i="21"/>
  <c r="R775" i="21"/>
  <c r="Q775" i="21"/>
  <c r="P775" i="21"/>
  <c r="O775" i="21"/>
  <c r="W774" i="21"/>
  <c r="U774" i="21"/>
  <c r="T774" i="21"/>
  <c r="S774" i="21"/>
  <c r="R774" i="21"/>
  <c r="Q774" i="21"/>
  <c r="P774" i="21"/>
  <c r="O774" i="21"/>
  <c r="W773" i="21"/>
  <c r="U773" i="21"/>
  <c r="T773" i="21"/>
  <c r="S773" i="21"/>
  <c r="R773" i="21"/>
  <c r="Q773" i="21"/>
  <c r="P773" i="21"/>
  <c r="O773" i="21"/>
  <c r="W772" i="21"/>
  <c r="U772" i="21"/>
  <c r="T772" i="21"/>
  <c r="S772" i="21"/>
  <c r="R772" i="21"/>
  <c r="Q772" i="21"/>
  <c r="P772" i="21"/>
  <c r="O772" i="21"/>
  <c r="W771" i="21"/>
  <c r="U771" i="21"/>
  <c r="T771" i="21"/>
  <c r="S771" i="21"/>
  <c r="R771" i="21"/>
  <c r="Q771" i="21"/>
  <c r="P771" i="21"/>
  <c r="O771" i="21"/>
  <c r="W770" i="21"/>
  <c r="U770" i="21"/>
  <c r="T770" i="21"/>
  <c r="S770" i="21"/>
  <c r="R770" i="21"/>
  <c r="Q770" i="21"/>
  <c r="P770" i="21"/>
  <c r="O770" i="21"/>
  <c r="W769" i="21"/>
  <c r="U769" i="21"/>
  <c r="T769" i="21"/>
  <c r="S769" i="21"/>
  <c r="R769" i="21"/>
  <c r="Q769" i="21"/>
  <c r="P769" i="21"/>
  <c r="O769" i="21"/>
  <c r="W768" i="21"/>
  <c r="U768" i="21"/>
  <c r="T768" i="21"/>
  <c r="S768" i="21"/>
  <c r="R768" i="21"/>
  <c r="Q768" i="21"/>
  <c r="P768" i="21"/>
  <c r="O768" i="21"/>
  <c r="W767" i="21"/>
  <c r="U767" i="21"/>
  <c r="T767" i="21"/>
  <c r="S767" i="21"/>
  <c r="R767" i="21"/>
  <c r="Q767" i="21"/>
  <c r="P767" i="21"/>
  <c r="O767" i="21"/>
  <c r="W766" i="21"/>
  <c r="U766" i="21"/>
  <c r="T766" i="21"/>
  <c r="S766" i="21"/>
  <c r="R766" i="21"/>
  <c r="Q766" i="21"/>
  <c r="P766" i="21"/>
  <c r="O766" i="21"/>
  <c r="W765" i="21"/>
  <c r="U765" i="21"/>
  <c r="T765" i="21"/>
  <c r="S765" i="21"/>
  <c r="R765" i="21"/>
  <c r="Q765" i="21"/>
  <c r="P765" i="21"/>
  <c r="O765" i="21"/>
  <c r="W764" i="21"/>
  <c r="U764" i="21"/>
  <c r="T764" i="21"/>
  <c r="S764" i="21"/>
  <c r="R764" i="21"/>
  <c r="Q764" i="21"/>
  <c r="P764" i="21"/>
  <c r="O764" i="21"/>
  <c r="W763" i="21"/>
  <c r="U763" i="21"/>
  <c r="T763" i="21"/>
  <c r="S763" i="21"/>
  <c r="R763" i="21"/>
  <c r="Q763" i="21"/>
  <c r="P763" i="21"/>
  <c r="O763" i="21"/>
  <c r="W762" i="21"/>
  <c r="U762" i="21"/>
  <c r="T762" i="21"/>
  <c r="S762" i="21"/>
  <c r="R762" i="21"/>
  <c r="Q762" i="21"/>
  <c r="P762" i="21"/>
  <c r="O762" i="21"/>
  <c r="W761" i="21"/>
  <c r="U761" i="21"/>
  <c r="T761" i="21"/>
  <c r="S761" i="21"/>
  <c r="R761" i="21"/>
  <c r="Q761" i="21"/>
  <c r="P761" i="21"/>
  <c r="O761" i="21"/>
  <c r="W760" i="21"/>
  <c r="U760" i="21"/>
  <c r="T760" i="21"/>
  <c r="S760" i="21"/>
  <c r="R760" i="21"/>
  <c r="Q760" i="21"/>
  <c r="P760" i="21"/>
  <c r="O760" i="21"/>
  <c r="W759" i="21"/>
  <c r="U759" i="21"/>
  <c r="T759" i="21"/>
  <c r="S759" i="21"/>
  <c r="R759" i="21"/>
  <c r="Q759" i="21"/>
  <c r="P759" i="21"/>
  <c r="O759" i="21"/>
  <c r="W758" i="21"/>
  <c r="U758" i="21"/>
  <c r="T758" i="21"/>
  <c r="S758" i="21"/>
  <c r="R758" i="21"/>
  <c r="Q758" i="21"/>
  <c r="P758" i="21"/>
  <c r="O758" i="21"/>
  <c r="W757" i="21"/>
  <c r="U757" i="21"/>
  <c r="T757" i="21"/>
  <c r="S757" i="21"/>
  <c r="R757" i="21"/>
  <c r="Q757" i="21"/>
  <c r="P757" i="21"/>
  <c r="O757" i="21"/>
  <c r="W756" i="21"/>
  <c r="U756" i="21"/>
  <c r="T756" i="21"/>
  <c r="S756" i="21"/>
  <c r="R756" i="21"/>
  <c r="Q756" i="21"/>
  <c r="P756" i="21"/>
  <c r="O756" i="21"/>
  <c r="W755" i="21"/>
  <c r="U755" i="21"/>
  <c r="T755" i="21"/>
  <c r="S755" i="21"/>
  <c r="R755" i="21"/>
  <c r="Q755" i="21"/>
  <c r="P755" i="21"/>
  <c r="O755" i="21"/>
  <c r="W754" i="21"/>
  <c r="U754" i="21"/>
  <c r="T754" i="21"/>
  <c r="S754" i="21"/>
  <c r="R754" i="21"/>
  <c r="Q754" i="21"/>
  <c r="P754" i="21"/>
  <c r="O754" i="21"/>
  <c r="W753" i="21"/>
  <c r="U753" i="21"/>
  <c r="T753" i="21"/>
  <c r="S753" i="21"/>
  <c r="R753" i="21"/>
  <c r="Q753" i="21"/>
  <c r="P753" i="21"/>
  <c r="O753" i="21"/>
  <c r="W752" i="21"/>
  <c r="U752" i="21"/>
  <c r="T752" i="21"/>
  <c r="S752" i="21"/>
  <c r="R752" i="21"/>
  <c r="Q752" i="21"/>
  <c r="P752" i="21"/>
  <c r="O752" i="21"/>
  <c r="W751" i="21"/>
  <c r="U751" i="21"/>
  <c r="T751" i="21"/>
  <c r="S751" i="21"/>
  <c r="R751" i="21"/>
  <c r="Q751" i="21"/>
  <c r="P751" i="21"/>
  <c r="O751" i="21"/>
  <c r="W750" i="21"/>
  <c r="U750" i="21"/>
  <c r="T750" i="21"/>
  <c r="S750" i="21"/>
  <c r="R750" i="21"/>
  <c r="Q750" i="21"/>
  <c r="P750" i="21"/>
  <c r="O750" i="21"/>
  <c r="W749" i="21"/>
  <c r="U749" i="21"/>
  <c r="T749" i="21"/>
  <c r="S749" i="21"/>
  <c r="R749" i="21"/>
  <c r="Q749" i="21"/>
  <c r="P749" i="21"/>
  <c r="O749" i="21"/>
  <c r="W748" i="21"/>
  <c r="U748" i="21"/>
  <c r="T748" i="21"/>
  <c r="S748" i="21"/>
  <c r="R748" i="21"/>
  <c r="Q748" i="21"/>
  <c r="P748" i="21"/>
  <c r="O748" i="21"/>
  <c r="W747" i="21"/>
  <c r="U747" i="21"/>
  <c r="T747" i="21"/>
  <c r="S747" i="21"/>
  <c r="R747" i="21"/>
  <c r="Q747" i="21"/>
  <c r="P747" i="21"/>
  <c r="O747" i="21"/>
  <c r="W746" i="21"/>
  <c r="U746" i="21"/>
  <c r="T746" i="21"/>
  <c r="S746" i="21"/>
  <c r="R746" i="21"/>
  <c r="Q746" i="21"/>
  <c r="P746" i="21"/>
  <c r="O746" i="21"/>
  <c r="W745" i="21"/>
  <c r="U745" i="21"/>
  <c r="T745" i="21"/>
  <c r="S745" i="21"/>
  <c r="R745" i="21"/>
  <c r="Q745" i="21"/>
  <c r="P745" i="21"/>
  <c r="O745" i="21"/>
  <c r="W744" i="21"/>
  <c r="U744" i="21"/>
  <c r="T744" i="21"/>
  <c r="S744" i="21"/>
  <c r="R744" i="21"/>
  <c r="Q744" i="21"/>
  <c r="P744" i="21"/>
  <c r="O744" i="21"/>
  <c r="W743" i="21"/>
  <c r="U743" i="21"/>
  <c r="T743" i="21"/>
  <c r="S743" i="21"/>
  <c r="R743" i="21"/>
  <c r="Q743" i="21"/>
  <c r="P743" i="21"/>
  <c r="O743" i="21"/>
  <c r="W742" i="21"/>
  <c r="U742" i="21"/>
  <c r="T742" i="21"/>
  <c r="S742" i="21"/>
  <c r="R742" i="21"/>
  <c r="Q742" i="21"/>
  <c r="P742" i="21"/>
  <c r="O742" i="21"/>
  <c r="W741" i="21"/>
  <c r="U741" i="21"/>
  <c r="T741" i="21"/>
  <c r="S741" i="21"/>
  <c r="R741" i="21"/>
  <c r="Q741" i="21"/>
  <c r="P741" i="21"/>
  <c r="O741" i="21"/>
  <c r="W740" i="21"/>
  <c r="U740" i="21"/>
  <c r="T740" i="21"/>
  <c r="S740" i="21"/>
  <c r="R740" i="21"/>
  <c r="Q740" i="21"/>
  <c r="P740" i="21"/>
  <c r="O740" i="21"/>
  <c r="W739" i="21"/>
  <c r="U739" i="21"/>
  <c r="T739" i="21"/>
  <c r="S739" i="21"/>
  <c r="R739" i="21"/>
  <c r="Q739" i="21"/>
  <c r="P739" i="21"/>
  <c r="O739" i="21"/>
  <c r="W738" i="21"/>
  <c r="U738" i="21"/>
  <c r="T738" i="21"/>
  <c r="S738" i="21"/>
  <c r="R738" i="21"/>
  <c r="Q738" i="21"/>
  <c r="P738" i="21"/>
  <c r="O738" i="21"/>
  <c r="W737" i="21"/>
  <c r="U737" i="21"/>
  <c r="T737" i="21"/>
  <c r="S737" i="21"/>
  <c r="R737" i="21"/>
  <c r="Q737" i="21"/>
  <c r="P737" i="21"/>
  <c r="O737" i="21"/>
  <c r="W736" i="21"/>
  <c r="U736" i="21"/>
  <c r="T736" i="21"/>
  <c r="S736" i="21"/>
  <c r="R736" i="21"/>
  <c r="Q736" i="21"/>
  <c r="P736" i="21"/>
  <c r="O736" i="21"/>
  <c r="W735" i="21"/>
  <c r="U735" i="21"/>
  <c r="T735" i="21"/>
  <c r="S735" i="21"/>
  <c r="R735" i="21"/>
  <c r="Q735" i="21"/>
  <c r="P735" i="21"/>
  <c r="O735" i="21"/>
  <c r="W734" i="21"/>
  <c r="U734" i="21"/>
  <c r="T734" i="21"/>
  <c r="S734" i="21"/>
  <c r="R734" i="21"/>
  <c r="Q734" i="21"/>
  <c r="P734" i="21"/>
  <c r="O734" i="21"/>
  <c r="W733" i="21"/>
  <c r="U733" i="21"/>
  <c r="T733" i="21"/>
  <c r="S733" i="21"/>
  <c r="R733" i="21"/>
  <c r="Q733" i="21"/>
  <c r="P733" i="21"/>
  <c r="O733" i="21"/>
  <c r="W732" i="21"/>
  <c r="U732" i="21"/>
  <c r="T732" i="21"/>
  <c r="S732" i="21"/>
  <c r="R732" i="21"/>
  <c r="Q732" i="21"/>
  <c r="P732" i="21"/>
  <c r="O732" i="21"/>
  <c r="W731" i="21"/>
  <c r="U731" i="21"/>
  <c r="T731" i="21"/>
  <c r="S731" i="21"/>
  <c r="R731" i="21"/>
  <c r="Q731" i="21"/>
  <c r="P731" i="21"/>
  <c r="O731" i="21"/>
  <c r="W730" i="21"/>
  <c r="U730" i="21"/>
  <c r="T730" i="21"/>
  <c r="S730" i="21"/>
  <c r="R730" i="21"/>
  <c r="Q730" i="21"/>
  <c r="P730" i="21"/>
  <c r="O730" i="21"/>
  <c r="W729" i="21"/>
  <c r="U729" i="21"/>
  <c r="T729" i="21"/>
  <c r="S729" i="21"/>
  <c r="R729" i="21"/>
  <c r="Q729" i="21"/>
  <c r="P729" i="21"/>
  <c r="O729" i="21"/>
  <c r="W728" i="21"/>
  <c r="U728" i="21"/>
  <c r="T728" i="21"/>
  <c r="S728" i="21"/>
  <c r="R728" i="21"/>
  <c r="Q728" i="21"/>
  <c r="P728" i="21"/>
  <c r="O728" i="21"/>
  <c r="W727" i="21"/>
  <c r="U727" i="21"/>
  <c r="T727" i="21"/>
  <c r="S727" i="21"/>
  <c r="R727" i="21"/>
  <c r="Q727" i="21"/>
  <c r="P727" i="21"/>
  <c r="O727" i="21"/>
  <c r="W726" i="21"/>
  <c r="U726" i="21"/>
  <c r="T726" i="21"/>
  <c r="S726" i="21"/>
  <c r="R726" i="21"/>
  <c r="Q726" i="21"/>
  <c r="P726" i="21"/>
  <c r="O726" i="21"/>
  <c r="W725" i="21"/>
  <c r="U725" i="21"/>
  <c r="T725" i="21"/>
  <c r="S725" i="21"/>
  <c r="R725" i="21"/>
  <c r="Q725" i="21"/>
  <c r="P725" i="21"/>
  <c r="O725" i="21"/>
  <c r="W724" i="21"/>
  <c r="U724" i="21"/>
  <c r="T724" i="21"/>
  <c r="S724" i="21"/>
  <c r="R724" i="21"/>
  <c r="Q724" i="21"/>
  <c r="P724" i="21"/>
  <c r="O724" i="21"/>
  <c r="W723" i="21"/>
  <c r="U723" i="21"/>
  <c r="T723" i="21"/>
  <c r="S723" i="21"/>
  <c r="R723" i="21"/>
  <c r="Q723" i="21"/>
  <c r="P723" i="21"/>
  <c r="O723" i="21"/>
  <c r="W722" i="21"/>
  <c r="U722" i="21"/>
  <c r="T722" i="21"/>
  <c r="S722" i="21"/>
  <c r="R722" i="21"/>
  <c r="Q722" i="21"/>
  <c r="P722" i="21"/>
  <c r="O722" i="21"/>
  <c r="W721" i="21"/>
  <c r="U721" i="21"/>
  <c r="T721" i="21"/>
  <c r="S721" i="21"/>
  <c r="R721" i="21"/>
  <c r="Q721" i="21"/>
  <c r="P721" i="21"/>
  <c r="O721" i="21"/>
  <c r="W720" i="21"/>
  <c r="U720" i="21"/>
  <c r="T720" i="21"/>
  <c r="S720" i="21"/>
  <c r="R720" i="21"/>
  <c r="Q720" i="21"/>
  <c r="P720" i="21"/>
  <c r="O720" i="21"/>
  <c r="W719" i="21"/>
  <c r="U719" i="21"/>
  <c r="T719" i="21"/>
  <c r="S719" i="21"/>
  <c r="R719" i="21"/>
  <c r="Q719" i="21"/>
  <c r="P719" i="21"/>
  <c r="O719" i="21"/>
  <c r="W718" i="21"/>
  <c r="U718" i="21"/>
  <c r="T718" i="21"/>
  <c r="S718" i="21"/>
  <c r="R718" i="21"/>
  <c r="Q718" i="21"/>
  <c r="P718" i="21"/>
  <c r="O718" i="21"/>
  <c r="W717" i="21"/>
  <c r="U717" i="21"/>
  <c r="T717" i="21"/>
  <c r="S717" i="21"/>
  <c r="R717" i="21"/>
  <c r="Q717" i="21"/>
  <c r="P717" i="21"/>
  <c r="O717" i="21"/>
  <c r="W716" i="21"/>
  <c r="U716" i="21"/>
  <c r="T716" i="21"/>
  <c r="S716" i="21"/>
  <c r="R716" i="21"/>
  <c r="Q716" i="21"/>
  <c r="P716" i="21"/>
  <c r="O716" i="21"/>
  <c r="W715" i="21"/>
  <c r="U715" i="21"/>
  <c r="T715" i="21"/>
  <c r="S715" i="21"/>
  <c r="R715" i="21"/>
  <c r="Q715" i="21"/>
  <c r="P715" i="21"/>
  <c r="O715" i="21"/>
  <c r="W714" i="21"/>
  <c r="U714" i="21"/>
  <c r="T714" i="21"/>
  <c r="S714" i="21"/>
  <c r="R714" i="21"/>
  <c r="Q714" i="21"/>
  <c r="P714" i="21"/>
  <c r="O714" i="21"/>
  <c r="W713" i="21"/>
  <c r="U713" i="21"/>
  <c r="T713" i="21"/>
  <c r="S713" i="21"/>
  <c r="R713" i="21"/>
  <c r="Q713" i="21"/>
  <c r="P713" i="21"/>
  <c r="O713" i="21"/>
  <c r="W712" i="21"/>
  <c r="U712" i="21"/>
  <c r="T712" i="21"/>
  <c r="S712" i="21"/>
  <c r="R712" i="21"/>
  <c r="Q712" i="21"/>
  <c r="P712" i="21"/>
  <c r="O712" i="21"/>
  <c r="W711" i="21"/>
  <c r="U711" i="21"/>
  <c r="T711" i="21"/>
  <c r="S711" i="21"/>
  <c r="R711" i="21"/>
  <c r="Q711" i="21"/>
  <c r="P711" i="21"/>
  <c r="O711" i="21"/>
  <c r="W710" i="21"/>
  <c r="U710" i="21"/>
  <c r="T710" i="21"/>
  <c r="S710" i="21"/>
  <c r="R710" i="21"/>
  <c r="Q710" i="21"/>
  <c r="P710" i="21"/>
  <c r="O710" i="21"/>
  <c r="W709" i="21"/>
  <c r="U709" i="21"/>
  <c r="T709" i="21"/>
  <c r="S709" i="21"/>
  <c r="R709" i="21"/>
  <c r="Q709" i="21"/>
  <c r="P709" i="21"/>
  <c r="O709" i="21"/>
  <c r="W708" i="21"/>
  <c r="U708" i="21"/>
  <c r="T708" i="21"/>
  <c r="S708" i="21"/>
  <c r="R708" i="21"/>
  <c r="Q708" i="21"/>
  <c r="P708" i="21"/>
  <c r="O708" i="21"/>
  <c r="W707" i="21"/>
  <c r="U707" i="21"/>
  <c r="T707" i="21"/>
  <c r="S707" i="21"/>
  <c r="R707" i="21"/>
  <c r="Q707" i="21"/>
  <c r="P707" i="21"/>
  <c r="O707" i="21"/>
  <c r="W706" i="21"/>
  <c r="U706" i="21"/>
  <c r="T706" i="21"/>
  <c r="S706" i="21"/>
  <c r="R706" i="21"/>
  <c r="Q706" i="21"/>
  <c r="P706" i="21"/>
  <c r="O706" i="21"/>
  <c r="W705" i="21"/>
  <c r="U705" i="21"/>
  <c r="T705" i="21"/>
  <c r="S705" i="21"/>
  <c r="R705" i="21"/>
  <c r="Q705" i="21"/>
  <c r="P705" i="21"/>
  <c r="O705" i="21"/>
  <c r="W704" i="21"/>
  <c r="U704" i="21"/>
  <c r="T704" i="21"/>
  <c r="S704" i="21"/>
  <c r="R704" i="21"/>
  <c r="Q704" i="21"/>
  <c r="P704" i="21"/>
  <c r="O704" i="21"/>
  <c r="W703" i="21"/>
  <c r="U703" i="21"/>
  <c r="T703" i="21"/>
  <c r="S703" i="21"/>
  <c r="R703" i="21"/>
  <c r="Q703" i="21"/>
  <c r="P703" i="21"/>
  <c r="O703" i="21"/>
  <c r="W702" i="21"/>
  <c r="U702" i="21"/>
  <c r="T702" i="21"/>
  <c r="S702" i="21"/>
  <c r="R702" i="21"/>
  <c r="Q702" i="21"/>
  <c r="P702" i="21"/>
  <c r="O702" i="21"/>
  <c r="W701" i="21"/>
  <c r="U701" i="21"/>
  <c r="T701" i="21"/>
  <c r="S701" i="21"/>
  <c r="R701" i="21"/>
  <c r="Q701" i="21"/>
  <c r="P701" i="21"/>
  <c r="O701" i="21"/>
  <c r="W700" i="21"/>
  <c r="U700" i="21"/>
  <c r="T700" i="21"/>
  <c r="S700" i="21"/>
  <c r="R700" i="21"/>
  <c r="Q700" i="21"/>
  <c r="P700" i="21"/>
  <c r="O700" i="21"/>
  <c r="W699" i="21"/>
  <c r="U699" i="21"/>
  <c r="T699" i="21"/>
  <c r="S699" i="21"/>
  <c r="R699" i="21"/>
  <c r="Q699" i="21"/>
  <c r="P699" i="21"/>
  <c r="O699" i="21"/>
  <c r="W698" i="21"/>
  <c r="U698" i="21"/>
  <c r="T698" i="21"/>
  <c r="S698" i="21"/>
  <c r="R698" i="21"/>
  <c r="Q698" i="21"/>
  <c r="P698" i="21"/>
  <c r="O698" i="21"/>
  <c r="W697" i="21"/>
  <c r="U697" i="21"/>
  <c r="T697" i="21"/>
  <c r="S697" i="21"/>
  <c r="R697" i="21"/>
  <c r="Q697" i="21"/>
  <c r="P697" i="21"/>
  <c r="O697" i="21"/>
  <c r="W696" i="21"/>
  <c r="U696" i="21"/>
  <c r="T696" i="21"/>
  <c r="S696" i="21"/>
  <c r="R696" i="21"/>
  <c r="Q696" i="21"/>
  <c r="P696" i="21"/>
  <c r="O696" i="21"/>
  <c r="W695" i="21"/>
  <c r="U695" i="21"/>
  <c r="T695" i="21"/>
  <c r="S695" i="21"/>
  <c r="R695" i="21"/>
  <c r="Q695" i="21"/>
  <c r="P695" i="21"/>
  <c r="O695" i="21"/>
  <c r="W694" i="21"/>
  <c r="U694" i="21"/>
  <c r="T694" i="21"/>
  <c r="S694" i="21"/>
  <c r="R694" i="21"/>
  <c r="Q694" i="21"/>
  <c r="P694" i="21"/>
  <c r="O694" i="21"/>
  <c r="W693" i="21"/>
  <c r="U693" i="21"/>
  <c r="T693" i="21"/>
  <c r="S693" i="21"/>
  <c r="R693" i="21"/>
  <c r="Q693" i="21"/>
  <c r="P693" i="21"/>
  <c r="O693" i="21"/>
  <c r="W692" i="21"/>
  <c r="U692" i="21"/>
  <c r="T692" i="21"/>
  <c r="S692" i="21"/>
  <c r="R692" i="21"/>
  <c r="Q692" i="21"/>
  <c r="P692" i="21"/>
  <c r="O692" i="21"/>
  <c r="W691" i="21"/>
  <c r="U691" i="21"/>
  <c r="T691" i="21"/>
  <c r="S691" i="21"/>
  <c r="R691" i="21"/>
  <c r="Q691" i="21"/>
  <c r="P691" i="21"/>
  <c r="O691" i="21"/>
  <c r="W690" i="21"/>
  <c r="U690" i="21"/>
  <c r="T690" i="21"/>
  <c r="S690" i="21"/>
  <c r="R690" i="21"/>
  <c r="Q690" i="21"/>
  <c r="P690" i="21"/>
  <c r="O690" i="21"/>
  <c r="W689" i="21"/>
  <c r="U689" i="21"/>
  <c r="T689" i="21"/>
  <c r="S689" i="21"/>
  <c r="R689" i="21"/>
  <c r="Q689" i="21"/>
  <c r="P689" i="21"/>
  <c r="O689" i="21"/>
  <c r="W688" i="21"/>
  <c r="U688" i="21"/>
  <c r="T688" i="21"/>
  <c r="S688" i="21"/>
  <c r="R688" i="21"/>
  <c r="Q688" i="21"/>
  <c r="P688" i="21"/>
  <c r="O688" i="21"/>
  <c r="W687" i="21"/>
  <c r="U687" i="21"/>
  <c r="T687" i="21"/>
  <c r="S687" i="21"/>
  <c r="R687" i="21"/>
  <c r="Q687" i="21"/>
  <c r="P687" i="21"/>
  <c r="O687" i="21"/>
  <c r="W686" i="21"/>
  <c r="U686" i="21"/>
  <c r="T686" i="21"/>
  <c r="S686" i="21"/>
  <c r="R686" i="21"/>
  <c r="Q686" i="21"/>
  <c r="P686" i="21"/>
  <c r="O686" i="21"/>
  <c r="W685" i="21"/>
  <c r="U685" i="21"/>
  <c r="T685" i="21"/>
  <c r="S685" i="21"/>
  <c r="R685" i="21"/>
  <c r="Q685" i="21"/>
  <c r="P685" i="21"/>
  <c r="O685" i="21"/>
  <c r="W684" i="21"/>
  <c r="U684" i="21"/>
  <c r="T684" i="21"/>
  <c r="S684" i="21"/>
  <c r="R684" i="21"/>
  <c r="Q684" i="21"/>
  <c r="P684" i="21"/>
  <c r="O684" i="21"/>
  <c r="W683" i="21"/>
  <c r="U683" i="21"/>
  <c r="T683" i="21"/>
  <c r="S683" i="21"/>
  <c r="R683" i="21"/>
  <c r="Q683" i="21"/>
  <c r="P683" i="21"/>
  <c r="O683" i="21"/>
  <c r="W682" i="21"/>
  <c r="U682" i="21"/>
  <c r="T682" i="21"/>
  <c r="S682" i="21"/>
  <c r="R682" i="21"/>
  <c r="Q682" i="21"/>
  <c r="P682" i="21"/>
  <c r="O682" i="21"/>
  <c r="W681" i="21"/>
  <c r="U681" i="21"/>
  <c r="T681" i="21"/>
  <c r="S681" i="21"/>
  <c r="R681" i="21"/>
  <c r="Q681" i="21"/>
  <c r="P681" i="21"/>
  <c r="O681" i="21"/>
  <c r="W680" i="21"/>
  <c r="U680" i="21"/>
  <c r="T680" i="21"/>
  <c r="S680" i="21"/>
  <c r="R680" i="21"/>
  <c r="Q680" i="21"/>
  <c r="P680" i="21"/>
  <c r="O680" i="21"/>
  <c r="W679" i="21"/>
  <c r="U679" i="21"/>
  <c r="T679" i="21"/>
  <c r="S679" i="21"/>
  <c r="R679" i="21"/>
  <c r="Q679" i="21"/>
  <c r="P679" i="21"/>
  <c r="O679" i="21"/>
  <c r="W678" i="21"/>
  <c r="U678" i="21"/>
  <c r="T678" i="21"/>
  <c r="S678" i="21"/>
  <c r="R678" i="21"/>
  <c r="Q678" i="21"/>
  <c r="P678" i="21"/>
  <c r="O678" i="21"/>
  <c r="W677" i="21"/>
  <c r="U677" i="21"/>
  <c r="T677" i="21"/>
  <c r="S677" i="21"/>
  <c r="R677" i="21"/>
  <c r="Q677" i="21"/>
  <c r="P677" i="21"/>
  <c r="O677" i="21"/>
  <c r="W676" i="21"/>
  <c r="U676" i="21"/>
  <c r="T676" i="21"/>
  <c r="S676" i="21"/>
  <c r="R676" i="21"/>
  <c r="Q676" i="21"/>
  <c r="P676" i="21"/>
  <c r="O676" i="21"/>
  <c r="W675" i="21"/>
  <c r="U675" i="21"/>
  <c r="T675" i="21"/>
  <c r="S675" i="21"/>
  <c r="R675" i="21"/>
  <c r="Q675" i="21"/>
  <c r="P675" i="21"/>
  <c r="O675" i="21"/>
  <c r="W674" i="21"/>
  <c r="U674" i="21"/>
  <c r="T674" i="21"/>
  <c r="S674" i="21"/>
  <c r="R674" i="21"/>
  <c r="Q674" i="21"/>
  <c r="P674" i="21"/>
  <c r="O674" i="21"/>
  <c r="W673" i="21"/>
  <c r="U673" i="21"/>
  <c r="T673" i="21"/>
  <c r="S673" i="21"/>
  <c r="R673" i="21"/>
  <c r="Q673" i="21"/>
  <c r="P673" i="21"/>
  <c r="O673" i="21"/>
  <c r="W672" i="21"/>
  <c r="U672" i="21"/>
  <c r="T672" i="21"/>
  <c r="S672" i="21"/>
  <c r="R672" i="21"/>
  <c r="Q672" i="21"/>
  <c r="P672" i="21"/>
  <c r="O672" i="21"/>
  <c r="W671" i="21"/>
  <c r="U671" i="21"/>
  <c r="T671" i="21"/>
  <c r="S671" i="21"/>
  <c r="R671" i="21"/>
  <c r="Q671" i="21"/>
  <c r="P671" i="21"/>
  <c r="O671" i="21"/>
  <c r="W670" i="21"/>
  <c r="U670" i="21"/>
  <c r="T670" i="21"/>
  <c r="S670" i="21"/>
  <c r="R670" i="21"/>
  <c r="Q670" i="21"/>
  <c r="P670" i="21"/>
  <c r="O670" i="21"/>
  <c r="W669" i="21"/>
  <c r="U669" i="21"/>
  <c r="T669" i="21"/>
  <c r="S669" i="21"/>
  <c r="R669" i="21"/>
  <c r="Q669" i="21"/>
  <c r="P669" i="21"/>
  <c r="O669" i="21"/>
  <c r="W668" i="21"/>
  <c r="U668" i="21"/>
  <c r="T668" i="21"/>
  <c r="S668" i="21"/>
  <c r="R668" i="21"/>
  <c r="Q668" i="21"/>
  <c r="P668" i="21"/>
  <c r="O668" i="21"/>
  <c r="W667" i="21"/>
  <c r="U667" i="21"/>
  <c r="T667" i="21"/>
  <c r="S667" i="21"/>
  <c r="R667" i="21"/>
  <c r="Q667" i="21"/>
  <c r="P667" i="21"/>
  <c r="O667" i="21"/>
  <c r="W666" i="21"/>
  <c r="U666" i="21"/>
  <c r="T666" i="21"/>
  <c r="S666" i="21"/>
  <c r="R666" i="21"/>
  <c r="Q666" i="21"/>
  <c r="P666" i="21"/>
  <c r="O666" i="21"/>
  <c r="W665" i="21"/>
  <c r="U665" i="21"/>
  <c r="T665" i="21"/>
  <c r="S665" i="21"/>
  <c r="R665" i="21"/>
  <c r="Q665" i="21"/>
  <c r="P665" i="21"/>
  <c r="O665" i="21"/>
  <c r="W664" i="21"/>
  <c r="U664" i="21"/>
  <c r="T664" i="21"/>
  <c r="S664" i="21"/>
  <c r="R664" i="21"/>
  <c r="Q664" i="21"/>
  <c r="P664" i="21"/>
  <c r="O664" i="21"/>
  <c r="W663" i="21"/>
  <c r="U663" i="21"/>
  <c r="T663" i="21"/>
  <c r="S663" i="21"/>
  <c r="R663" i="21"/>
  <c r="Q663" i="21"/>
  <c r="P663" i="21"/>
  <c r="O663" i="21"/>
  <c r="W662" i="21"/>
  <c r="U662" i="21"/>
  <c r="T662" i="21"/>
  <c r="S662" i="21"/>
  <c r="R662" i="21"/>
  <c r="Q662" i="21"/>
  <c r="P662" i="21"/>
  <c r="O662" i="21"/>
  <c r="W661" i="21"/>
  <c r="U661" i="21"/>
  <c r="T661" i="21"/>
  <c r="S661" i="21"/>
  <c r="R661" i="21"/>
  <c r="Q661" i="21"/>
  <c r="P661" i="21"/>
  <c r="O661" i="21"/>
  <c r="W660" i="21"/>
  <c r="U660" i="21"/>
  <c r="T660" i="21"/>
  <c r="S660" i="21"/>
  <c r="R660" i="21"/>
  <c r="Q660" i="21"/>
  <c r="P660" i="21"/>
  <c r="O660" i="21"/>
  <c r="W659" i="21"/>
  <c r="U659" i="21"/>
  <c r="T659" i="21"/>
  <c r="S659" i="21"/>
  <c r="R659" i="21"/>
  <c r="Q659" i="21"/>
  <c r="P659" i="21"/>
  <c r="O659" i="21"/>
  <c r="W658" i="21"/>
  <c r="U658" i="21"/>
  <c r="T658" i="21"/>
  <c r="S658" i="21"/>
  <c r="R658" i="21"/>
  <c r="Q658" i="21"/>
  <c r="P658" i="21"/>
  <c r="O658" i="21"/>
  <c r="W657" i="21"/>
  <c r="U657" i="21"/>
  <c r="T657" i="21"/>
  <c r="S657" i="21"/>
  <c r="R657" i="21"/>
  <c r="Q657" i="21"/>
  <c r="P657" i="21"/>
  <c r="O657" i="21"/>
  <c r="W656" i="21"/>
  <c r="U656" i="21"/>
  <c r="T656" i="21"/>
  <c r="S656" i="21"/>
  <c r="R656" i="21"/>
  <c r="Q656" i="21"/>
  <c r="P656" i="21"/>
  <c r="O656" i="21"/>
  <c r="W655" i="21"/>
  <c r="U655" i="21"/>
  <c r="T655" i="21"/>
  <c r="S655" i="21"/>
  <c r="R655" i="21"/>
  <c r="Q655" i="21"/>
  <c r="P655" i="21"/>
  <c r="O655" i="21"/>
  <c r="W654" i="21"/>
  <c r="U654" i="21"/>
  <c r="T654" i="21"/>
  <c r="S654" i="21"/>
  <c r="R654" i="21"/>
  <c r="Q654" i="21"/>
  <c r="P654" i="21"/>
  <c r="O654" i="21"/>
  <c r="W653" i="21"/>
  <c r="U653" i="21"/>
  <c r="T653" i="21"/>
  <c r="S653" i="21"/>
  <c r="R653" i="21"/>
  <c r="Q653" i="21"/>
  <c r="P653" i="21"/>
  <c r="O653" i="21"/>
  <c r="W652" i="21"/>
  <c r="U652" i="21"/>
  <c r="T652" i="21"/>
  <c r="S652" i="21"/>
  <c r="R652" i="21"/>
  <c r="Q652" i="21"/>
  <c r="P652" i="21"/>
  <c r="O652" i="21"/>
  <c r="W651" i="21"/>
  <c r="U651" i="21"/>
  <c r="T651" i="21"/>
  <c r="S651" i="21"/>
  <c r="R651" i="21"/>
  <c r="Q651" i="21"/>
  <c r="P651" i="21"/>
  <c r="O651" i="21"/>
  <c r="W650" i="21"/>
  <c r="U650" i="21"/>
  <c r="T650" i="21"/>
  <c r="S650" i="21"/>
  <c r="R650" i="21"/>
  <c r="Q650" i="21"/>
  <c r="P650" i="21"/>
  <c r="O650" i="21"/>
  <c r="W649" i="21"/>
  <c r="U649" i="21"/>
  <c r="T649" i="21"/>
  <c r="S649" i="21"/>
  <c r="R649" i="21"/>
  <c r="Q649" i="21"/>
  <c r="P649" i="21"/>
  <c r="O649" i="21"/>
  <c r="W648" i="21"/>
  <c r="U648" i="21"/>
  <c r="T648" i="21"/>
  <c r="S648" i="21"/>
  <c r="R648" i="21"/>
  <c r="Q648" i="21"/>
  <c r="P648" i="21"/>
  <c r="O648" i="21"/>
  <c r="W647" i="21"/>
  <c r="U647" i="21"/>
  <c r="T647" i="21"/>
  <c r="S647" i="21"/>
  <c r="R647" i="21"/>
  <c r="Q647" i="21"/>
  <c r="P647" i="21"/>
  <c r="O647" i="21"/>
  <c r="W646" i="21"/>
  <c r="U646" i="21"/>
  <c r="T646" i="21"/>
  <c r="S646" i="21"/>
  <c r="R646" i="21"/>
  <c r="Q646" i="21"/>
  <c r="P646" i="21"/>
  <c r="O646" i="21"/>
  <c r="W645" i="21"/>
  <c r="U645" i="21"/>
  <c r="T645" i="21"/>
  <c r="S645" i="21"/>
  <c r="R645" i="21"/>
  <c r="Q645" i="21"/>
  <c r="P645" i="21"/>
  <c r="O645" i="21"/>
  <c r="W644" i="21"/>
  <c r="U644" i="21"/>
  <c r="T644" i="21"/>
  <c r="S644" i="21"/>
  <c r="R644" i="21"/>
  <c r="Q644" i="21"/>
  <c r="P644" i="21"/>
  <c r="O644" i="21"/>
  <c r="W643" i="21"/>
  <c r="U643" i="21"/>
  <c r="T643" i="21"/>
  <c r="S643" i="21"/>
  <c r="R643" i="21"/>
  <c r="Q643" i="21"/>
  <c r="P643" i="21"/>
  <c r="O643" i="21"/>
  <c r="W642" i="21"/>
  <c r="U642" i="21"/>
  <c r="T642" i="21"/>
  <c r="S642" i="21"/>
  <c r="R642" i="21"/>
  <c r="Q642" i="21"/>
  <c r="P642" i="21"/>
  <c r="O642" i="21"/>
  <c r="W641" i="21"/>
  <c r="U641" i="21"/>
  <c r="T641" i="21"/>
  <c r="S641" i="21"/>
  <c r="R641" i="21"/>
  <c r="Q641" i="21"/>
  <c r="P641" i="21"/>
  <c r="O641" i="21"/>
  <c r="W640" i="21"/>
  <c r="U640" i="21"/>
  <c r="T640" i="21"/>
  <c r="S640" i="21"/>
  <c r="R640" i="21"/>
  <c r="Q640" i="21"/>
  <c r="P640" i="21"/>
  <c r="O640" i="21"/>
  <c r="W639" i="21"/>
  <c r="U639" i="21"/>
  <c r="T639" i="21"/>
  <c r="S639" i="21"/>
  <c r="R639" i="21"/>
  <c r="Q639" i="21"/>
  <c r="P639" i="21"/>
  <c r="O639" i="21"/>
  <c r="W638" i="21"/>
  <c r="U638" i="21"/>
  <c r="T638" i="21"/>
  <c r="S638" i="21"/>
  <c r="R638" i="21"/>
  <c r="Q638" i="21"/>
  <c r="P638" i="21"/>
  <c r="O638" i="21"/>
  <c r="W637" i="21"/>
  <c r="U637" i="21"/>
  <c r="T637" i="21"/>
  <c r="S637" i="21"/>
  <c r="R637" i="21"/>
  <c r="Q637" i="21"/>
  <c r="P637" i="21"/>
  <c r="O637" i="21"/>
  <c r="W636" i="21"/>
  <c r="U636" i="21"/>
  <c r="T636" i="21"/>
  <c r="S636" i="21"/>
  <c r="R636" i="21"/>
  <c r="Q636" i="21"/>
  <c r="P636" i="21"/>
  <c r="O636" i="21"/>
  <c r="W635" i="21"/>
  <c r="U635" i="21"/>
  <c r="T635" i="21"/>
  <c r="S635" i="21"/>
  <c r="R635" i="21"/>
  <c r="Q635" i="21"/>
  <c r="P635" i="21"/>
  <c r="O635" i="21"/>
  <c r="W634" i="21"/>
  <c r="U634" i="21"/>
  <c r="T634" i="21"/>
  <c r="S634" i="21"/>
  <c r="R634" i="21"/>
  <c r="Q634" i="21"/>
  <c r="P634" i="21"/>
  <c r="O634" i="21"/>
  <c r="W633" i="21"/>
  <c r="U633" i="21"/>
  <c r="T633" i="21"/>
  <c r="S633" i="21"/>
  <c r="R633" i="21"/>
  <c r="Q633" i="21"/>
  <c r="P633" i="21"/>
  <c r="O633" i="21"/>
  <c r="W632" i="21"/>
  <c r="U632" i="21"/>
  <c r="T632" i="21"/>
  <c r="S632" i="21"/>
  <c r="R632" i="21"/>
  <c r="Q632" i="21"/>
  <c r="P632" i="21"/>
  <c r="O632" i="21"/>
  <c r="W631" i="21"/>
  <c r="U631" i="21"/>
  <c r="T631" i="21"/>
  <c r="S631" i="21"/>
  <c r="R631" i="21"/>
  <c r="Q631" i="21"/>
  <c r="P631" i="21"/>
  <c r="O631" i="21"/>
  <c r="W630" i="21"/>
  <c r="U630" i="21"/>
  <c r="T630" i="21"/>
  <c r="S630" i="21"/>
  <c r="R630" i="21"/>
  <c r="Q630" i="21"/>
  <c r="P630" i="21"/>
  <c r="O630" i="21"/>
  <c r="W629" i="21"/>
  <c r="U629" i="21"/>
  <c r="T629" i="21"/>
  <c r="S629" i="21"/>
  <c r="R629" i="21"/>
  <c r="Q629" i="21"/>
  <c r="P629" i="21"/>
  <c r="O629" i="21"/>
  <c r="W628" i="21"/>
  <c r="U628" i="21"/>
  <c r="T628" i="21"/>
  <c r="S628" i="21"/>
  <c r="R628" i="21"/>
  <c r="Q628" i="21"/>
  <c r="P628" i="21"/>
  <c r="O628" i="21"/>
  <c r="W627" i="21"/>
  <c r="U627" i="21"/>
  <c r="T627" i="21"/>
  <c r="S627" i="21"/>
  <c r="R627" i="21"/>
  <c r="Q627" i="21"/>
  <c r="P627" i="21"/>
  <c r="O627" i="21"/>
  <c r="W626" i="21"/>
  <c r="U626" i="21"/>
  <c r="T626" i="21"/>
  <c r="S626" i="21"/>
  <c r="R626" i="21"/>
  <c r="Q626" i="21"/>
  <c r="P626" i="21"/>
  <c r="O626" i="21"/>
  <c r="W625" i="21"/>
  <c r="U625" i="21"/>
  <c r="T625" i="21"/>
  <c r="S625" i="21"/>
  <c r="R625" i="21"/>
  <c r="Q625" i="21"/>
  <c r="P625" i="21"/>
  <c r="O625" i="21"/>
  <c r="W624" i="21"/>
  <c r="U624" i="21"/>
  <c r="T624" i="21"/>
  <c r="S624" i="21"/>
  <c r="R624" i="21"/>
  <c r="Q624" i="21"/>
  <c r="P624" i="21"/>
  <c r="O624" i="21"/>
  <c r="W623" i="21"/>
  <c r="U623" i="21"/>
  <c r="T623" i="21"/>
  <c r="S623" i="21"/>
  <c r="R623" i="21"/>
  <c r="Q623" i="21"/>
  <c r="P623" i="21"/>
  <c r="O623" i="21"/>
  <c r="W622" i="21"/>
  <c r="U622" i="21"/>
  <c r="T622" i="21"/>
  <c r="S622" i="21"/>
  <c r="R622" i="21"/>
  <c r="Q622" i="21"/>
  <c r="P622" i="21"/>
  <c r="O622" i="21"/>
  <c r="W621" i="21"/>
  <c r="U621" i="21"/>
  <c r="T621" i="21"/>
  <c r="S621" i="21"/>
  <c r="R621" i="21"/>
  <c r="Q621" i="21"/>
  <c r="P621" i="21"/>
  <c r="O621" i="21"/>
  <c r="W620" i="21"/>
  <c r="U620" i="21"/>
  <c r="T620" i="21"/>
  <c r="S620" i="21"/>
  <c r="R620" i="21"/>
  <c r="Q620" i="21"/>
  <c r="P620" i="21"/>
  <c r="O620" i="21"/>
  <c r="W619" i="21"/>
  <c r="U619" i="21"/>
  <c r="T619" i="21"/>
  <c r="S619" i="21"/>
  <c r="R619" i="21"/>
  <c r="Q619" i="21"/>
  <c r="P619" i="21"/>
  <c r="O619" i="21"/>
  <c r="W618" i="21"/>
  <c r="U618" i="21"/>
  <c r="T618" i="21"/>
  <c r="S618" i="21"/>
  <c r="R618" i="21"/>
  <c r="Q618" i="21"/>
  <c r="P618" i="21"/>
  <c r="O618" i="21"/>
  <c r="W617" i="21"/>
  <c r="U617" i="21"/>
  <c r="T617" i="21"/>
  <c r="S617" i="21"/>
  <c r="R617" i="21"/>
  <c r="Q617" i="21"/>
  <c r="P617" i="21"/>
  <c r="O617" i="21"/>
  <c r="W616" i="21"/>
  <c r="U616" i="21"/>
  <c r="T616" i="21"/>
  <c r="S616" i="21"/>
  <c r="R616" i="21"/>
  <c r="Q616" i="21"/>
  <c r="P616" i="21"/>
  <c r="O616" i="21"/>
  <c r="W615" i="21"/>
  <c r="U615" i="21"/>
  <c r="T615" i="21"/>
  <c r="S615" i="21"/>
  <c r="R615" i="21"/>
  <c r="Q615" i="21"/>
  <c r="P615" i="21"/>
  <c r="O615" i="21"/>
  <c r="W614" i="21"/>
  <c r="U614" i="21"/>
  <c r="T614" i="21"/>
  <c r="S614" i="21"/>
  <c r="R614" i="21"/>
  <c r="Q614" i="21"/>
  <c r="P614" i="21"/>
  <c r="O614" i="21"/>
  <c r="W613" i="21"/>
  <c r="U613" i="21"/>
  <c r="T613" i="21"/>
  <c r="S613" i="21"/>
  <c r="R613" i="21"/>
  <c r="Q613" i="21"/>
  <c r="P613" i="21"/>
  <c r="O613" i="21"/>
  <c r="W612" i="21"/>
  <c r="U612" i="21"/>
  <c r="T612" i="21"/>
  <c r="S612" i="21"/>
  <c r="R612" i="21"/>
  <c r="Q612" i="21"/>
  <c r="P612" i="21"/>
  <c r="O612" i="21"/>
  <c r="W611" i="21"/>
  <c r="U611" i="21"/>
  <c r="T611" i="21"/>
  <c r="S611" i="21"/>
  <c r="R611" i="21"/>
  <c r="Q611" i="21"/>
  <c r="P611" i="21"/>
  <c r="O611" i="21"/>
  <c r="W610" i="21"/>
  <c r="U610" i="21"/>
  <c r="T610" i="21"/>
  <c r="S610" i="21"/>
  <c r="R610" i="21"/>
  <c r="Q610" i="21"/>
  <c r="P610" i="21"/>
  <c r="O610" i="21"/>
  <c r="W609" i="21"/>
  <c r="U609" i="21"/>
  <c r="T609" i="21"/>
  <c r="S609" i="21"/>
  <c r="R609" i="21"/>
  <c r="Q609" i="21"/>
  <c r="P609" i="21"/>
  <c r="O609" i="21"/>
  <c r="W608" i="21"/>
  <c r="U608" i="21"/>
  <c r="T608" i="21"/>
  <c r="S608" i="21"/>
  <c r="R608" i="21"/>
  <c r="Q608" i="21"/>
  <c r="P608" i="21"/>
  <c r="O608" i="21"/>
  <c r="W607" i="21"/>
  <c r="U607" i="21"/>
  <c r="T607" i="21"/>
  <c r="S607" i="21"/>
  <c r="R607" i="21"/>
  <c r="Q607" i="21"/>
  <c r="P607" i="21"/>
  <c r="O607" i="21"/>
  <c r="W606" i="21"/>
  <c r="U606" i="21"/>
  <c r="T606" i="21"/>
  <c r="S606" i="21"/>
  <c r="R606" i="21"/>
  <c r="Q606" i="21"/>
  <c r="P606" i="21"/>
  <c r="O606" i="21"/>
  <c r="W605" i="21"/>
  <c r="U605" i="21"/>
  <c r="T605" i="21"/>
  <c r="S605" i="21"/>
  <c r="R605" i="21"/>
  <c r="Q605" i="21"/>
  <c r="P605" i="21"/>
  <c r="O605" i="21"/>
  <c r="W604" i="21"/>
  <c r="U604" i="21"/>
  <c r="T604" i="21"/>
  <c r="S604" i="21"/>
  <c r="R604" i="21"/>
  <c r="Q604" i="21"/>
  <c r="P604" i="21"/>
  <c r="O604" i="21"/>
  <c r="W603" i="21"/>
  <c r="U603" i="21"/>
  <c r="T603" i="21"/>
  <c r="S603" i="21"/>
  <c r="R603" i="21"/>
  <c r="Q603" i="21"/>
  <c r="P603" i="21"/>
  <c r="O603" i="21"/>
  <c r="W602" i="21"/>
  <c r="U602" i="21"/>
  <c r="T602" i="21"/>
  <c r="S602" i="21"/>
  <c r="R602" i="21"/>
  <c r="Q602" i="21"/>
  <c r="P602" i="21"/>
  <c r="O602" i="21"/>
  <c r="W601" i="21"/>
  <c r="U601" i="21"/>
  <c r="T601" i="21"/>
  <c r="S601" i="21"/>
  <c r="R601" i="21"/>
  <c r="Q601" i="21"/>
  <c r="P601" i="21"/>
  <c r="O601" i="21"/>
  <c r="W600" i="21"/>
  <c r="U600" i="21"/>
  <c r="T600" i="21"/>
  <c r="S600" i="21"/>
  <c r="R600" i="21"/>
  <c r="Q600" i="21"/>
  <c r="P600" i="21"/>
  <c r="O600" i="21"/>
  <c r="W599" i="21"/>
  <c r="U599" i="21"/>
  <c r="T599" i="21"/>
  <c r="S599" i="21"/>
  <c r="R599" i="21"/>
  <c r="Q599" i="21"/>
  <c r="P599" i="21"/>
  <c r="O599" i="21"/>
  <c r="W598" i="21"/>
  <c r="U598" i="21"/>
  <c r="T598" i="21"/>
  <c r="S598" i="21"/>
  <c r="R598" i="21"/>
  <c r="Q598" i="21"/>
  <c r="P598" i="21"/>
  <c r="O598" i="21"/>
  <c r="W597" i="21"/>
  <c r="U597" i="21"/>
  <c r="T597" i="21"/>
  <c r="S597" i="21"/>
  <c r="R597" i="21"/>
  <c r="Q597" i="21"/>
  <c r="P597" i="21"/>
  <c r="O597" i="21"/>
  <c r="W596" i="21"/>
  <c r="U596" i="21"/>
  <c r="T596" i="21"/>
  <c r="S596" i="21"/>
  <c r="R596" i="21"/>
  <c r="Q596" i="21"/>
  <c r="P596" i="21"/>
  <c r="O596" i="21"/>
  <c r="W595" i="21"/>
  <c r="U595" i="21"/>
  <c r="T595" i="21"/>
  <c r="S595" i="21"/>
  <c r="R595" i="21"/>
  <c r="Q595" i="21"/>
  <c r="P595" i="21"/>
  <c r="O595" i="21"/>
  <c r="W594" i="21"/>
  <c r="U594" i="21"/>
  <c r="T594" i="21"/>
  <c r="S594" i="21"/>
  <c r="R594" i="21"/>
  <c r="Q594" i="21"/>
  <c r="P594" i="21"/>
  <c r="O594" i="21"/>
  <c r="W593" i="21"/>
  <c r="U593" i="21"/>
  <c r="T593" i="21"/>
  <c r="S593" i="21"/>
  <c r="R593" i="21"/>
  <c r="Q593" i="21"/>
  <c r="P593" i="21"/>
  <c r="O593" i="21"/>
  <c r="W592" i="21"/>
  <c r="U592" i="21"/>
  <c r="T592" i="21"/>
  <c r="S592" i="21"/>
  <c r="R592" i="21"/>
  <c r="Q592" i="21"/>
  <c r="P592" i="21"/>
  <c r="O592" i="21"/>
  <c r="W591" i="21"/>
  <c r="U591" i="21"/>
  <c r="T591" i="21"/>
  <c r="S591" i="21"/>
  <c r="R591" i="21"/>
  <c r="Q591" i="21"/>
  <c r="P591" i="21"/>
  <c r="O591" i="21"/>
  <c r="W590" i="21"/>
  <c r="U590" i="21"/>
  <c r="T590" i="21"/>
  <c r="S590" i="21"/>
  <c r="R590" i="21"/>
  <c r="Q590" i="21"/>
  <c r="P590" i="21"/>
  <c r="O590" i="21"/>
  <c r="W589" i="21"/>
  <c r="U589" i="21"/>
  <c r="T589" i="21"/>
  <c r="S589" i="21"/>
  <c r="R589" i="21"/>
  <c r="Q589" i="21"/>
  <c r="P589" i="21"/>
  <c r="O589" i="21"/>
  <c r="W588" i="21"/>
  <c r="U588" i="21"/>
  <c r="T588" i="21"/>
  <c r="S588" i="21"/>
  <c r="R588" i="21"/>
  <c r="Q588" i="21"/>
  <c r="P588" i="21"/>
  <c r="O588" i="21"/>
  <c r="W587" i="21"/>
  <c r="U587" i="21"/>
  <c r="T587" i="21"/>
  <c r="S587" i="21"/>
  <c r="R587" i="21"/>
  <c r="Q587" i="21"/>
  <c r="P587" i="21"/>
  <c r="O587" i="21"/>
  <c r="W586" i="21"/>
  <c r="U586" i="21"/>
  <c r="T586" i="21"/>
  <c r="S586" i="21"/>
  <c r="R586" i="21"/>
  <c r="Q586" i="21"/>
  <c r="P586" i="21"/>
  <c r="O586" i="21"/>
  <c r="W585" i="21"/>
  <c r="U585" i="21"/>
  <c r="T585" i="21"/>
  <c r="S585" i="21"/>
  <c r="R585" i="21"/>
  <c r="Q585" i="21"/>
  <c r="P585" i="21"/>
  <c r="O585" i="21"/>
  <c r="W584" i="21"/>
  <c r="U584" i="21"/>
  <c r="T584" i="21"/>
  <c r="S584" i="21"/>
  <c r="R584" i="21"/>
  <c r="Q584" i="21"/>
  <c r="P584" i="21"/>
  <c r="O584" i="21"/>
  <c r="W583" i="21"/>
  <c r="U583" i="21"/>
  <c r="T583" i="21"/>
  <c r="S583" i="21"/>
  <c r="R583" i="21"/>
  <c r="Q583" i="21"/>
  <c r="P583" i="21"/>
  <c r="O583" i="21"/>
  <c r="W582" i="21"/>
  <c r="U582" i="21"/>
  <c r="T582" i="21"/>
  <c r="S582" i="21"/>
  <c r="R582" i="21"/>
  <c r="Q582" i="21"/>
  <c r="P582" i="21"/>
  <c r="O582" i="21"/>
  <c r="W581" i="21"/>
  <c r="U581" i="21"/>
  <c r="T581" i="21"/>
  <c r="S581" i="21"/>
  <c r="R581" i="21"/>
  <c r="Q581" i="21"/>
  <c r="P581" i="21"/>
  <c r="O581" i="21"/>
  <c r="W580" i="21"/>
  <c r="U580" i="21"/>
  <c r="T580" i="21"/>
  <c r="S580" i="21"/>
  <c r="R580" i="21"/>
  <c r="Q580" i="21"/>
  <c r="P580" i="21"/>
  <c r="O580" i="21"/>
  <c r="W579" i="21"/>
  <c r="U579" i="21"/>
  <c r="T579" i="21"/>
  <c r="S579" i="21"/>
  <c r="R579" i="21"/>
  <c r="Q579" i="21"/>
  <c r="P579" i="21"/>
  <c r="O579" i="21"/>
  <c r="W578" i="21"/>
  <c r="U578" i="21"/>
  <c r="T578" i="21"/>
  <c r="S578" i="21"/>
  <c r="R578" i="21"/>
  <c r="Q578" i="21"/>
  <c r="P578" i="21"/>
  <c r="O578" i="21"/>
  <c r="W577" i="21"/>
  <c r="U577" i="21"/>
  <c r="T577" i="21"/>
  <c r="S577" i="21"/>
  <c r="R577" i="21"/>
  <c r="Q577" i="21"/>
  <c r="P577" i="21"/>
  <c r="O577" i="21"/>
  <c r="W576" i="21"/>
  <c r="U576" i="21"/>
  <c r="T576" i="21"/>
  <c r="S576" i="21"/>
  <c r="R576" i="21"/>
  <c r="Q576" i="21"/>
  <c r="P576" i="21"/>
  <c r="O576" i="21"/>
  <c r="W575" i="21"/>
  <c r="U575" i="21"/>
  <c r="T575" i="21"/>
  <c r="S575" i="21"/>
  <c r="R575" i="21"/>
  <c r="Q575" i="21"/>
  <c r="P575" i="21"/>
  <c r="O575" i="21"/>
  <c r="W574" i="21"/>
  <c r="U574" i="21"/>
  <c r="T574" i="21"/>
  <c r="S574" i="21"/>
  <c r="R574" i="21"/>
  <c r="Q574" i="21"/>
  <c r="P574" i="21"/>
  <c r="O574" i="21"/>
  <c r="W573" i="21"/>
  <c r="U573" i="21"/>
  <c r="T573" i="21"/>
  <c r="S573" i="21"/>
  <c r="R573" i="21"/>
  <c r="Q573" i="21"/>
  <c r="P573" i="21"/>
  <c r="O573" i="21"/>
  <c r="W572" i="21"/>
  <c r="U572" i="21"/>
  <c r="T572" i="21"/>
  <c r="S572" i="21"/>
  <c r="R572" i="21"/>
  <c r="Q572" i="21"/>
  <c r="P572" i="21"/>
  <c r="O572" i="21"/>
  <c r="W571" i="21"/>
  <c r="U571" i="21"/>
  <c r="T571" i="21"/>
  <c r="S571" i="21"/>
  <c r="R571" i="21"/>
  <c r="Q571" i="21"/>
  <c r="P571" i="21"/>
  <c r="O571" i="21"/>
  <c r="W570" i="21"/>
  <c r="U570" i="21"/>
  <c r="T570" i="21"/>
  <c r="S570" i="21"/>
  <c r="R570" i="21"/>
  <c r="Q570" i="21"/>
  <c r="P570" i="21"/>
  <c r="O570" i="21"/>
  <c r="W569" i="21"/>
  <c r="U569" i="21"/>
  <c r="T569" i="21"/>
  <c r="S569" i="21"/>
  <c r="R569" i="21"/>
  <c r="Q569" i="21"/>
  <c r="P569" i="21"/>
  <c r="O569" i="21"/>
  <c r="W568" i="21"/>
  <c r="U568" i="21"/>
  <c r="T568" i="21"/>
  <c r="S568" i="21"/>
  <c r="R568" i="21"/>
  <c r="Q568" i="21"/>
  <c r="P568" i="21"/>
  <c r="O568" i="21"/>
  <c r="W567" i="21"/>
  <c r="U567" i="21"/>
  <c r="T567" i="21"/>
  <c r="S567" i="21"/>
  <c r="R567" i="21"/>
  <c r="Q567" i="21"/>
  <c r="P567" i="21"/>
  <c r="O567" i="21"/>
  <c r="W566" i="21"/>
  <c r="U566" i="21"/>
  <c r="T566" i="21"/>
  <c r="S566" i="21"/>
  <c r="R566" i="21"/>
  <c r="Q566" i="21"/>
  <c r="P566" i="21"/>
  <c r="O566" i="21"/>
  <c r="W565" i="21"/>
  <c r="U565" i="21"/>
  <c r="T565" i="21"/>
  <c r="S565" i="21"/>
  <c r="R565" i="21"/>
  <c r="Q565" i="21"/>
  <c r="P565" i="21"/>
  <c r="O565" i="21"/>
  <c r="W564" i="21"/>
  <c r="U564" i="21"/>
  <c r="T564" i="21"/>
  <c r="S564" i="21"/>
  <c r="R564" i="21"/>
  <c r="Q564" i="21"/>
  <c r="P564" i="21"/>
  <c r="O564" i="21"/>
  <c r="W563" i="21"/>
  <c r="U563" i="21"/>
  <c r="T563" i="21"/>
  <c r="S563" i="21"/>
  <c r="R563" i="21"/>
  <c r="Q563" i="21"/>
  <c r="P563" i="21"/>
  <c r="O563" i="21"/>
  <c r="W562" i="21"/>
  <c r="U562" i="21"/>
  <c r="T562" i="21"/>
  <c r="S562" i="21"/>
  <c r="R562" i="21"/>
  <c r="Q562" i="21"/>
  <c r="P562" i="21"/>
  <c r="O562" i="21"/>
  <c r="W561" i="21"/>
  <c r="U561" i="21"/>
  <c r="T561" i="21"/>
  <c r="S561" i="21"/>
  <c r="R561" i="21"/>
  <c r="Q561" i="21"/>
  <c r="P561" i="21"/>
  <c r="O561" i="21"/>
  <c r="W560" i="21"/>
  <c r="U560" i="21"/>
  <c r="T560" i="21"/>
  <c r="S560" i="21"/>
  <c r="R560" i="21"/>
  <c r="Q560" i="21"/>
  <c r="P560" i="21"/>
  <c r="O560" i="21"/>
  <c r="W559" i="21"/>
  <c r="U559" i="21"/>
  <c r="T559" i="21"/>
  <c r="S559" i="21"/>
  <c r="R559" i="21"/>
  <c r="Q559" i="21"/>
  <c r="P559" i="21"/>
  <c r="O559" i="21"/>
  <c r="W558" i="21"/>
  <c r="U558" i="21"/>
  <c r="T558" i="21"/>
  <c r="S558" i="21"/>
  <c r="R558" i="21"/>
  <c r="Q558" i="21"/>
  <c r="P558" i="21"/>
  <c r="O558" i="21"/>
  <c r="W557" i="21"/>
  <c r="U557" i="21"/>
  <c r="T557" i="21"/>
  <c r="S557" i="21"/>
  <c r="R557" i="21"/>
  <c r="Q557" i="21"/>
  <c r="P557" i="21"/>
  <c r="O557" i="21"/>
  <c r="W556" i="21"/>
  <c r="U556" i="21"/>
  <c r="T556" i="21"/>
  <c r="S556" i="21"/>
  <c r="R556" i="21"/>
  <c r="Q556" i="21"/>
  <c r="P556" i="21"/>
  <c r="O556" i="21"/>
  <c r="W555" i="21"/>
  <c r="U555" i="21"/>
  <c r="T555" i="21"/>
  <c r="S555" i="21"/>
  <c r="R555" i="21"/>
  <c r="Q555" i="21"/>
  <c r="P555" i="21"/>
  <c r="O555" i="21"/>
  <c r="W554" i="21"/>
  <c r="U554" i="21"/>
  <c r="T554" i="21"/>
  <c r="S554" i="21"/>
  <c r="R554" i="21"/>
  <c r="Q554" i="21"/>
  <c r="P554" i="21"/>
  <c r="O554" i="21"/>
  <c r="W553" i="21"/>
  <c r="U553" i="21"/>
  <c r="T553" i="21"/>
  <c r="S553" i="21"/>
  <c r="R553" i="21"/>
  <c r="Q553" i="21"/>
  <c r="P553" i="21"/>
  <c r="O553" i="21"/>
  <c r="W552" i="21"/>
  <c r="U552" i="21"/>
  <c r="T552" i="21"/>
  <c r="S552" i="21"/>
  <c r="R552" i="21"/>
  <c r="Q552" i="21"/>
  <c r="P552" i="21"/>
  <c r="O552" i="21"/>
  <c r="W551" i="21"/>
  <c r="U551" i="21"/>
  <c r="T551" i="21"/>
  <c r="S551" i="21"/>
  <c r="R551" i="21"/>
  <c r="Q551" i="21"/>
  <c r="P551" i="21"/>
  <c r="O551" i="21"/>
  <c r="W550" i="21"/>
  <c r="U550" i="21"/>
  <c r="T550" i="21"/>
  <c r="S550" i="21"/>
  <c r="R550" i="21"/>
  <c r="Q550" i="21"/>
  <c r="P550" i="21"/>
  <c r="O550" i="21"/>
  <c r="W549" i="21"/>
  <c r="U549" i="21"/>
  <c r="T549" i="21"/>
  <c r="S549" i="21"/>
  <c r="R549" i="21"/>
  <c r="Q549" i="21"/>
  <c r="P549" i="21"/>
  <c r="O549" i="21"/>
  <c r="W548" i="21"/>
  <c r="U548" i="21"/>
  <c r="T548" i="21"/>
  <c r="S548" i="21"/>
  <c r="R548" i="21"/>
  <c r="Q548" i="21"/>
  <c r="P548" i="21"/>
  <c r="O548" i="21"/>
  <c r="W547" i="21"/>
  <c r="U547" i="21"/>
  <c r="T547" i="21"/>
  <c r="S547" i="21"/>
  <c r="R547" i="21"/>
  <c r="Q547" i="21"/>
  <c r="P547" i="21"/>
  <c r="O547" i="21"/>
  <c r="W546" i="21"/>
  <c r="U546" i="21"/>
  <c r="T546" i="21"/>
  <c r="S546" i="21"/>
  <c r="R546" i="21"/>
  <c r="Q546" i="21"/>
  <c r="P546" i="21"/>
  <c r="O546" i="21"/>
  <c r="W545" i="21"/>
  <c r="U545" i="21"/>
  <c r="T545" i="21"/>
  <c r="S545" i="21"/>
  <c r="R545" i="21"/>
  <c r="Q545" i="21"/>
  <c r="P545" i="21"/>
  <c r="O545" i="21"/>
  <c r="W544" i="21"/>
  <c r="U544" i="21"/>
  <c r="T544" i="21"/>
  <c r="S544" i="21"/>
  <c r="R544" i="21"/>
  <c r="Q544" i="21"/>
  <c r="P544" i="21"/>
  <c r="O544" i="21"/>
  <c r="W543" i="21"/>
  <c r="U543" i="21"/>
  <c r="T543" i="21"/>
  <c r="S543" i="21"/>
  <c r="R543" i="21"/>
  <c r="Q543" i="21"/>
  <c r="P543" i="21"/>
  <c r="O543" i="21"/>
  <c r="W542" i="21"/>
  <c r="U542" i="21"/>
  <c r="T542" i="21"/>
  <c r="S542" i="21"/>
  <c r="R542" i="21"/>
  <c r="Q542" i="21"/>
  <c r="P542" i="21"/>
  <c r="O542" i="21"/>
  <c r="W541" i="21"/>
  <c r="U541" i="21"/>
  <c r="T541" i="21"/>
  <c r="S541" i="21"/>
  <c r="R541" i="21"/>
  <c r="Q541" i="21"/>
  <c r="P541" i="21"/>
  <c r="O541" i="21"/>
  <c r="W540" i="21"/>
  <c r="U540" i="21"/>
  <c r="T540" i="21"/>
  <c r="S540" i="21"/>
  <c r="R540" i="21"/>
  <c r="Q540" i="21"/>
  <c r="P540" i="21"/>
  <c r="O540" i="21"/>
  <c r="W539" i="21"/>
  <c r="U539" i="21"/>
  <c r="T539" i="21"/>
  <c r="S539" i="21"/>
  <c r="R539" i="21"/>
  <c r="Q539" i="21"/>
  <c r="P539" i="21"/>
  <c r="O539" i="21"/>
  <c r="W538" i="21"/>
  <c r="U538" i="21"/>
  <c r="T538" i="21"/>
  <c r="S538" i="21"/>
  <c r="R538" i="21"/>
  <c r="Q538" i="21"/>
  <c r="P538" i="21"/>
  <c r="O538" i="21"/>
  <c r="W537" i="21"/>
  <c r="U537" i="21"/>
  <c r="T537" i="21"/>
  <c r="S537" i="21"/>
  <c r="R537" i="21"/>
  <c r="Q537" i="21"/>
  <c r="P537" i="21"/>
  <c r="O537" i="21"/>
  <c r="W536" i="21"/>
  <c r="U536" i="21"/>
  <c r="T536" i="21"/>
  <c r="S536" i="21"/>
  <c r="R536" i="21"/>
  <c r="Q536" i="21"/>
  <c r="P536" i="21"/>
  <c r="O536" i="21"/>
  <c r="W535" i="21"/>
  <c r="U535" i="21"/>
  <c r="T535" i="21"/>
  <c r="S535" i="21"/>
  <c r="R535" i="21"/>
  <c r="Q535" i="21"/>
  <c r="P535" i="21"/>
  <c r="O535" i="21"/>
  <c r="W534" i="21"/>
  <c r="U534" i="21"/>
  <c r="T534" i="21"/>
  <c r="S534" i="21"/>
  <c r="R534" i="21"/>
  <c r="Q534" i="21"/>
  <c r="P534" i="21"/>
  <c r="O534" i="21"/>
  <c r="W533" i="21"/>
  <c r="U533" i="21"/>
  <c r="T533" i="21"/>
  <c r="S533" i="21"/>
  <c r="R533" i="21"/>
  <c r="Q533" i="21"/>
  <c r="P533" i="21"/>
  <c r="O533" i="21"/>
  <c r="W532" i="21"/>
  <c r="U532" i="21"/>
  <c r="T532" i="21"/>
  <c r="S532" i="21"/>
  <c r="R532" i="21"/>
  <c r="Q532" i="21"/>
  <c r="P532" i="21"/>
  <c r="O532" i="21"/>
  <c r="W531" i="21"/>
  <c r="U531" i="21"/>
  <c r="T531" i="21"/>
  <c r="S531" i="21"/>
  <c r="R531" i="21"/>
  <c r="Q531" i="21"/>
  <c r="P531" i="21"/>
  <c r="O531" i="21"/>
  <c r="W530" i="21"/>
  <c r="U530" i="21"/>
  <c r="T530" i="21"/>
  <c r="S530" i="21"/>
  <c r="R530" i="21"/>
  <c r="Q530" i="21"/>
  <c r="P530" i="21"/>
  <c r="O530" i="21"/>
  <c r="W529" i="21"/>
  <c r="U529" i="21"/>
  <c r="T529" i="21"/>
  <c r="S529" i="21"/>
  <c r="R529" i="21"/>
  <c r="Q529" i="21"/>
  <c r="P529" i="21"/>
  <c r="O529" i="21"/>
  <c r="W528" i="21"/>
  <c r="U528" i="21"/>
  <c r="T528" i="21"/>
  <c r="S528" i="21"/>
  <c r="R528" i="21"/>
  <c r="Q528" i="21"/>
  <c r="P528" i="21"/>
  <c r="O528" i="21"/>
  <c r="W527" i="21"/>
  <c r="U527" i="21"/>
  <c r="T527" i="21"/>
  <c r="S527" i="21"/>
  <c r="R527" i="21"/>
  <c r="Q527" i="21"/>
  <c r="P527" i="21"/>
  <c r="O527" i="21"/>
  <c r="W526" i="21"/>
  <c r="U526" i="21"/>
  <c r="T526" i="21"/>
  <c r="S526" i="21"/>
  <c r="R526" i="21"/>
  <c r="Q526" i="21"/>
  <c r="P526" i="21"/>
  <c r="O526" i="21"/>
  <c r="W525" i="21"/>
  <c r="U525" i="21"/>
  <c r="T525" i="21"/>
  <c r="S525" i="21"/>
  <c r="R525" i="21"/>
  <c r="Q525" i="21"/>
  <c r="P525" i="21"/>
  <c r="O525" i="21"/>
  <c r="W524" i="21"/>
  <c r="U524" i="21"/>
  <c r="T524" i="21"/>
  <c r="S524" i="21"/>
  <c r="R524" i="21"/>
  <c r="Q524" i="21"/>
  <c r="P524" i="21"/>
  <c r="O524" i="21"/>
  <c r="W523" i="21"/>
  <c r="U523" i="21"/>
  <c r="T523" i="21"/>
  <c r="S523" i="21"/>
  <c r="R523" i="21"/>
  <c r="Q523" i="21"/>
  <c r="P523" i="21"/>
  <c r="O523" i="21"/>
  <c r="W522" i="21"/>
  <c r="U522" i="21"/>
  <c r="T522" i="21"/>
  <c r="S522" i="21"/>
  <c r="R522" i="21"/>
  <c r="Q522" i="21"/>
  <c r="P522" i="21"/>
  <c r="O522" i="21"/>
  <c r="W521" i="21"/>
  <c r="U521" i="21"/>
  <c r="T521" i="21"/>
  <c r="S521" i="21"/>
  <c r="R521" i="21"/>
  <c r="Q521" i="21"/>
  <c r="P521" i="21"/>
  <c r="O521" i="21"/>
  <c r="W520" i="21"/>
  <c r="U520" i="21"/>
  <c r="T520" i="21"/>
  <c r="S520" i="21"/>
  <c r="R520" i="21"/>
  <c r="Q520" i="21"/>
  <c r="P520" i="21"/>
  <c r="O520" i="21"/>
  <c r="W519" i="21"/>
  <c r="U519" i="21"/>
  <c r="T519" i="21"/>
  <c r="S519" i="21"/>
  <c r="R519" i="21"/>
  <c r="Q519" i="21"/>
  <c r="P519" i="21"/>
  <c r="O519" i="21"/>
  <c r="W518" i="21"/>
  <c r="U518" i="21"/>
  <c r="T518" i="21"/>
  <c r="S518" i="21"/>
  <c r="R518" i="21"/>
  <c r="Q518" i="21"/>
  <c r="P518" i="21"/>
  <c r="O518" i="21"/>
  <c r="W517" i="21"/>
  <c r="U517" i="21"/>
  <c r="T517" i="21"/>
  <c r="S517" i="21"/>
  <c r="R517" i="21"/>
  <c r="Q517" i="21"/>
  <c r="P517" i="21"/>
  <c r="O517" i="21"/>
  <c r="W516" i="21"/>
  <c r="U516" i="21"/>
  <c r="T516" i="21"/>
  <c r="S516" i="21"/>
  <c r="R516" i="21"/>
  <c r="Q516" i="21"/>
  <c r="P516" i="21"/>
  <c r="O516" i="21"/>
  <c r="W515" i="21"/>
  <c r="U515" i="21"/>
  <c r="T515" i="21"/>
  <c r="S515" i="21"/>
  <c r="R515" i="21"/>
  <c r="Q515" i="21"/>
  <c r="P515" i="21"/>
  <c r="O515" i="21"/>
  <c r="W514" i="21"/>
  <c r="U514" i="21"/>
  <c r="T514" i="21"/>
  <c r="S514" i="21"/>
  <c r="R514" i="21"/>
  <c r="Q514" i="21"/>
  <c r="P514" i="21"/>
  <c r="O514" i="21"/>
  <c r="W513" i="21"/>
  <c r="U513" i="21"/>
  <c r="T513" i="21"/>
  <c r="S513" i="21"/>
  <c r="R513" i="21"/>
  <c r="Q513" i="21"/>
  <c r="P513" i="21"/>
  <c r="O513" i="21"/>
  <c r="W512" i="21"/>
  <c r="U512" i="21"/>
  <c r="T512" i="21"/>
  <c r="S512" i="21"/>
  <c r="R512" i="21"/>
  <c r="Q512" i="21"/>
  <c r="P512" i="21"/>
  <c r="O512" i="21"/>
  <c r="W511" i="21"/>
  <c r="U511" i="21"/>
  <c r="T511" i="21"/>
  <c r="S511" i="21"/>
  <c r="R511" i="21"/>
  <c r="Q511" i="21"/>
  <c r="P511" i="21"/>
  <c r="O511" i="21"/>
  <c r="W510" i="21"/>
  <c r="U510" i="21"/>
  <c r="T510" i="21"/>
  <c r="S510" i="21"/>
  <c r="R510" i="21"/>
  <c r="Q510" i="21"/>
  <c r="P510" i="21"/>
  <c r="O510" i="21"/>
  <c r="W509" i="21"/>
  <c r="U509" i="21"/>
  <c r="T509" i="21"/>
  <c r="S509" i="21"/>
  <c r="R509" i="21"/>
  <c r="Q509" i="21"/>
  <c r="P509" i="21"/>
  <c r="O509" i="21"/>
  <c r="W508" i="21"/>
  <c r="U508" i="21"/>
  <c r="T508" i="21"/>
  <c r="S508" i="21"/>
  <c r="R508" i="21"/>
  <c r="Q508" i="21"/>
  <c r="P508" i="21"/>
  <c r="O508" i="21"/>
  <c r="W507" i="21"/>
  <c r="U507" i="21"/>
  <c r="T507" i="21"/>
  <c r="S507" i="21"/>
  <c r="R507" i="21"/>
  <c r="Q507" i="21"/>
  <c r="P507" i="21"/>
  <c r="O507" i="21"/>
  <c r="W506" i="21"/>
  <c r="U506" i="21"/>
  <c r="T506" i="21"/>
  <c r="S506" i="21"/>
  <c r="R506" i="21"/>
  <c r="Q506" i="21"/>
  <c r="P506" i="21"/>
  <c r="O506" i="21"/>
  <c r="W505" i="21"/>
  <c r="U505" i="21"/>
  <c r="T505" i="21"/>
  <c r="S505" i="21"/>
  <c r="R505" i="21"/>
  <c r="Q505" i="21"/>
  <c r="P505" i="21"/>
  <c r="O505" i="21"/>
  <c r="W504" i="21"/>
  <c r="U504" i="21"/>
  <c r="T504" i="21"/>
  <c r="S504" i="21"/>
  <c r="R504" i="21"/>
  <c r="Q504" i="21"/>
  <c r="P504" i="21"/>
  <c r="O504" i="21"/>
  <c r="W503" i="21"/>
  <c r="U503" i="21"/>
  <c r="T503" i="21"/>
  <c r="S503" i="21"/>
  <c r="R503" i="21"/>
  <c r="Q503" i="21"/>
  <c r="P503" i="21"/>
  <c r="O503" i="21"/>
  <c r="W502" i="21"/>
  <c r="U502" i="21"/>
  <c r="T502" i="21"/>
  <c r="S502" i="21"/>
  <c r="R502" i="21"/>
  <c r="Q502" i="21"/>
  <c r="P502" i="21"/>
  <c r="O502" i="21"/>
  <c r="W501" i="21"/>
  <c r="U501" i="21"/>
  <c r="T501" i="21"/>
  <c r="S501" i="21"/>
  <c r="R501" i="21"/>
  <c r="Q501" i="21"/>
  <c r="P501" i="21"/>
  <c r="O501" i="21"/>
  <c r="W500" i="21"/>
  <c r="U500" i="21"/>
  <c r="T500" i="21"/>
  <c r="S500" i="21"/>
  <c r="R500" i="21"/>
  <c r="Q500" i="21"/>
  <c r="P500" i="21"/>
  <c r="O500" i="21"/>
  <c r="W499" i="21"/>
  <c r="U499" i="21"/>
  <c r="T499" i="21"/>
  <c r="S499" i="21"/>
  <c r="R499" i="21"/>
  <c r="Q499" i="21"/>
  <c r="P499" i="21"/>
  <c r="O499" i="21"/>
  <c r="W498" i="21"/>
  <c r="U498" i="21"/>
  <c r="T498" i="21"/>
  <c r="S498" i="21"/>
  <c r="R498" i="21"/>
  <c r="Q498" i="21"/>
  <c r="P498" i="21"/>
  <c r="O498" i="21"/>
  <c r="W497" i="21"/>
  <c r="U497" i="21"/>
  <c r="T497" i="21"/>
  <c r="S497" i="21"/>
  <c r="R497" i="21"/>
  <c r="Q497" i="21"/>
  <c r="P497" i="21"/>
  <c r="O497" i="21"/>
  <c r="W496" i="21"/>
  <c r="U496" i="21"/>
  <c r="T496" i="21"/>
  <c r="S496" i="21"/>
  <c r="R496" i="21"/>
  <c r="Q496" i="21"/>
  <c r="P496" i="21"/>
  <c r="O496" i="21"/>
  <c r="W495" i="21"/>
  <c r="U495" i="21"/>
  <c r="T495" i="21"/>
  <c r="S495" i="21"/>
  <c r="R495" i="21"/>
  <c r="Q495" i="21"/>
  <c r="P495" i="21"/>
  <c r="O495" i="21"/>
  <c r="W494" i="21"/>
  <c r="U494" i="21"/>
  <c r="T494" i="21"/>
  <c r="S494" i="21"/>
  <c r="R494" i="21"/>
  <c r="Q494" i="21"/>
  <c r="P494" i="21"/>
  <c r="O494" i="21"/>
  <c r="W493" i="21"/>
  <c r="U493" i="21"/>
  <c r="T493" i="21"/>
  <c r="S493" i="21"/>
  <c r="R493" i="21"/>
  <c r="Q493" i="21"/>
  <c r="P493" i="21"/>
  <c r="O493" i="21"/>
  <c r="W492" i="21"/>
  <c r="U492" i="21"/>
  <c r="T492" i="21"/>
  <c r="S492" i="21"/>
  <c r="R492" i="21"/>
  <c r="Q492" i="21"/>
  <c r="P492" i="21"/>
  <c r="O492" i="21"/>
  <c r="W491" i="21"/>
  <c r="U491" i="21"/>
  <c r="T491" i="21"/>
  <c r="S491" i="21"/>
  <c r="R491" i="21"/>
  <c r="Q491" i="21"/>
  <c r="P491" i="21"/>
  <c r="O491" i="21"/>
  <c r="W490" i="21"/>
  <c r="U490" i="21"/>
  <c r="T490" i="21"/>
  <c r="S490" i="21"/>
  <c r="R490" i="21"/>
  <c r="Q490" i="21"/>
  <c r="P490" i="21"/>
  <c r="O490" i="21"/>
  <c r="W489" i="21"/>
  <c r="U489" i="21"/>
  <c r="T489" i="21"/>
  <c r="S489" i="21"/>
  <c r="R489" i="21"/>
  <c r="Q489" i="21"/>
  <c r="P489" i="21"/>
  <c r="O489" i="21"/>
  <c r="W488" i="21"/>
  <c r="U488" i="21"/>
  <c r="T488" i="21"/>
  <c r="S488" i="21"/>
  <c r="R488" i="21"/>
  <c r="Q488" i="21"/>
  <c r="P488" i="21"/>
  <c r="O488" i="21"/>
  <c r="W487" i="21"/>
  <c r="U487" i="21"/>
  <c r="T487" i="21"/>
  <c r="S487" i="21"/>
  <c r="R487" i="21"/>
  <c r="Q487" i="21"/>
  <c r="P487" i="21"/>
  <c r="O487" i="21"/>
  <c r="W486" i="21"/>
  <c r="U486" i="21"/>
  <c r="T486" i="21"/>
  <c r="S486" i="21"/>
  <c r="R486" i="21"/>
  <c r="Q486" i="21"/>
  <c r="P486" i="21"/>
  <c r="O486" i="21"/>
  <c r="W485" i="21"/>
  <c r="U485" i="21"/>
  <c r="T485" i="21"/>
  <c r="S485" i="21"/>
  <c r="R485" i="21"/>
  <c r="Q485" i="21"/>
  <c r="P485" i="21"/>
  <c r="O485" i="21"/>
  <c r="W484" i="21"/>
  <c r="U484" i="21"/>
  <c r="T484" i="21"/>
  <c r="S484" i="21"/>
  <c r="R484" i="21"/>
  <c r="Q484" i="21"/>
  <c r="P484" i="21"/>
  <c r="O484" i="21"/>
  <c r="W483" i="21"/>
  <c r="U483" i="21"/>
  <c r="T483" i="21"/>
  <c r="S483" i="21"/>
  <c r="R483" i="21"/>
  <c r="Q483" i="21"/>
  <c r="P483" i="21"/>
  <c r="O483" i="21"/>
  <c r="W482" i="21"/>
  <c r="U482" i="21"/>
  <c r="T482" i="21"/>
  <c r="S482" i="21"/>
  <c r="R482" i="21"/>
  <c r="Q482" i="21"/>
  <c r="P482" i="21"/>
  <c r="O482" i="21"/>
  <c r="W481" i="21"/>
  <c r="U481" i="21"/>
  <c r="T481" i="21"/>
  <c r="S481" i="21"/>
  <c r="R481" i="21"/>
  <c r="Q481" i="21"/>
  <c r="P481" i="21"/>
  <c r="O481" i="21"/>
  <c r="W480" i="21"/>
  <c r="U480" i="21"/>
  <c r="T480" i="21"/>
  <c r="S480" i="21"/>
  <c r="R480" i="21"/>
  <c r="Q480" i="21"/>
  <c r="P480" i="21"/>
  <c r="O480" i="21"/>
  <c r="W479" i="21"/>
  <c r="U479" i="21"/>
  <c r="T479" i="21"/>
  <c r="S479" i="21"/>
  <c r="R479" i="21"/>
  <c r="Q479" i="21"/>
  <c r="P479" i="21"/>
  <c r="O479" i="21"/>
  <c r="W478" i="21"/>
  <c r="U478" i="21"/>
  <c r="T478" i="21"/>
  <c r="S478" i="21"/>
  <c r="R478" i="21"/>
  <c r="Q478" i="21"/>
  <c r="P478" i="21"/>
  <c r="O478" i="21"/>
  <c r="W477" i="21"/>
  <c r="U477" i="21"/>
  <c r="T477" i="21"/>
  <c r="S477" i="21"/>
  <c r="R477" i="21"/>
  <c r="Q477" i="21"/>
  <c r="P477" i="21"/>
  <c r="O477" i="21"/>
  <c r="W476" i="21"/>
  <c r="U476" i="21"/>
  <c r="T476" i="21"/>
  <c r="S476" i="21"/>
  <c r="R476" i="21"/>
  <c r="Q476" i="21"/>
  <c r="P476" i="21"/>
  <c r="O476" i="21"/>
  <c r="W475" i="21"/>
  <c r="U475" i="21"/>
  <c r="T475" i="21"/>
  <c r="S475" i="21"/>
  <c r="R475" i="21"/>
  <c r="Q475" i="21"/>
  <c r="P475" i="21"/>
  <c r="O475" i="21"/>
  <c r="W474" i="21"/>
  <c r="U474" i="21"/>
  <c r="T474" i="21"/>
  <c r="S474" i="21"/>
  <c r="R474" i="21"/>
  <c r="Q474" i="21"/>
  <c r="P474" i="21"/>
  <c r="O474" i="21"/>
  <c r="W473" i="21"/>
  <c r="U473" i="21"/>
  <c r="T473" i="21"/>
  <c r="S473" i="21"/>
  <c r="R473" i="21"/>
  <c r="Q473" i="21"/>
  <c r="P473" i="21"/>
  <c r="O473" i="21"/>
  <c r="W472" i="21"/>
  <c r="U472" i="21"/>
  <c r="T472" i="21"/>
  <c r="S472" i="21"/>
  <c r="R472" i="21"/>
  <c r="Q472" i="21"/>
  <c r="P472" i="21"/>
  <c r="O472" i="21"/>
  <c r="W471" i="21"/>
  <c r="U471" i="21"/>
  <c r="T471" i="21"/>
  <c r="S471" i="21"/>
  <c r="R471" i="21"/>
  <c r="Q471" i="21"/>
  <c r="P471" i="21"/>
  <c r="O471" i="21"/>
  <c r="W470" i="21"/>
  <c r="U470" i="21"/>
  <c r="T470" i="21"/>
  <c r="S470" i="21"/>
  <c r="R470" i="21"/>
  <c r="Q470" i="21"/>
  <c r="P470" i="21"/>
  <c r="O470" i="21"/>
  <c r="W469" i="21"/>
  <c r="U469" i="21"/>
  <c r="T469" i="21"/>
  <c r="S469" i="21"/>
  <c r="R469" i="21"/>
  <c r="Q469" i="21"/>
  <c r="P469" i="21"/>
  <c r="O469" i="21"/>
  <c r="W468" i="21"/>
  <c r="U468" i="21"/>
  <c r="T468" i="21"/>
  <c r="S468" i="21"/>
  <c r="R468" i="21"/>
  <c r="Q468" i="21"/>
  <c r="P468" i="21"/>
  <c r="O468" i="21"/>
  <c r="W467" i="21"/>
  <c r="U467" i="21"/>
  <c r="T467" i="21"/>
  <c r="S467" i="21"/>
  <c r="R467" i="21"/>
  <c r="Q467" i="21"/>
  <c r="P467" i="21"/>
  <c r="O467" i="21"/>
  <c r="W466" i="21"/>
  <c r="U466" i="21"/>
  <c r="T466" i="21"/>
  <c r="S466" i="21"/>
  <c r="R466" i="21"/>
  <c r="Q466" i="21"/>
  <c r="P466" i="21"/>
  <c r="O466" i="21"/>
  <c r="W465" i="21"/>
  <c r="U465" i="21"/>
  <c r="T465" i="21"/>
  <c r="S465" i="21"/>
  <c r="R465" i="21"/>
  <c r="Q465" i="21"/>
  <c r="P465" i="21"/>
  <c r="O465" i="21"/>
  <c r="W464" i="21"/>
  <c r="U464" i="21"/>
  <c r="T464" i="21"/>
  <c r="S464" i="21"/>
  <c r="R464" i="21"/>
  <c r="Q464" i="21"/>
  <c r="P464" i="21"/>
  <c r="O464" i="21"/>
  <c r="W463" i="21"/>
  <c r="U463" i="21"/>
  <c r="T463" i="21"/>
  <c r="S463" i="21"/>
  <c r="R463" i="21"/>
  <c r="Q463" i="21"/>
  <c r="P463" i="21"/>
  <c r="O463" i="21"/>
  <c r="W462" i="21"/>
  <c r="U462" i="21"/>
  <c r="T462" i="21"/>
  <c r="S462" i="21"/>
  <c r="R462" i="21"/>
  <c r="Q462" i="21"/>
  <c r="P462" i="21"/>
  <c r="O462" i="21"/>
  <c r="W461" i="21"/>
  <c r="U461" i="21"/>
  <c r="T461" i="21"/>
  <c r="S461" i="21"/>
  <c r="R461" i="21"/>
  <c r="Q461" i="21"/>
  <c r="P461" i="21"/>
  <c r="O461" i="21"/>
  <c r="W460" i="21"/>
  <c r="U460" i="21"/>
  <c r="T460" i="21"/>
  <c r="S460" i="21"/>
  <c r="R460" i="21"/>
  <c r="Q460" i="21"/>
  <c r="P460" i="21"/>
  <c r="O460" i="21"/>
  <c r="W459" i="21"/>
  <c r="U459" i="21"/>
  <c r="T459" i="21"/>
  <c r="S459" i="21"/>
  <c r="R459" i="21"/>
  <c r="Q459" i="21"/>
  <c r="P459" i="21"/>
  <c r="O459" i="21"/>
  <c r="W458" i="21"/>
  <c r="U458" i="21"/>
  <c r="T458" i="21"/>
  <c r="S458" i="21"/>
  <c r="R458" i="21"/>
  <c r="Q458" i="21"/>
  <c r="P458" i="21"/>
  <c r="O458" i="21"/>
  <c r="W457" i="21"/>
  <c r="U457" i="21"/>
  <c r="T457" i="21"/>
  <c r="S457" i="21"/>
  <c r="R457" i="21"/>
  <c r="Q457" i="21"/>
  <c r="P457" i="21"/>
  <c r="O457" i="21"/>
  <c r="W456" i="21"/>
  <c r="U456" i="21"/>
  <c r="T456" i="21"/>
  <c r="S456" i="21"/>
  <c r="R456" i="21"/>
  <c r="Q456" i="21"/>
  <c r="P456" i="21"/>
  <c r="O456" i="21"/>
  <c r="W455" i="21"/>
  <c r="U455" i="21"/>
  <c r="T455" i="21"/>
  <c r="S455" i="21"/>
  <c r="R455" i="21"/>
  <c r="Q455" i="21"/>
  <c r="P455" i="21"/>
  <c r="O455" i="21"/>
  <c r="W454" i="21"/>
  <c r="U454" i="21"/>
  <c r="T454" i="21"/>
  <c r="S454" i="21"/>
  <c r="R454" i="21"/>
  <c r="Q454" i="21"/>
  <c r="P454" i="21"/>
  <c r="O454" i="21"/>
  <c r="W453" i="21"/>
  <c r="U453" i="21"/>
  <c r="T453" i="21"/>
  <c r="S453" i="21"/>
  <c r="R453" i="21"/>
  <c r="Q453" i="21"/>
  <c r="P453" i="21"/>
  <c r="O453" i="21"/>
  <c r="W452" i="21"/>
  <c r="U452" i="21"/>
  <c r="T452" i="21"/>
  <c r="S452" i="21"/>
  <c r="R452" i="21"/>
  <c r="Q452" i="21"/>
  <c r="P452" i="21"/>
  <c r="O452" i="21"/>
  <c r="W451" i="21"/>
  <c r="U451" i="21"/>
  <c r="T451" i="21"/>
  <c r="S451" i="21"/>
  <c r="R451" i="21"/>
  <c r="Q451" i="21"/>
  <c r="P451" i="21"/>
  <c r="O451" i="21"/>
  <c r="W450" i="21"/>
  <c r="U450" i="21"/>
  <c r="T450" i="21"/>
  <c r="S450" i="21"/>
  <c r="R450" i="21"/>
  <c r="Q450" i="21"/>
  <c r="P450" i="21"/>
  <c r="O450" i="21"/>
  <c r="W449" i="21"/>
  <c r="U449" i="21"/>
  <c r="T449" i="21"/>
  <c r="S449" i="21"/>
  <c r="R449" i="21"/>
  <c r="Q449" i="21"/>
  <c r="P449" i="21"/>
  <c r="O449" i="21"/>
  <c r="W448" i="21"/>
  <c r="U448" i="21"/>
  <c r="T448" i="21"/>
  <c r="S448" i="21"/>
  <c r="R448" i="21"/>
  <c r="Q448" i="21"/>
  <c r="P448" i="21"/>
  <c r="O448" i="21"/>
  <c r="W447" i="21"/>
  <c r="U447" i="21"/>
  <c r="T447" i="21"/>
  <c r="S447" i="21"/>
  <c r="R447" i="21"/>
  <c r="Q447" i="21"/>
  <c r="P447" i="21"/>
  <c r="O447" i="21"/>
  <c r="W446" i="21"/>
  <c r="U446" i="21"/>
  <c r="T446" i="21"/>
  <c r="S446" i="21"/>
  <c r="R446" i="21"/>
  <c r="Q446" i="21"/>
  <c r="P446" i="21"/>
  <c r="O446" i="21"/>
  <c r="W445" i="21"/>
  <c r="U445" i="21"/>
  <c r="T445" i="21"/>
  <c r="S445" i="21"/>
  <c r="R445" i="21"/>
  <c r="Q445" i="21"/>
  <c r="P445" i="21"/>
  <c r="O445" i="21"/>
  <c r="W444" i="21"/>
  <c r="U444" i="21"/>
  <c r="T444" i="21"/>
  <c r="S444" i="21"/>
  <c r="R444" i="21"/>
  <c r="Q444" i="21"/>
  <c r="P444" i="21"/>
  <c r="O444" i="21"/>
  <c r="W443" i="21"/>
  <c r="U443" i="21"/>
  <c r="T443" i="21"/>
  <c r="S443" i="21"/>
  <c r="R443" i="21"/>
  <c r="Q443" i="21"/>
  <c r="P443" i="21"/>
  <c r="O443" i="21"/>
  <c r="W442" i="21"/>
  <c r="U442" i="21"/>
  <c r="T442" i="21"/>
  <c r="S442" i="21"/>
  <c r="R442" i="21"/>
  <c r="Q442" i="21"/>
  <c r="P442" i="21"/>
  <c r="O442" i="21"/>
  <c r="W441" i="21"/>
  <c r="U441" i="21"/>
  <c r="T441" i="21"/>
  <c r="S441" i="21"/>
  <c r="R441" i="21"/>
  <c r="Q441" i="21"/>
  <c r="P441" i="21"/>
  <c r="O441" i="21"/>
  <c r="W440" i="21"/>
  <c r="U440" i="21"/>
  <c r="T440" i="21"/>
  <c r="S440" i="21"/>
  <c r="R440" i="21"/>
  <c r="Q440" i="21"/>
  <c r="P440" i="21"/>
  <c r="O440" i="21"/>
  <c r="W439" i="21"/>
  <c r="U439" i="21"/>
  <c r="T439" i="21"/>
  <c r="S439" i="21"/>
  <c r="R439" i="21"/>
  <c r="Q439" i="21"/>
  <c r="P439" i="21"/>
  <c r="O439" i="21"/>
  <c r="W438" i="21"/>
  <c r="U438" i="21"/>
  <c r="T438" i="21"/>
  <c r="S438" i="21"/>
  <c r="R438" i="21"/>
  <c r="Q438" i="21"/>
  <c r="P438" i="21"/>
  <c r="O438" i="21"/>
  <c r="W437" i="21"/>
  <c r="U437" i="21"/>
  <c r="T437" i="21"/>
  <c r="S437" i="21"/>
  <c r="R437" i="21"/>
  <c r="Q437" i="21"/>
  <c r="P437" i="21"/>
  <c r="O437" i="21"/>
  <c r="W436" i="21"/>
  <c r="U436" i="21"/>
  <c r="T436" i="21"/>
  <c r="S436" i="21"/>
  <c r="R436" i="21"/>
  <c r="Q436" i="21"/>
  <c r="P436" i="21"/>
  <c r="O436" i="21"/>
  <c r="W435" i="21"/>
  <c r="U435" i="21"/>
  <c r="T435" i="21"/>
  <c r="S435" i="21"/>
  <c r="R435" i="21"/>
  <c r="Q435" i="21"/>
  <c r="P435" i="21"/>
  <c r="O435" i="21"/>
  <c r="W434" i="21"/>
  <c r="U434" i="21"/>
  <c r="T434" i="21"/>
  <c r="S434" i="21"/>
  <c r="R434" i="21"/>
  <c r="Q434" i="21"/>
  <c r="P434" i="21"/>
  <c r="O434" i="21"/>
  <c r="W433" i="21"/>
  <c r="U433" i="21"/>
  <c r="T433" i="21"/>
  <c r="S433" i="21"/>
  <c r="R433" i="21"/>
  <c r="Q433" i="21"/>
  <c r="P433" i="21"/>
  <c r="O433" i="21"/>
  <c r="W432" i="21"/>
  <c r="U432" i="21"/>
  <c r="T432" i="21"/>
  <c r="S432" i="21"/>
  <c r="R432" i="21"/>
  <c r="Q432" i="21"/>
  <c r="P432" i="21"/>
  <c r="O432" i="21"/>
  <c r="W431" i="21"/>
  <c r="U431" i="21"/>
  <c r="T431" i="21"/>
  <c r="S431" i="21"/>
  <c r="R431" i="21"/>
  <c r="Q431" i="21"/>
  <c r="P431" i="21"/>
  <c r="O431" i="21"/>
  <c r="W430" i="21"/>
  <c r="U430" i="21"/>
  <c r="T430" i="21"/>
  <c r="S430" i="21"/>
  <c r="R430" i="21"/>
  <c r="Q430" i="21"/>
  <c r="P430" i="21"/>
  <c r="O430" i="21"/>
  <c r="W429" i="21"/>
  <c r="U429" i="21"/>
  <c r="T429" i="21"/>
  <c r="S429" i="21"/>
  <c r="R429" i="21"/>
  <c r="Q429" i="21"/>
  <c r="P429" i="21"/>
  <c r="O429" i="21"/>
  <c r="W428" i="21"/>
  <c r="U428" i="21"/>
  <c r="T428" i="21"/>
  <c r="S428" i="21"/>
  <c r="R428" i="21"/>
  <c r="Q428" i="21"/>
  <c r="P428" i="21"/>
  <c r="O428" i="21"/>
  <c r="W427" i="21"/>
  <c r="U427" i="21"/>
  <c r="T427" i="21"/>
  <c r="S427" i="21"/>
  <c r="R427" i="21"/>
  <c r="Q427" i="21"/>
  <c r="P427" i="21"/>
  <c r="O427" i="21"/>
  <c r="W426" i="21"/>
  <c r="U426" i="21"/>
  <c r="T426" i="21"/>
  <c r="S426" i="21"/>
  <c r="R426" i="21"/>
  <c r="Q426" i="21"/>
  <c r="P426" i="21"/>
  <c r="O426" i="21"/>
  <c r="W425" i="21"/>
  <c r="U425" i="21"/>
  <c r="T425" i="21"/>
  <c r="S425" i="21"/>
  <c r="R425" i="21"/>
  <c r="Q425" i="21"/>
  <c r="P425" i="21"/>
  <c r="O425" i="21"/>
  <c r="W424" i="21"/>
  <c r="U424" i="21"/>
  <c r="T424" i="21"/>
  <c r="S424" i="21"/>
  <c r="R424" i="21"/>
  <c r="Q424" i="21"/>
  <c r="P424" i="21"/>
  <c r="O424" i="21"/>
  <c r="W423" i="21"/>
  <c r="U423" i="21"/>
  <c r="T423" i="21"/>
  <c r="S423" i="21"/>
  <c r="R423" i="21"/>
  <c r="Q423" i="21"/>
  <c r="P423" i="21"/>
  <c r="O423" i="21"/>
  <c r="W422" i="21"/>
  <c r="U422" i="21"/>
  <c r="T422" i="21"/>
  <c r="S422" i="21"/>
  <c r="R422" i="21"/>
  <c r="Q422" i="21"/>
  <c r="P422" i="21"/>
  <c r="O422" i="21"/>
  <c r="W421" i="21"/>
  <c r="U421" i="21"/>
  <c r="T421" i="21"/>
  <c r="S421" i="21"/>
  <c r="R421" i="21"/>
  <c r="Q421" i="21"/>
  <c r="P421" i="21"/>
  <c r="O421" i="21"/>
  <c r="W420" i="21"/>
  <c r="U420" i="21"/>
  <c r="T420" i="21"/>
  <c r="S420" i="21"/>
  <c r="R420" i="21"/>
  <c r="Q420" i="21"/>
  <c r="P420" i="21"/>
  <c r="O420" i="21"/>
  <c r="W419" i="21"/>
  <c r="U419" i="21"/>
  <c r="T419" i="21"/>
  <c r="S419" i="21"/>
  <c r="R419" i="21"/>
  <c r="Q419" i="21"/>
  <c r="P419" i="21"/>
  <c r="O419" i="21"/>
  <c r="W418" i="21"/>
  <c r="U418" i="21"/>
  <c r="T418" i="21"/>
  <c r="S418" i="21"/>
  <c r="R418" i="21"/>
  <c r="Q418" i="21"/>
  <c r="P418" i="21"/>
  <c r="O418" i="21"/>
  <c r="W417" i="21"/>
  <c r="U417" i="21"/>
  <c r="T417" i="21"/>
  <c r="S417" i="21"/>
  <c r="R417" i="21"/>
  <c r="Q417" i="21"/>
  <c r="P417" i="21"/>
  <c r="O417" i="21"/>
  <c r="W416" i="21"/>
  <c r="U416" i="21"/>
  <c r="T416" i="21"/>
  <c r="S416" i="21"/>
  <c r="R416" i="21"/>
  <c r="Q416" i="21"/>
  <c r="P416" i="21"/>
  <c r="O416" i="21"/>
  <c r="W415" i="21"/>
  <c r="U415" i="21"/>
  <c r="T415" i="21"/>
  <c r="S415" i="21"/>
  <c r="R415" i="21"/>
  <c r="Q415" i="21"/>
  <c r="P415" i="21"/>
  <c r="O415" i="21"/>
  <c r="W414" i="21"/>
  <c r="U414" i="21"/>
  <c r="T414" i="21"/>
  <c r="S414" i="21"/>
  <c r="R414" i="21"/>
  <c r="Q414" i="21"/>
  <c r="P414" i="21"/>
  <c r="O414" i="21"/>
  <c r="W413" i="21"/>
  <c r="U413" i="21"/>
  <c r="T413" i="21"/>
  <c r="S413" i="21"/>
  <c r="R413" i="21"/>
  <c r="Q413" i="21"/>
  <c r="P413" i="21"/>
  <c r="O413" i="21"/>
  <c r="W412" i="21"/>
  <c r="U412" i="21"/>
  <c r="T412" i="21"/>
  <c r="S412" i="21"/>
  <c r="R412" i="21"/>
  <c r="Q412" i="21"/>
  <c r="P412" i="21"/>
  <c r="O412" i="21"/>
  <c r="W411" i="21"/>
  <c r="U411" i="21"/>
  <c r="T411" i="21"/>
  <c r="S411" i="21"/>
  <c r="R411" i="21"/>
  <c r="Q411" i="21"/>
  <c r="P411" i="21"/>
  <c r="O411" i="21"/>
  <c r="W410" i="21"/>
  <c r="U410" i="21"/>
  <c r="T410" i="21"/>
  <c r="S410" i="21"/>
  <c r="R410" i="21"/>
  <c r="Q410" i="21"/>
  <c r="P410" i="21"/>
  <c r="O410" i="21"/>
  <c r="W409" i="21"/>
  <c r="U409" i="21"/>
  <c r="T409" i="21"/>
  <c r="S409" i="21"/>
  <c r="R409" i="21"/>
  <c r="Q409" i="21"/>
  <c r="P409" i="21"/>
  <c r="O409" i="21"/>
  <c r="W408" i="21"/>
  <c r="U408" i="21"/>
  <c r="T408" i="21"/>
  <c r="S408" i="21"/>
  <c r="R408" i="21"/>
  <c r="Q408" i="21"/>
  <c r="P408" i="21"/>
  <c r="O408" i="21"/>
  <c r="W407" i="21"/>
  <c r="U407" i="21"/>
  <c r="T407" i="21"/>
  <c r="S407" i="21"/>
  <c r="R407" i="21"/>
  <c r="Q407" i="21"/>
  <c r="P407" i="21"/>
  <c r="O407" i="21"/>
  <c r="W406" i="21"/>
  <c r="U406" i="21"/>
  <c r="T406" i="21"/>
  <c r="S406" i="21"/>
  <c r="R406" i="21"/>
  <c r="Q406" i="21"/>
  <c r="P406" i="21"/>
  <c r="O406" i="21"/>
  <c r="W405" i="21"/>
  <c r="U405" i="21"/>
  <c r="T405" i="21"/>
  <c r="S405" i="21"/>
  <c r="R405" i="21"/>
  <c r="Q405" i="21"/>
  <c r="P405" i="21"/>
  <c r="O405" i="21"/>
  <c r="W404" i="21"/>
  <c r="U404" i="21"/>
  <c r="T404" i="21"/>
  <c r="S404" i="21"/>
  <c r="R404" i="21"/>
  <c r="Q404" i="21"/>
  <c r="P404" i="21"/>
  <c r="O404" i="21"/>
  <c r="W403" i="21"/>
  <c r="U403" i="21"/>
  <c r="T403" i="21"/>
  <c r="S403" i="21"/>
  <c r="R403" i="21"/>
  <c r="Q403" i="21"/>
  <c r="P403" i="21"/>
  <c r="O403" i="21"/>
  <c r="W402" i="21"/>
  <c r="U402" i="21"/>
  <c r="T402" i="21"/>
  <c r="S402" i="21"/>
  <c r="R402" i="21"/>
  <c r="Q402" i="21"/>
  <c r="P402" i="21"/>
  <c r="O402" i="21"/>
  <c r="W401" i="21"/>
  <c r="U401" i="21"/>
  <c r="T401" i="21"/>
  <c r="S401" i="21"/>
  <c r="R401" i="21"/>
  <c r="Q401" i="21"/>
  <c r="P401" i="21"/>
  <c r="O401" i="21"/>
  <c r="W400" i="21"/>
  <c r="U400" i="21"/>
  <c r="T400" i="21"/>
  <c r="S400" i="21"/>
  <c r="R400" i="21"/>
  <c r="Q400" i="21"/>
  <c r="P400" i="21"/>
  <c r="O400" i="21"/>
  <c r="W399" i="21"/>
  <c r="U399" i="21"/>
  <c r="T399" i="21"/>
  <c r="S399" i="21"/>
  <c r="R399" i="21"/>
  <c r="Q399" i="21"/>
  <c r="P399" i="21"/>
  <c r="O399" i="21"/>
  <c r="W398" i="21"/>
  <c r="U398" i="21"/>
  <c r="T398" i="21"/>
  <c r="S398" i="21"/>
  <c r="R398" i="21"/>
  <c r="Q398" i="21"/>
  <c r="P398" i="21"/>
  <c r="O398" i="21"/>
  <c r="W397" i="21"/>
  <c r="U397" i="21"/>
  <c r="T397" i="21"/>
  <c r="S397" i="21"/>
  <c r="R397" i="21"/>
  <c r="Q397" i="21"/>
  <c r="P397" i="21"/>
  <c r="O397" i="21"/>
  <c r="W396" i="21"/>
  <c r="U396" i="21"/>
  <c r="T396" i="21"/>
  <c r="S396" i="21"/>
  <c r="R396" i="21"/>
  <c r="Q396" i="21"/>
  <c r="P396" i="21"/>
  <c r="O396" i="21"/>
  <c r="W395" i="21"/>
  <c r="U395" i="21"/>
  <c r="T395" i="21"/>
  <c r="S395" i="21"/>
  <c r="R395" i="21"/>
  <c r="Q395" i="21"/>
  <c r="P395" i="21"/>
  <c r="O395" i="21"/>
  <c r="W394" i="21"/>
  <c r="U394" i="21"/>
  <c r="T394" i="21"/>
  <c r="S394" i="21"/>
  <c r="R394" i="21"/>
  <c r="Q394" i="21"/>
  <c r="P394" i="21"/>
  <c r="O394" i="21"/>
  <c r="W393" i="21"/>
  <c r="U393" i="21"/>
  <c r="T393" i="21"/>
  <c r="S393" i="21"/>
  <c r="R393" i="21"/>
  <c r="Q393" i="21"/>
  <c r="P393" i="21"/>
  <c r="O393" i="21"/>
  <c r="W392" i="21"/>
  <c r="U392" i="21"/>
  <c r="T392" i="21"/>
  <c r="S392" i="21"/>
  <c r="R392" i="21"/>
  <c r="Q392" i="21"/>
  <c r="P392" i="21"/>
  <c r="O392" i="21"/>
  <c r="W391" i="21"/>
  <c r="U391" i="21"/>
  <c r="T391" i="21"/>
  <c r="S391" i="21"/>
  <c r="R391" i="21"/>
  <c r="Q391" i="21"/>
  <c r="P391" i="21"/>
  <c r="O391" i="21"/>
  <c r="W390" i="21"/>
  <c r="U390" i="21"/>
  <c r="T390" i="21"/>
  <c r="S390" i="21"/>
  <c r="R390" i="21"/>
  <c r="Q390" i="21"/>
  <c r="P390" i="21"/>
  <c r="O390" i="21"/>
  <c r="W389" i="21"/>
  <c r="U389" i="21"/>
  <c r="T389" i="21"/>
  <c r="S389" i="21"/>
  <c r="R389" i="21"/>
  <c r="Q389" i="21"/>
  <c r="P389" i="21"/>
  <c r="O389" i="21"/>
  <c r="W388" i="21"/>
  <c r="U388" i="21"/>
  <c r="T388" i="21"/>
  <c r="S388" i="21"/>
  <c r="R388" i="21"/>
  <c r="Q388" i="21"/>
  <c r="P388" i="21"/>
  <c r="O388" i="21"/>
  <c r="W387" i="21"/>
  <c r="U387" i="21"/>
  <c r="T387" i="21"/>
  <c r="S387" i="21"/>
  <c r="R387" i="21"/>
  <c r="Q387" i="21"/>
  <c r="P387" i="21"/>
  <c r="O387" i="21"/>
  <c r="W386" i="21"/>
  <c r="U386" i="21"/>
  <c r="T386" i="21"/>
  <c r="S386" i="21"/>
  <c r="R386" i="21"/>
  <c r="Q386" i="21"/>
  <c r="P386" i="21"/>
  <c r="O386" i="21"/>
  <c r="W385" i="21"/>
  <c r="U385" i="21"/>
  <c r="T385" i="21"/>
  <c r="S385" i="21"/>
  <c r="R385" i="21"/>
  <c r="Q385" i="21"/>
  <c r="P385" i="21"/>
  <c r="O385" i="21"/>
  <c r="W384" i="21"/>
  <c r="U384" i="21"/>
  <c r="T384" i="21"/>
  <c r="S384" i="21"/>
  <c r="R384" i="21"/>
  <c r="Q384" i="21"/>
  <c r="P384" i="21"/>
  <c r="O384" i="21"/>
  <c r="W383" i="21"/>
  <c r="U383" i="21"/>
  <c r="T383" i="21"/>
  <c r="S383" i="21"/>
  <c r="R383" i="21"/>
  <c r="Q383" i="21"/>
  <c r="P383" i="21"/>
  <c r="O383" i="21"/>
  <c r="W382" i="21"/>
  <c r="U382" i="21"/>
  <c r="T382" i="21"/>
  <c r="S382" i="21"/>
  <c r="R382" i="21"/>
  <c r="Q382" i="21"/>
  <c r="P382" i="21"/>
  <c r="O382" i="21"/>
  <c r="W381" i="21"/>
  <c r="U381" i="21"/>
  <c r="T381" i="21"/>
  <c r="S381" i="21"/>
  <c r="R381" i="21"/>
  <c r="Q381" i="21"/>
  <c r="P381" i="21"/>
  <c r="O381" i="21"/>
  <c r="W380" i="21"/>
  <c r="U380" i="21"/>
  <c r="T380" i="21"/>
  <c r="S380" i="21"/>
  <c r="R380" i="21"/>
  <c r="Q380" i="21"/>
  <c r="P380" i="21"/>
  <c r="O380" i="21"/>
  <c r="W379" i="21"/>
  <c r="U379" i="21"/>
  <c r="T379" i="21"/>
  <c r="S379" i="21"/>
  <c r="R379" i="21"/>
  <c r="Q379" i="21"/>
  <c r="P379" i="21"/>
  <c r="O379" i="21"/>
  <c r="W378" i="21"/>
  <c r="U378" i="21"/>
  <c r="T378" i="21"/>
  <c r="S378" i="21"/>
  <c r="R378" i="21"/>
  <c r="Q378" i="21"/>
  <c r="P378" i="21"/>
  <c r="O378" i="21"/>
  <c r="W377" i="21"/>
  <c r="U377" i="21"/>
  <c r="T377" i="21"/>
  <c r="S377" i="21"/>
  <c r="R377" i="21"/>
  <c r="Q377" i="21"/>
  <c r="P377" i="21"/>
  <c r="O377" i="21"/>
  <c r="W376" i="21"/>
  <c r="U376" i="21"/>
  <c r="T376" i="21"/>
  <c r="S376" i="21"/>
  <c r="R376" i="21"/>
  <c r="Q376" i="21"/>
  <c r="P376" i="21"/>
  <c r="O376" i="21"/>
  <c r="W375" i="21"/>
  <c r="U375" i="21"/>
  <c r="T375" i="21"/>
  <c r="S375" i="21"/>
  <c r="R375" i="21"/>
  <c r="Q375" i="21"/>
  <c r="P375" i="21"/>
  <c r="O375" i="21"/>
  <c r="W374" i="21"/>
  <c r="U374" i="21"/>
  <c r="T374" i="21"/>
  <c r="S374" i="21"/>
  <c r="R374" i="21"/>
  <c r="Q374" i="21"/>
  <c r="P374" i="21"/>
  <c r="O374" i="21"/>
  <c r="W373" i="21"/>
  <c r="U373" i="21"/>
  <c r="T373" i="21"/>
  <c r="S373" i="21"/>
  <c r="R373" i="21"/>
  <c r="Q373" i="21"/>
  <c r="P373" i="21"/>
  <c r="O373" i="21"/>
  <c r="W372" i="21"/>
  <c r="U372" i="21"/>
  <c r="T372" i="21"/>
  <c r="S372" i="21"/>
  <c r="R372" i="21"/>
  <c r="Q372" i="21"/>
  <c r="P372" i="21"/>
  <c r="O372" i="21"/>
  <c r="W371" i="21"/>
  <c r="U371" i="21"/>
  <c r="T371" i="21"/>
  <c r="S371" i="21"/>
  <c r="R371" i="21"/>
  <c r="Q371" i="21"/>
  <c r="P371" i="21"/>
  <c r="O371" i="21"/>
  <c r="W370" i="21"/>
  <c r="U370" i="21"/>
  <c r="T370" i="21"/>
  <c r="S370" i="21"/>
  <c r="R370" i="21"/>
  <c r="Q370" i="21"/>
  <c r="P370" i="21"/>
  <c r="O370" i="21"/>
  <c r="W369" i="21"/>
  <c r="U369" i="21"/>
  <c r="T369" i="21"/>
  <c r="S369" i="21"/>
  <c r="R369" i="21"/>
  <c r="Q369" i="21"/>
  <c r="P369" i="21"/>
  <c r="O369" i="21"/>
  <c r="W368" i="21"/>
  <c r="U368" i="21"/>
  <c r="T368" i="21"/>
  <c r="S368" i="21"/>
  <c r="R368" i="21"/>
  <c r="Q368" i="21"/>
  <c r="P368" i="21"/>
  <c r="O368" i="21"/>
  <c r="W367" i="21"/>
  <c r="U367" i="21"/>
  <c r="T367" i="21"/>
  <c r="S367" i="21"/>
  <c r="R367" i="21"/>
  <c r="Q367" i="21"/>
  <c r="P367" i="21"/>
  <c r="O367" i="21"/>
  <c r="W366" i="21"/>
  <c r="U366" i="21"/>
  <c r="T366" i="21"/>
  <c r="S366" i="21"/>
  <c r="R366" i="21"/>
  <c r="Q366" i="21"/>
  <c r="P366" i="21"/>
  <c r="O366" i="21"/>
  <c r="W365" i="21"/>
  <c r="U365" i="21"/>
  <c r="T365" i="21"/>
  <c r="S365" i="21"/>
  <c r="R365" i="21"/>
  <c r="Q365" i="21"/>
  <c r="P365" i="21"/>
  <c r="O365" i="21"/>
  <c r="W364" i="21"/>
  <c r="U364" i="21"/>
  <c r="T364" i="21"/>
  <c r="S364" i="21"/>
  <c r="R364" i="21"/>
  <c r="Q364" i="21"/>
  <c r="P364" i="21"/>
  <c r="O364" i="21"/>
  <c r="W363" i="21"/>
  <c r="U363" i="21"/>
  <c r="T363" i="21"/>
  <c r="S363" i="21"/>
  <c r="R363" i="21"/>
  <c r="Q363" i="21"/>
  <c r="P363" i="21"/>
  <c r="O363" i="21"/>
  <c r="W362" i="21"/>
  <c r="U362" i="21"/>
  <c r="T362" i="21"/>
  <c r="S362" i="21"/>
  <c r="R362" i="21"/>
  <c r="Q362" i="21"/>
  <c r="P362" i="21"/>
  <c r="O362" i="21"/>
  <c r="W361" i="21"/>
  <c r="U361" i="21"/>
  <c r="T361" i="21"/>
  <c r="S361" i="21"/>
  <c r="R361" i="21"/>
  <c r="Q361" i="21"/>
  <c r="P361" i="21"/>
  <c r="O361" i="21"/>
  <c r="W360" i="21"/>
  <c r="U360" i="21"/>
  <c r="T360" i="21"/>
  <c r="S360" i="21"/>
  <c r="R360" i="21"/>
  <c r="Q360" i="21"/>
  <c r="P360" i="21"/>
  <c r="O360" i="21"/>
  <c r="W359" i="21"/>
  <c r="U359" i="21"/>
  <c r="T359" i="21"/>
  <c r="S359" i="21"/>
  <c r="R359" i="21"/>
  <c r="Q359" i="21"/>
  <c r="P359" i="21"/>
  <c r="O359" i="21"/>
  <c r="W358" i="21"/>
  <c r="U358" i="21"/>
  <c r="T358" i="21"/>
  <c r="S358" i="21"/>
  <c r="R358" i="21"/>
  <c r="Q358" i="21"/>
  <c r="P358" i="21"/>
  <c r="O358" i="21"/>
  <c r="W357" i="21"/>
  <c r="U357" i="21"/>
  <c r="T357" i="21"/>
  <c r="S357" i="21"/>
  <c r="R357" i="21"/>
  <c r="Q357" i="21"/>
  <c r="P357" i="21"/>
  <c r="O357" i="21"/>
  <c r="W356" i="21"/>
  <c r="U356" i="21"/>
  <c r="T356" i="21"/>
  <c r="S356" i="21"/>
  <c r="R356" i="21"/>
  <c r="Q356" i="21"/>
  <c r="P356" i="21"/>
  <c r="O356" i="21"/>
  <c r="W355" i="21"/>
  <c r="U355" i="21"/>
  <c r="T355" i="21"/>
  <c r="S355" i="21"/>
  <c r="R355" i="21"/>
  <c r="Q355" i="21"/>
  <c r="P355" i="21"/>
  <c r="O355" i="21"/>
  <c r="W354" i="21"/>
  <c r="U354" i="21"/>
  <c r="T354" i="21"/>
  <c r="S354" i="21"/>
  <c r="R354" i="21"/>
  <c r="Q354" i="21"/>
  <c r="P354" i="21"/>
  <c r="O354" i="21"/>
  <c r="W353" i="21"/>
  <c r="U353" i="21"/>
  <c r="T353" i="21"/>
  <c r="S353" i="21"/>
  <c r="R353" i="21"/>
  <c r="Q353" i="21"/>
  <c r="P353" i="21"/>
  <c r="O353" i="21"/>
  <c r="W352" i="21"/>
  <c r="U352" i="21"/>
  <c r="T352" i="21"/>
  <c r="S352" i="21"/>
  <c r="R352" i="21"/>
  <c r="Q352" i="21"/>
  <c r="P352" i="21"/>
  <c r="O352" i="21"/>
  <c r="W351" i="21"/>
  <c r="U351" i="21"/>
  <c r="T351" i="21"/>
  <c r="S351" i="21"/>
  <c r="R351" i="21"/>
  <c r="Q351" i="21"/>
  <c r="P351" i="21"/>
  <c r="O351" i="21"/>
  <c r="W350" i="21"/>
  <c r="U350" i="21"/>
  <c r="T350" i="21"/>
  <c r="S350" i="21"/>
  <c r="R350" i="21"/>
  <c r="Q350" i="21"/>
  <c r="P350" i="21"/>
  <c r="O350" i="21"/>
  <c r="W349" i="21"/>
  <c r="U349" i="21"/>
  <c r="T349" i="21"/>
  <c r="S349" i="21"/>
  <c r="R349" i="21"/>
  <c r="Q349" i="21"/>
  <c r="P349" i="21"/>
  <c r="O349" i="21"/>
  <c r="W348" i="21"/>
  <c r="U348" i="21"/>
  <c r="T348" i="21"/>
  <c r="S348" i="21"/>
  <c r="R348" i="21"/>
  <c r="Q348" i="21"/>
  <c r="P348" i="21"/>
  <c r="O348" i="21"/>
  <c r="W347" i="21"/>
  <c r="U347" i="21"/>
  <c r="T347" i="21"/>
  <c r="S347" i="21"/>
  <c r="R347" i="21"/>
  <c r="Q347" i="21"/>
  <c r="P347" i="21"/>
  <c r="O347" i="21"/>
  <c r="W346" i="21"/>
  <c r="U346" i="21"/>
  <c r="T346" i="21"/>
  <c r="S346" i="21"/>
  <c r="R346" i="21"/>
  <c r="Q346" i="21"/>
  <c r="P346" i="21"/>
  <c r="O346" i="21"/>
  <c r="W345" i="21"/>
  <c r="U345" i="21"/>
  <c r="T345" i="21"/>
  <c r="S345" i="21"/>
  <c r="R345" i="21"/>
  <c r="Q345" i="21"/>
  <c r="P345" i="21"/>
  <c r="O345" i="21"/>
  <c r="W344" i="21"/>
  <c r="U344" i="21"/>
  <c r="T344" i="21"/>
  <c r="S344" i="21"/>
  <c r="R344" i="21"/>
  <c r="Q344" i="21"/>
  <c r="P344" i="21"/>
  <c r="O344" i="21"/>
  <c r="W343" i="21"/>
  <c r="U343" i="21"/>
  <c r="T343" i="21"/>
  <c r="S343" i="21"/>
  <c r="R343" i="21"/>
  <c r="Q343" i="21"/>
  <c r="P343" i="21"/>
  <c r="O343" i="21"/>
  <c r="W342" i="21"/>
  <c r="U342" i="21"/>
  <c r="T342" i="21"/>
  <c r="S342" i="21"/>
  <c r="R342" i="21"/>
  <c r="Q342" i="21"/>
  <c r="P342" i="21"/>
  <c r="O342" i="21"/>
  <c r="W341" i="21"/>
  <c r="U341" i="21"/>
  <c r="T341" i="21"/>
  <c r="S341" i="21"/>
  <c r="R341" i="21"/>
  <c r="Q341" i="21"/>
  <c r="P341" i="21"/>
  <c r="O341" i="21"/>
  <c r="W340" i="21"/>
  <c r="U340" i="21"/>
  <c r="T340" i="21"/>
  <c r="S340" i="21"/>
  <c r="R340" i="21"/>
  <c r="Q340" i="21"/>
  <c r="P340" i="21"/>
  <c r="O340" i="21"/>
  <c r="W339" i="21"/>
  <c r="U339" i="21"/>
  <c r="T339" i="21"/>
  <c r="S339" i="21"/>
  <c r="R339" i="21"/>
  <c r="Q339" i="21"/>
  <c r="P339" i="21"/>
  <c r="O339" i="21"/>
  <c r="W338" i="21"/>
  <c r="U338" i="21"/>
  <c r="T338" i="21"/>
  <c r="S338" i="21"/>
  <c r="R338" i="21"/>
  <c r="Q338" i="21"/>
  <c r="P338" i="21"/>
  <c r="O338" i="21"/>
  <c r="W337" i="21"/>
  <c r="U337" i="21"/>
  <c r="T337" i="21"/>
  <c r="S337" i="21"/>
  <c r="R337" i="21"/>
  <c r="Q337" i="21"/>
  <c r="P337" i="21"/>
  <c r="O337" i="21"/>
  <c r="W336" i="21"/>
  <c r="U336" i="21"/>
  <c r="T336" i="21"/>
  <c r="S336" i="21"/>
  <c r="R336" i="21"/>
  <c r="Q336" i="21"/>
  <c r="P336" i="21"/>
  <c r="O336" i="21"/>
  <c r="W335" i="21"/>
  <c r="U335" i="21"/>
  <c r="T335" i="21"/>
  <c r="S335" i="21"/>
  <c r="R335" i="21"/>
  <c r="Q335" i="21"/>
  <c r="P335" i="21"/>
  <c r="O335" i="21"/>
  <c r="W334" i="21"/>
  <c r="U334" i="21"/>
  <c r="T334" i="21"/>
  <c r="S334" i="21"/>
  <c r="R334" i="21"/>
  <c r="Q334" i="21"/>
  <c r="P334" i="21"/>
  <c r="O334" i="21"/>
  <c r="W333" i="21"/>
  <c r="U333" i="21"/>
  <c r="T333" i="21"/>
  <c r="S333" i="21"/>
  <c r="R333" i="21"/>
  <c r="Q333" i="21"/>
  <c r="P333" i="21"/>
  <c r="O333" i="21"/>
  <c r="W332" i="21"/>
  <c r="U332" i="21"/>
  <c r="T332" i="21"/>
  <c r="S332" i="21"/>
  <c r="R332" i="21"/>
  <c r="Q332" i="21"/>
  <c r="P332" i="21"/>
  <c r="O332" i="21"/>
  <c r="W331" i="21"/>
  <c r="U331" i="21"/>
  <c r="T331" i="21"/>
  <c r="S331" i="21"/>
  <c r="R331" i="21"/>
  <c r="Q331" i="21"/>
  <c r="P331" i="21"/>
  <c r="O331" i="21"/>
  <c r="W330" i="21"/>
  <c r="U330" i="21"/>
  <c r="T330" i="21"/>
  <c r="S330" i="21"/>
  <c r="R330" i="21"/>
  <c r="Q330" i="21"/>
  <c r="P330" i="21"/>
  <c r="O330" i="21"/>
  <c r="W329" i="21"/>
  <c r="U329" i="21"/>
  <c r="T329" i="21"/>
  <c r="S329" i="21"/>
  <c r="R329" i="21"/>
  <c r="Q329" i="21"/>
  <c r="P329" i="21"/>
  <c r="O329" i="21"/>
  <c r="W328" i="21"/>
  <c r="U328" i="21"/>
  <c r="T328" i="21"/>
  <c r="S328" i="21"/>
  <c r="R328" i="21"/>
  <c r="Q328" i="21"/>
  <c r="P328" i="21"/>
  <c r="O328" i="21"/>
  <c r="W327" i="21"/>
  <c r="U327" i="21"/>
  <c r="T327" i="21"/>
  <c r="S327" i="21"/>
  <c r="R327" i="21"/>
  <c r="Q327" i="21"/>
  <c r="P327" i="21"/>
  <c r="O327" i="21"/>
  <c r="W326" i="21"/>
  <c r="U326" i="21"/>
  <c r="T326" i="21"/>
  <c r="S326" i="21"/>
  <c r="R326" i="21"/>
  <c r="Q326" i="21"/>
  <c r="P326" i="21"/>
  <c r="O326" i="21"/>
  <c r="W325" i="21"/>
  <c r="U325" i="21"/>
  <c r="T325" i="21"/>
  <c r="S325" i="21"/>
  <c r="R325" i="21"/>
  <c r="Q325" i="21"/>
  <c r="P325" i="21"/>
  <c r="O325" i="21"/>
  <c r="W324" i="21"/>
  <c r="U324" i="21"/>
  <c r="T324" i="21"/>
  <c r="S324" i="21"/>
  <c r="R324" i="21"/>
  <c r="Q324" i="21"/>
  <c r="P324" i="21"/>
  <c r="O324" i="21"/>
  <c r="W323" i="21"/>
  <c r="U323" i="21"/>
  <c r="T323" i="21"/>
  <c r="S323" i="21"/>
  <c r="R323" i="21"/>
  <c r="Q323" i="21"/>
  <c r="P323" i="21"/>
  <c r="O323" i="21"/>
  <c r="W322" i="21"/>
  <c r="U322" i="21"/>
  <c r="T322" i="21"/>
  <c r="S322" i="21"/>
  <c r="R322" i="21"/>
  <c r="Q322" i="21"/>
  <c r="P322" i="21"/>
  <c r="O322" i="21"/>
  <c r="W321" i="21"/>
  <c r="U321" i="21"/>
  <c r="T321" i="21"/>
  <c r="S321" i="21"/>
  <c r="R321" i="21"/>
  <c r="Q321" i="21"/>
  <c r="P321" i="21"/>
  <c r="O321" i="21"/>
  <c r="W320" i="21"/>
  <c r="U320" i="21"/>
  <c r="T320" i="21"/>
  <c r="S320" i="21"/>
  <c r="R320" i="21"/>
  <c r="Q320" i="21"/>
  <c r="P320" i="21"/>
  <c r="O320" i="21"/>
  <c r="W319" i="21"/>
  <c r="U319" i="21"/>
  <c r="T319" i="21"/>
  <c r="S319" i="21"/>
  <c r="R319" i="21"/>
  <c r="Q319" i="21"/>
  <c r="P319" i="21"/>
  <c r="O319" i="21"/>
  <c r="W318" i="21"/>
  <c r="U318" i="21"/>
  <c r="T318" i="21"/>
  <c r="S318" i="21"/>
  <c r="R318" i="21"/>
  <c r="Q318" i="21"/>
  <c r="P318" i="21"/>
  <c r="O318" i="21"/>
  <c r="W317" i="21"/>
  <c r="U317" i="21"/>
  <c r="T317" i="21"/>
  <c r="S317" i="21"/>
  <c r="R317" i="21"/>
  <c r="Q317" i="21"/>
  <c r="P317" i="21"/>
  <c r="O317" i="21"/>
  <c r="W316" i="21"/>
  <c r="U316" i="21"/>
  <c r="T316" i="21"/>
  <c r="S316" i="21"/>
  <c r="R316" i="21"/>
  <c r="Q316" i="21"/>
  <c r="P316" i="21"/>
  <c r="O316" i="21"/>
  <c r="W315" i="21"/>
  <c r="U315" i="21"/>
  <c r="T315" i="21"/>
  <c r="S315" i="21"/>
  <c r="R315" i="21"/>
  <c r="Q315" i="21"/>
  <c r="P315" i="21"/>
  <c r="O315" i="21"/>
  <c r="W314" i="21"/>
  <c r="U314" i="21"/>
  <c r="T314" i="21"/>
  <c r="S314" i="21"/>
  <c r="R314" i="21"/>
  <c r="Q314" i="21"/>
  <c r="P314" i="21"/>
  <c r="O314" i="21"/>
  <c r="W313" i="21"/>
  <c r="U313" i="21"/>
  <c r="T313" i="21"/>
  <c r="S313" i="21"/>
  <c r="R313" i="21"/>
  <c r="Q313" i="21"/>
  <c r="P313" i="21"/>
  <c r="O313" i="21"/>
  <c r="W312" i="21"/>
  <c r="U312" i="21"/>
  <c r="T312" i="21"/>
  <c r="S312" i="21"/>
  <c r="R312" i="21"/>
  <c r="Q312" i="21"/>
  <c r="P312" i="21"/>
  <c r="O312" i="21"/>
  <c r="W311" i="21"/>
  <c r="U311" i="21"/>
  <c r="T311" i="21"/>
  <c r="S311" i="21"/>
  <c r="R311" i="21"/>
  <c r="Q311" i="21"/>
  <c r="P311" i="21"/>
  <c r="O311" i="21"/>
  <c r="W310" i="21"/>
  <c r="U310" i="21"/>
  <c r="T310" i="21"/>
  <c r="S310" i="21"/>
  <c r="R310" i="21"/>
  <c r="Q310" i="21"/>
  <c r="P310" i="21"/>
  <c r="O310" i="21"/>
  <c r="W309" i="21"/>
  <c r="U309" i="21"/>
  <c r="T309" i="21"/>
  <c r="S309" i="21"/>
  <c r="R309" i="21"/>
  <c r="Q309" i="21"/>
  <c r="P309" i="21"/>
  <c r="O309" i="21"/>
  <c r="W308" i="21"/>
  <c r="U308" i="21"/>
  <c r="T308" i="21"/>
  <c r="S308" i="21"/>
  <c r="R308" i="21"/>
  <c r="Q308" i="21"/>
  <c r="P308" i="21"/>
  <c r="O308" i="21"/>
  <c r="W307" i="21"/>
  <c r="U307" i="21"/>
  <c r="T307" i="21"/>
  <c r="S307" i="21"/>
  <c r="R307" i="21"/>
  <c r="Q307" i="21"/>
  <c r="P307" i="21"/>
  <c r="O307" i="21"/>
  <c r="W306" i="21"/>
  <c r="U306" i="21"/>
  <c r="T306" i="21"/>
  <c r="S306" i="21"/>
  <c r="R306" i="21"/>
  <c r="Q306" i="21"/>
  <c r="P306" i="21"/>
  <c r="O306" i="21"/>
  <c r="W305" i="21"/>
  <c r="U305" i="21"/>
  <c r="T305" i="21"/>
  <c r="S305" i="21"/>
  <c r="R305" i="21"/>
  <c r="Q305" i="21"/>
  <c r="P305" i="21"/>
  <c r="O305" i="21"/>
  <c r="W304" i="21"/>
  <c r="U304" i="21"/>
  <c r="T304" i="21"/>
  <c r="S304" i="21"/>
  <c r="R304" i="21"/>
  <c r="Q304" i="21"/>
  <c r="P304" i="21"/>
  <c r="O304" i="21"/>
  <c r="W303" i="21"/>
  <c r="U303" i="21"/>
  <c r="T303" i="21"/>
  <c r="S303" i="21"/>
  <c r="R303" i="21"/>
  <c r="Q303" i="21"/>
  <c r="P303" i="21"/>
  <c r="O303" i="21"/>
  <c r="W302" i="21"/>
  <c r="U302" i="21"/>
  <c r="T302" i="21"/>
  <c r="S302" i="21"/>
  <c r="R302" i="21"/>
  <c r="Q302" i="21"/>
  <c r="P302" i="21"/>
  <c r="O302" i="21"/>
  <c r="W301" i="21"/>
  <c r="U301" i="21"/>
  <c r="T301" i="21"/>
  <c r="S301" i="21"/>
  <c r="R301" i="21"/>
  <c r="Q301" i="21"/>
  <c r="P301" i="21"/>
  <c r="O301" i="21"/>
  <c r="W300" i="21"/>
  <c r="U300" i="21"/>
  <c r="T300" i="21"/>
  <c r="S300" i="21"/>
  <c r="R300" i="21"/>
  <c r="Q300" i="21"/>
  <c r="P300" i="21"/>
  <c r="O300" i="21"/>
  <c r="W299" i="21"/>
  <c r="U299" i="21"/>
  <c r="T299" i="21"/>
  <c r="S299" i="21"/>
  <c r="R299" i="21"/>
  <c r="Q299" i="21"/>
  <c r="P299" i="21"/>
  <c r="O299" i="21"/>
  <c r="W298" i="21"/>
  <c r="U298" i="21"/>
  <c r="T298" i="21"/>
  <c r="S298" i="21"/>
  <c r="R298" i="21"/>
  <c r="Q298" i="21"/>
  <c r="P298" i="21"/>
  <c r="O298" i="21"/>
  <c r="W297" i="21"/>
  <c r="U297" i="21"/>
  <c r="T297" i="21"/>
  <c r="S297" i="21"/>
  <c r="R297" i="21"/>
  <c r="Q297" i="21"/>
  <c r="P297" i="21"/>
  <c r="O297" i="21"/>
  <c r="W296" i="21"/>
  <c r="U296" i="21"/>
  <c r="T296" i="21"/>
  <c r="S296" i="21"/>
  <c r="R296" i="21"/>
  <c r="Q296" i="21"/>
  <c r="P296" i="21"/>
  <c r="O296" i="21"/>
  <c r="W295" i="21"/>
  <c r="U295" i="21"/>
  <c r="T295" i="21"/>
  <c r="S295" i="21"/>
  <c r="R295" i="21"/>
  <c r="Q295" i="21"/>
  <c r="P295" i="21"/>
  <c r="O295" i="21"/>
  <c r="W294" i="21"/>
  <c r="U294" i="21"/>
  <c r="T294" i="21"/>
  <c r="S294" i="21"/>
  <c r="R294" i="21"/>
  <c r="Q294" i="21"/>
  <c r="P294" i="21"/>
  <c r="O294" i="21"/>
  <c r="W293" i="21"/>
  <c r="U293" i="21"/>
  <c r="T293" i="21"/>
  <c r="S293" i="21"/>
  <c r="R293" i="21"/>
  <c r="Q293" i="21"/>
  <c r="P293" i="21"/>
  <c r="O293" i="21"/>
  <c r="W292" i="21"/>
  <c r="U292" i="21"/>
  <c r="T292" i="21"/>
  <c r="S292" i="21"/>
  <c r="R292" i="21"/>
  <c r="Q292" i="21"/>
  <c r="P292" i="21"/>
  <c r="O292" i="21"/>
  <c r="W291" i="21"/>
  <c r="U291" i="21"/>
  <c r="T291" i="21"/>
  <c r="S291" i="21"/>
  <c r="R291" i="21"/>
  <c r="Q291" i="21"/>
  <c r="P291" i="21"/>
  <c r="O291" i="21"/>
  <c r="W290" i="21"/>
  <c r="U290" i="21"/>
  <c r="T290" i="21"/>
  <c r="S290" i="21"/>
  <c r="R290" i="21"/>
  <c r="Q290" i="21"/>
  <c r="P290" i="21"/>
  <c r="O290" i="21"/>
  <c r="W289" i="21"/>
  <c r="U289" i="21"/>
  <c r="T289" i="21"/>
  <c r="S289" i="21"/>
  <c r="R289" i="21"/>
  <c r="Q289" i="21"/>
  <c r="P289" i="21"/>
  <c r="O289" i="21"/>
  <c r="W288" i="21"/>
  <c r="U288" i="21"/>
  <c r="T288" i="21"/>
  <c r="S288" i="21"/>
  <c r="R288" i="21"/>
  <c r="Q288" i="21"/>
  <c r="P288" i="21"/>
  <c r="O288" i="21"/>
  <c r="W287" i="21"/>
  <c r="U287" i="21"/>
  <c r="T287" i="21"/>
  <c r="S287" i="21"/>
  <c r="R287" i="21"/>
  <c r="Q287" i="21"/>
  <c r="P287" i="21"/>
  <c r="O287" i="21"/>
  <c r="W286" i="21"/>
  <c r="U286" i="21"/>
  <c r="T286" i="21"/>
  <c r="S286" i="21"/>
  <c r="R286" i="21"/>
  <c r="Q286" i="21"/>
  <c r="P286" i="21"/>
  <c r="O286" i="21"/>
  <c r="W285" i="21"/>
  <c r="U285" i="21"/>
  <c r="T285" i="21"/>
  <c r="S285" i="21"/>
  <c r="R285" i="21"/>
  <c r="Q285" i="21"/>
  <c r="P285" i="21"/>
  <c r="O285" i="21"/>
  <c r="W284" i="21"/>
  <c r="U284" i="21"/>
  <c r="T284" i="21"/>
  <c r="S284" i="21"/>
  <c r="R284" i="21"/>
  <c r="Q284" i="21"/>
  <c r="P284" i="21"/>
  <c r="O284" i="21"/>
  <c r="W283" i="21"/>
  <c r="U283" i="21"/>
  <c r="T283" i="21"/>
  <c r="S283" i="21"/>
  <c r="R283" i="21"/>
  <c r="Q283" i="21"/>
  <c r="P283" i="21"/>
  <c r="O283" i="21"/>
  <c r="W282" i="21"/>
  <c r="U282" i="21"/>
  <c r="T282" i="21"/>
  <c r="S282" i="21"/>
  <c r="R282" i="21"/>
  <c r="Q282" i="21"/>
  <c r="P282" i="21"/>
  <c r="O282" i="21"/>
  <c r="W281" i="21"/>
  <c r="U281" i="21"/>
  <c r="T281" i="21"/>
  <c r="S281" i="21"/>
  <c r="R281" i="21"/>
  <c r="Q281" i="21"/>
  <c r="P281" i="21"/>
  <c r="O281" i="21"/>
  <c r="W280" i="21"/>
  <c r="U280" i="21"/>
  <c r="T280" i="21"/>
  <c r="S280" i="21"/>
  <c r="R280" i="21"/>
  <c r="Q280" i="21"/>
  <c r="P280" i="21"/>
  <c r="O280" i="21"/>
  <c r="W279" i="21"/>
  <c r="U279" i="21"/>
  <c r="T279" i="21"/>
  <c r="S279" i="21"/>
  <c r="R279" i="21"/>
  <c r="Q279" i="21"/>
  <c r="P279" i="21"/>
  <c r="O279" i="21"/>
  <c r="W278" i="21"/>
  <c r="U278" i="21"/>
  <c r="T278" i="21"/>
  <c r="S278" i="21"/>
  <c r="R278" i="21"/>
  <c r="Q278" i="21"/>
  <c r="P278" i="21"/>
  <c r="O278" i="21"/>
  <c r="W277" i="21"/>
  <c r="U277" i="21"/>
  <c r="T277" i="21"/>
  <c r="S277" i="21"/>
  <c r="R277" i="21"/>
  <c r="Q277" i="21"/>
  <c r="P277" i="21"/>
  <c r="O277" i="21"/>
  <c r="W276" i="21"/>
  <c r="U276" i="21"/>
  <c r="T276" i="21"/>
  <c r="S276" i="21"/>
  <c r="R276" i="21"/>
  <c r="Q276" i="21"/>
  <c r="P276" i="21"/>
  <c r="O276" i="21"/>
  <c r="W275" i="21"/>
  <c r="U275" i="21"/>
  <c r="T275" i="21"/>
  <c r="S275" i="21"/>
  <c r="R275" i="21"/>
  <c r="Q275" i="21"/>
  <c r="P275" i="21"/>
  <c r="O275" i="21"/>
  <c r="W274" i="21"/>
  <c r="U274" i="21"/>
  <c r="T274" i="21"/>
  <c r="S274" i="21"/>
  <c r="R274" i="21"/>
  <c r="Q274" i="21"/>
  <c r="P274" i="21"/>
  <c r="O274" i="21"/>
  <c r="W273" i="21"/>
  <c r="U273" i="21"/>
  <c r="T273" i="21"/>
  <c r="S273" i="21"/>
  <c r="R273" i="21"/>
  <c r="Q273" i="21"/>
  <c r="P273" i="21"/>
  <c r="O273" i="21"/>
  <c r="W272" i="21"/>
  <c r="U272" i="21"/>
  <c r="T272" i="21"/>
  <c r="S272" i="21"/>
  <c r="R272" i="21"/>
  <c r="Q272" i="21"/>
  <c r="P272" i="21"/>
  <c r="O272" i="21"/>
  <c r="W271" i="21"/>
  <c r="U271" i="21"/>
  <c r="T271" i="21"/>
  <c r="S271" i="21"/>
  <c r="R271" i="21"/>
  <c r="Q271" i="21"/>
  <c r="P271" i="21"/>
  <c r="O271" i="21"/>
  <c r="W270" i="21"/>
  <c r="U270" i="21"/>
  <c r="T270" i="21"/>
  <c r="S270" i="21"/>
  <c r="R270" i="21"/>
  <c r="Q270" i="21"/>
  <c r="P270" i="21"/>
  <c r="O270" i="21"/>
  <c r="W269" i="21"/>
  <c r="U269" i="21"/>
  <c r="T269" i="21"/>
  <c r="S269" i="21"/>
  <c r="R269" i="21"/>
  <c r="Q269" i="21"/>
  <c r="P269" i="21"/>
  <c r="O269" i="21"/>
  <c r="W268" i="21"/>
  <c r="U268" i="21"/>
  <c r="T268" i="21"/>
  <c r="S268" i="21"/>
  <c r="R268" i="21"/>
  <c r="Q268" i="21"/>
  <c r="P268" i="21"/>
  <c r="O268" i="21"/>
  <c r="W267" i="21"/>
  <c r="U267" i="21"/>
  <c r="T267" i="21"/>
  <c r="S267" i="21"/>
  <c r="R267" i="21"/>
  <c r="Q267" i="21"/>
  <c r="P267" i="21"/>
  <c r="O267" i="21"/>
  <c r="W266" i="21"/>
  <c r="U266" i="21"/>
  <c r="T266" i="21"/>
  <c r="S266" i="21"/>
  <c r="R266" i="21"/>
  <c r="Q266" i="21"/>
  <c r="P266" i="21"/>
  <c r="O266" i="21"/>
  <c r="W265" i="21"/>
  <c r="U265" i="21"/>
  <c r="T265" i="21"/>
  <c r="S265" i="21"/>
  <c r="R265" i="21"/>
  <c r="Q265" i="21"/>
  <c r="P265" i="21"/>
  <c r="O265" i="21"/>
  <c r="W264" i="21"/>
  <c r="U264" i="21"/>
  <c r="T264" i="21"/>
  <c r="S264" i="21"/>
  <c r="R264" i="21"/>
  <c r="Q264" i="21"/>
  <c r="P264" i="21"/>
  <c r="O264" i="21"/>
  <c r="W263" i="21"/>
  <c r="U263" i="21"/>
  <c r="T263" i="21"/>
  <c r="S263" i="21"/>
  <c r="R263" i="21"/>
  <c r="Q263" i="21"/>
  <c r="P263" i="21"/>
  <c r="O263" i="21"/>
  <c r="W262" i="21"/>
  <c r="U262" i="21"/>
  <c r="T262" i="21"/>
  <c r="S262" i="21"/>
  <c r="R262" i="21"/>
  <c r="Q262" i="21"/>
  <c r="P262" i="21"/>
  <c r="O262" i="21"/>
  <c r="W261" i="21"/>
  <c r="U261" i="21"/>
  <c r="T261" i="21"/>
  <c r="S261" i="21"/>
  <c r="R261" i="21"/>
  <c r="Q261" i="21"/>
  <c r="P261" i="21"/>
  <c r="O261" i="21"/>
  <c r="W260" i="21"/>
  <c r="U260" i="21"/>
  <c r="T260" i="21"/>
  <c r="S260" i="21"/>
  <c r="R260" i="21"/>
  <c r="Q260" i="21"/>
  <c r="P260" i="21"/>
  <c r="O260" i="21"/>
  <c r="W259" i="21"/>
  <c r="U259" i="21"/>
  <c r="T259" i="21"/>
  <c r="S259" i="21"/>
  <c r="R259" i="21"/>
  <c r="Q259" i="21"/>
  <c r="P259" i="21"/>
  <c r="O259" i="21"/>
  <c r="W258" i="21"/>
  <c r="U258" i="21"/>
  <c r="T258" i="21"/>
  <c r="S258" i="21"/>
  <c r="R258" i="21"/>
  <c r="Q258" i="21"/>
  <c r="P258" i="21"/>
  <c r="O258" i="21"/>
  <c r="W257" i="21"/>
  <c r="U257" i="21"/>
  <c r="T257" i="21"/>
  <c r="S257" i="21"/>
  <c r="R257" i="21"/>
  <c r="Q257" i="21"/>
  <c r="P257" i="21"/>
  <c r="O257" i="21"/>
  <c r="W256" i="21"/>
  <c r="U256" i="21"/>
  <c r="T256" i="21"/>
  <c r="S256" i="21"/>
  <c r="R256" i="21"/>
  <c r="Q256" i="21"/>
  <c r="P256" i="21"/>
  <c r="O256" i="21"/>
  <c r="W255" i="21"/>
  <c r="U255" i="21"/>
  <c r="T255" i="21"/>
  <c r="S255" i="21"/>
  <c r="R255" i="21"/>
  <c r="Q255" i="21"/>
  <c r="P255" i="21"/>
  <c r="O255" i="21"/>
  <c r="W254" i="21"/>
  <c r="U254" i="21"/>
  <c r="T254" i="21"/>
  <c r="S254" i="21"/>
  <c r="R254" i="21"/>
  <c r="Q254" i="21"/>
  <c r="P254" i="21"/>
  <c r="O254" i="21"/>
  <c r="W253" i="21"/>
  <c r="U253" i="21"/>
  <c r="T253" i="21"/>
  <c r="S253" i="21"/>
  <c r="R253" i="21"/>
  <c r="Q253" i="21"/>
  <c r="P253" i="21"/>
  <c r="O253" i="21"/>
  <c r="W252" i="21"/>
  <c r="U252" i="21"/>
  <c r="T252" i="21"/>
  <c r="S252" i="21"/>
  <c r="R252" i="21"/>
  <c r="Q252" i="21"/>
  <c r="P252" i="21"/>
  <c r="O252" i="21"/>
  <c r="W251" i="21"/>
  <c r="U251" i="21"/>
  <c r="T251" i="21"/>
  <c r="S251" i="21"/>
  <c r="R251" i="21"/>
  <c r="Q251" i="21"/>
  <c r="P251" i="21"/>
  <c r="O251" i="21"/>
  <c r="W250" i="21"/>
  <c r="U250" i="21"/>
  <c r="T250" i="21"/>
  <c r="S250" i="21"/>
  <c r="R250" i="21"/>
  <c r="Q250" i="21"/>
  <c r="P250" i="21"/>
  <c r="O250" i="21"/>
  <c r="W249" i="21"/>
  <c r="U249" i="21"/>
  <c r="T249" i="21"/>
  <c r="S249" i="21"/>
  <c r="R249" i="21"/>
  <c r="Q249" i="21"/>
  <c r="P249" i="21"/>
  <c r="O249" i="21"/>
  <c r="W248" i="21"/>
  <c r="U248" i="21"/>
  <c r="T248" i="21"/>
  <c r="S248" i="21"/>
  <c r="R248" i="21"/>
  <c r="Q248" i="21"/>
  <c r="P248" i="21"/>
  <c r="O248" i="21"/>
  <c r="W247" i="21"/>
  <c r="U247" i="21"/>
  <c r="T247" i="21"/>
  <c r="S247" i="21"/>
  <c r="R247" i="21"/>
  <c r="Q247" i="21"/>
  <c r="P247" i="21"/>
  <c r="O247" i="21"/>
  <c r="W246" i="21"/>
  <c r="U246" i="21"/>
  <c r="T246" i="21"/>
  <c r="S246" i="21"/>
  <c r="R246" i="21"/>
  <c r="Q246" i="21"/>
  <c r="P246" i="21"/>
  <c r="O246" i="21"/>
  <c r="W245" i="21"/>
  <c r="U245" i="21"/>
  <c r="T245" i="21"/>
  <c r="S245" i="21"/>
  <c r="R245" i="21"/>
  <c r="Q245" i="21"/>
  <c r="P245" i="21"/>
  <c r="O245" i="21"/>
  <c r="W244" i="21"/>
  <c r="U244" i="21"/>
  <c r="T244" i="21"/>
  <c r="S244" i="21"/>
  <c r="R244" i="21"/>
  <c r="Q244" i="21"/>
  <c r="P244" i="21"/>
  <c r="O244" i="21"/>
  <c r="W243" i="21"/>
  <c r="U243" i="21"/>
  <c r="T243" i="21"/>
  <c r="S243" i="21"/>
  <c r="R243" i="21"/>
  <c r="Q243" i="21"/>
  <c r="P243" i="21"/>
  <c r="O243" i="21"/>
  <c r="W242" i="21"/>
  <c r="U242" i="21"/>
  <c r="T242" i="21"/>
  <c r="S242" i="21"/>
  <c r="R242" i="21"/>
  <c r="Q242" i="21"/>
  <c r="P242" i="21"/>
  <c r="O242" i="21"/>
  <c r="W241" i="21"/>
  <c r="U241" i="21"/>
  <c r="T241" i="21"/>
  <c r="S241" i="21"/>
  <c r="R241" i="21"/>
  <c r="Q241" i="21"/>
  <c r="P241" i="21"/>
  <c r="O241" i="21"/>
  <c r="W240" i="21"/>
  <c r="U240" i="21"/>
  <c r="T240" i="21"/>
  <c r="S240" i="21"/>
  <c r="R240" i="21"/>
  <c r="Q240" i="21"/>
  <c r="P240" i="21"/>
  <c r="O240" i="21"/>
  <c r="W239" i="21"/>
  <c r="U239" i="21"/>
  <c r="T239" i="21"/>
  <c r="S239" i="21"/>
  <c r="R239" i="21"/>
  <c r="Q239" i="21"/>
  <c r="P239" i="21"/>
  <c r="O239" i="21"/>
  <c r="W238" i="21"/>
  <c r="U238" i="21"/>
  <c r="T238" i="21"/>
  <c r="S238" i="21"/>
  <c r="R238" i="21"/>
  <c r="Q238" i="21"/>
  <c r="P238" i="21"/>
  <c r="O238" i="21"/>
  <c r="W237" i="21"/>
  <c r="U237" i="21"/>
  <c r="T237" i="21"/>
  <c r="S237" i="21"/>
  <c r="R237" i="21"/>
  <c r="Q237" i="21"/>
  <c r="P237" i="21"/>
  <c r="O237" i="21"/>
  <c r="W236" i="21"/>
  <c r="U236" i="21"/>
  <c r="T236" i="21"/>
  <c r="S236" i="21"/>
  <c r="R236" i="21"/>
  <c r="Q236" i="21"/>
  <c r="P236" i="21"/>
  <c r="O236" i="21"/>
  <c r="W235" i="21"/>
  <c r="U235" i="21"/>
  <c r="T235" i="21"/>
  <c r="S235" i="21"/>
  <c r="R235" i="21"/>
  <c r="Q235" i="21"/>
  <c r="P235" i="21"/>
  <c r="O235" i="21"/>
  <c r="W234" i="21"/>
  <c r="U234" i="21"/>
  <c r="T234" i="21"/>
  <c r="S234" i="21"/>
  <c r="R234" i="21"/>
  <c r="Q234" i="21"/>
  <c r="P234" i="21"/>
  <c r="O234" i="21"/>
  <c r="W233" i="21"/>
  <c r="U233" i="21"/>
  <c r="T233" i="21"/>
  <c r="S233" i="21"/>
  <c r="R233" i="21"/>
  <c r="Q233" i="21"/>
  <c r="P233" i="21"/>
  <c r="O233" i="21"/>
  <c r="W232" i="21"/>
  <c r="U232" i="21"/>
  <c r="T232" i="21"/>
  <c r="S232" i="21"/>
  <c r="R232" i="21"/>
  <c r="Q232" i="21"/>
  <c r="P232" i="21"/>
  <c r="O232" i="21"/>
  <c r="W231" i="21"/>
  <c r="U231" i="21"/>
  <c r="T231" i="21"/>
  <c r="S231" i="21"/>
  <c r="R231" i="21"/>
  <c r="Q231" i="21"/>
  <c r="P231" i="21"/>
  <c r="O231" i="21"/>
  <c r="W230" i="21"/>
  <c r="U230" i="21"/>
  <c r="T230" i="21"/>
  <c r="S230" i="21"/>
  <c r="R230" i="21"/>
  <c r="Q230" i="21"/>
  <c r="P230" i="21"/>
  <c r="O230" i="21"/>
  <c r="W229" i="21"/>
  <c r="U229" i="21"/>
  <c r="T229" i="21"/>
  <c r="S229" i="21"/>
  <c r="R229" i="21"/>
  <c r="Q229" i="21"/>
  <c r="P229" i="21"/>
  <c r="O229" i="21"/>
  <c r="W228" i="21"/>
  <c r="U228" i="21"/>
  <c r="T228" i="21"/>
  <c r="S228" i="21"/>
  <c r="R228" i="21"/>
  <c r="Q228" i="21"/>
  <c r="P228" i="21"/>
  <c r="O228" i="21"/>
  <c r="W227" i="21"/>
  <c r="U227" i="21"/>
  <c r="T227" i="21"/>
  <c r="S227" i="21"/>
  <c r="R227" i="21"/>
  <c r="Q227" i="21"/>
  <c r="P227" i="21"/>
  <c r="O227" i="21"/>
  <c r="W226" i="21"/>
  <c r="U226" i="21"/>
  <c r="T226" i="21"/>
  <c r="S226" i="21"/>
  <c r="R226" i="21"/>
  <c r="Q226" i="21"/>
  <c r="P226" i="21"/>
  <c r="O226" i="21"/>
  <c r="W225" i="21"/>
  <c r="U225" i="21"/>
  <c r="T225" i="21"/>
  <c r="S225" i="21"/>
  <c r="R225" i="21"/>
  <c r="Q225" i="21"/>
  <c r="P225" i="21"/>
  <c r="O225" i="21"/>
  <c r="W224" i="21"/>
  <c r="U224" i="21"/>
  <c r="T224" i="21"/>
  <c r="S224" i="21"/>
  <c r="R224" i="21"/>
  <c r="Q224" i="21"/>
  <c r="P224" i="21"/>
  <c r="O224" i="21"/>
  <c r="W223" i="21"/>
  <c r="U223" i="21"/>
  <c r="T223" i="21"/>
  <c r="S223" i="21"/>
  <c r="R223" i="21"/>
  <c r="Q223" i="21"/>
  <c r="P223" i="21"/>
  <c r="O223" i="21"/>
  <c r="W222" i="21"/>
  <c r="U222" i="21"/>
  <c r="T222" i="21"/>
  <c r="S222" i="21"/>
  <c r="R222" i="21"/>
  <c r="Q222" i="21"/>
  <c r="P222" i="21"/>
  <c r="O222" i="21"/>
  <c r="W221" i="21"/>
  <c r="U221" i="21"/>
  <c r="T221" i="21"/>
  <c r="S221" i="21"/>
  <c r="R221" i="21"/>
  <c r="Q221" i="21"/>
  <c r="P221" i="21"/>
  <c r="O221" i="21"/>
  <c r="W220" i="21"/>
  <c r="U220" i="21"/>
  <c r="T220" i="21"/>
  <c r="S220" i="21"/>
  <c r="R220" i="21"/>
  <c r="Q220" i="21"/>
  <c r="P220" i="21"/>
  <c r="O220" i="21"/>
  <c r="W219" i="21"/>
  <c r="U219" i="21"/>
  <c r="T219" i="21"/>
  <c r="S219" i="21"/>
  <c r="R219" i="21"/>
  <c r="Q219" i="21"/>
  <c r="P219" i="21"/>
  <c r="O219" i="21"/>
  <c r="W218" i="21"/>
  <c r="U218" i="21"/>
  <c r="T218" i="21"/>
  <c r="S218" i="21"/>
  <c r="R218" i="21"/>
  <c r="Q218" i="21"/>
  <c r="P218" i="21"/>
  <c r="O218" i="21"/>
  <c r="W217" i="21"/>
  <c r="U217" i="21"/>
  <c r="T217" i="21"/>
  <c r="S217" i="21"/>
  <c r="R217" i="21"/>
  <c r="Q217" i="21"/>
  <c r="P217" i="21"/>
  <c r="O217" i="21"/>
  <c r="W216" i="21"/>
  <c r="U216" i="21"/>
  <c r="T216" i="21"/>
  <c r="S216" i="21"/>
  <c r="R216" i="21"/>
  <c r="Q216" i="21"/>
  <c r="P216" i="21"/>
  <c r="O216" i="21"/>
  <c r="W215" i="21"/>
  <c r="U215" i="21"/>
  <c r="T215" i="21"/>
  <c r="S215" i="21"/>
  <c r="R215" i="21"/>
  <c r="Q215" i="21"/>
  <c r="P215" i="21"/>
  <c r="O215" i="21"/>
  <c r="W214" i="21"/>
  <c r="U214" i="21"/>
  <c r="T214" i="21"/>
  <c r="S214" i="21"/>
  <c r="R214" i="21"/>
  <c r="Q214" i="21"/>
  <c r="P214" i="21"/>
  <c r="O214" i="21"/>
  <c r="W213" i="21"/>
  <c r="U213" i="21"/>
  <c r="T213" i="21"/>
  <c r="S213" i="21"/>
  <c r="R213" i="21"/>
  <c r="Q213" i="21"/>
  <c r="P213" i="21"/>
  <c r="O213" i="21"/>
  <c r="W212" i="21"/>
  <c r="U212" i="21"/>
  <c r="T212" i="21"/>
  <c r="S212" i="21"/>
  <c r="R212" i="21"/>
  <c r="Q212" i="21"/>
  <c r="P212" i="21"/>
  <c r="O212" i="21"/>
  <c r="W211" i="21"/>
  <c r="U211" i="21"/>
  <c r="T211" i="21"/>
  <c r="S211" i="21"/>
  <c r="R211" i="21"/>
  <c r="Q211" i="21"/>
  <c r="P211" i="21"/>
  <c r="O211" i="21"/>
  <c r="W210" i="21"/>
  <c r="U210" i="21"/>
  <c r="T210" i="21"/>
  <c r="S210" i="21"/>
  <c r="R210" i="21"/>
  <c r="Q210" i="21"/>
  <c r="P210" i="21"/>
  <c r="O210" i="21"/>
  <c r="W209" i="21"/>
  <c r="U209" i="21"/>
  <c r="T209" i="21"/>
  <c r="S209" i="21"/>
  <c r="R209" i="21"/>
  <c r="Q209" i="21"/>
  <c r="P209" i="21"/>
  <c r="O209" i="21"/>
  <c r="W208" i="21"/>
  <c r="U208" i="21"/>
  <c r="T208" i="21"/>
  <c r="S208" i="21"/>
  <c r="R208" i="21"/>
  <c r="Q208" i="21"/>
  <c r="P208" i="21"/>
  <c r="O208" i="21"/>
  <c r="W207" i="21"/>
  <c r="U207" i="21"/>
  <c r="T207" i="21"/>
  <c r="S207" i="21"/>
  <c r="R207" i="21"/>
  <c r="Q207" i="21"/>
  <c r="P207" i="21"/>
  <c r="O207" i="21"/>
  <c r="W206" i="21"/>
  <c r="U206" i="21"/>
  <c r="T206" i="21"/>
  <c r="S206" i="21"/>
  <c r="R206" i="21"/>
  <c r="Q206" i="21"/>
  <c r="P206" i="21"/>
  <c r="O206" i="21"/>
  <c r="W205" i="21"/>
  <c r="U205" i="21"/>
  <c r="T205" i="21"/>
  <c r="S205" i="21"/>
  <c r="R205" i="21"/>
  <c r="Q205" i="21"/>
  <c r="P205" i="21"/>
  <c r="O205" i="21"/>
  <c r="W204" i="21"/>
  <c r="U204" i="21"/>
  <c r="T204" i="21"/>
  <c r="S204" i="21"/>
  <c r="R204" i="21"/>
  <c r="Q204" i="21"/>
  <c r="P204" i="21"/>
  <c r="O204" i="21"/>
  <c r="W203" i="21"/>
  <c r="U203" i="21"/>
  <c r="T203" i="21"/>
  <c r="S203" i="21"/>
  <c r="R203" i="21"/>
  <c r="Q203" i="21"/>
  <c r="P203" i="21"/>
  <c r="O203" i="21"/>
  <c r="W202" i="21"/>
  <c r="U202" i="21"/>
  <c r="T202" i="21"/>
  <c r="S202" i="21"/>
  <c r="R202" i="21"/>
  <c r="Q202" i="21"/>
  <c r="P202" i="21"/>
  <c r="O202" i="21"/>
  <c r="W201" i="21"/>
  <c r="U201" i="21"/>
  <c r="T201" i="21"/>
  <c r="S201" i="21"/>
  <c r="R201" i="21"/>
  <c r="Q201" i="21"/>
  <c r="P201" i="21"/>
  <c r="O201" i="21"/>
  <c r="W200" i="21"/>
  <c r="U200" i="21"/>
  <c r="T200" i="21"/>
  <c r="S200" i="21"/>
  <c r="R200" i="21"/>
  <c r="Q200" i="21"/>
  <c r="P200" i="21"/>
  <c r="O200" i="21"/>
  <c r="W199" i="21"/>
  <c r="U199" i="21"/>
  <c r="T199" i="21"/>
  <c r="S199" i="21"/>
  <c r="R199" i="21"/>
  <c r="Q199" i="21"/>
  <c r="P199" i="21"/>
  <c r="O199" i="21"/>
  <c r="W198" i="21"/>
  <c r="U198" i="21"/>
  <c r="T198" i="21"/>
  <c r="S198" i="21"/>
  <c r="R198" i="21"/>
  <c r="Q198" i="21"/>
  <c r="P198" i="21"/>
  <c r="O198" i="21"/>
  <c r="W197" i="21"/>
  <c r="U197" i="21"/>
  <c r="T197" i="21"/>
  <c r="S197" i="21"/>
  <c r="R197" i="21"/>
  <c r="Q197" i="21"/>
  <c r="P197" i="21"/>
  <c r="O197" i="21"/>
  <c r="W196" i="21"/>
  <c r="U196" i="21"/>
  <c r="T196" i="21"/>
  <c r="S196" i="21"/>
  <c r="R196" i="21"/>
  <c r="Q196" i="21"/>
  <c r="P196" i="21"/>
  <c r="O196" i="21"/>
  <c r="W195" i="21"/>
  <c r="U195" i="21"/>
  <c r="T195" i="21"/>
  <c r="S195" i="21"/>
  <c r="R195" i="21"/>
  <c r="Q195" i="21"/>
  <c r="P195" i="21"/>
  <c r="O195" i="21"/>
  <c r="W194" i="21"/>
  <c r="U194" i="21"/>
  <c r="T194" i="21"/>
  <c r="S194" i="21"/>
  <c r="R194" i="21"/>
  <c r="Q194" i="21"/>
  <c r="P194" i="21"/>
  <c r="O194" i="21"/>
  <c r="W193" i="21"/>
  <c r="U193" i="21"/>
  <c r="T193" i="21"/>
  <c r="S193" i="21"/>
  <c r="R193" i="21"/>
  <c r="Q193" i="21"/>
  <c r="P193" i="21"/>
  <c r="O193" i="21"/>
  <c r="W192" i="21"/>
  <c r="U192" i="21"/>
  <c r="T192" i="21"/>
  <c r="S192" i="21"/>
  <c r="R192" i="21"/>
  <c r="Q192" i="21"/>
  <c r="P192" i="21"/>
  <c r="O192" i="21"/>
  <c r="W191" i="21"/>
  <c r="U191" i="21"/>
  <c r="T191" i="21"/>
  <c r="S191" i="21"/>
  <c r="R191" i="21"/>
  <c r="Q191" i="21"/>
  <c r="P191" i="21"/>
  <c r="O191" i="21"/>
  <c r="W190" i="21"/>
  <c r="U190" i="21"/>
  <c r="T190" i="21"/>
  <c r="S190" i="21"/>
  <c r="R190" i="21"/>
  <c r="Q190" i="21"/>
  <c r="P190" i="21"/>
  <c r="O190" i="21"/>
  <c r="W189" i="21"/>
  <c r="U189" i="21"/>
  <c r="T189" i="21"/>
  <c r="S189" i="21"/>
  <c r="R189" i="21"/>
  <c r="Q189" i="21"/>
  <c r="P189" i="21"/>
  <c r="O189" i="21"/>
  <c r="W188" i="21"/>
  <c r="U188" i="21"/>
  <c r="T188" i="21"/>
  <c r="S188" i="21"/>
  <c r="R188" i="21"/>
  <c r="Q188" i="21"/>
  <c r="P188" i="21"/>
  <c r="O188" i="21"/>
  <c r="W187" i="21"/>
  <c r="U187" i="21"/>
  <c r="T187" i="21"/>
  <c r="S187" i="21"/>
  <c r="R187" i="21"/>
  <c r="Q187" i="21"/>
  <c r="P187" i="21"/>
  <c r="O187" i="21"/>
  <c r="W186" i="21"/>
  <c r="U186" i="21"/>
  <c r="T186" i="21"/>
  <c r="S186" i="21"/>
  <c r="R186" i="21"/>
  <c r="Q186" i="21"/>
  <c r="P186" i="21"/>
  <c r="O186" i="21"/>
  <c r="W185" i="21"/>
  <c r="U185" i="21"/>
  <c r="T185" i="21"/>
  <c r="S185" i="21"/>
  <c r="R185" i="21"/>
  <c r="Q185" i="21"/>
  <c r="P185" i="21"/>
  <c r="O185" i="21"/>
  <c r="W184" i="21"/>
  <c r="U184" i="21"/>
  <c r="T184" i="21"/>
  <c r="S184" i="21"/>
  <c r="R184" i="21"/>
  <c r="Q184" i="21"/>
  <c r="P184" i="21"/>
  <c r="O184" i="21"/>
  <c r="W183" i="21"/>
  <c r="U183" i="21"/>
  <c r="T183" i="21"/>
  <c r="S183" i="21"/>
  <c r="R183" i="21"/>
  <c r="Q183" i="21"/>
  <c r="P183" i="21"/>
  <c r="O183" i="21"/>
  <c r="W182" i="21"/>
  <c r="U182" i="21"/>
  <c r="T182" i="21"/>
  <c r="S182" i="21"/>
  <c r="R182" i="21"/>
  <c r="Q182" i="21"/>
  <c r="P182" i="21"/>
  <c r="O182" i="21"/>
  <c r="W181" i="21"/>
  <c r="U181" i="21"/>
  <c r="T181" i="21"/>
  <c r="S181" i="21"/>
  <c r="R181" i="21"/>
  <c r="Q181" i="21"/>
  <c r="P181" i="21"/>
  <c r="O181" i="21"/>
  <c r="W180" i="21"/>
  <c r="U180" i="21"/>
  <c r="T180" i="21"/>
  <c r="S180" i="21"/>
  <c r="R180" i="21"/>
  <c r="Q180" i="21"/>
  <c r="P180" i="21"/>
  <c r="O180" i="21"/>
  <c r="W179" i="21"/>
  <c r="U179" i="21"/>
  <c r="T179" i="21"/>
  <c r="S179" i="21"/>
  <c r="R179" i="21"/>
  <c r="Q179" i="21"/>
  <c r="P179" i="21"/>
  <c r="O179" i="21"/>
  <c r="W178" i="21"/>
  <c r="U178" i="21"/>
  <c r="T178" i="21"/>
  <c r="S178" i="21"/>
  <c r="R178" i="21"/>
  <c r="Q178" i="21"/>
  <c r="P178" i="21"/>
  <c r="O178" i="21"/>
  <c r="W177" i="21"/>
  <c r="U177" i="21"/>
  <c r="T177" i="21"/>
  <c r="S177" i="21"/>
  <c r="R177" i="21"/>
  <c r="Q177" i="21"/>
  <c r="P177" i="21"/>
  <c r="O177" i="21"/>
  <c r="W176" i="21"/>
  <c r="U176" i="21"/>
  <c r="T176" i="21"/>
  <c r="S176" i="21"/>
  <c r="R176" i="21"/>
  <c r="Q176" i="21"/>
  <c r="P176" i="21"/>
  <c r="O176" i="21"/>
  <c r="W175" i="21"/>
  <c r="U175" i="21"/>
  <c r="T175" i="21"/>
  <c r="S175" i="21"/>
  <c r="R175" i="21"/>
  <c r="Q175" i="21"/>
  <c r="P175" i="21"/>
  <c r="O175" i="21"/>
  <c r="W174" i="21"/>
  <c r="U174" i="21"/>
  <c r="T174" i="21"/>
  <c r="S174" i="21"/>
  <c r="R174" i="21"/>
  <c r="Q174" i="21"/>
  <c r="P174" i="21"/>
  <c r="O174" i="21"/>
  <c r="W173" i="21"/>
  <c r="U173" i="21"/>
  <c r="T173" i="21"/>
  <c r="S173" i="21"/>
  <c r="R173" i="21"/>
  <c r="Q173" i="21"/>
  <c r="P173" i="21"/>
  <c r="O173" i="21"/>
  <c r="W172" i="21"/>
  <c r="U172" i="21"/>
  <c r="T172" i="21"/>
  <c r="S172" i="21"/>
  <c r="R172" i="21"/>
  <c r="Q172" i="21"/>
  <c r="P172" i="21"/>
  <c r="O172" i="21"/>
  <c r="W171" i="21"/>
  <c r="U171" i="21"/>
  <c r="T171" i="21"/>
  <c r="S171" i="21"/>
  <c r="R171" i="21"/>
  <c r="Q171" i="21"/>
  <c r="P171" i="21"/>
  <c r="O171" i="21"/>
  <c r="W170" i="21"/>
  <c r="U170" i="21"/>
  <c r="T170" i="21"/>
  <c r="S170" i="21"/>
  <c r="R170" i="21"/>
  <c r="Q170" i="21"/>
  <c r="P170" i="21"/>
  <c r="O170" i="21"/>
  <c r="W169" i="21"/>
  <c r="U169" i="21"/>
  <c r="T169" i="21"/>
  <c r="S169" i="21"/>
  <c r="R169" i="21"/>
  <c r="Q169" i="21"/>
  <c r="P169" i="21"/>
  <c r="O169" i="21"/>
  <c r="W168" i="21"/>
  <c r="U168" i="21"/>
  <c r="T168" i="21"/>
  <c r="S168" i="21"/>
  <c r="R168" i="21"/>
  <c r="Q168" i="21"/>
  <c r="P168" i="21"/>
  <c r="O168" i="21"/>
  <c r="W167" i="21"/>
  <c r="U167" i="21"/>
  <c r="T167" i="21"/>
  <c r="S167" i="21"/>
  <c r="R167" i="21"/>
  <c r="Q167" i="21"/>
  <c r="P167" i="21"/>
  <c r="O167" i="21"/>
  <c r="W166" i="21"/>
  <c r="U166" i="21"/>
  <c r="T166" i="21"/>
  <c r="S166" i="21"/>
  <c r="R166" i="21"/>
  <c r="Q166" i="21"/>
  <c r="P166" i="21"/>
  <c r="O166" i="21"/>
  <c r="W165" i="21"/>
  <c r="U165" i="21"/>
  <c r="T165" i="21"/>
  <c r="S165" i="21"/>
  <c r="R165" i="21"/>
  <c r="Q165" i="21"/>
  <c r="P165" i="21"/>
  <c r="O165" i="21"/>
  <c r="W164" i="21"/>
  <c r="U164" i="21"/>
  <c r="T164" i="21"/>
  <c r="S164" i="21"/>
  <c r="R164" i="21"/>
  <c r="Q164" i="21"/>
  <c r="P164" i="21"/>
  <c r="O164" i="21"/>
  <c r="W163" i="21"/>
  <c r="U163" i="21"/>
  <c r="T163" i="21"/>
  <c r="S163" i="21"/>
  <c r="R163" i="21"/>
  <c r="Q163" i="21"/>
  <c r="P163" i="21"/>
  <c r="O163" i="21"/>
  <c r="W162" i="21"/>
  <c r="U162" i="21"/>
  <c r="T162" i="21"/>
  <c r="S162" i="21"/>
  <c r="R162" i="21"/>
  <c r="Q162" i="21"/>
  <c r="P162" i="21"/>
  <c r="O162" i="21"/>
  <c r="W161" i="21"/>
  <c r="U161" i="21"/>
  <c r="T161" i="21"/>
  <c r="S161" i="21"/>
  <c r="R161" i="21"/>
  <c r="Q161" i="21"/>
  <c r="P161" i="21"/>
  <c r="O161" i="21"/>
  <c r="W160" i="21"/>
  <c r="U160" i="21"/>
  <c r="T160" i="21"/>
  <c r="S160" i="21"/>
  <c r="R160" i="21"/>
  <c r="Q160" i="21"/>
  <c r="P160" i="21"/>
  <c r="O160" i="21"/>
  <c r="W159" i="21"/>
  <c r="U159" i="21"/>
  <c r="T159" i="21"/>
  <c r="S159" i="21"/>
  <c r="R159" i="21"/>
  <c r="Q159" i="21"/>
  <c r="P159" i="21"/>
  <c r="O159" i="21"/>
  <c r="W158" i="21"/>
  <c r="U158" i="21"/>
  <c r="T158" i="21"/>
  <c r="S158" i="21"/>
  <c r="R158" i="21"/>
  <c r="Q158" i="21"/>
  <c r="P158" i="21"/>
  <c r="O158" i="21"/>
  <c r="W157" i="21"/>
  <c r="U157" i="21"/>
  <c r="T157" i="21"/>
  <c r="S157" i="21"/>
  <c r="R157" i="21"/>
  <c r="Q157" i="21"/>
  <c r="P157" i="21"/>
  <c r="O157" i="21"/>
  <c r="W156" i="21"/>
  <c r="U156" i="21"/>
  <c r="T156" i="21"/>
  <c r="S156" i="21"/>
  <c r="R156" i="21"/>
  <c r="Q156" i="21"/>
  <c r="P156" i="21"/>
  <c r="O156" i="21"/>
  <c r="W155" i="21"/>
  <c r="U155" i="21"/>
  <c r="T155" i="21"/>
  <c r="S155" i="21"/>
  <c r="R155" i="21"/>
  <c r="Q155" i="21"/>
  <c r="P155" i="21"/>
  <c r="O155" i="21"/>
  <c r="W154" i="21"/>
  <c r="U154" i="21"/>
  <c r="T154" i="21"/>
  <c r="S154" i="21"/>
  <c r="R154" i="21"/>
  <c r="Q154" i="21"/>
  <c r="P154" i="21"/>
  <c r="O154" i="21"/>
  <c r="W153" i="21"/>
  <c r="U153" i="21"/>
  <c r="T153" i="21"/>
  <c r="S153" i="21"/>
  <c r="R153" i="21"/>
  <c r="Q153" i="21"/>
  <c r="P153" i="21"/>
  <c r="O153" i="21"/>
  <c r="W152" i="21"/>
  <c r="U152" i="21"/>
  <c r="T152" i="21"/>
  <c r="S152" i="21"/>
  <c r="R152" i="21"/>
  <c r="Q152" i="21"/>
  <c r="P152" i="21"/>
  <c r="O152" i="21"/>
  <c r="W151" i="21"/>
  <c r="U151" i="21"/>
  <c r="T151" i="21"/>
  <c r="S151" i="21"/>
  <c r="R151" i="21"/>
  <c r="Q151" i="21"/>
  <c r="P151" i="21"/>
  <c r="O151" i="21"/>
  <c r="W150" i="21"/>
  <c r="U150" i="21"/>
  <c r="T150" i="21"/>
  <c r="S150" i="21"/>
  <c r="R150" i="21"/>
  <c r="Q150" i="21"/>
  <c r="P150" i="21"/>
  <c r="O150" i="21"/>
  <c r="W149" i="21"/>
  <c r="U149" i="21"/>
  <c r="T149" i="21"/>
  <c r="S149" i="21"/>
  <c r="R149" i="21"/>
  <c r="Q149" i="21"/>
  <c r="P149" i="21"/>
  <c r="O149" i="21"/>
  <c r="W148" i="21"/>
  <c r="U148" i="21"/>
  <c r="T148" i="21"/>
  <c r="S148" i="21"/>
  <c r="R148" i="21"/>
  <c r="Q148" i="21"/>
  <c r="P148" i="21"/>
  <c r="O148" i="21"/>
  <c r="W147" i="21"/>
  <c r="U147" i="21"/>
  <c r="T147" i="21"/>
  <c r="S147" i="21"/>
  <c r="R147" i="21"/>
  <c r="Q147" i="21"/>
  <c r="P147" i="21"/>
  <c r="O147" i="21"/>
  <c r="W146" i="21"/>
  <c r="U146" i="21"/>
  <c r="T146" i="21"/>
  <c r="S146" i="21"/>
  <c r="R146" i="21"/>
  <c r="Q146" i="21"/>
  <c r="P146" i="21"/>
  <c r="O146" i="21"/>
  <c r="W145" i="21"/>
  <c r="U145" i="21"/>
  <c r="T145" i="21"/>
  <c r="S145" i="21"/>
  <c r="R145" i="21"/>
  <c r="Q145" i="21"/>
  <c r="P145" i="21"/>
  <c r="O145" i="21"/>
  <c r="W144" i="21"/>
  <c r="U144" i="21"/>
  <c r="T144" i="21"/>
  <c r="S144" i="21"/>
  <c r="R144" i="21"/>
  <c r="Q144" i="21"/>
  <c r="P144" i="21"/>
  <c r="O144" i="21"/>
  <c r="W143" i="21"/>
  <c r="U143" i="21"/>
  <c r="T143" i="21"/>
  <c r="S143" i="21"/>
  <c r="R143" i="21"/>
  <c r="Q143" i="21"/>
  <c r="P143" i="21"/>
  <c r="O143" i="21"/>
  <c r="W142" i="21"/>
  <c r="U142" i="21"/>
  <c r="T142" i="21"/>
  <c r="S142" i="21"/>
  <c r="R142" i="21"/>
  <c r="Q142" i="21"/>
  <c r="P142" i="21"/>
  <c r="O142" i="21"/>
  <c r="W141" i="21"/>
  <c r="U141" i="21"/>
  <c r="T141" i="21"/>
  <c r="S141" i="21"/>
  <c r="R141" i="21"/>
  <c r="Q141" i="21"/>
  <c r="P141" i="21"/>
  <c r="O141" i="21"/>
  <c r="W140" i="21"/>
  <c r="U140" i="21"/>
  <c r="T140" i="21"/>
  <c r="S140" i="21"/>
  <c r="R140" i="21"/>
  <c r="Q140" i="21"/>
  <c r="P140" i="21"/>
  <c r="O140" i="21"/>
  <c r="W139" i="21"/>
  <c r="U139" i="21"/>
  <c r="T139" i="21"/>
  <c r="S139" i="21"/>
  <c r="R139" i="21"/>
  <c r="Q139" i="21"/>
  <c r="P139" i="21"/>
  <c r="O139" i="21"/>
  <c r="W138" i="21"/>
  <c r="U138" i="21"/>
  <c r="T138" i="21"/>
  <c r="S138" i="21"/>
  <c r="R138" i="21"/>
  <c r="Q138" i="21"/>
  <c r="P138" i="21"/>
  <c r="O138" i="21"/>
  <c r="W137" i="21"/>
  <c r="U137" i="21"/>
  <c r="T137" i="21"/>
  <c r="S137" i="21"/>
  <c r="R137" i="21"/>
  <c r="Q137" i="21"/>
  <c r="P137" i="21"/>
  <c r="O137" i="21"/>
  <c r="W136" i="21"/>
  <c r="U136" i="21"/>
  <c r="T136" i="21"/>
  <c r="S136" i="21"/>
  <c r="R136" i="21"/>
  <c r="Q136" i="21"/>
  <c r="P136" i="21"/>
  <c r="O136" i="21"/>
  <c r="W135" i="21"/>
  <c r="U135" i="21"/>
  <c r="T135" i="21"/>
  <c r="S135" i="21"/>
  <c r="R135" i="21"/>
  <c r="Q135" i="21"/>
  <c r="P135" i="21"/>
  <c r="O135" i="21"/>
  <c r="W134" i="21"/>
  <c r="U134" i="21"/>
  <c r="T134" i="21"/>
  <c r="S134" i="21"/>
  <c r="R134" i="21"/>
  <c r="Q134" i="21"/>
  <c r="P134" i="21"/>
  <c r="O134" i="21"/>
  <c r="W133" i="21"/>
  <c r="U133" i="21"/>
  <c r="T133" i="21"/>
  <c r="S133" i="21"/>
  <c r="R133" i="21"/>
  <c r="Q133" i="21"/>
  <c r="P133" i="21"/>
  <c r="O133" i="21"/>
  <c r="W132" i="21"/>
  <c r="U132" i="21"/>
  <c r="T132" i="21"/>
  <c r="S132" i="21"/>
  <c r="R132" i="21"/>
  <c r="Q132" i="21"/>
  <c r="P132" i="21"/>
  <c r="O132" i="21"/>
  <c r="W131" i="21"/>
  <c r="U131" i="21"/>
  <c r="T131" i="21"/>
  <c r="S131" i="21"/>
  <c r="R131" i="21"/>
  <c r="Q131" i="21"/>
  <c r="P131" i="21"/>
  <c r="O131" i="21"/>
  <c r="W130" i="21"/>
  <c r="U130" i="21"/>
  <c r="T130" i="21"/>
  <c r="S130" i="21"/>
  <c r="R130" i="21"/>
  <c r="Q130" i="21"/>
  <c r="P130" i="21"/>
  <c r="O130" i="21"/>
  <c r="W129" i="21"/>
  <c r="U129" i="21"/>
  <c r="T129" i="21"/>
  <c r="S129" i="21"/>
  <c r="R129" i="21"/>
  <c r="Q129" i="21"/>
  <c r="P129" i="21"/>
  <c r="O129" i="21"/>
  <c r="W128" i="21"/>
  <c r="U128" i="21"/>
  <c r="T128" i="21"/>
  <c r="S128" i="21"/>
  <c r="R128" i="21"/>
  <c r="Q128" i="21"/>
  <c r="P128" i="21"/>
  <c r="O128" i="21"/>
  <c r="W127" i="21"/>
  <c r="U127" i="21"/>
  <c r="T127" i="21"/>
  <c r="S127" i="21"/>
  <c r="R127" i="21"/>
  <c r="Q127" i="21"/>
  <c r="P127" i="21"/>
  <c r="O127" i="21"/>
  <c r="W126" i="21"/>
  <c r="U126" i="21"/>
  <c r="T126" i="21"/>
  <c r="S126" i="21"/>
  <c r="R126" i="21"/>
  <c r="Q126" i="21"/>
  <c r="P126" i="21"/>
  <c r="O126" i="21"/>
  <c r="W125" i="21"/>
  <c r="U125" i="21"/>
  <c r="T125" i="21"/>
  <c r="S125" i="21"/>
  <c r="R125" i="21"/>
  <c r="Q125" i="21"/>
  <c r="P125" i="21"/>
  <c r="O125" i="21"/>
  <c r="W124" i="21"/>
  <c r="U124" i="21"/>
  <c r="T124" i="21"/>
  <c r="S124" i="21"/>
  <c r="R124" i="21"/>
  <c r="Q124" i="21"/>
  <c r="P124" i="21"/>
  <c r="O124" i="21"/>
  <c r="W123" i="21"/>
  <c r="U123" i="21"/>
  <c r="T123" i="21"/>
  <c r="S123" i="21"/>
  <c r="R123" i="21"/>
  <c r="Q123" i="21"/>
  <c r="P123" i="21"/>
  <c r="O123" i="21"/>
  <c r="W122" i="21"/>
  <c r="U122" i="21"/>
  <c r="T122" i="21"/>
  <c r="S122" i="21"/>
  <c r="R122" i="21"/>
  <c r="Q122" i="21"/>
  <c r="P122" i="21"/>
  <c r="O122" i="21"/>
  <c r="W121" i="21"/>
  <c r="U121" i="21"/>
  <c r="T121" i="21"/>
  <c r="S121" i="21"/>
  <c r="R121" i="21"/>
  <c r="Q121" i="21"/>
  <c r="P121" i="21"/>
  <c r="O121" i="21"/>
  <c r="W120" i="21"/>
  <c r="U120" i="21"/>
  <c r="T120" i="21"/>
  <c r="S120" i="21"/>
  <c r="R120" i="21"/>
  <c r="Q120" i="21"/>
  <c r="P120" i="21"/>
  <c r="O120" i="21"/>
  <c r="W119" i="21"/>
  <c r="U119" i="21"/>
  <c r="T119" i="21"/>
  <c r="S119" i="21"/>
  <c r="R119" i="21"/>
  <c r="Q119" i="21"/>
  <c r="P119" i="21"/>
  <c r="O119" i="21"/>
  <c r="W118" i="21"/>
  <c r="U118" i="21"/>
  <c r="T118" i="21"/>
  <c r="S118" i="21"/>
  <c r="R118" i="21"/>
  <c r="Q118" i="21"/>
  <c r="P118" i="21"/>
  <c r="O118" i="21"/>
  <c r="W117" i="21"/>
  <c r="U117" i="21"/>
  <c r="T117" i="21"/>
  <c r="S117" i="21"/>
  <c r="R117" i="21"/>
  <c r="Q117" i="21"/>
  <c r="P117" i="21"/>
  <c r="O117" i="21"/>
  <c r="W116" i="21"/>
  <c r="U116" i="21"/>
  <c r="T116" i="21"/>
  <c r="S116" i="21"/>
  <c r="R116" i="21"/>
  <c r="Q116" i="21"/>
  <c r="P116" i="21"/>
  <c r="O116" i="21"/>
  <c r="W115" i="21"/>
  <c r="U115" i="21"/>
  <c r="T115" i="21"/>
  <c r="S115" i="21"/>
  <c r="R115" i="21"/>
  <c r="Q115" i="21"/>
  <c r="P115" i="21"/>
  <c r="O115" i="21"/>
  <c r="W114" i="21"/>
  <c r="U114" i="21"/>
  <c r="T114" i="21"/>
  <c r="S114" i="21"/>
  <c r="R114" i="21"/>
  <c r="Q114" i="21"/>
  <c r="P114" i="21"/>
  <c r="O114" i="21"/>
  <c r="W113" i="21"/>
  <c r="U113" i="21"/>
  <c r="T113" i="21"/>
  <c r="S113" i="21"/>
  <c r="R113" i="21"/>
  <c r="Q113" i="21"/>
  <c r="P113" i="21"/>
  <c r="O113" i="21"/>
  <c r="W112" i="21"/>
  <c r="U112" i="21"/>
  <c r="T112" i="21"/>
  <c r="S112" i="21"/>
  <c r="R112" i="21"/>
  <c r="Q112" i="21"/>
  <c r="P112" i="21"/>
  <c r="O112" i="21"/>
  <c r="W111" i="21"/>
  <c r="U111" i="21"/>
  <c r="T111" i="21"/>
  <c r="S111" i="21"/>
  <c r="R111" i="21"/>
  <c r="Q111" i="21"/>
  <c r="P111" i="21"/>
  <c r="O111" i="21"/>
  <c r="W110" i="21"/>
  <c r="U110" i="21"/>
  <c r="T110" i="21"/>
  <c r="S110" i="21"/>
  <c r="R110" i="21"/>
  <c r="Q110" i="21"/>
  <c r="P110" i="21"/>
  <c r="O110" i="21"/>
  <c r="W109" i="21"/>
  <c r="U109" i="21"/>
  <c r="T109" i="21"/>
  <c r="S109" i="21"/>
  <c r="R109" i="21"/>
  <c r="Q109" i="21"/>
  <c r="P109" i="21"/>
  <c r="O109" i="21"/>
  <c r="W108" i="21"/>
  <c r="U108" i="21"/>
  <c r="T108" i="21"/>
  <c r="S108" i="21"/>
  <c r="R108" i="21"/>
  <c r="Q108" i="21"/>
  <c r="P108" i="21"/>
  <c r="O108" i="21"/>
  <c r="W107" i="21"/>
  <c r="U107" i="21"/>
  <c r="T107" i="21"/>
  <c r="S107" i="21"/>
  <c r="R107" i="21"/>
  <c r="Q107" i="21"/>
  <c r="P107" i="21"/>
  <c r="O107" i="21"/>
  <c r="W106" i="21"/>
  <c r="U106" i="21"/>
  <c r="T106" i="21"/>
  <c r="S106" i="21"/>
  <c r="R106" i="21"/>
  <c r="Q106" i="21"/>
  <c r="P106" i="21"/>
  <c r="O106" i="21"/>
  <c r="W105" i="21"/>
  <c r="U105" i="21"/>
  <c r="T105" i="21"/>
  <c r="S105" i="21"/>
  <c r="R105" i="21"/>
  <c r="Q105" i="21"/>
  <c r="P105" i="21"/>
  <c r="O105" i="21"/>
  <c r="W104" i="21"/>
  <c r="U104" i="21"/>
  <c r="T104" i="21"/>
  <c r="S104" i="21"/>
  <c r="R104" i="21"/>
  <c r="Q104" i="21"/>
  <c r="P104" i="21"/>
  <c r="O104" i="21"/>
  <c r="W103" i="21"/>
  <c r="U103" i="21"/>
  <c r="T103" i="21"/>
  <c r="S103" i="21"/>
  <c r="R103" i="21"/>
  <c r="Q103" i="21"/>
  <c r="P103" i="21"/>
  <c r="O103" i="21"/>
  <c r="W102" i="21"/>
  <c r="U102" i="21"/>
  <c r="T102" i="21"/>
  <c r="S102" i="21"/>
  <c r="R102" i="21"/>
  <c r="Q102" i="21"/>
  <c r="P102" i="21"/>
  <c r="O102" i="21"/>
  <c r="W101" i="21"/>
  <c r="U101" i="21"/>
  <c r="T101" i="21"/>
  <c r="S101" i="21"/>
  <c r="R101" i="21"/>
  <c r="Q101" i="21"/>
  <c r="P101" i="21"/>
  <c r="O101" i="21"/>
  <c r="W100" i="21"/>
  <c r="U100" i="21"/>
  <c r="T100" i="21"/>
  <c r="S100" i="21"/>
  <c r="R100" i="21"/>
  <c r="Q100" i="21"/>
  <c r="P100" i="21"/>
  <c r="O100" i="21"/>
  <c r="W99" i="21"/>
  <c r="U99" i="21"/>
  <c r="T99" i="21"/>
  <c r="S99" i="21"/>
  <c r="R99" i="21"/>
  <c r="Q99" i="21"/>
  <c r="P99" i="21"/>
  <c r="O99" i="21"/>
  <c r="W98" i="21"/>
  <c r="U98" i="21"/>
  <c r="T98" i="21"/>
  <c r="S98" i="21"/>
  <c r="R98" i="21"/>
  <c r="Q98" i="21"/>
  <c r="P98" i="21"/>
  <c r="O98" i="21"/>
  <c r="W97" i="21"/>
  <c r="U97" i="21"/>
  <c r="T97" i="21"/>
  <c r="S97" i="21"/>
  <c r="R97" i="21"/>
  <c r="Q97" i="21"/>
  <c r="P97" i="21"/>
  <c r="O97" i="21"/>
  <c r="W96" i="21"/>
  <c r="U96" i="21"/>
  <c r="T96" i="21"/>
  <c r="S96" i="21"/>
  <c r="R96" i="21"/>
  <c r="Q96" i="21"/>
  <c r="P96" i="21"/>
  <c r="O96" i="21"/>
  <c r="W95" i="21"/>
  <c r="U95" i="21"/>
  <c r="T95" i="21"/>
  <c r="S95" i="21"/>
  <c r="R95" i="21"/>
  <c r="Q95" i="21"/>
  <c r="P95" i="21"/>
  <c r="O95" i="21"/>
  <c r="W94" i="21"/>
  <c r="U94" i="21"/>
  <c r="T94" i="21"/>
  <c r="S94" i="21"/>
  <c r="R94" i="21"/>
  <c r="Q94" i="21"/>
  <c r="P94" i="21"/>
  <c r="O94" i="21"/>
  <c r="Z359" i="21"/>
  <c r="Z100" i="21"/>
  <c r="Z116" i="21"/>
  <c r="Z132" i="21"/>
  <c r="Z148" i="21"/>
  <c r="Z164" i="21"/>
  <c r="Z180" i="21"/>
  <c r="Z196" i="21"/>
  <c r="Z212" i="21"/>
  <c r="Z228" i="21"/>
  <c r="Z244" i="21"/>
  <c r="Z260" i="21"/>
  <c r="Z276" i="21"/>
  <c r="Z292" i="21"/>
  <c r="Z308" i="21"/>
  <c r="Z324" i="21"/>
  <c r="Z340" i="21"/>
  <c r="Z356" i="21"/>
  <c r="Z409" i="21"/>
  <c r="Z441" i="21"/>
  <c r="Z473" i="21"/>
  <c r="Z104" i="21"/>
  <c r="Z120" i="21"/>
  <c r="Z136" i="21"/>
  <c r="Z152" i="21"/>
  <c r="Z168" i="21"/>
  <c r="Z184" i="21"/>
  <c r="Z200" i="21"/>
  <c r="Z216" i="21"/>
  <c r="Z232" i="21"/>
  <c r="Z248" i="21"/>
  <c r="Z264" i="21"/>
  <c r="Z280" i="21"/>
  <c r="Z296" i="21"/>
  <c r="Z312" i="21"/>
  <c r="Z328" i="21"/>
  <c r="Z344" i="21"/>
  <c r="Z417" i="21"/>
  <c r="Z449" i="21"/>
  <c r="Z481" i="21"/>
  <c r="Z108" i="21"/>
  <c r="Z124" i="21"/>
  <c r="Z140" i="21"/>
  <c r="Z156" i="21"/>
  <c r="Z172" i="21"/>
  <c r="Z188" i="21"/>
  <c r="Z204" i="21"/>
  <c r="Z220" i="21"/>
  <c r="Z236" i="21"/>
  <c r="Z252" i="21"/>
  <c r="Z268" i="21"/>
  <c r="Z284" i="21"/>
  <c r="Z300" i="21"/>
  <c r="Z316" i="21"/>
  <c r="Z332" i="21"/>
  <c r="Z348" i="21"/>
  <c r="Z393" i="21"/>
  <c r="Z425" i="21"/>
  <c r="Z457" i="21"/>
  <c r="Z489" i="21"/>
  <c r="Z96" i="21"/>
  <c r="Z112" i="21"/>
  <c r="Z128" i="21"/>
  <c r="Z144" i="21"/>
  <c r="Z160" i="21"/>
  <c r="Z176" i="21"/>
  <c r="Z192" i="21"/>
  <c r="Z208" i="21"/>
  <c r="Z224" i="21"/>
  <c r="Z240" i="21"/>
  <c r="Z256" i="21"/>
  <c r="Z272" i="21"/>
  <c r="Z288" i="21"/>
  <c r="Z304" i="21"/>
  <c r="Z320" i="21"/>
  <c r="Z336" i="21"/>
  <c r="Z352" i="21"/>
  <c r="Z401" i="21"/>
  <c r="Z433" i="21"/>
  <c r="Z465" i="21"/>
  <c r="Z119" i="21"/>
  <c r="Z123" i="21"/>
  <c r="Z127" i="21"/>
  <c r="Z131" i="21"/>
  <c r="Z135" i="21"/>
  <c r="Z139" i="21"/>
  <c r="Z143" i="21"/>
  <c r="Z147" i="21"/>
  <c r="Z151" i="21"/>
  <c r="Z155" i="21"/>
  <c r="Z159" i="21"/>
  <c r="Z163" i="21"/>
  <c r="Z167" i="21"/>
  <c r="Z171" i="21"/>
  <c r="Z175" i="21"/>
  <c r="Z179" i="21"/>
  <c r="Z183" i="21"/>
  <c r="Z187" i="21"/>
  <c r="Z191" i="21"/>
  <c r="Z195" i="21"/>
  <c r="Z199" i="21"/>
  <c r="Z203" i="21"/>
  <c r="Z207" i="21"/>
  <c r="Z211" i="21"/>
  <c r="Z215" i="21"/>
  <c r="Z219" i="21"/>
  <c r="Z223" i="21"/>
  <c r="Z227" i="21"/>
  <c r="Z231" i="21"/>
  <c r="Z235" i="21"/>
  <c r="Z239" i="21"/>
  <c r="Z243" i="21"/>
  <c r="Z247" i="21"/>
  <c r="Z251" i="21"/>
  <c r="Z255" i="21"/>
  <c r="Z259" i="21"/>
  <c r="Z263" i="21"/>
  <c r="Z267" i="21"/>
  <c r="Z271" i="21"/>
  <c r="Z275" i="21"/>
  <c r="Z279" i="21"/>
  <c r="Z283" i="21"/>
  <c r="Z287" i="21"/>
  <c r="Z291" i="21"/>
  <c r="Z295" i="21"/>
  <c r="Z299" i="21"/>
  <c r="Z303" i="21"/>
  <c r="Z307" i="21"/>
  <c r="Z311" i="21"/>
  <c r="Z315" i="21"/>
  <c r="Z319" i="21"/>
  <c r="Z323" i="21"/>
  <c r="Z327" i="21"/>
  <c r="Z331" i="21"/>
  <c r="Z335" i="21"/>
  <c r="Z339" i="21"/>
  <c r="Z343" i="21"/>
  <c r="Z347" i="21"/>
  <c r="Z351" i="21"/>
  <c r="Z355" i="21"/>
  <c r="Z357" i="21"/>
  <c r="Z1192" i="21"/>
  <c r="Z1188" i="21"/>
  <c r="Z1184" i="21"/>
  <c r="Z1180" i="21"/>
  <c r="Z1176" i="21"/>
  <c r="Z1172" i="21"/>
  <c r="Z1168" i="21"/>
  <c r="Z1164" i="21"/>
  <c r="Z1160" i="21"/>
  <c r="Z1156" i="21"/>
  <c r="Z1152" i="21"/>
  <c r="Z1148" i="21"/>
  <c r="Z1144" i="21"/>
  <c r="Z1140" i="21"/>
  <c r="Z1193" i="21"/>
  <c r="Z1189" i="21"/>
  <c r="Z1185" i="21"/>
  <c r="Z1181" i="21"/>
  <c r="Z1177" i="21"/>
  <c r="Z1173" i="21"/>
  <c r="Z1169" i="21"/>
  <c r="Z1165" i="21"/>
  <c r="Z1161" i="21"/>
  <c r="Z1157" i="21"/>
  <c r="Z1153" i="21"/>
  <c r="Z1149" i="21"/>
  <c r="Z1145" i="21"/>
  <c r="Z1141" i="21"/>
  <c r="Z1194" i="21"/>
  <c r="Z1190" i="21"/>
  <c r="Z1186" i="21"/>
  <c r="Z1182" i="21"/>
  <c r="Z1178" i="21"/>
  <c r="Z1174" i="21"/>
  <c r="Z1170" i="21"/>
  <c r="Z1166" i="21"/>
  <c r="Z1162" i="21"/>
  <c r="Z1158" i="21"/>
  <c r="Z1154" i="21"/>
  <c r="Z1150" i="21"/>
  <c r="Z1146" i="21"/>
  <c r="Z1142" i="21"/>
  <c r="Z1137" i="21"/>
  <c r="Z1133" i="21"/>
  <c r="Z1129" i="21"/>
  <c r="Z1125" i="21"/>
  <c r="Z1121" i="21"/>
  <c r="Z1117" i="21"/>
  <c r="Z1113" i="21"/>
  <c r="Z1109" i="21"/>
  <c r="Z1187" i="21"/>
  <c r="Z1179" i="21"/>
  <c r="Z1171" i="21"/>
  <c r="Z1163" i="21"/>
  <c r="Z1155" i="21"/>
  <c r="Z1147" i="21"/>
  <c r="Z1139" i="21"/>
  <c r="Z1138" i="21"/>
  <c r="Z1134" i="21"/>
  <c r="Z1130" i="21"/>
  <c r="Z1126" i="21"/>
  <c r="Z1122" i="21"/>
  <c r="Z1118" i="21"/>
  <c r="Z1114" i="21"/>
  <c r="Z1110" i="21"/>
  <c r="Z1135" i="21"/>
  <c r="Z1131" i="21"/>
  <c r="Z1127" i="21"/>
  <c r="Z1123" i="21"/>
  <c r="Z1119" i="21"/>
  <c r="Z1115" i="21"/>
  <c r="Z1111" i="21"/>
  <c r="Z1191" i="21"/>
  <c r="Z1183" i="21"/>
  <c r="Z1175" i="21"/>
  <c r="Z1167" i="21"/>
  <c r="Z1159" i="21"/>
  <c r="Z1151" i="21"/>
  <c r="Z1143" i="21"/>
  <c r="Z1136" i="21"/>
  <c r="Z1128" i="21"/>
  <c r="Z1120" i="21"/>
  <c r="Z1112" i="21"/>
  <c r="Z1108" i="21"/>
  <c r="Z1105" i="21"/>
  <c r="Z1101" i="21"/>
  <c r="Z1097" i="21"/>
  <c r="Z1093" i="21"/>
  <c r="Z1089" i="21"/>
  <c r="Z1085" i="21"/>
  <c r="Z1081" i="21"/>
  <c r="Z1077" i="21"/>
  <c r="Z1106" i="21"/>
  <c r="Z1102" i="21"/>
  <c r="Z1098" i="21"/>
  <c r="Z1094" i="21"/>
  <c r="Z1090" i="21"/>
  <c r="Z1086" i="21"/>
  <c r="Z1082" i="21"/>
  <c r="Z1078" i="21"/>
  <c r="Z1074" i="21"/>
  <c r="Z1070" i="21"/>
  <c r="Z1066" i="21"/>
  <c r="Z1132" i="21"/>
  <c r="Z1124" i="21"/>
  <c r="Z1116" i="21"/>
  <c r="Z1107" i="21"/>
  <c r="Z1103" i="21"/>
  <c r="Z1099" i="21"/>
  <c r="Z1095" i="21"/>
  <c r="Z1091" i="21"/>
  <c r="Z1087" i="21"/>
  <c r="Z1083" i="21"/>
  <c r="Z1079" i="21"/>
  <c r="Z1075" i="21"/>
  <c r="Z1071" i="21"/>
  <c r="Z1100" i="21"/>
  <c r="Z1092" i="21"/>
  <c r="Z1084" i="21"/>
  <c r="Z1076" i="21"/>
  <c r="Z1072" i="21"/>
  <c r="Z1063" i="21"/>
  <c r="Z1059" i="21"/>
  <c r="Z1055" i="21"/>
  <c r="Z1051" i="21"/>
  <c r="Z1047" i="21"/>
  <c r="Z1043" i="21"/>
  <c r="Z1039" i="21"/>
  <c r="Z1035" i="21"/>
  <c r="Z1031" i="21"/>
  <c r="Z1027" i="21"/>
  <c r="Z1023" i="21"/>
  <c r="Z1019" i="21"/>
  <c r="Z1015" i="21"/>
  <c r="Z1011" i="21"/>
  <c r="Z1007" i="21"/>
  <c r="Z1003" i="21"/>
  <c r="Z999" i="21"/>
  <c r="Z995" i="21"/>
  <c r="Z991" i="21"/>
  <c r="Z987" i="21"/>
  <c r="Z983" i="21"/>
  <c r="Z1073" i="21"/>
  <c r="Z1069" i="21"/>
  <c r="Z1068" i="21"/>
  <c r="Z1060" i="21"/>
  <c r="Z1056" i="21"/>
  <c r="Z1052" i="21"/>
  <c r="Z1048" i="21"/>
  <c r="Z1044" i="21"/>
  <c r="Z1040" i="21"/>
  <c r="Z1036" i="21"/>
  <c r="Z1032" i="21"/>
  <c r="Z1028" i="21"/>
  <c r="Z1024" i="21"/>
  <c r="Z1020" i="21"/>
  <c r="Z1016" i="21"/>
  <c r="Z1012" i="21"/>
  <c r="Z1008" i="21"/>
  <c r="Z1004" i="21"/>
  <c r="Z1000" i="21"/>
  <c r="Z996" i="21"/>
  <c r="Z992" i="21"/>
  <c r="Z988" i="21"/>
  <c r="Z984" i="21"/>
  <c r="Z980" i="21"/>
  <c r="Z976" i="21"/>
  <c r="Z1104" i="21"/>
  <c r="Z1096" i="21"/>
  <c r="Z1088" i="21"/>
  <c r="Z1080" i="21"/>
  <c r="Z1067" i="21"/>
  <c r="Z1065" i="21"/>
  <c r="Z1061" i="21"/>
  <c r="Z1057" i="21"/>
  <c r="Z1053" i="21"/>
  <c r="Z1049" i="21"/>
  <c r="Z1045" i="21"/>
  <c r="Z1041" i="21"/>
  <c r="Z1037" i="21"/>
  <c r="Z1033" i="21"/>
  <c r="Z1029" i="21"/>
  <c r="Z1025" i="21"/>
  <c r="Z1021" i="21"/>
  <c r="Z1017" i="21"/>
  <c r="Z1013" i="21"/>
  <c r="Z1009" i="21"/>
  <c r="Z1005" i="21"/>
  <c r="Z1001" i="21"/>
  <c r="Z997" i="21"/>
  <c r="Z993" i="21"/>
  <c r="Z989" i="21"/>
  <c r="Z985" i="21"/>
  <c r="Z1058" i="21"/>
  <c r="Z1050" i="21"/>
  <c r="Z1042" i="21"/>
  <c r="Z1034" i="21"/>
  <c r="Z1026" i="21"/>
  <c r="Z1018" i="21"/>
  <c r="Z1010" i="21"/>
  <c r="Z1002" i="21"/>
  <c r="Z994" i="21"/>
  <c r="Z986" i="21"/>
  <c r="Z982" i="21"/>
  <c r="Z975" i="21"/>
  <c r="Z971" i="21"/>
  <c r="Z967" i="21"/>
  <c r="Z963" i="21"/>
  <c r="Z959" i="21"/>
  <c r="Z955" i="21"/>
  <c r="Z951" i="21"/>
  <c r="Z947" i="21"/>
  <c r="Z943" i="21"/>
  <c r="Z939" i="21"/>
  <c r="Z935" i="21"/>
  <c r="Z931" i="21"/>
  <c r="Z927" i="21"/>
  <c r="Z923" i="21"/>
  <c r="Z981" i="21"/>
  <c r="Z979" i="21"/>
  <c r="Z972" i="21"/>
  <c r="Z968" i="21"/>
  <c r="Z964" i="21"/>
  <c r="Z960" i="21"/>
  <c r="Z956" i="21"/>
  <c r="Z952" i="21"/>
  <c r="Z948" i="21"/>
  <c r="Z944" i="21"/>
  <c r="Z940" i="21"/>
  <c r="Z936" i="21"/>
  <c r="Z932" i="21"/>
  <c r="Z928" i="21"/>
  <c r="Z924" i="21"/>
  <c r="Z920" i="21"/>
  <c r="Z916" i="21"/>
  <c r="Z912" i="21"/>
  <c r="Z908" i="21"/>
  <c r="Z904" i="21"/>
  <c r="Z1064" i="21"/>
  <c r="Z1062" i="21"/>
  <c r="Z1054" i="21"/>
  <c r="Z1046" i="21"/>
  <c r="Z1038" i="21"/>
  <c r="Z1030" i="21"/>
  <c r="Z1022" i="21"/>
  <c r="Z1014" i="21"/>
  <c r="Z1006" i="21"/>
  <c r="Z998" i="21"/>
  <c r="Z990" i="21"/>
  <c r="Z978" i="21"/>
  <c r="Z973" i="21"/>
  <c r="Z969" i="21"/>
  <c r="Z965" i="21"/>
  <c r="Z961" i="21"/>
  <c r="Z957" i="21"/>
  <c r="Z953" i="21"/>
  <c r="Z949" i="21"/>
  <c r="Z945" i="21"/>
  <c r="Z941" i="21"/>
  <c r="Z937" i="21"/>
  <c r="Z933" i="21"/>
  <c r="Z929" i="21"/>
  <c r="Z925" i="21"/>
  <c r="Z921" i="21"/>
  <c r="Z970" i="21"/>
  <c r="Z962" i="21"/>
  <c r="Z954" i="21"/>
  <c r="Z946" i="21"/>
  <c r="Z938" i="21"/>
  <c r="Z930" i="21"/>
  <c r="Z922" i="21"/>
  <c r="Z918" i="21"/>
  <c r="Z910" i="21"/>
  <c r="Z900" i="21"/>
  <c r="Z896" i="21"/>
  <c r="Z892" i="21"/>
  <c r="Z888" i="21"/>
  <c r="Z884" i="21"/>
  <c r="Z880" i="21"/>
  <c r="Z876" i="21"/>
  <c r="Z872" i="21"/>
  <c r="Z868" i="21"/>
  <c r="Z864" i="21"/>
  <c r="Z860" i="21"/>
  <c r="Z856" i="21"/>
  <c r="Z852" i="21"/>
  <c r="Z848" i="21"/>
  <c r="Z844" i="21"/>
  <c r="Z917" i="21"/>
  <c r="Z915" i="21"/>
  <c r="Z909" i="21"/>
  <c r="Z907" i="21"/>
  <c r="Z901" i="21"/>
  <c r="Z897" i="21"/>
  <c r="Z893" i="21"/>
  <c r="Z889" i="21"/>
  <c r="Z885" i="21"/>
  <c r="Z881" i="21"/>
  <c r="Z877" i="21"/>
  <c r="Z873" i="21"/>
  <c r="Z869" i="21"/>
  <c r="Z865" i="21"/>
  <c r="Z861" i="21"/>
  <c r="Z857" i="21"/>
  <c r="Z853" i="21"/>
  <c r="Z849" i="21"/>
  <c r="Z845" i="21"/>
  <c r="Z841" i="21"/>
  <c r="Z837" i="21"/>
  <c r="Z833" i="21"/>
  <c r="Z829" i="21"/>
  <c r="Z825" i="21"/>
  <c r="Z974" i="21"/>
  <c r="Z966" i="21"/>
  <c r="Z958" i="21"/>
  <c r="Z950" i="21"/>
  <c r="Z942" i="21"/>
  <c r="Z934" i="21"/>
  <c r="Z926" i="21"/>
  <c r="Z914" i="21"/>
  <c r="Z906" i="21"/>
  <c r="Z902" i="21"/>
  <c r="Z898" i="21"/>
  <c r="Z894" i="21"/>
  <c r="Z890" i="21"/>
  <c r="Z886" i="21"/>
  <c r="Z882" i="21"/>
  <c r="Z878" i="21"/>
  <c r="Z874" i="21"/>
  <c r="Z870" i="21"/>
  <c r="Z866" i="21"/>
  <c r="Z862" i="21"/>
  <c r="Z858" i="21"/>
  <c r="Z854" i="21"/>
  <c r="Z850" i="21"/>
  <c r="Z846" i="21"/>
  <c r="Z842" i="21"/>
  <c r="Z905" i="21"/>
  <c r="Z835" i="21"/>
  <c r="Z827" i="21"/>
  <c r="Z819" i="21"/>
  <c r="Z815" i="21"/>
  <c r="Z811" i="21"/>
  <c r="Z807" i="21"/>
  <c r="Z803" i="21"/>
  <c r="Z799" i="21"/>
  <c r="Z795" i="21"/>
  <c r="Z791" i="21"/>
  <c r="Z787" i="21"/>
  <c r="Z783" i="21"/>
  <c r="Z779" i="21"/>
  <c r="Z775" i="21"/>
  <c r="Z771" i="21"/>
  <c r="Z767" i="21"/>
  <c r="Z763" i="21"/>
  <c r="Z759" i="21"/>
  <c r="Z755" i="21"/>
  <c r="Z751" i="21"/>
  <c r="Z747" i="21"/>
  <c r="Z743" i="21"/>
  <c r="Z739" i="21"/>
  <c r="Z735" i="21"/>
  <c r="Z731" i="21"/>
  <c r="Z727" i="21"/>
  <c r="Z723" i="21"/>
  <c r="Z719" i="21"/>
  <c r="Z715" i="21"/>
  <c r="Z711" i="21"/>
  <c r="Z707" i="21"/>
  <c r="Z703" i="21"/>
  <c r="Z699" i="21"/>
  <c r="Z695" i="21"/>
  <c r="Z691" i="21"/>
  <c r="Z687" i="21"/>
  <c r="Z683" i="21"/>
  <c r="Z679" i="21"/>
  <c r="Z675" i="21"/>
  <c r="Z671" i="21"/>
  <c r="Z667" i="21"/>
  <c r="Z663" i="21"/>
  <c r="Z659" i="21"/>
  <c r="Z655" i="21"/>
  <c r="Z651" i="21"/>
  <c r="Z919" i="21"/>
  <c r="Z903" i="21"/>
  <c r="Z895" i="21"/>
  <c r="Z887" i="21"/>
  <c r="Z879" i="21"/>
  <c r="Z871" i="21"/>
  <c r="Z863" i="21"/>
  <c r="Z855" i="21"/>
  <c r="Z847" i="21"/>
  <c r="Z840" i="21"/>
  <c r="Z834" i="21"/>
  <c r="Z832" i="21"/>
  <c r="Z826" i="21"/>
  <c r="Z824" i="21"/>
  <c r="Z820" i="21"/>
  <c r="Z816" i="21"/>
  <c r="Z812" i="21"/>
  <c r="Z808" i="21"/>
  <c r="Z804" i="21"/>
  <c r="Z800" i="21"/>
  <c r="Z796" i="21"/>
  <c r="Z792" i="21"/>
  <c r="Z788" i="21"/>
  <c r="Z784" i="21"/>
  <c r="Z780" i="21"/>
  <c r="Z776" i="21"/>
  <c r="Z772" i="21"/>
  <c r="Z768" i="21"/>
  <c r="Z764" i="21"/>
  <c r="Z760" i="21"/>
  <c r="Z756" i="21"/>
  <c r="Z752" i="21"/>
  <c r="Z748" i="21"/>
  <c r="Z744" i="21"/>
  <c r="Z740" i="21"/>
  <c r="Z736" i="21"/>
  <c r="Z732" i="21"/>
  <c r="Z728" i="21"/>
  <c r="Z724" i="21"/>
  <c r="Z720" i="21"/>
  <c r="Z716" i="21"/>
  <c r="Z712" i="21"/>
  <c r="Z708" i="21"/>
  <c r="Z704" i="21"/>
  <c r="Z700" i="21"/>
  <c r="Z696" i="21"/>
  <c r="Z692" i="21"/>
  <c r="Z688" i="21"/>
  <c r="Z684" i="21"/>
  <c r="Z680" i="21"/>
  <c r="Z676" i="21"/>
  <c r="Z672" i="21"/>
  <c r="Z668" i="21"/>
  <c r="Z664" i="21"/>
  <c r="Z660" i="21"/>
  <c r="Z913" i="21"/>
  <c r="Z839" i="21"/>
  <c r="Z831" i="21"/>
  <c r="Z823" i="21"/>
  <c r="Z821" i="21"/>
  <c r="Z817" i="21"/>
  <c r="Z813" i="21"/>
  <c r="Z809" i="21"/>
  <c r="Z805" i="21"/>
  <c r="Z801" i="21"/>
  <c r="Z797" i="21"/>
  <c r="Z793" i="21"/>
  <c r="Z789" i="21"/>
  <c r="Z785" i="21"/>
  <c r="Z781" i="21"/>
  <c r="Z777" i="21"/>
  <c r="Z773" i="21"/>
  <c r="Z769" i="21"/>
  <c r="Z765" i="21"/>
  <c r="Z761" i="21"/>
  <c r="Z757" i="21"/>
  <c r="Z753" i="21"/>
  <c r="Z749" i="21"/>
  <c r="Z745" i="21"/>
  <c r="Z741" i="21"/>
  <c r="Z737" i="21"/>
  <c r="Z733" i="21"/>
  <c r="Z729" i="21"/>
  <c r="Z725" i="21"/>
  <c r="Z721" i="21"/>
  <c r="Z717" i="21"/>
  <c r="Z713" i="21"/>
  <c r="Z709" i="21"/>
  <c r="Z705" i="21"/>
  <c r="Z701" i="21"/>
  <c r="Z697" i="21"/>
  <c r="Z693" i="21"/>
  <c r="Z689" i="21"/>
  <c r="Z685" i="21"/>
  <c r="Z681" i="21"/>
  <c r="Z677" i="21"/>
  <c r="Z673" i="21"/>
  <c r="Z669" i="21"/>
  <c r="Z665" i="21"/>
  <c r="Z661" i="21"/>
  <c r="Z911" i="21"/>
  <c r="Z828" i="21"/>
  <c r="Z657" i="21"/>
  <c r="Z650" i="21"/>
  <c r="Z646" i="21"/>
  <c r="Z642" i="21"/>
  <c r="Z638" i="21"/>
  <c r="Z634" i="21"/>
  <c r="Z630" i="21"/>
  <c r="Z626" i="21"/>
  <c r="Z622" i="21"/>
  <c r="Z618" i="21"/>
  <c r="Z614" i="21"/>
  <c r="Z610" i="21"/>
  <c r="Z606" i="21"/>
  <c r="Z602" i="21"/>
  <c r="Z598" i="21"/>
  <c r="Z594" i="21"/>
  <c r="Z590" i="21"/>
  <c r="Z586" i="21"/>
  <c r="Z582" i="21"/>
  <c r="Z578" i="21"/>
  <c r="Z574" i="21"/>
  <c r="Z570" i="21"/>
  <c r="Z566" i="21"/>
  <c r="Z562" i="21"/>
  <c r="Z558" i="21"/>
  <c r="Z554" i="21"/>
  <c r="Z550" i="21"/>
  <c r="Z546" i="21"/>
  <c r="Z542" i="21"/>
  <c r="Z538" i="21"/>
  <c r="Z534" i="21"/>
  <c r="Z530" i="21"/>
  <c r="Z526" i="21"/>
  <c r="Z522" i="21"/>
  <c r="Z518" i="21"/>
  <c r="Z514" i="21"/>
  <c r="Z510" i="21"/>
  <c r="Z506" i="21"/>
  <c r="Z502" i="21"/>
  <c r="Z498" i="21"/>
  <c r="Z494" i="21"/>
  <c r="Z977" i="21"/>
  <c r="Z899" i="21"/>
  <c r="Z891" i="21"/>
  <c r="Z883" i="21"/>
  <c r="Z875" i="21"/>
  <c r="Z867" i="21"/>
  <c r="Z859" i="21"/>
  <c r="Z851" i="21"/>
  <c r="Z843" i="21"/>
  <c r="Z838" i="21"/>
  <c r="Z822" i="21"/>
  <c r="Z814" i="21"/>
  <c r="Z806" i="21"/>
  <c r="Z798" i="21"/>
  <c r="Z790" i="21"/>
  <c r="Z782" i="21"/>
  <c r="Z774" i="21"/>
  <c r="Z766" i="21"/>
  <c r="Z758" i="21"/>
  <c r="Z750" i="21"/>
  <c r="Z742" i="21"/>
  <c r="Z734" i="21"/>
  <c r="Z726" i="21"/>
  <c r="Z718" i="21"/>
  <c r="Z710" i="21"/>
  <c r="Z702" i="21"/>
  <c r="Z694" i="21"/>
  <c r="Z686" i="21"/>
  <c r="Z678" i="21"/>
  <c r="Z670" i="21"/>
  <c r="Z662" i="21"/>
  <c r="Z656" i="21"/>
  <c r="Z654" i="21"/>
  <c r="Z647" i="21"/>
  <c r="Z643" i="21"/>
  <c r="Z639" i="21"/>
  <c r="Z635" i="21"/>
  <c r="Z631" i="21"/>
  <c r="Z627" i="21"/>
  <c r="Z623" i="21"/>
  <c r="Z619" i="21"/>
  <c r="Z615" i="21"/>
  <c r="Z611" i="21"/>
  <c r="Z607" i="21"/>
  <c r="Z603" i="21"/>
  <c r="Z599" i="21"/>
  <c r="Z595" i="21"/>
  <c r="Z591" i="21"/>
  <c r="Z587" i="21"/>
  <c r="Z583" i="21"/>
  <c r="Z579" i="21"/>
  <c r="Z575" i="21"/>
  <c r="Z571" i="21"/>
  <c r="Z567" i="21"/>
  <c r="Z563" i="21"/>
  <c r="Z559" i="21"/>
  <c r="Z555" i="21"/>
  <c r="Z551" i="21"/>
  <c r="Z547" i="21"/>
  <c r="Z543" i="21"/>
  <c r="Z539" i="21"/>
  <c r="Z535" i="21"/>
  <c r="Z531" i="21"/>
  <c r="Z527" i="21"/>
  <c r="Z523" i="21"/>
  <c r="Z519" i="21"/>
  <c r="Z515" i="21"/>
  <c r="Z511" i="21"/>
  <c r="Z507" i="21"/>
  <c r="Z503" i="21"/>
  <c r="Z499" i="21"/>
  <c r="Z495" i="21"/>
  <c r="Z836" i="21"/>
  <c r="Z653" i="21"/>
  <c r="Z648" i="21"/>
  <c r="Z644" i="21"/>
  <c r="Z640" i="21"/>
  <c r="Z636" i="21"/>
  <c r="Z632" i="21"/>
  <c r="Z628" i="21"/>
  <c r="Z624" i="21"/>
  <c r="Z620" i="21"/>
  <c r="Z616" i="21"/>
  <c r="Z612" i="21"/>
  <c r="Z608" i="21"/>
  <c r="Z604" i="21"/>
  <c r="Z600" i="21"/>
  <c r="Z596" i="21"/>
  <c r="Z592" i="21"/>
  <c r="Z588" i="21"/>
  <c r="Z584" i="21"/>
  <c r="Z580" i="21"/>
  <c r="Z576" i="21"/>
  <c r="Z572" i="21"/>
  <c r="Z568" i="21"/>
  <c r="Z564" i="21"/>
  <c r="Z560" i="21"/>
  <c r="Z556" i="21"/>
  <c r="Z552" i="21"/>
  <c r="Z548" i="21"/>
  <c r="Z544" i="21"/>
  <c r="Z540" i="21"/>
  <c r="Z536" i="21"/>
  <c r="Z532" i="21"/>
  <c r="Z528" i="21"/>
  <c r="Z524" i="21"/>
  <c r="Z520" i="21"/>
  <c r="Z516" i="21"/>
  <c r="Z512" i="21"/>
  <c r="Z508" i="21"/>
  <c r="Z504" i="21"/>
  <c r="Z500" i="21"/>
  <c r="Z496" i="21"/>
  <c r="Z492" i="21"/>
  <c r="Z652" i="21"/>
  <c r="Z490" i="21"/>
  <c r="Z486" i="21"/>
  <c r="Z482" i="21"/>
  <c r="Z478" i="21"/>
  <c r="Z474" i="21"/>
  <c r="Z470" i="21"/>
  <c r="Z466" i="21"/>
  <c r="Z462" i="21"/>
  <c r="Z458" i="21"/>
  <c r="Z454" i="21"/>
  <c r="Z450" i="21"/>
  <c r="Z446" i="21"/>
  <c r="Z442" i="21"/>
  <c r="Z438" i="21"/>
  <c r="Z434" i="21"/>
  <c r="Z430" i="21"/>
  <c r="Z426" i="21"/>
  <c r="Z422" i="21"/>
  <c r="Z418" i="21"/>
  <c r="Z414" i="21"/>
  <c r="Z410" i="21"/>
  <c r="Z406" i="21"/>
  <c r="Z402" i="21"/>
  <c r="Z398" i="21"/>
  <c r="Z394" i="21"/>
  <c r="Z390" i="21"/>
  <c r="Z386" i="21"/>
  <c r="Z382" i="21"/>
  <c r="Z378" i="21"/>
  <c r="Z374" i="21"/>
  <c r="Z370" i="21"/>
  <c r="Z366" i="21"/>
  <c r="Z362" i="21"/>
  <c r="Z358" i="21"/>
  <c r="Z830" i="21"/>
  <c r="Z645" i="21"/>
  <c r="Z637" i="21"/>
  <c r="Z629" i="21"/>
  <c r="Z621" i="21"/>
  <c r="Z613" i="21"/>
  <c r="Z605" i="21"/>
  <c r="Z597" i="21"/>
  <c r="Z589" i="21"/>
  <c r="Z581" i="21"/>
  <c r="Z573" i="21"/>
  <c r="Z565" i="21"/>
  <c r="Z557" i="21"/>
  <c r="Z549" i="21"/>
  <c r="Z541" i="21"/>
  <c r="Z533" i="21"/>
  <c r="Z525" i="21"/>
  <c r="Z517" i="21"/>
  <c r="Z509" i="21"/>
  <c r="Z501" i="21"/>
  <c r="Z491" i="21"/>
  <c r="Z487" i="21"/>
  <c r="Z483" i="21"/>
  <c r="Z479" i="21"/>
  <c r="Z475" i="21"/>
  <c r="Z471" i="21"/>
  <c r="Z467" i="21"/>
  <c r="Z463" i="21"/>
  <c r="Z459" i="21"/>
  <c r="Z455" i="21"/>
  <c r="Z451" i="21"/>
  <c r="Z447" i="21"/>
  <c r="Z443" i="21"/>
  <c r="Z439" i="21"/>
  <c r="Z435" i="21"/>
  <c r="Z431" i="21"/>
  <c r="Z427" i="21"/>
  <c r="Z423" i="21"/>
  <c r="Z419" i="21"/>
  <c r="Z415" i="21"/>
  <c r="Z411" i="21"/>
  <c r="Z407" i="21"/>
  <c r="Z403" i="21"/>
  <c r="Z399" i="21"/>
  <c r="Z395" i="21"/>
  <c r="Z818" i="21"/>
  <c r="Z810" i="21"/>
  <c r="Z802" i="21"/>
  <c r="Z794" i="21"/>
  <c r="Z786" i="21"/>
  <c r="Z778" i="21"/>
  <c r="Z770" i="21"/>
  <c r="Z762" i="21"/>
  <c r="Z754" i="21"/>
  <c r="Z746" i="21"/>
  <c r="Z738" i="21"/>
  <c r="Z730" i="21"/>
  <c r="Z722" i="21"/>
  <c r="Z714" i="21"/>
  <c r="Z706" i="21"/>
  <c r="Z698" i="21"/>
  <c r="Z690" i="21"/>
  <c r="Z682" i="21"/>
  <c r="Z674" i="21"/>
  <c r="Z666" i="21"/>
  <c r="Z493" i="21"/>
  <c r="Z488" i="21"/>
  <c r="Z484" i="21"/>
  <c r="Z480" i="21"/>
  <c r="Z476" i="21"/>
  <c r="Z472" i="21"/>
  <c r="Z468" i="21"/>
  <c r="Z464" i="21"/>
  <c r="Z460" i="21"/>
  <c r="Z456" i="21"/>
  <c r="Z452" i="21"/>
  <c r="Z448" i="21"/>
  <c r="Z444" i="21"/>
  <c r="Z440" i="21"/>
  <c r="Z436" i="21"/>
  <c r="Z432" i="21"/>
  <c r="Z428" i="21"/>
  <c r="Z424" i="21"/>
  <c r="Z420" i="21"/>
  <c r="Z416" i="21"/>
  <c r="Z412" i="21"/>
  <c r="Z408" i="21"/>
  <c r="Z404" i="21"/>
  <c r="Z400" i="21"/>
  <c r="Z396" i="21"/>
  <c r="Z392" i="21"/>
  <c r="Z388" i="21"/>
  <c r="Z384" i="21"/>
  <c r="Z380" i="21"/>
  <c r="Z376" i="21"/>
  <c r="Z372" i="21"/>
  <c r="Z368" i="21"/>
  <c r="Z364" i="21"/>
  <c r="Z99" i="21"/>
  <c r="Z103" i="21"/>
  <c r="Z115" i="21"/>
  <c r="Z94" i="21"/>
  <c r="Z98" i="21"/>
  <c r="Z102" i="21"/>
  <c r="Z106" i="21"/>
  <c r="Z110" i="21"/>
  <c r="Z114" i="21"/>
  <c r="Z118" i="21"/>
  <c r="Z122" i="21"/>
  <c r="Z126" i="21"/>
  <c r="Z130" i="21"/>
  <c r="Z134" i="21"/>
  <c r="Z138" i="21"/>
  <c r="Z142" i="21"/>
  <c r="Z146" i="21"/>
  <c r="Z150" i="21"/>
  <c r="Z154" i="21"/>
  <c r="Z158" i="21"/>
  <c r="Z162" i="21"/>
  <c r="Z166" i="21"/>
  <c r="Z170" i="21"/>
  <c r="Z174" i="21"/>
  <c r="Z178" i="21"/>
  <c r="Z182" i="21"/>
  <c r="Z186" i="21"/>
  <c r="Z190" i="21"/>
  <c r="Z194" i="21"/>
  <c r="Z198" i="21"/>
  <c r="Z202" i="21"/>
  <c r="Z206" i="21"/>
  <c r="Z210" i="21"/>
  <c r="Z214" i="21"/>
  <c r="Z218" i="21"/>
  <c r="Z222" i="21"/>
  <c r="Z226" i="21"/>
  <c r="Z230" i="21"/>
  <c r="Z234" i="21"/>
  <c r="Z238" i="21"/>
  <c r="Z242" i="21"/>
  <c r="Z246" i="21"/>
  <c r="Z250" i="21"/>
  <c r="Z254" i="21"/>
  <c r="Z258" i="21"/>
  <c r="Z262" i="21"/>
  <c r="Z266" i="21"/>
  <c r="Z270" i="21"/>
  <c r="Z274" i="21"/>
  <c r="Z278" i="21"/>
  <c r="Z282" i="21"/>
  <c r="Z286" i="21"/>
  <c r="Z290" i="21"/>
  <c r="Z294" i="21"/>
  <c r="Z298" i="21"/>
  <c r="Z302" i="21"/>
  <c r="Z306" i="21"/>
  <c r="Z310" i="21"/>
  <c r="Z314" i="21"/>
  <c r="Z318" i="21"/>
  <c r="Z322" i="21"/>
  <c r="Z326" i="21"/>
  <c r="Z330" i="21"/>
  <c r="Z334" i="21"/>
  <c r="Z338" i="21"/>
  <c r="Z342" i="21"/>
  <c r="Z346" i="21"/>
  <c r="Z350" i="21"/>
  <c r="Z354" i="21"/>
  <c r="Z360" i="21"/>
  <c r="Z363" i="21"/>
  <c r="Z365" i="21"/>
  <c r="Z367" i="21"/>
  <c r="Z369" i="21"/>
  <c r="Z371" i="21"/>
  <c r="Z373" i="21"/>
  <c r="Z375" i="21"/>
  <c r="Z377" i="21"/>
  <c r="Z379" i="21"/>
  <c r="Z381" i="21"/>
  <c r="Z383" i="21"/>
  <c r="Z385" i="21"/>
  <c r="Z387" i="21"/>
  <c r="Z389" i="21"/>
  <c r="Z391" i="21"/>
  <c r="Z397" i="21"/>
  <c r="Z405" i="21"/>
  <c r="Z413" i="21"/>
  <c r="Z421" i="21"/>
  <c r="Z429" i="21"/>
  <c r="Z437" i="21"/>
  <c r="Z445" i="21"/>
  <c r="Z453" i="21"/>
  <c r="Z461" i="21"/>
  <c r="Z469" i="21"/>
  <c r="Z477" i="21"/>
  <c r="Z485" i="21"/>
  <c r="Z95" i="21"/>
  <c r="Z107" i="21"/>
  <c r="Z111" i="21"/>
  <c r="Z97" i="21"/>
  <c r="Z101" i="21"/>
  <c r="Z105" i="21"/>
  <c r="Z109" i="21"/>
  <c r="Z113" i="21"/>
  <c r="Z117" i="21"/>
  <c r="Z121" i="21"/>
  <c r="Z125" i="21"/>
  <c r="Z129" i="21"/>
  <c r="Z133" i="21"/>
  <c r="Z137" i="21"/>
  <c r="Z141" i="21"/>
  <c r="Z145" i="21"/>
  <c r="Z149" i="21"/>
  <c r="Z153" i="21"/>
  <c r="Z157" i="21"/>
  <c r="Z161" i="21"/>
  <c r="Z165" i="21"/>
  <c r="Z169" i="21"/>
  <c r="Z173" i="21"/>
  <c r="Z177" i="21"/>
  <c r="Z181" i="21"/>
  <c r="Z185" i="21"/>
  <c r="Z189" i="21"/>
  <c r="Z193" i="21"/>
  <c r="Z197" i="21"/>
  <c r="Z201" i="21"/>
  <c r="Z205" i="21"/>
  <c r="Z209" i="21"/>
  <c r="Z213" i="21"/>
  <c r="Z217" i="21"/>
  <c r="Z221" i="21"/>
  <c r="Z225" i="21"/>
  <c r="Z229" i="21"/>
  <c r="Z233" i="21"/>
  <c r="Z237" i="21"/>
  <c r="Z241" i="21"/>
  <c r="Z245" i="21"/>
  <c r="Z249" i="21"/>
  <c r="Z253" i="21"/>
  <c r="Z257" i="21"/>
  <c r="Z261" i="21"/>
  <c r="Z265" i="21"/>
  <c r="Z269" i="21"/>
  <c r="Z273" i="21"/>
  <c r="Z277" i="21"/>
  <c r="Z281" i="21"/>
  <c r="Z285" i="21"/>
  <c r="Z289" i="21"/>
  <c r="Z293" i="21"/>
  <c r="Z297" i="21"/>
  <c r="Z301" i="21"/>
  <c r="Z305" i="21"/>
  <c r="Z309" i="21"/>
  <c r="Z313" i="21"/>
  <c r="Z317" i="21"/>
  <c r="Z321" i="21"/>
  <c r="Z325" i="21"/>
  <c r="Z329" i="21"/>
  <c r="Z333" i="21"/>
  <c r="Z337" i="21"/>
  <c r="Z341" i="21"/>
  <c r="Z345" i="21"/>
  <c r="Z349" i="21"/>
  <c r="Z353" i="21"/>
  <c r="Z361" i="21"/>
  <c r="Z497" i="21"/>
  <c r="Z505" i="21"/>
  <c r="Z513" i="21"/>
  <c r="Z521" i="21"/>
  <c r="Z529" i="21"/>
  <c r="Z537" i="21"/>
  <c r="Z545" i="21"/>
  <c r="Z553" i="21"/>
  <c r="Z561" i="21"/>
  <c r="Z569" i="21"/>
  <c r="Z577" i="21"/>
  <c r="Z585" i="21"/>
  <c r="Z593" i="21"/>
  <c r="Z601" i="21"/>
  <c r="Z609" i="21"/>
  <c r="Z617" i="21"/>
  <c r="Z625" i="21"/>
  <c r="Z633" i="21"/>
  <c r="Z641" i="21"/>
  <c r="Z649" i="21"/>
  <c r="Z658" i="21"/>
  <c r="G99" i="20" a="1"/>
  <c r="G99" i="20" s="1"/>
  <c r="G103" i="20" s="1"/>
  <c r="BS116" i="20"/>
  <c r="BR116" i="20"/>
  <c r="BQ116" i="20"/>
  <c r="BP280" i="20"/>
  <c r="BP279" i="20"/>
  <c r="BP278" i="20"/>
  <c r="BP277" i="20"/>
  <c r="BP276" i="20"/>
  <c r="BP275" i="20"/>
  <c r="BP274" i="20"/>
  <c r="BP273" i="20"/>
  <c r="BP272" i="20"/>
  <c r="BP271" i="20"/>
  <c r="BP270" i="20"/>
  <c r="BP269" i="20"/>
  <c r="BP268" i="20"/>
  <c r="BP267" i="20"/>
  <c r="BP266" i="20"/>
  <c r="BP265" i="20"/>
  <c r="BP264" i="20"/>
  <c r="BP263" i="20"/>
  <c r="BP262" i="20"/>
  <c r="BP261" i="20"/>
  <c r="BP260" i="20"/>
  <c r="BP259" i="20"/>
  <c r="BP258" i="20"/>
  <c r="BP257" i="20"/>
  <c r="BP256" i="20"/>
  <c r="BP255" i="20"/>
  <c r="BP254" i="20"/>
  <c r="BP253" i="20"/>
  <c r="BP252" i="20"/>
  <c r="BP251" i="20"/>
  <c r="BP250" i="20"/>
  <c r="BP249" i="20"/>
  <c r="BP248" i="20"/>
  <c r="BP247" i="20"/>
  <c r="BP246" i="20"/>
  <c r="BP245" i="20"/>
  <c r="BP244" i="20"/>
  <c r="BP243" i="20"/>
  <c r="BP242" i="20"/>
  <c r="BP241" i="20"/>
  <c r="BP240" i="20"/>
  <c r="BP239" i="20"/>
  <c r="BP238" i="20"/>
  <c r="BP237" i="20"/>
  <c r="BP236" i="20"/>
  <c r="BP235" i="20"/>
  <c r="BP234" i="20"/>
  <c r="BP233" i="20"/>
  <c r="BP232" i="20"/>
  <c r="BP231" i="20"/>
  <c r="BP230" i="20"/>
  <c r="BP229" i="20"/>
  <c r="BP228" i="20"/>
  <c r="BP227" i="20"/>
  <c r="BP226" i="20"/>
  <c r="BP225" i="20"/>
  <c r="BP224" i="20"/>
  <c r="BP223" i="20"/>
  <c r="BP222" i="20"/>
  <c r="BP221" i="20"/>
  <c r="BP220" i="20"/>
  <c r="BP219" i="20"/>
  <c r="BP218" i="20"/>
  <c r="BP217" i="20"/>
  <c r="BP216" i="20"/>
  <c r="BP215" i="20"/>
  <c r="BP214" i="20"/>
  <c r="BP213" i="20"/>
  <c r="BP212" i="20"/>
  <c r="BP211" i="20"/>
  <c r="BP210" i="20"/>
  <c r="BP209" i="20"/>
  <c r="BP208" i="20"/>
  <c r="BP207" i="20"/>
  <c r="BP206" i="20"/>
  <c r="BP205" i="20"/>
  <c r="BP204" i="20"/>
  <c r="BP203" i="20"/>
  <c r="BP202" i="20"/>
  <c r="BP201" i="20"/>
  <c r="BP200" i="20"/>
  <c r="BP199" i="20"/>
  <c r="BP198" i="20"/>
  <c r="BP197" i="20"/>
  <c r="BP196" i="20"/>
  <c r="BP195" i="20"/>
  <c r="BP194" i="20"/>
  <c r="BP193" i="20"/>
  <c r="BP192" i="20"/>
  <c r="BP191" i="20"/>
  <c r="BP190" i="20"/>
  <c r="BP189" i="20"/>
  <c r="BP188" i="20"/>
  <c r="BP187" i="20"/>
  <c r="BP186" i="20"/>
  <c r="BP185" i="20"/>
  <c r="BP184" i="20"/>
  <c r="BP183" i="20"/>
  <c r="BP182" i="20"/>
  <c r="BP181" i="20"/>
  <c r="BP180" i="20"/>
  <c r="BP179" i="20"/>
  <c r="BP178" i="20"/>
  <c r="BP177" i="20"/>
  <c r="BP176" i="20"/>
  <c r="BP175" i="20"/>
  <c r="BP174" i="20"/>
  <c r="BP173" i="20"/>
  <c r="BP172" i="20"/>
  <c r="BP171" i="20"/>
  <c r="BP170" i="20"/>
  <c r="BP169" i="20"/>
  <c r="BP168" i="20"/>
  <c r="BP167" i="20"/>
  <c r="BP166" i="20"/>
  <c r="BP165" i="20"/>
  <c r="BP164" i="20"/>
  <c r="BP163" i="20"/>
  <c r="BP162" i="20"/>
  <c r="BP161" i="20"/>
  <c r="BP160" i="20"/>
  <c r="BP159" i="20"/>
  <c r="BP158" i="20"/>
  <c r="BP157" i="20"/>
  <c r="M157" i="20"/>
  <c r="BP156" i="20"/>
  <c r="BP155" i="20"/>
  <c r="BP154" i="20"/>
  <c r="BP153" i="20"/>
  <c r="M153" i="20"/>
  <c r="M155" i="20" s="1"/>
  <c r="BP152" i="20"/>
  <c r="BP151" i="20"/>
  <c r="BP150" i="20"/>
  <c r="BP149" i="20"/>
  <c r="BP148" i="20"/>
  <c r="G42" i="20"/>
  <c r="BP147" i="20"/>
  <c r="BP146" i="20"/>
  <c r="BP145" i="20"/>
  <c r="G39" i="20"/>
  <c r="BP144" i="20"/>
  <c r="BP143" i="20"/>
  <c r="BP142" i="20"/>
  <c r="G36" i="20"/>
  <c r="BP141" i="20"/>
  <c r="BP140" i="20"/>
  <c r="BP139" i="20"/>
  <c r="BP138" i="20"/>
  <c r="G32" i="20"/>
  <c r="BP137" i="20"/>
  <c r="BP136" i="20"/>
  <c r="BP135" i="20"/>
  <c r="BP134" i="20"/>
  <c r="BP133" i="20"/>
  <c r="G27" i="20"/>
  <c r="BP132" i="20"/>
  <c r="M132" i="20"/>
  <c r="BP131" i="20"/>
  <c r="BP130" i="20"/>
  <c r="G24" i="20"/>
  <c r="BP129" i="20"/>
  <c r="BP128" i="20"/>
  <c r="BP127" i="20"/>
  <c r="BP126" i="20"/>
  <c r="G20" i="20"/>
  <c r="BP125" i="20"/>
  <c r="X125" i="20"/>
  <c r="BP124" i="20"/>
  <c r="BP123" i="20"/>
  <c r="BP122" i="20"/>
  <c r="AA122" i="20"/>
  <c r="AA123" i="20" s="1"/>
  <c r="V122" i="20"/>
  <c r="BP121" i="20"/>
  <c r="BP120" i="20"/>
  <c r="BP119" i="20"/>
  <c r="R119" i="20"/>
  <c r="BU116" i="20"/>
  <c r="BT116" i="20"/>
  <c r="D142" i="18"/>
  <c r="D156" i="18" s="1"/>
  <c r="D103" i="18"/>
  <c r="D118" i="18" s="1"/>
  <c r="K236" i="18"/>
  <c r="D115" i="18" s="1"/>
  <c r="K235" i="18"/>
  <c r="K240" i="18"/>
  <c r="D68" i="18"/>
  <c r="D81" i="18" s="1"/>
  <c r="I195" i="18"/>
  <c r="I194" i="18"/>
  <c r="I193" i="18"/>
  <c r="K182" i="18"/>
  <c r="K177" i="18"/>
  <c r="K254" i="18" s="1"/>
  <c r="D123" i="18" s="1"/>
  <c r="K173" i="18"/>
  <c r="K174" i="18" s="1"/>
  <c r="K176" i="18" s="1"/>
  <c r="K172" i="18"/>
  <c r="K175" i="18" s="1"/>
  <c r="K171" i="18"/>
  <c r="D159" i="17"/>
  <c r="D119" i="17"/>
  <c r="D118" i="17"/>
  <c r="D104" i="17"/>
  <c r="K253" i="17"/>
  <c r="K252" i="17"/>
  <c r="K251" i="17"/>
  <c r="K249" i="17"/>
  <c r="K248" i="17"/>
  <c r="D79" i="17"/>
  <c r="K225" i="17"/>
  <c r="K226" i="17" s="1"/>
  <c r="K227" i="17" s="1"/>
  <c r="D67" i="17"/>
  <c r="K186" i="17"/>
  <c r="D125" i="17" s="1"/>
  <c r="K183" i="17"/>
  <c r="K185" i="17" s="1"/>
  <c r="K181" i="17"/>
  <c r="K184" i="17" s="1"/>
  <c r="K189" i="17" s="1"/>
  <c r="K180" i="17"/>
  <c r="D156" i="16"/>
  <c r="D116" i="16"/>
  <c r="D115" i="16"/>
  <c r="I246" i="16"/>
  <c r="I245" i="16"/>
  <c r="I244" i="16"/>
  <c r="I243" i="16"/>
  <c r="I241" i="16"/>
  <c r="I240" i="16"/>
  <c r="D78" i="16"/>
  <c r="I217" i="16"/>
  <c r="I180" i="16"/>
  <c r="D122" i="16" s="1"/>
  <c r="I177" i="16"/>
  <c r="I179" i="16" s="1"/>
  <c r="I175" i="16"/>
  <c r="I178" i="16" s="1"/>
  <c r="I174" i="16"/>
  <c r="K239" i="18"/>
  <c r="D116" i="18" s="1"/>
  <c r="K238" i="18"/>
  <c r="K241" i="18"/>
  <c r="D155" i="18" s="1"/>
  <c r="D80" i="18"/>
  <c r="X77" i="13"/>
  <c r="X78" i="13"/>
  <c r="S77" i="13"/>
  <c r="T77" i="13"/>
  <c r="S78" i="13"/>
  <c r="T78" i="13"/>
  <c r="S79" i="13"/>
  <c r="T79" i="13"/>
  <c r="S80" i="13"/>
  <c r="T80" i="13"/>
  <c r="S81" i="13"/>
  <c r="T81" i="13"/>
  <c r="S82" i="13"/>
  <c r="T82" i="13"/>
  <c r="S83" i="13"/>
  <c r="T83" i="13"/>
  <c r="S84" i="13"/>
  <c r="T84" i="13"/>
  <c r="S85" i="13"/>
  <c r="T85" i="13"/>
  <c r="S86" i="13"/>
  <c r="T86" i="13"/>
  <c r="S87" i="13"/>
  <c r="T87" i="13"/>
  <c r="S88" i="13"/>
  <c r="T88" i="13"/>
  <c r="S89" i="13"/>
  <c r="T89" i="13"/>
  <c r="S90" i="13"/>
  <c r="T90" i="13"/>
  <c r="S91" i="13"/>
  <c r="T91" i="13"/>
  <c r="S92" i="13"/>
  <c r="T92" i="13"/>
  <c r="S93" i="13"/>
  <c r="T93" i="13"/>
  <c r="S94" i="13"/>
  <c r="T94" i="13"/>
  <c r="S95" i="13"/>
  <c r="T95" i="13"/>
  <c r="S96" i="13"/>
  <c r="T96" i="13"/>
  <c r="S97" i="13"/>
  <c r="T97" i="13"/>
  <c r="S98" i="13"/>
  <c r="T98" i="13"/>
  <c r="S99" i="13"/>
  <c r="T99" i="13"/>
  <c r="S100" i="13"/>
  <c r="T100" i="13"/>
  <c r="S101" i="13"/>
  <c r="T101" i="13"/>
  <c r="S102" i="13"/>
  <c r="D45" i="13"/>
  <c r="T102" i="13"/>
  <c r="S103" i="13"/>
  <c r="T103" i="13"/>
  <c r="S104" i="13"/>
  <c r="T104" i="13"/>
  <c r="S105" i="13"/>
  <c r="T105" i="13"/>
  <c r="S106" i="13"/>
  <c r="T106" i="13"/>
  <c r="S107" i="13"/>
  <c r="T107" i="13"/>
  <c r="S108" i="13"/>
  <c r="T108" i="13"/>
  <c r="Q109" i="13"/>
  <c r="R109" i="13"/>
  <c r="Q110" i="13"/>
  <c r="R110" i="13"/>
  <c r="Q111" i="13"/>
  <c r="R111" i="13"/>
  <c r="Q112" i="13"/>
  <c r="R112" i="13"/>
  <c r="Q113" i="13"/>
  <c r="R113" i="13"/>
  <c r="Q114" i="13"/>
  <c r="R114" i="13"/>
  <c r="Q115" i="13"/>
  <c r="R115" i="13"/>
  <c r="Q116" i="13"/>
  <c r="R116" i="13"/>
  <c r="Q117" i="13"/>
  <c r="R117" i="13"/>
  <c r="Q118" i="13"/>
  <c r="R118" i="13"/>
  <c r="Q119" i="13"/>
  <c r="R119" i="13"/>
  <c r="Q120" i="13"/>
  <c r="R120" i="13"/>
  <c r="Q121" i="13"/>
  <c r="R121" i="13"/>
  <c r="Q122" i="13"/>
  <c r="R122" i="13"/>
  <c r="Q123" i="13"/>
  <c r="R123" i="13"/>
  <c r="Q124" i="13"/>
  <c r="R124" i="13"/>
  <c r="Q125" i="13"/>
  <c r="R125" i="13"/>
  <c r="Q126" i="13"/>
  <c r="R126" i="13"/>
  <c r="Q127" i="13"/>
  <c r="R127" i="13"/>
  <c r="Q128" i="13"/>
  <c r="R128" i="13"/>
  <c r="D60" i="13"/>
  <c r="T79" i="10"/>
  <c r="D65" i="10" s="1"/>
  <c r="D66" i="10" s="1"/>
  <c r="P80" i="10"/>
  <c r="Q80" i="10" s="1"/>
  <c r="P81" i="10"/>
  <c r="Q81" i="10" s="1"/>
  <c r="P82" i="10"/>
  <c r="Q82" i="10" s="1"/>
  <c r="P83" i="10"/>
  <c r="Q83" i="10" s="1"/>
  <c r="P84" i="10"/>
  <c r="Q84" i="10" s="1"/>
  <c r="P85" i="10"/>
  <c r="Q85" i="10" s="1"/>
  <c r="P86" i="10"/>
  <c r="Q86" i="10" s="1"/>
  <c r="P87" i="10"/>
  <c r="Q87" i="10" s="1"/>
  <c r="P88" i="10"/>
  <c r="Q88" i="10" s="1"/>
  <c r="P89" i="10"/>
  <c r="Q89" i="10" s="1"/>
  <c r="D52" i="6"/>
  <c r="W66" i="6"/>
  <c r="W67" i="6"/>
  <c r="R66" i="6"/>
  <c r="S66" i="6"/>
  <c r="R67" i="6"/>
  <c r="S67" i="6"/>
  <c r="R68" i="6"/>
  <c r="S68" i="6"/>
  <c r="R69" i="6"/>
  <c r="S69" i="6"/>
  <c r="R70" i="6"/>
  <c r="S70" i="6"/>
  <c r="R71" i="6"/>
  <c r="S71" i="6"/>
  <c r="R72" i="6"/>
  <c r="S72" i="6"/>
  <c r="R73" i="6"/>
  <c r="S73" i="6"/>
  <c r="R74" i="6"/>
  <c r="S74" i="6"/>
  <c r="R75" i="6"/>
  <c r="S75" i="6"/>
  <c r="R76" i="6"/>
  <c r="S76" i="6"/>
  <c r="R77" i="6"/>
  <c r="S77" i="6"/>
  <c r="R78" i="6"/>
  <c r="S78" i="6"/>
  <c r="R79" i="6"/>
  <c r="S79" i="6"/>
  <c r="R80" i="6"/>
  <c r="S80" i="6"/>
  <c r="R81" i="6"/>
  <c r="S81" i="6"/>
  <c r="R82" i="6"/>
  <c r="S82" i="6"/>
  <c r="R83" i="6"/>
  <c r="S83" i="6"/>
  <c r="R84" i="6"/>
  <c r="S84" i="6"/>
  <c r="R85" i="6"/>
  <c r="S85" i="6"/>
  <c r="R86" i="6"/>
  <c r="S86" i="6"/>
  <c r="R87" i="6"/>
  <c r="S87" i="6"/>
  <c r="R88" i="6"/>
  <c r="S88" i="6"/>
  <c r="R89" i="6"/>
  <c r="S89" i="6"/>
  <c r="R90" i="6"/>
  <c r="S90" i="6"/>
  <c r="R91" i="6"/>
  <c r="S91" i="6"/>
  <c r="R92" i="6"/>
  <c r="S92" i="6"/>
  <c r="R93" i="6"/>
  <c r="S93" i="6"/>
  <c r="R94" i="6"/>
  <c r="S94" i="6"/>
  <c r="R95" i="6"/>
  <c r="S95" i="6"/>
  <c r="R96" i="6"/>
  <c r="S96" i="6"/>
  <c r="R97" i="6"/>
  <c r="S97" i="6"/>
  <c r="P98" i="6"/>
  <c r="Q98" i="6"/>
  <c r="P99" i="6"/>
  <c r="Q99" i="6"/>
  <c r="P100" i="6"/>
  <c r="Q100" i="6"/>
  <c r="P101" i="6"/>
  <c r="Q101" i="6"/>
  <c r="P102" i="6"/>
  <c r="Q102" i="6"/>
  <c r="P103" i="6"/>
  <c r="Q103" i="6"/>
  <c r="P104" i="6"/>
  <c r="Q104" i="6"/>
  <c r="P105" i="6"/>
  <c r="Q105" i="6"/>
  <c r="P106" i="6"/>
  <c r="Q106" i="6"/>
  <c r="P107" i="6"/>
  <c r="Q107" i="6"/>
  <c r="P108" i="6"/>
  <c r="Q108" i="6"/>
  <c r="P109" i="6"/>
  <c r="Q109" i="6"/>
  <c r="P110" i="6"/>
  <c r="Q110" i="6"/>
  <c r="P111" i="6"/>
  <c r="Q111" i="6"/>
  <c r="P112" i="6"/>
  <c r="Q112" i="6"/>
  <c r="P113" i="6"/>
  <c r="Q113" i="6"/>
  <c r="P114" i="6"/>
  <c r="Q114" i="6"/>
  <c r="P115" i="6"/>
  <c r="Q115" i="6"/>
  <c r="P116" i="6"/>
  <c r="Q116" i="6"/>
  <c r="P117" i="6"/>
  <c r="Q117" i="6"/>
  <c r="X65" i="3"/>
  <c r="T65" i="3"/>
  <c r="U65" i="3"/>
  <c r="T66" i="3"/>
  <c r="U66" i="3"/>
  <c r="T67" i="3"/>
  <c r="U67" i="3"/>
  <c r="T68" i="3"/>
  <c r="U68" i="3"/>
  <c r="T69" i="3"/>
  <c r="U69" i="3"/>
  <c r="T70" i="3"/>
  <c r="U70" i="3"/>
  <c r="T71" i="3"/>
  <c r="U71" i="3"/>
  <c r="T72" i="3"/>
  <c r="U72" i="3"/>
  <c r="T73" i="3"/>
  <c r="U73" i="3"/>
  <c r="T74" i="3"/>
  <c r="U74" i="3"/>
  <c r="T75" i="3"/>
  <c r="U75" i="3"/>
  <c r="T76" i="3"/>
  <c r="U76" i="3"/>
  <c r="T77" i="3"/>
  <c r="U77" i="3"/>
  <c r="T78" i="3"/>
  <c r="U78" i="3"/>
  <c r="T79" i="3"/>
  <c r="U79" i="3"/>
  <c r="T80" i="3"/>
  <c r="U80" i="3"/>
  <c r="T81" i="3"/>
  <c r="U81" i="3"/>
  <c r="T82" i="3"/>
  <c r="U82" i="3"/>
  <c r="T83" i="3"/>
  <c r="U83" i="3"/>
  <c r="T84" i="3"/>
  <c r="U84" i="3"/>
  <c r="T85" i="3"/>
  <c r="U85" i="3"/>
  <c r="T86" i="3"/>
  <c r="U86" i="3"/>
  <c r="T87" i="3"/>
  <c r="U87" i="3"/>
  <c r="T88" i="3"/>
  <c r="U88" i="3"/>
  <c r="T89" i="3"/>
  <c r="U89" i="3"/>
  <c r="T90" i="3"/>
  <c r="U90" i="3"/>
  <c r="T91" i="3"/>
  <c r="U91" i="3"/>
  <c r="T92" i="3"/>
  <c r="U92" i="3"/>
  <c r="T93" i="3"/>
  <c r="U93" i="3"/>
  <c r="T94" i="3"/>
  <c r="U94" i="3"/>
  <c r="T95" i="3"/>
  <c r="U95" i="3"/>
  <c r="T96" i="3"/>
  <c r="U96" i="3"/>
  <c r="R97" i="3"/>
  <c r="S97" i="3"/>
  <c r="R98" i="3"/>
  <c r="S98" i="3"/>
  <c r="R99" i="3"/>
  <c r="S99" i="3"/>
  <c r="R100" i="3"/>
  <c r="S100" i="3"/>
  <c r="R101" i="3"/>
  <c r="S101" i="3"/>
  <c r="R102" i="3"/>
  <c r="S102" i="3"/>
  <c r="R103" i="3"/>
  <c r="S103" i="3"/>
  <c r="R104" i="3"/>
  <c r="S104" i="3"/>
  <c r="R105" i="3"/>
  <c r="S105" i="3"/>
  <c r="R106" i="3"/>
  <c r="S106" i="3"/>
  <c r="R107" i="3"/>
  <c r="S107" i="3"/>
  <c r="R108" i="3"/>
  <c r="S108" i="3"/>
  <c r="R109" i="3"/>
  <c r="S109" i="3"/>
  <c r="R110" i="3"/>
  <c r="S110" i="3"/>
  <c r="R111" i="3"/>
  <c r="S111" i="3"/>
  <c r="R112" i="3"/>
  <c r="S112" i="3"/>
  <c r="R113" i="3"/>
  <c r="S113" i="3"/>
  <c r="R114" i="3"/>
  <c r="S114" i="3"/>
  <c r="R115" i="3"/>
  <c r="S115" i="3"/>
  <c r="R116" i="3"/>
  <c r="S116" i="3"/>
  <c r="D49" i="3"/>
  <c r="D38" i="28"/>
  <c r="D123" i="28"/>
  <c r="K229" i="28" l="1"/>
  <c r="D150" i="28"/>
  <c r="K187" i="17"/>
  <c r="K188" i="17" s="1"/>
  <c r="K266" i="17"/>
  <c r="D126" i="17"/>
  <c r="K265" i="17"/>
  <c r="K267" i="17"/>
  <c r="D85" i="17"/>
  <c r="D164" i="17"/>
  <c r="K252" i="18"/>
  <c r="D85" i="18" s="1"/>
  <c r="K242" i="18"/>
  <c r="D119" i="18"/>
  <c r="K178" i="18"/>
  <c r="K179" i="18" s="1"/>
  <c r="D79" i="18"/>
  <c r="K180" i="18"/>
  <c r="K181" i="18"/>
  <c r="K186" i="18" s="1"/>
  <c r="K184" i="18"/>
  <c r="K183" i="18"/>
  <c r="K255" i="18"/>
  <c r="D159" i="18" s="1"/>
  <c r="K244" i="18"/>
  <c r="K245" i="18"/>
  <c r="K253" i="18"/>
  <c r="D122" i="18" s="1"/>
  <c r="D117" i="18"/>
  <c r="K255" i="17"/>
  <c r="D154" i="18"/>
  <c r="K259" i="18"/>
  <c r="K243" i="18"/>
  <c r="K254" i="17"/>
  <c r="D160" i="17" s="1"/>
  <c r="K268" i="17"/>
  <c r="K272" i="17" s="1"/>
  <c r="D166" i="17" s="1"/>
  <c r="E166" i="17" s="1"/>
  <c r="K257" i="17"/>
  <c r="BV116" i="20"/>
  <c r="BM117" i="20" s="1"/>
  <c r="K237" i="18"/>
  <c r="K250" i="17"/>
  <c r="K262" i="17" s="1"/>
  <c r="D143" i="16"/>
  <c r="D157" i="16" s="1"/>
  <c r="D102" i="16"/>
  <c r="D118" i="16" s="1"/>
  <c r="D158" i="17"/>
  <c r="D114" i="16"/>
  <c r="D130" i="28"/>
  <c r="K256" i="17"/>
  <c r="D80" i="17"/>
  <c r="D120" i="17"/>
  <c r="I183" i="16"/>
  <c r="I184" i="16"/>
  <c r="I189" i="16" s="1"/>
  <c r="I242" i="16"/>
  <c r="I253" i="16" s="1"/>
  <c r="D77" i="16"/>
  <c r="D121" i="17"/>
  <c r="K190" i="17"/>
  <c r="K195" i="17" s="1"/>
  <c r="D78" i="17"/>
  <c r="D117" i="17"/>
  <c r="D55" i="10"/>
  <c r="D54" i="10"/>
  <c r="D53" i="10"/>
  <c r="D52" i="10"/>
  <c r="AA94" i="21"/>
  <c r="AB94" i="21" s="1"/>
  <c r="X94" i="21"/>
  <c r="Y94" i="21" s="1"/>
  <c r="I250" i="16"/>
  <c r="D61" i="13"/>
  <c r="D62" i="13" s="1"/>
  <c r="D50" i="3"/>
  <c r="K192" i="17"/>
  <c r="D147" i="17" s="1"/>
  <c r="K270" i="17"/>
  <c r="D127" i="17" s="1"/>
  <c r="K193" i="17"/>
  <c r="K191" i="28"/>
  <c r="K192" i="28" s="1"/>
  <c r="D89" i="28"/>
  <c r="K252" i="28"/>
  <c r="K194" i="28"/>
  <c r="K193" i="28"/>
  <c r="D162" i="28"/>
  <c r="D82" i="28"/>
  <c r="D121" i="28"/>
  <c r="K268" i="28"/>
  <c r="K272" i="28" s="1"/>
  <c r="K267" i="28"/>
  <c r="K270" i="28"/>
  <c r="D129" i="28"/>
  <c r="K230" i="28"/>
  <c r="K231" i="28" s="1"/>
  <c r="K269" i="28"/>
  <c r="K255" i="28"/>
  <c r="K256" i="28"/>
  <c r="K254" i="28"/>
  <c r="D83" i="28"/>
  <c r="D168" i="28"/>
  <c r="K253" i="28"/>
  <c r="K197" i="28"/>
  <c r="K196" i="28"/>
  <c r="K48" i="6"/>
  <c r="D83" i="16"/>
  <c r="D123" i="16"/>
  <c r="D79" i="16"/>
  <c r="I257" i="16"/>
  <c r="I259" i="16"/>
  <c r="I260" i="16"/>
  <c r="I247" i="16"/>
  <c r="I258" i="16"/>
  <c r="D161" i="16"/>
  <c r="I181" i="16"/>
  <c r="I182" i="16" s="1"/>
  <c r="D155" i="16"/>
  <c r="K39" i="22"/>
  <c r="K40" i="22" s="1"/>
  <c r="D48" i="13"/>
  <c r="D50" i="13" s="1"/>
  <c r="E50" i="13" s="1"/>
  <c r="I187" i="16"/>
  <c r="I186" i="16"/>
  <c r="K199" i="28" l="1"/>
  <c r="J280" i="28"/>
  <c r="K269" i="17"/>
  <c r="K271" i="17"/>
  <c r="D128" i="17" s="1"/>
  <c r="I248" i="16"/>
  <c r="D117" i="16"/>
  <c r="I249" i="16"/>
  <c r="K249" i="16" s="1"/>
  <c r="E161" i="17"/>
  <c r="E122" i="17"/>
  <c r="K264" i="17"/>
  <c r="D162" i="17" s="1"/>
  <c r="K258" i="18"/>
  <c r="D125" i="18" s="1"/>
  <c r="K258" i="17"/>
  <c r="M258" i="17" s="1"/>
  <c r="K256" i="18"/>
  <c r="D86" i="18" s="1"/>
  <c r="M256" i="17"/>
  <c r="K250" i="18"/>
  <c r="K248" i="18"/>
  <c r="D82" i="18" s="1"/>
  <c r="M244" i="18"/>
  <c r="K251" i="18"/>
  <c r="D157" i="18" s="1"/>
  <c r="M242" i="18"/>
  <c r="E120" i="18"/>
  <c r="E82" i="18"/>
  <c r="K249" i="18"/>
  <c r="D120" i="18" s="1"/>
  <c r="M243" i="18"/>
  <c r="E157" i="18"/>
  <c r="M245" i="18"/>
  <c r="D87" i="18"/>
  <c r="E87" i="18" s="1"/>
  <c r="M255" i="17"/>
  <c r="M257" i="17"/>
  <c r="K257" i="18"/>
  <c r="D161" i="18"/>
  <c r="E161" i="18" s="1"/>
  <c r="D160" i="18"/>
  <c r="E81" i="17"/>
  <c r="D143" i="18"/>
  <c r="D144" i="18"/>
  <c r="D145" i="18" s="1"/>
  <c r="K263" i="17"/>
  <c r="D122" i="17" s="1"/>
  <c r="D105" i="18"/>
  <c r="D106" i="18" s="1"/>
  <c r="D69" i="18"/>
  <c r="D104" i="18"/>
  <c r="D70" i="18"/>
  <c r="D71" i="18" s="1"/>
  <c r="K261" i="17"/>
  <c r="D82" i="17" s="1"/>
  <c r="K248" i="16"/>
  <c r="I256" i="16"/>
  <c r="D159" i="16" s="1"/>
  <c r="I254" i="16"/>
  <c r="K250" i="16"/>
  <c r="I255" i="16"/>
  <c r="K247" i="16"/>
  <c r="D123" i="17"/>
  <c r="K56" i="10"/>
  <c r="K60" i="10" s="1"/>
  <c r="K62" i="10" s="1"/>
  <c r="N95" i="21"/>
  <c r="K273" i="28"/>
  <c r="D132" i="28" s="1"/>
  <c r="D54" i="6"/>
  <c r="K49" i="6"/>
  <c r="K44" i="3"/>
  <c r="K46" i="3" s="1"/>
  <c r="D51" i="3"/>
  <c r="D52" i="3" s="1"/>
  <c r="D105" i="17"/>
  <c r="D148" i="17"/>
  <c r="D149" i="17" s="1"/>
  <c r="D150" i="17" s="1"/>
  <c r="E150" i="17" s="1"/>
  <c r="D129" i="17"/>
  <c r="E129" i="17" s="1"/>
  <c r="D130" i="17"/>
  <c r="D68" i="17"/>
  <c r="D167" i="17"/>
  <c r="D165" i="17"/>
  <c r="D69" i="17"/>
  <c r="D106" i="17"/>
  <c r="D88" i="17"/>
  <c r="D86" i="17"/>
  <c r="D87" i="17"/>
  <c r="E87" i="17" s="1"/>
  <c r="K274" i="28"/>
  <c r="D169" i="28" s="1"/>
  <c r="K271" i="28"/>
  <c r="D92" i="28" s="1"/>
  <c r="D84" i="28"/>
  <c r="K263" i="28"/>
  <c r="K257" i="28"/>
  <c r="K258" i="28"/>
  <c r="M258" i="28" s="1"/>
  <c r="D124" i="28"/>
  <c r="K264" i="28"/>
  <c r="D122" i="28"/>
  <c r="D163" i="28"/>
  <c r="K266" i="28"/>
  <c r="K260" i="28"/>
  <c r="M260" i="28" s="1"/>
  <c r="D164" i="28"/>
  <c r="K259" i="28"/>
  <c r="M259" i="28" s="1"/>
  <c r="K265" i="28"/>
  <c r="D125" i="28"/>
  <c r="D131" i="28"/>
  <c r="K289" i="28"/>
  <c r="K285" i="28"/>
  <c r="L286" i="28"/>
  <c r="L289" i="28"/>
  <c r="K287" i="28"/>
  <c r="K288" i="28"/>
  <c r="L285" i="28"/>
  <c r="L288" i="28"/>
  <c r="L287" i="28"/>
  <c r="L284" i="28"/>
  <c r="K284" i="28"/>
  <c r="K286" i="28"/>
  <c r="D46" i="22"/>
  <c r="D47" i="22" s="1"/>
  <c r="I263" i="16"/>
  <c r="D125" i="16" s="1"/>
  <c r="E158" i="16"/>
  <c r="E80" i="16"/>
  <c r="I262" i="16"/>
  <c r="D124" i="16" s="1"/>
  <c r="E119" i="16"/>
  <c r="I264" i="16"/>
  <c r="D164" i="16" s="1"/>
  <c r="I261" i="16"/>
  <c r="D85" i="16" s="1"/>
  <c r="E85" i="16" s="1"/>
  <c r="D80" i="16"/>
  <c r="D81" i="16"/>
  <c r="D144" i="16"/>
  <c r="D145" i="16"/>
  <c r="D68" i="16"/>
  <c r="D67" i="16"/>
  <c r="D103" i="16"/>
  <c r="D104" i="16"/>
  <c r="D72" i="28" l="1"/>
  <c r="D73" i="28"/>
  <c r="D152" i="28" s="1"/>
  <c r="D161" i="17"/>
  <c r="D81" i="17"/>
  <c r="D107" i="18"/>
  <c r="E107" i="18" s="1"/>
  <c r="I168" i="18"/>
  <c r="D72" i="18"/>
  <c r="E72" i="18" s="1"/>
  <c r="I167" i="18"/>
  <c r="I169" i="18"/>
  <c r="D146" i="18"/>
  <c r="E146" i="18" s="1"/>
  <c r="D107" i="17"/>
  <c r="I175" i="17" s="1"/>
  <c r="D124" i="18"/>
  <c r="D126" i="18"/>
  <c r="E126" i="18" s="1"/>
  <c r="D119" i="16"/>
  <c r="D134" i="28"/>
  <c r="D120" i="16"/>
  <c r="D158" i="16"/>
  <c r="D67" i="10"/>
  <c r="D68" i="10" s="1"/>
  <c r="A71" i="10" s="1"/>
  <c r="D49" i="22"/>
  <c r="X95" i="21"/>
  <c r="Y95" i="21" s="1"/>
  <c r="AA95" i="21"/>
  <c r="AB95" i="21" s="1"/>
  <c r="D133" i="28"/>
  <c r="E133" i="28" s="1"/>
  <c r="D55" i="6"/>
  <c r="D56" i="6" s="1"/>
  <c r="A55" i="3"/>
  <c r="D151" i="17"/>
  <c r="I176" i="17"/>
  <c r="D70" i="17"/>
  <c r="D71" i="17" s="1"/>
  <c r="E71" i="17" s="1"/>
  <c r="D171" i="28"/>
  <c r="D170" i="28"/>
  <c r="E170" i="28" s="1"/>
  <c r="D90" i="28"/>
  <c r="D91" i="28"/>
  <c r="E91" i="28" s="1"/>
  <c r="E126" i="28"/>
  <c r="E165" i="28"/>
  <c r="M257" i="28"/>
  <c r="E85" i="28"/>
  <c r="D126" i="28"/>
  <c r="D127" i="28"/>
  <c r="D86" i="28"/>
  <c r="D85" i="28"/>
  <c r="D166" i="28"/>
  <c r="D165" i="28"/>
  <c r="D151" i="28"/>
  <c r="D109" i="28"/>
  <c r="D126" i="16"/>
  <c r="E126" i="16" s="1"/>
  <c r="D127" i="16"/>
  <c r="D84" i="16"/>
  <c r="D86" i="16"/>
  <c r="D162" i="16"/>
  <c r="D163" i="16"/>
  <c r="E163" i="16" s="1"/>
  <c r="D69" i="16"/>
  <c r="D70" i="16" s="1"/>
  <c r="E70" i="16" s="1"/>
  <c r="D146" i="16"/>
  <c r="G172" i="16" s="1"/>
  <c r="D105" i="16"/>
  <c r="D74" i="28" l="1"/>
  <c r="D76" i="28" s="1"/>
  <c r="D110" i="28"/>
  <c r="D111" i="28" s="1"/>
  <c r="D112" i="28" s="1"/>
  <c r="E112" i="28" s="1"/>
  <c r="D109" i="17"/>
  <c r="D108" i="17"/>
  <c r="E108" i="17" s="1"/>
  <c r="D153" i="28"/>
  <c r="D155" i="28" s="1"/>
  <c r="N96" i="21"/>
  <c r="I174" i="17"/>
  <c r="D72" i="17"/>
  <c r="D75" i="28"/>
  <c r="E75" i="28" s="1"/>
  <c r="I178" i="28"/>
  <c r="G170" i="16"/>
  <c r="D71" i="16"/>
  <c r="D148" i="16"/>
  <c r="D147" i="16"/>
  <c r="E147" i="16" s="1"/>
  <c r="D106" i="16"/>
  <c r="E106" i="16" s="1"/>
  <c r="G171" i="16"/>
  <c r="D107" i="16"/>
  <c r="D154" i="28" l="1"/>
  <c r="E154" i="28" s="1"/>
  <c r="I179" i="28"/>
  <c r="D113" i="28"/>
  <c r="I180" i="28"/>
  <c r="X96" i="21"/>
  <c r="Y96" i="21" s="1"/>
  <c r="AA96" i="21"/>
  <c r="AB96" i="21" s="1"/>
  <c r="N97" i="21" l="1"/>
  <c r="X97" i="21" l="1"/>
  <c r="Y97" i="21" s="1"/>
  <c r="AA97" i="21"/>
  <c r="AB97" i="21" s="1"/>
  <c r="N98" i="21" l="1"/>
  <c r="X98" i="21" l="1"/>
  <c r="Y98" i="21" s="1"/>
  <c r="AA98" i="21"/>
  <c r="AB98" i="21" s="1"/>
  <c r="N99" i="21" l="1"/>
  <c r="X99" i="21" l="1"/>
  <c r="Y99" i="21" s="1"/>
  <c r="AA99" i="21"/>
  <c r="AB99" i="21" s="1"/>
  <c r="N100" i="21" l="1"/>
  <c r="X100" i="21" l="1"/>
  <c r="Y100" i="21" s="1"/>
  <c r="AA100" i="21"/>
  <c r="AB100" i="21" s="1"/>
  <c r="N101" i="21" l="1"/>
  <c r="X101" i="21" l="1"/>
  <c r="Y101" i="21" s="1"/>
  <c r="AA101" i="21"/>
  <c r="AB101" i="21" s="1"/>
  <c r="N102" i="21" l="1"/>
  <c r="AA102" i="21" l="1"/>
  <c r="AB102" i="21" s="1"/>
  <c r="X102" i="21"/>
  <c r="Y102" i="21" s="1"/>
  <c r="N103" i="21" l="1"/>
  <c r="AA103" i="21" l="1"/>
  <c r="AB103" i="21" s="1"/>
  <c r="X103" i="21"/>
  <c r="Y103" i="21" s="1"/>
  <c r="N104" i="21" l="1"/>
  <c r="AA104" i="21" l="1"/>
  <c r="AB104" i="21" s="1"/>
  <c r="X104" i="21"/>
  <c r="Y104" i="21" s="1"/>
  <c r="N105" i="21" l="1"/>
  <c r="AA105" i="21" l="1"/>
  <c r="AB105" i="21" s="1"/>
  <c r="X105" i="21"/>
  <c r="Y105" i="21" s="1"/>
  <c r="N106" i="21" l="1"/>
  <c r="AA106" i="21" l="1"/>
  <c r="AB106" i="21" s="1"/>
  <c r="X106" i="21"/>
  <c r="Y106" i="21" s="1"/>
  <c r="N107" i="21" l="1"/>
  <c r="X107" i="21" l="1"/>
  <c r="Y107" i="21" s="1"/>
  <c r="AA107" i="21"/>
  <c r="AB107" i="21" s="1"/>
  <c r="N108" i="21" l="1"/>
  <c r="AA108" i="21" l="1"/>
  <c r="AB108" i="21" s="1"/>
  <c r="X108" i="21"/>
  <c r="Y108" i="21" s="1"/>
  <c r="N109" i="21" l="1"/>
  <c r="AA109" i="21" l="1"/>
  <c r="AB109" i="21" s="1"/>
  <c r="X109" i="21"/>
  <c r="Y109" i="21" s="1"/>
  <c r="N110" i="21" l="1"/>
  <c r="AA110" i="21" l="1"/>
  <c r="AB110" i="21" s="1"/>
  <c r="X110" i="21"/>
  <c r="Y110" i="21" s="1"/>
  <c r="N111" i="21" l="1"/>
  <c r="X111" i="21" l="1"/>
  <c r="Y111" i="21" s="1"/>
  <c r="AA111" i="21"/>
  <c r="AB111" i="21" s="1"/>
  <c r="N112" i="21" l="1"/>
  <c r="AA112" i="21" l="1"/>
  <c r="AB112" i="21" s="1"/>
  <c r="X112" i="21"/>
  <c r="Y112" i="21" s="1"/>
  <c r="N113" i="21" l="1"/>
  <c r="X113" i="21" l="1"/>
  <c r="Y113" i="21" s="1"/>
  <c r="AA113" i="21"/>
  <c r="AB113" i="21" s="1"/>
  <c r="N114" i="21" l="1"/>
  <c r="AA114" i="21" l="1"/>
  <c r="AB114" i="21" s="1"/>
  <c r="X114" i="21"/>
  <c r="Y114" i="21" s="1"/>
  <c r="N115" i="21" l="1"/>
  <c r="AA115" i="21" l="1"/>
  <c r="AB115" i="21" s="1"/>
  <c r="X115" i="21"/>
  <c r="Y115" i="21" s="1"/>
  <c r="N116" i="21" l="1"/>
  <c r="X116" i="21" l="1"/>
  <c r="Y116" i="21" s="1"/>
  <c r="AA116" i="21"/>
  <c r="AB116" i="21" s="1"/>
  <c r="N117" i="21" l="1"/>
  <c r="X117" i="21" l="1"/>
  <c r="Y117" i="21" s="1"/>
  <c r="AA117" i="21"/>
  <c r="AB117" i="21" s="1"/>
  <c r="N118" i="21" l="1"/>
  <c r="AA118" i="21" l="1"/>
  <c r="AB118" i="21" s="1"/>
  <c r="X118" i="21"/>
  <c r="Y118" i="21" s="1"/>
  <c r="N119" i="21" l="1"/>
  <c r="AA119" i="21" l="1"/>
  <c r="AB119" i="21" s="1"/>
  <c r="X119" i="21"/>
  <c r="Y119" i="21" s="1"/>
  <c r="N120" i="21" l="1"/>
  <c r="AA120" i="21" l="1"/>
  <c r="AB120" i="21" s="1"/>
  <c r="X120" i="21"/>
  <c r="Y120" i="21" s="1"/>
  <c r="N121" i="21" l="1"/>
  <c r="AA121" i="21" l="1"/>
  <c r="AB121" i="21" s="1"/>
  <c r="X121" i="21"/>
  <c r="Y121" i="21" s="1"/>
  <c r="N122" i="21" l="1"/>
  <c r="X122" i="21" l="1"/>
  <c r="Y122" i="21" s="1"/>
  <c r="AA122" i="21"/>
  <c r="AB122" i="21" s="1"/>
  <c r="N123" i="21" l="1"/>
  <c r="AA123" i="21" l="1"/>
  <c r="AB123" i="21" s="1"/>
  <c r="X123" i="21"/>
  <c r="Y123" i="21" s="1"/>
  <c r="N124" i="21" l="1"/>
  <c r="X124" i="21" l="1"/>
  <c r="Y124" i="21" s="1"/>
  <c r="AA124" i="21"/>
  <c r="AB124" i="21" s="1"/>
  <c r="N125" i="21" l="1"/>
  <c r="AA125" i="21" l="1"/>
  <c r="AB125" i="21" s="1"/>
  <c r="X125" i="21"/>
  <c r="Y125" i="21" s="1"/>
  <c r="N126" i="21" l="1"/>
  <c r="X126" i="21" l="1"/>
  <c r="Y126" i="21" s="1"/>
  <c r="AA126" i="21"/>
  <c r="AB126" i="21" s="1"/>
  <c r="N127" i="21" l="1"/>
  <c r="AA127" i="21" l="1"/>
  <c r="AB127" i="21" s="1"/>
  <c r="X127" i="21"/>
  <c r="Y127" i="21" s="1"/>
  <c r="N128" i="21" l="1"/>
  <c r="X128" i="21" l="1"/>
  <c r="Y128" i="21" s="1"/>
  <c r="AA128" i="21"/>
  <c r="AB128" i="21" s="1"/>
  <c r="N129" i="21" l="1"/>
  <c r="AA129" i="21" l="1"/>
  <c r="AB129" i="21" s="1"/>
  <c r="X129" i="21"/>
  <c r="Y129" i="21" s="1"/>
  <c r="N130" i="21" l="1"/>
  <c r="AA130" i="21" l="1"/>
  <c r="AB130" i="21" s="1"/>
  <c r="X130" i="21"/>
  <c r="Y130" i="21" s="1"/>
  <c r="N131" i="21" l="1"/>
  <c r="X131" i="21" l="1"/>
  <c r="Y131" i="21" s="1"/>
  <c r="AA131" i="21"/>
  <c r="AB131" i="21" s="1"/>
  <c r="N132" i="21" l="1"/>
  <c r="X132" i="21" l="1"/>
  <c r="Y132" i="21" s="1"/>
  <c r="AA132" i="21"/>
  <c r="AB132" i="21" s="1"/>
  <c r="N133" i="21" l="1"/>
  <c r="X133" i="21" l="1"/>
  <c r="Y133" i="21" s="1"/>
  <c r="AA133" i="21"/>
  <c r="AB133" i="21" s="1"/>
  <c r="N134" i="21" l="1"/>
  <c r="AA134" i="21" l="1"/>
  <c r="AB134" i="21" s="1"/>
  <c r="X134" i="21"/>
  <c r="Y134" i="21" s="1"/>
  <c r="N135" i="21" l="1"/>
  <c r="AA135" i="21" l="1"/>
  <c r="AB135" i="21" s="1"/>
  <c r="X135" i="21"/>
  <c r="Y135" i="21" s="1"/>
  <c r="N136" i="21" l="1"/>
  <c r="AA136" i="21" l="1"/>
  <c r="AB136" i="21" s="1"/>
  <c r="X136" i="21"/>
  <c r="Y136" i="21" s="1"/>
  <c r="N137" i="21" l="1"/>
  <c r="AA137" i="21" l="1"/>
  <c r="AB137" i="21" s="1"/>
  <c r="X137" i="21"/>
  <c r="Y137" i="21" s="1"/>
  <c r="N138" i="21" l="1"/>
  <c r="X138" i="21" l="1"/>
  <c r="Y138" i="21" s="1"/>
  <c r="AA138" i="21"/>
  <c r="AB138" i="21" s="1"/>
  <c r="N139" i="21" l="1"/>
  <c r="X139" i="21" l="1"/>
  <c r="Y139" i="21" s="1"/>
  <c r="AA139" i="21"/>
  <c r="AB139" i="21" s="1"/>
  <c r="N140" i="21" l="1"/>
  <c r="X140" i="21" l="1"/>
  <c r="Y140" i="21" s="1"/>
  <c r="AA140" i="21"/>
  <c r="AB140" i="21" s="1"/>
  <c r="N141" i="21" l="1"/>
  <c r="X141" i="21" l="1"/>
  <c r="Y141" i="21" s="1"/>
  <c r="AA141" i="21"/>
  <c r="AB141" i="21" s="1"/>
  <c r="N142" i="21" l="1"/>
  <c r="X142" i="21" l="1"/>
  <c r="Y142" i="21" s="1"/>
  <c r="AA142" i="21"/>
  <c r="AB142" i="21" s="1"/>
  <c r="N143" i="21" l="1"/>
  <c r="X143" i="21" l="1"/>
  <c r="Y143" i="21" s="1"/>
  <c r="AA143" i="21"/>
  <c r="AB143" i="21" s="1"/>
  <c r="N144" i="21" l="1"/>
  <c r="X144" i="21" l="1"/>
  <c r="Y144" i="21" s="1"/>
  <c r="AA144" i="21"/>
  <c r="AB144" i="21" s="1"/>
  <c r="N145" i="21" l="1"/>
  <c r="AA145" i="21" l="1"/>
  <c r="AB145" i="21" s="1"/>
  <c r="X145" i="21"/>
  <c r="Y145" i="21" s="1"/>
  <c r="N146" i="21" l="1"/>
  <c r="X146" i="21" l="1"/>
  <c r="Y146" i="21" s="1"/>
  <c r="AA146" i="21"/>
  <c r="AB146" i="21" s="1"/>
  <c r="N147" i="21" l="1"/>
  <c r="X147" i="21" l="1"/>
  <c r="Y147" i="21" s="1"/>
  <c r="AA147" i="21"/>
  <c r="AB147" i="21" s="1"/>
  <c r="N148" i="21" l="1"/>
  <c r="X148" i="21" l="1"/>
  <c r="Y148" i="21" s="1"/>
  <c r="AA148" i="21"/>
  <c r="AB148" i="21" s="1"/>
  <c r="N149" i="21" l="1"/>
  <c r="X149" i="21" l="1"/>
  <c r="Y149" i="21" s="1"/>
  <c r="AA149" i="21"/>
  <c r="AB149" i="21" s="1"/>
  <c r="N150" i="21" l="1"/>
  <c r="AA150" i="21" l="1"/>
  <c r="AB150" i="21" s="1"/>
  <c r="X150" i="21"/>
  <c r="Y150" i="21" s="1"/>
  <c r="N151" i="21" l="1"/>
  <c r="AA151" i="21" l="1"/>
  <c r="AB151" i="21" s="1"/>
  <c r="X151" i="21"/>
  <c r="Y151" i="21" s="1"/>
  <c r="N152" i="21" l="1"/>
  <c r="AA152" i="21" l="1"/>
  <c r="AB152" i="21" s="1"/>
  <c r="X152" i="21"/>
  <c r="Y152" i="21" s="1"/>
  <c r="N153" i="21" l="1"/>
  <c r="AA153" i="21" l="1"/>
  <c r="AB153" i="21" s="1"/>
  <c r="X153" i="21"/>
  <c r="Y153" i="21" s="1"/>
  <c r="N154" i="21" l="1"/>
  <c r="X154" i="21" l="1"/>
  <c r="Y154" i="21" s="1"/>
  <c r="AA154" i="21"/>
  <c r="AB154" i="21" s="1"/>
  <c r="N155" i="21" l="1"/>
  <c r="AA155" i="21" l="1"/>
  <c r="AB155" i="21" s="1"/>
  <c r="X155" i="21"/>
  <c r="Y155" i="21" s="1"/>
  <c r="N156" i="21" l="1"/>
  <c r="X156" i="21" l="1"/>
  <c r="Y156" i="21" s="1"/>
  <c r="AA156" i="21"/>
  <c r="AB156" i="21" s="1"/>
  <c r="N157" i="21" l="1"/>
  <c r="X157" i="21" l="1"/>
  <c r="Y157" i="21" s="1"/>
  <c r="AA157" i="21"/>
  <c r="AB157" i="21" s="1"/>
  <c r="N158" i="21" l="1"/>
  <c r="AA158" i="21" l="1"/>
  <c r="AB158" i="21" s="1"/>
  <c r="X158" i="21"/>
  <c r="Y158" i="21" s="1"/>
  <c r="N159" i="21" l="1"/>
  <c r="X159" i="21" l="1"/>
  <c r="Y159" i="21" s="1"/>
  <c r="AA159" i="21"/>
  <c r="AB159" i="21" s="1"/>
  <c r="N160" i="21" l="1"/>
  <c r="X160" i="21" l="1"/>
  <c r="Y160" i="21" s="1"/>
  <c r="AA160" i="21"/>
  <c r="AB160" i="21" s="1"/>
  <c r="N161" i="21" l="1"/>
  <c r="X161" i="21" l="1"/>
  <c r="Y161" i="21" s="1"/>
  <c r="AA161" i="21"/>
  <c r="AB161" i="21" s="1"/>
  <c r="N162" i="21" l="1"/>
  <c r="AA162" i="21" l="1"/>
  <c r="AB162" i="21" s="1"/>
  <c r="X162" i="21"/>
  <c r="Y162" i="21" s="1"/>
  <c r="N163" i="21" l="1"/>
  <c r="AA163" i="21" l="1"/>
  <c r="AB163" i="21" s="1"/>
  <c r="X163" i="21"/>
  <c r="Y163" i="21" s="1"/>
  <c r="N164" i="21" l="1"/>
  <c r="AA164" i="21" l="1"/>
  <c r="AB164" i="21" s="1"/>
  <c r="X164" i="21"/>
  <c r="Y164" i="21" s="1"/>
  <c r="N165" i="21" l="1"/>
  <c r="AA165" i="21" l="1"/>
  <c r="AB165" i="21" s="1"/>
  <c r="X165" i="21"/>
  <c r="Y165" i="21" s="1"/>
  <c r="N166" i="21" l="1"/>
  <c r="AA166" i="21" l="1"/>
  <c r="AB166" i="21" s="1"/>
  <c r="X166" i="21"/>
  <c r="Y166" i="21" s="1"/>
  <c r="N167" i="21" l="1"/>
  <c r="AA167" i="21" l="1"/>
  <c r="AB167" i="21" s="1"/>
  <c r="X167" i="21"/>
  <c r="Y167" i="21" s="1"/>
  <c r="N168" i="21" l="1"/>
  <c r="X168" i="21" l="1"/>
  <c r="Y168" i="21" s="1"/>
  <c r="AA168" i="21"/>
  <c r="AB168" i="21" s="1"/>
  <c r="N169" i="21" l="1"/>
  <c r="AA169" i="21" l="1"/>
  <c r="AB169" i="21" s="1"/>
  <c r="X169" i="21"/>
  <c r="Y169" i="21" s="1"/>
  <c r="N170" i="21" l="1"/>
  <c r="AA170" i="21" l="1"/>
  <c r="AB170" i="21" s="1"/>
  <c r="X170" i="21"/>
  <c r="Y170" i="21" s="1"/>
  <c r="N171" i="21" l="1"/>
  <c r="AA171" i="21" l="1"/>
  <c r="AB171" i="21" s="1"/>
  <c r="X171" i="21"/>
  <c r="Y171" i="21" s="1"/>
  <c r="N172" i="21" l="1"/>
  <c r="AA172" i="21" l="1"/>
  <c r="AB172" i="21" s="1"/>
  <c r="X172" i="21"/>
  <c r="Y172" i="21" s="1"/>
  <c r="N173" i="21" l="1"/>
  <c r="X173" i="21" l="1"/>
  <c r="Y173" i="21" s="1"/>
  <c r="AA173" i="21"/>
  <c r="AB173" i="21" s="1"/>
  <c r="N174" i="21" l="1"/>
  <c r="X174" i="21" l="1"/>
  <c r="Y174" i="21" s="1"/>
  <c r="AA174" i="21"/>
  <c r="AB174" i="21" s="1"/>
  <c r="N175" i="21" l="1"/>
  <c r="AA175" i="21" l="1"/>
  <c r="AB175" i="21" s="1"/>
  <c r="X175" i="21"/>
  <c r="Y175" i="21" s="1"/>
  <c r="N176" i="21" l="1"/>
  <c r="X176" i="21" l="1"/>
  <c r="Y176" i="21" s="1"/>
  <c r="AA176" i="21"/>
  <c r="AB176" i="21" s="1"/>
  <c r="N177" i="21" l="1"/>
  <c r="X177" i="21" l="1"/>
  <c r="Y177" i="21" s="1"/>
  <c r="AA177" i="21"/>
  <c r="AB177" i="21" s="1"/>
  <c r="N178" i="21" l="1"/>
  <c r="X178" i="21" l="1"/>
  <c r="Y178" i="21" s="1"/>
  <c r="AA178" i="21"/>
  <c r="AB178" i="21" s="1"/>
  <c r="N179" i="21" l="1"/>
  <c r="AA179" i="21" l="1"/>
  <c r="AB179" i="21" s="1"/>
  <c r="X179" i="21"/>
  <c r="Y179" i="21" s="1"/>
  <c r="N180" i="21" l="1"/>
  <c r="AA180" i="21" l="1"/>
  <c r="AB180" i="21" s="1"/>
  <c r="X180" i="21"/>
  <c r="Y180" i="21" s="1"/>
  <c r="N181" i="21" l="1"/>
  <c r="X181" i="21" l="1"/>
  <c r="Y181" i="21" s="1"/>
  <c r="AA181" i="21"/>
  <c r="AB181" i="21" s="1"/>
  <c r="N182" i="21" l="1"/>
  <c r="AA182" i="21" l="1"/>
  <c r="AB182" i="21" s="1"/>
  <c r="X182" i="21"/>
  <c r="Y182" i="21" s="1"/>
  <c r="N183" i="21" l="1"/>
  <c r="AA183" i="21" l="1"/>
  <c r="AB183" i="21" s="1"/>
  <c r="X183" i="21"/>
  <c r="Y183" i="21" s="1"/>
  <c r="N184" i="21" l="1"/>
  <c r="X184" i="21" l="1"/>
  <c r="Y184" i="21" s="1"/>
  <c r="AA184" i="21"/>
  <c r="AB184" i="21" s="1"/>
  <c r="N185" i="21" l="1"/>
  <c r="X185" i="21" l="1"/>
  <c r="Y185" i="21" s="1"/>
  <c r="AA185" i="21"/>
  <c r="AB185" i="21" s="1"/>
  <c r="N186" i="21" l="1"/>
  <c r="AA186" i="21" l="1"/>
  <c r="AB186" i="21" s="1"/>
  <c r="X186" i="21"/>
  <c r="Y186" i="21" s="1"/>
  <c r="N187" i="21" l="1"/>
  <c r="X187" i="21" l="1"/>
  <c r="Y187" i="21" s="1"/>
  <c r="AA187" i="21"/>
  <c r="AB187" i="21" s="1"/>
  <c r="N188" i="21" l="1"/>
  <c r="X188" i="21" l="1"/>
  <c r="Y188" i="21" s="1"/>
  <c r="AA188" i="21"/>
  <c r="AB188" i="21" s="1"/>
  <c r="N189" i="21" l="1"/>
  <c r="X189" i="21" l="1"/>
  <c r="Y189" i="21" s="1"/>
  <c r="AA189" i="21"/>
  <c r="AB189" i="21" s="1"/>
  <c r="N190" i="21" l="1"/>
  <c r="X190" i="21" l="1"/>
  <c r="Y190" i="21" s="1"/>
  <c r="AA190" i="21"/>
  <c r="AB190" i="21" s="1"/>
  <c r="N191" i="21" l="1"/>
  <c r="X191" i="21" l="1"/>
  <c r="Y191" i="21" s="1"/>
  <c r="AA191" i="21"/>
  <c r="AB191" i="21" s="1"/>
  <c r="N192" i="21" l="1"/>
  <c r="X192" i="21" l="1"/>
  <c r="Y192" i="21" s="1"/>
  <c r="AA192" i="21"/>
  <c r="AB192" i="21" s="1"/>
  <c r="N193" i="21" l="1"/>
  <c r="X193" i="21" l="1"/>
  <c r="Y193" i="21" s="1"/>
  <c r="AA193" i="21"/>
  <c r="AB193" i="21" s="1"/>
  <c r="N194" i="21" l="1"/>
  <c r="X194" i="21" l="1"/>
  <c r="Y194" i="21" s="1"/>
  <c r="AA194" i="21"/>
  <c r="AB194" i="21" s="1"/>
  <c r="N195" i="21" l="1"/>
  <c r="AA195" i="21" l="1"/>
  <c r="AB195" i="21" s="1"/>
  <c r="X195" i="21"/>
  <c r="Y195" i="21" s="1"/>
  <c r="N196" i="21" l="1"/>
  <c r="AA196" i="21" l="1"/>
  <c r="AB196" i="21" s="1"/>
  <c r="X196" i="21"/>
  <c r="Y196" i="21" s="1"/>
  <c r="N197" i="21" l="1"/>
  <c r="X197" i="21" l="1"/>
  <c r="Y197" i="21" s="1"/>
  <c r="AA197" i="21"/>
  <c r="AB197" i="21" s="1"/>
  <c r="N198" i="21" l="1"/>
  <c r="X198" i="21" l="1"/>
  <c r="Y198" i="21" s="1"/>
  <c r="AA198" i="21"/>
  <c r="AB198" i="21" s="1"/>
  <c r="N199" i="21" l="1"/>
  <c r="AA199" i="21" l="1"/>
  <c r="AB199" i="21" s="1"/>
  <c r="X199" i="21"/>
  <c r="Y199" i="21" s="1"/>
  <c r="N200" i="21" l="1"/>
  <c r="AA200" i="21" l="1"/>
  <c r="AB200" i="21" s="1"/>
  <c r="X200" i="21"/>
  <c r="Y200" i="21" s="1"/>
  <c r="N201" i="21" l="1"/>
  <c r="X201" i="21" l="1"/>
  <c r="Y201" i="21" s="1"/>
  <c r="AA201" i="21"/>
  <c r="AB201" i="21" s="1"/>
  <c r="N202" i="21" l="1"/>
  <c r="AA202" i="21" l="1"/>
  <c r="AB202" i="21" s="1"/>
  <c r="X202" i="21"/>
  <c r="Y202" i="21" s="1"/>
  <c r="N203" i="21" l="1"/>
  <c r="X203" i="21" l="1"/>
  <c r="Y203" i="21" s="1"/>
  <c r="AA203" i="21"/>
  <c r="AB203" i="21" s="1"/>
  <c r="N204" i="21" l="1"/>
  <c r="AA204" i="21" l="1"/>
  <c r="AB204" i="21" s="1"/>
  <c r="X204" i="21"/>
  <c r="Y204" i="21" s="1"/>
  <c r="N205" i="21" l="1"/>
  <c r="X205" i="21" l="1"/>
  <c r="Y205" i="21" s="1"/>
  <c r="AA205" i="21"/>
  <c r="AB205" i="21" s="1"/>
  <c r="N206" i="21" l="1"/>
  <c r="AA206" i="21" l="1"/>
  <c r="AB206" i="21" s="1"/>
  <c r="X206" i="21"/>
  <c r="Y206" i="21" s="1"/>
  <c r="N207" i="21" l="1"/>
  <c r="X207" i="21" l="1"/>
  <c r="Y207" i="21" s="1"/>
  <c r="AA207" i="21"/>
  <c r="AB207" i="21" s="1"/>
  <c r="N208" i="21" l="1"/>
  <c r="AA208" i="21" l="1"/>
  <c r="AB208" i="21" s="1"/>
  <c r="X208" i="21"/>
  <c r="Y208" i="21" s="1"/>
  <c r="N209" i="21" l="1"/>
  <c r="X209" i="21" l="1"/>
  <c r="Y209" i="21" s="1"/>
  <c r="AA209" i="21"/>
  <c r="AB209" i="21" s="1"/>
  <c r="N210" i="21" l="1"/>
  <c r="X210" i="21" l="1"/>
  <c r="Y210" i="21" s="1"/>
  <c r="AA210" i="21"/>
  <c r="AB210" i="21" s="1"/>
  <c r="N211" i="21" l="1"/>
  <c r="AA211" i="21" l="1"/>
  <c r="AB211" i="21" s="1"/>
  <c r="X211" i="21"/>
  <c r="Y211" i="21" s="1"/>
  <c r="N212" i="21" l="1"/>
  <c r="X212" i="21" l="1"/>
  <c r="Y212" i="21" s="1"/>
  <c r="AA212" i="21"/>
  <c r="AB212" i="21" s="1"/>
  <c r="N213" i="21" l="1"/>
  <c r="X213" i="21" l="1"/>
  <c r="Y213" i="21" s="1"/>
  <c r="AA213" i="21"/>
  <c r="AB213" i="21" s="1"/>
  <c r="N214" i="21" l="1"/>
  <c r="X214" i="21" l="1"/>
  <c r="Y214" i="21" s="1"/>
  <c r="AA214" i="21"/>
  <c r="AB214" i="21" s="1"/>
  <c r="N215" i="21" l="1"/>
  <c r="AA215" i="21" l="1"/>
  <c r="AB215" i="21" s="1"/>
  <c r="X215" i="21"/>
  <c r="Y215" i="21" s="1"/>
  <c r="N216" i="21" l="1"/>
  <c r="AA216" i="21" l="1"/>
  <c r="AB216" i="21" s="1"/>
  <c r="X216" i="21"/>
  <c r="Y216" i="21" s="1"/>
  <c r="N217" i="21" l="1"/>
  <c r="AA217" i="21" l="1"/>
  <c r="AB217" i="21" s="1"/>
  <c r="X217" i="21"/>
  <c r="Y217" i="21" s="1"/>
  <c r="N218" i="21" l="1"/>
  <c r="AA218" i="21" l="1"/>
  <c r="AB218" i="21" s="1"/>
  <c r="X218" i="21"/>
  <c r="Y218" i="21" s="1"/>
  <c r="N219" i="21" l="1"/>
  <c r="X219" i="21" l="1"/>
  <c r="Y219" i="21" s="1"/>
  <c r="AA219" i="21"/>
  <c r="AB219" i="21" s="1"/>
  <c r="N220" i="21" l="1"/>
  <c r="X220" i="21" l="1"/>
  <c r="Y220" i="21" s="1"/>
  <c r="AA220" i="21"/>
  <c r="AB220" i="21" s="1"/>
  <c r="N221" i="21" l="1"/>
  <c r="AA221" i="21" l="1"/>
  <c r="AB221" i="21" s="1"/>
  <c r="X221" i="21"/>
  <c r="Y221" i="21" s="1"/>
  <c r="N222" i="21" l="1"/>
  <c r="AA222" i="21" l="1"/>
  <c r="AB222" i="21" s="1"/>
  <c r="X222" i="21"/>
  <c r="Y222" i="21" s="1"/>
  <c r="N223" i="21" l="1"/>
  <c r="X223" i="21" l="1"/>
  <c r="Y223" i="21" s="1"/>
  <c r="AA223" i="21"/>
  <c r="AB223" i="21" s="1"/>
  <c r="N224" i="21" l="1"/>
  <c r="AA224" i="21" l="1"/>
  <c r="AB224" i="21" s="1"/>
  <c r="X224" i="21"/>
  <c r="Y224" i="21" s="1"/>
  <c r="N225" i="21" l="1"/>
  <c r="AA225" i="21" l="1"/>
  <c r="AB225" i="21" s="1"/>
  <c r="X225" i="21"/>
  <c r="Y225" i="21" s="1"/>
  <c r="N226" i="21" l="1"/>
  <c r="AA226" i="21" l="1"/>
  <c r="AB226" i="21" s="1"/>
  <c r="X226" i="21"/>
  <c r="Y226" i="21" s="1"/>
  <c r="N227" i="21" l="1"/>
  <c r="AA227" i="21" l="1"/>
  <c r="AB227" i="21" s="1"/>
  <c r="X227" i="21"/>
  <c r="Y227" i="21" s="1"/>
  <c r="N228" i="21" l="1"/>
  <c r="AA228" i="21" l="1"/>
  <c r="AB228" i="21" s="1"/>
  <c r="X228" i="21"/>
  <c r="Y228" i="21" s="1"/>
  <c r="N229" i="21" l="1"/>
  <c r="X229" i="21" l="1"/>
  <c r="Y229" i="21" s="1"/>
  <c r="AA229" i="21"/>
  <c r="AB229" i="21" s="1"/>
  <c r="N230" i="21" l="1"/>
  <c r="X230" i="21" l="1"/>
  <c r="Y230" i="21" s="1"/>
  <c r="AA230" i="21"/>
  <c r="AB230" i="21" s="1"/>
  <c r="N231" i="21" l="1"/>
  <c r="AA231" i="21" l="1"/>
  <c r="AB231" i="21" s="1"/>
  <c r="X231" i="21"/>
  <c r="Y231" i="21" s="1"/>
  <c r="N232" i="21" l="1"/>
  <c r="X232" i="21" l="1"/>
  <c r="Y232" i="21" s="1"/>
  <c r="AA232" i="21"/>
  <c r="AB232" i="21" s="1"/>
  <c r="N233" i="21" l="1"/>
  <c r="AA233" i="21" l="1"/>
  <c r="AB233" i="21" s="1"/>
  <c r="X233" i="21"/>
  <c r="Y233" i="21" s="1"/>
  <c r="N234" i="21" l="1"/>
  <c r="X234" i="21" l="1"/>
  <c r="Y234" i="21" s="1"/>
  <c r="AA234" i="21"/>
  <c r="AB234" i="21" s="1"/>
  <c r="N235" i="21" l="1"/>
  <c r="AA235" i="21" l="1"/>
  <c r="AB235" i="21" s="1"/>
  <c r="X235" i="21"/>
  <c r="Y235" i="21" s="1"/>
  <c r="N236" i="21" l="1"/>
  <c r="X236" i="21" l="1"/>
  <c r="Y236" i="21" s="1"/>
  <c r="AA236" i="21"/>
  <c r="AB236" i="21" s="1"/>
  <c r="N237" i="21" l="1"/>
  <c r="AA237" i="21" l="1"/>
  <c r="AB237" i="21" s="1"/>
  <c r="X237" i="21"/>
  <c r="Y237" i="21" s="1"/>
  <c r="N238" i="21" l="1"/>
  <c r="X238" i="21" l="1"/>
  <c r="Y238" i="21" s="1"/>
  <c r="AA238" i="21"/>
  <c r="AB238" i="21" s="1"/>
  <c r="N239" i="21" l="1"/>
  <c r="X239" i="21" l="1"/>
  <c r="Y239" i="21" s="1"/>
  <c r="AA239" i="21"/>
  <c r="AB239" i="21" s="1"/>
  <c r="N240" i="21" l="1"/>
  <c r="AA240" i="21" l="1"/>
  <c r="AB240" i="21" s="1"/>
  <c r="X240" i="21"/>
  <c r="Y240" i="21" s="1"/>
  <c r="N241" i="21" l="1"/>
  <c r="AA241" i="21" l="1"/>
  <c r="AB241" i="21" s="1"/>
  <c r="X241" i="21"/>
  <c r="Y241" i="21" s="1"/>
  <c r="N242" i="21" l="1"/>
  <c r="AA242" i="21" l="1"/>
  <c r="AB242" i="21" s="1"/>
  <c r="X242" i="21"/>
  <c r="Y242" i="21" s="1"/>
  <c r="N243" i="21" l="1"/>
  <c r="X243" i="21" l="1"/>
  <c r="Y243" i="21" s="1"/>
  <c r="AA243" i="21"/>
  <c r="AB243" i="21" s="1"/>
  <c r="N244" i="21" l="1"/>
  <c r="X244" i="21" l="1"/>
  <c r="Y244" i="21" s="1"/>
  <c r="AA244" i="21"/>
  <c r="AB244" i="21" s="1"/>
  <c r="N245" i="21" l="1"/>
  <c r="AA245" i="21" l="1"/>
  <c r="AB245" i="21" s="1"/>
  <c r="X245" i="21"/>
  <c r="Y245" i="21" s="1"/>
  <c r="N246" i="21" l="1"/>
  <c r="AA246" i="21" l="1"/>
  <c r="AB246" i="21" s="1"/>
  <c r="X246" i="21"/>
  <c r="Y246" i="21" s="1"/>
  <c r="N247" i="21" l="1"/>
  <c r="X247" i="21" l="1"/>
  <c r="Y247" i="21" s="1"/>
  <c r="AA247" i="21"/>
  <c r="AB247" i="21" s="1"/>
  <c r="N248" i="21" l="1"/>
  <c r="X248" i="21" l="1"/>
  <c r="Y248" i="21" s="1"/>
  <c r="AA248" i="21"/>
  <c r="AB248" i="21" s="1"/>
  <c r="N249" i="21" l="1"/>
  <c r="AA249" i="21" l="1"/>
  <c r="AB249" i="21" s="1"/>
  <c r="X249" i="21"/>
  <c r="Y249" i="21" s="1"/>
  <c r="N250" i="21" l="1"/>
  <c r="AA250" i="21" l="1"/>
  <c r="AB250" i="21" s="1"/>
  <c r="X250" i="21"/>
  <c r="Y250" i="21" s="1"/>
  <c r="N251" i="21" l="1"/>
  <c r="AA251" i="21" l="1"/>
  <c r="AB251" i="21" s="1"/>
  <c r="X251" i="21"/>
  <c r="Y251" i="21" s="1"/>
  <c r="N252" i="21" l="1"/>
  <c r="AA252" i="21" l="1"/>
  <c r="AB252" i="21" s="1"/>
  <c r="X252" i="21"/>
  <c r="Y252" i="21" s="1"/>
  <c r="N253" i="21" l="1"/>
  <c r="X253" i="21" l="1"/>
  <c r="Y253" i="21" s="1"/>
  <c r="AA253" i="21"/>
  <c r="AB253" i="21" s="1"/>
  <c r="N254" i="21" l="1"/>
  <c r="X254" i="21" l="1"/>
  <c r="Y254" i="21" s="1"/>
  <c r="AA254" i="21"/>
  <c r="AB254" i="21" s="1"/>
  <c r="N255" i="21" l="1"/>
  <c r="X255" i="21" l="1"/>
  <c r="Y255" i="21" s="1"/>
  <c r="AA255" i="21"/>
  <c r="AB255" i="21" s="1"/>
  <c r="N256" i="21" l="1"/>
  <c r="AA256" i="21" l="1"/>
  <c r="AB256" i="21" s="1"/>
  <c r="X256" i="21"/>
  <c r="Y256" i="21" s="1"/>
  <c r="N257" i="21" l="1"/>
  <c r="AA257" i="21" l="1"/>
  <c r="AB257" i="21" s="1"/>
  <c r="X257" i="21"/>
  <c r="Y257" i="21" s="1"/>
  <c r="N258" i="21" l="1"/>
  <c r="X258" i="21" l="1"/>
  <c r="Y258" i="21" s="1"/>
  <c r="AA258" i="21"/>
  <c r="AB258" i="21" s="1"/>
  <c r="N259" i="21" l="1"/>
  <c r="X259" i="21" l="1"/>
  <c r="Y259" i="21" s="1"/>
  <c r="AA259" i="21"/>
  <c r="AB259" i="21" s="1"/>
  <c r="N260" i="21" l="1"/>
  <c r="AA260" i="21" l="1"/>
  <c r="AB260" i="21" s="1"/>
  <c r="X260" i="21"/>
  <c r="Y260" i="21" s="1"/>
  <c r="N261" i="21" l="1"/>
  <c r="AA261" i="21" l="1"/>
  <c r="AB261" i="21" s="1"/>
  <c r="X261" i="21"/>
  <c r="Y261" i="21" s="1"/>
  <c r="N262" i="21" l="1"/>
  <c r="X262" i="21" l="1"/>
  <c r="Y262" i="21" s="1"/>
  <c r="AA262" i="21"/>
  <c r="AB262" i="21" s="1"/>
  <c r="N263" i="21" l="1"/>
  <c r="X263" i="21" l="1"/>
  <c r="Y263" i="21" s="1"/>
  <c r="AA263" i="21"/>
  <c r="AB263" i="21" s="1"/>
  <c r="N264" i="21" l="1"/>
  <c r="X264" i="21" l="1"/>
  <c r="Y264" i="21" s="1"/>
  <c r="AA264" i="21"/>
  <c r="AB264" i="21" s="1"/>
  <c r="N265" i="21" l="1"/>
  <c r="X265" i="21" l="1"/>
  <c r="Y265" i="21" s="1"/>
  <c r="AA265" i="21"/>
  <c r="AB265" i="21" s="1"/>
  <c r="N266" i="21" l="1"/>
  <c r="X266" i="21" l="1"/>
  <c r="Y266" i="21" s="1"/>
  <c r="AA266" i="21"/>
  <c r="AB266" i="21" s="1"/>
  <c r="N267" i="21" l="1"/>
  <c r="AA267" i="21" l="1"/>
  <c r="AB267" i="21" s="1"/>
  <c r="X267" i="21"/>
  <c r="Y267" i="21" s="1"/>
  <c r="N268" i="21" l="1"/>
  <c r="X268" i="21" l="1"/>
  <c r="Y268" i="21" s="1"/>
  <c r="AA268" i="21"/>
  <c r="AB268" i="21" s="1"/>
  <c r="N269" i="21" l="1"/>
  <c r="X269" i="21" l="1"/>
  <c r="Y269" i="21" s="1"/>
  <c r="AA269" i="21"/>
  <c r="AB269" i="21" s="1"/>
  <c r="N270" i="21" l="1"/>
  <c r="AA270" i="21" l="1"/>
  <c r="AB270" i="21" s="1"/>
  <c r="X270" i="21"/>
  <c r="Y270" i="21" s="1"/>
  <c r="N271" i="21" l="1"/>
  <c r="AA271" i="21" l="1"/>
  <c r="AB271" i="21" s="1"/>
  <c r="X271" i="21"/>
  <c r="Y271" i="21" s="1"/>
  <c r="N272" i="21" l="1"/>
  <c r="AA272" i="21" l="1"/>
  <c r="AB272" i="21" s="1"/>
  <c r="X272" i="21"/>
  <c r="Y272" i="21" s="1"/>
  <c r="N273" i="21" l="1"/>
  <c r="AA273" i="21" l="1"/>
  <c r="AB273" i="21" s="1"/>
  <c r="X273" i="21"/>
  <c r="Y273" i="21" s="1"/>
  <c r="N274" i="21" l="1"/>
  <c r="X274" i="21" l="1"/>
  <c r="Y274" i="21" s="1"/>
  <c r="AA274" i="21"/>
  <c r="AB274" i="21" s="1"/>
  <c r="N275" i="21" l="1"/>
  <c r="AA275" i="21" l="1"/>
  <c r="AB275" i="21" s="1"/>
  <c r="X275" i="21"/>
  <c r="Y275" i="21" s="1"/>
  <c r="N276" i="21" l="1"/>
  <c r="AA276" i="21" l="1"/>
  <c r="AB276" i="21" s="1"/>
  <c r="X276" i="21"/>
  <c r="Y276" i="21" s="1"/>
  <c r="N277" i="21" l="1"/>
  <c r="X277" i="21" l="1"/>
  <c r="Y277" i="21" s="1"/>
  <c r="AA277" i="21"/>
  <c r="AB277" i="21" s="1"/>
  <c r="N278" i="21" l="1"/>
  <c r="AA278" i="21" l="1"/>
  <c r="AB278" i="21" s="1"/>
  <c r="X278" i="21"/>
  <c r="Y278" i="21" s="1"/>
  <c r="N279" i="21" l="1"/>
  <c r="AA279" i="21" l="1"/>
  <c r="AB279" i="21" s="1"/>
  <c r="X279" i="21"/>
  <c r="Y279" i="21" s="1"/>
  <c r="N280" i="21" l="1"/>
  <c r="AA280" i="21" l="1"/>
  <c r="AB280" i="21" s="1"/>
  <c r="X280" i="21"/>
  <c r="Y280" i="21" s="1"/>
  <c r="N281" i="21" l="1"/>
  <c r="X281" i="21" l="1"/>
  <c r="Y281" i="21" s="1"/>
  <c r="AA281" i="21"/>
  <c r="AB281" i="21" s="1"/>
  <c r="N282" i="21" l="1"/>
  <c r="AA282" i="21" l="1"/>
  <c r="AB282" i="21" s="1"/>
  <c r="X282" i="21"/>
  <c r="Y282" i="21" s="1"/>
  <c r="N283" i="21" l="1"/>
  <c r="AA283" i="21" l="1"/>
  <c r="AB283" i="21" s="1"/>
  <c r="X283" i="21"/>
  <c r="Y283" i="21" s="1"/>
  <c r="N284" i="21" l="1"/>
  <c r="AA284" i="21" l="1"/>
  <c r="AB284" i="21" s="1"/>
  <c r="X284" i="21"/>
  <c r="Y284" i="21" s="1"/>
  <c r="N285" i="21" l="1"/>
  <c r="AA285" i="21" l="1"/>
  <c r="AB285" i="21" s="1"/>
  <c r="X285" i="21"/>
  <c r="Y285" i="21" s="1"/>
  <c r="N286" i="21" l="1"/>
  <c r="AA286" i="21" l="1"/>
  <c r="AB286" i="21" s="1"/>
  <c r="X286" i="21"/>
  <c r="Y286" i="21" s="1"/>
  <c r="N287" i="21" l="1"/>
  <c r="AA287" i="21" l="1"/>
  <c r="AB287" i="21" s="1"/>
  <c r="X287" i="21"/>
  <c r="Y287" i="21" s="1"/>
  <c r="N288" i="21" l="1"/>
  <c r="AA288" i="21" l="1"/>
  <c r="AB288" i="21" s="1"/>
  <c r="X288" i="21"/>
  <c r="Y288" i="21" s="1"/>
  <c r="N289" i="21" l="1"/>
  <c r="AA289" i="21" l="1"/>
  <c r="AB289" i="21" s="1"/>
  <c r="X289" i="21"/>
  <c r="Y289" i="21" s="1"/>
  <c r="N290" i="21" l="1"/>
  <c r="AA290" i="21" l="1"/>
  <c r="AB290" i="21" s="1"/>
  <c r="X290" i="21"/>
  <c r="Y290" i="21" s="1"/>
  <c r="N291" i="21" l="1"/>
  <c r="X291" i="21" l="1"/>
  <c r="Y291" i="21" s="1"/>
  <c r="AA291" i="21"/>
  <c r="AB291" i="21" s="1"/>
  <c r="N292" i="21" l="1"/>
  <c r="X292" i="21" l="1"/>
  <c r="Y292" i="21" s="1"/>
  <c r="AA292" i="21"/>
  <c r="AB292" i="21" s="1"/>
  <c r="N293" i="21" l="1"/>
  <c r="AA293" i="21" l="1"/>
  <c r="AB293" i="21" s="1"/>
  <c r="X293" i="21"/>
  <c r="Y293" i="21" s="1"/>
  <c r="N294" i="21" l="1"/>
  <c r="AA294" i="21" l="1"/>
  <c r="AB294" i="21" s="1"/>
  <c r="X294" i="21"/>
  <c r="Y294" i="21" s="1"/>
  <c r="N295" i="21" l="1"/>
  <c r="AA295" i="21" l="1"/>
  <c r="AB295" i="21" s="1"/>
  <c r="X295" i="21"/>
  <c r="Y295" i="21" s="1"/>
  <c r="N296" i="21" l="1"/>
  <c r="AA296" i="21" l="1"/>
  <c r="AB296" i="21" s="1"/>
  <c r="X296" i="21"/>
  <c r="Y296" i="21" s="1"/>
  <c r="N297" i="21" l="1"/>
  <c r="X297" i="21" l="1"/>
  <c r="Y297" i="21" s="1"/>
  <c r="AA297" i="21"/>
  <c r="AB297" i="21" s="1"/>
  <c r="N298" i="21" l="1"/>
  <c r="X298" i="21" l="1"/>
  <c r="Y298" i="21" s="1"/>
  <c r="AA298" i="21"/>
  <c r="AB298" i="21" s="1"/>
  <c r="N299" i="21" l="1"/>
  <c r="AA299" i="21" l="1"/>
  <c r="AB299" i="21" s="1"/>
  <c r="X299" i="21"/>
  <c r="Y299" i="21" s="1"/>
  <c r="N300" i="21" l="1"/>
  <c r="X300" i="21" l="1"/>
  <c r="Y300" i="21" s="1"/>
  <c r="AA300" i="21"/>
  <c r="AB300" i="21" s="1"/>
  <c r="N301" i="21" l="1"/>
  <c r="AA301" i="21" l="1"/>
  <c r="AB301" i="21" s="1"/>
  <c r="X301" i="21"/>
  <c r="Y301" i="21" s="1"/>
  <c r="N302" i="21" l="1"/>
  <c r="X302" i="21" l="1"/>
  <c r="Y302" i="21" s="1"/>
  <c r="AA302" i="21"/>
  <c r="AB302" i="21" s="1"/>
  <c r="N303" i="21" l="1"/>
  <c r="AA303" i="21" l="1"/>
  <c r="AB303" i="21" s="1"/>
  <c r="X303" i="21"/>
  <c r="Y303" i="21" s="1"/>
  <c r="N304" i="21" l="1"/>
  <c r="X304" i="21" l="1"/>
  <c r="Y304" i="21" s="1"/>
  <c r="AA304" i="21"/>
  <c r="AB304" i="21" s="1"/>
  <c r="N305" i="21" l="1"/>
  <c r="AA305" i="21" l="1"/>
  <c r="AB305" i="21" s="1"/>
  <c r="X305" i="21"/>
  <c r="Y305" i="21" s="1"/>
  <c r="N306" i="21" l="1"/>
  <c r="AA306" i="21" l="1"/>
  <c r="AB306" i="21" s="1"/>
  <c r="X306" i="21"/>
  <c r="Y306" i="21" s="1"/>
  <c r="N307" i="21" l="1"/>
  <c r="AA307" i="21" l="1"/>
  <c r="AB307" i="21" s="1"/>
  <c r="X307" i="21"/>
  <c r="Y307" i="21" s="1"/>
  <c r="N308" i="21" l="1"/>
  <c r="X308" i="21" l="1"/>
  <c r="Y308" i="21" s="1"/>
  <c r="AA308" i="21"/>
  <c r="AB308" i="21" s="1"/>
  <c r="N309" i="21" l="1"/>
  <c r="X309" i="21" l="1"/>
  <c r="Y309" i="21" s="1"/>
  <c r="AA309" i="21"/>
  <c r="AB309" i="21" s="1"/>
  <c r="N310" i="21" l="1"/>
  <c r="AA310" i="21" l="1"/>
  <c r="AB310" i="21" s="1"/>
  <c r="X310" i="21"/>
  <c r="Y310" i="21" s="1"/>
  <c r="N311" i="21" l="1"/>
  <c r="AA311" i="21" l="1"/>
  <c r="AB311" i="21" s="1"/>
  <c r="X311" i="21"/>
  <c r="Y311" i="21" s="1"/>
  <c r="N312" i="21" l="1"/>
  <c r="X312" i="21" l="1"/>
  <c r="Y312" i="21" s="1"/>
  <c r="AA312" i="21"/>
  <c r="AB312" i="21" s="1"/>
  <c r="N313" i="21" l="1"/>
  <c r="X313" i="21" l="1"/>
  <c r="Y313" i="21" s="1"/>
  <c r="AA313" i="21"/>
  <c r="AB313" i="21" s="1"/>
  <c r="N314" i="21" l="1"/>
  <c r="AA314" i="21" l="1"/>
  <c r="AB314" i="21" s="1"/>
  <c r="X314" i="21"/>
  <c r="Y314" i="21" s="1"/>
  <c r="N315" i="21" l="1"/>
  <c r="AA315" i="21" l="1"/>
  <c r="AB315" i="21" s="1"/>
  <c r="X315" i="21"/>
  <c r="Y315" i="21" s="1"/>
  <c r="N316" i="21" l="1"/>
  <c r="X316" i="21" l="1"/>
  <c r="Y316" i="21" s="1"/>
  <c r="AA316" i="21"/>
  <c r="AB316" i="21" s="1"/>
  <c r="N317" i="21" l="1"/>
  <c r="X317" i="21" l="1"/>
  <c r="Y317" i="21" s="1"/>
  <c r="AA317" i="21"/>
  <c r="AB317" i="21" s="1"/>
  <c r="N318" i="21" l="1"/>
  <c r="X318" i="21" l="1"/>
  <c r="Y318" i="21" s="1"/>
  <c r="AA318" i="21"/>
  <c r="AB318" i="21" s="1"/>
  <c r="N319" i="21" l="1"/>
  <c r="AA319" i="21" l="1"/>
  <c r="AB319" i="21" s="1"/>
  <c r="X319" i="21"/>
  <c r="Y319" i="21" s="1"/>
  <c r="N320" i="21" l="1"/>
  <c r="AA320" i="21" l="1"/>
  <c r="AB320" i="21" s="1"/>
  <c r="X320" i="21"/>
  <c r="Y320" i="21" s="1"/>
  <c r="N321" i="21" l="1"/>
  <c r="AA321" i="21" l="1"/>
  <c r="AB321" i="21" s="1"/>
  <c r="X321" i="21"/>
  <c r="Y321" i="21" s="1"/>
  <c r="N322" i="21" l="1"/>
  <c r="AA322" i="21" l="1"/>
  <c r="AB322" i="21" s="1"/>
  <c r="X322" i="21"/>
  <c r="Y322" i="21" s="1"/>
  <c r="N323" i="21" l="1"/>
  <c r="X323" i="21" l="1"/>
  <c r="Y323" i="21" s="1"/>
  <c r="AA323" i="21"/>
  <c r="AB323" i="21" s="1"/>
  <c r="N324" i="21" l="1"/>
  <c r="AA324" i="21" l="1"/>
  <c r="AB324" i="21" s="1"/>
  <c r="X324" i="21"/>
  <c r="Y324" i="21" s="1"/>
  <c r="N325" i="21" l="1"/>
  <c r="AA325" i="21" l="1"/>
  <c r="AB325" i="21" s="1"/>
  <c r="X325" i="21"/>
  <c r="Y325" i="21" s="1"/>
  <c r="N326" i="21" l="1"/>
  <c r="X326" i="21" l="1"/>
  <c r="Y326" i="21" s="1"/>
  <c r="AA326" i="21"/>
  <c r="AB326" i="21" s="1"/>
  <c r="N327" i="21" l="1"/>
  <c r="AA327" i="21" l="1"/>
  <c r="AB327" i="21" s="1"/>
  <c r="X327" i="21"/>
  <c r="Y327" i="21" s="1"/>
  <c r="N328" i="21" l="1"/>
  <c r="AA328" i="21" l="1"/>
  <c r="AB328" i="21" s="1"/>
  <c r="X328" i="21"/>
  <c r="Y328" i="21" s="1"/>
  <c r="N329" i="21" l="1"/>
  <c r="X329" i="21" l="1"/>
  <c r="Y329" i="21" s="1"/>
  <c r="AA329" i="21"/>
  <c r="AB329" i="21" s="1"/>
  <c r="N330" i="21" l="1"/>
  <c r="X330" i="21" l="1"/>
  <c r="Y330" i="21" s="1"/>
  <c r="AA330" i="21"/>
  <c r="AB330" i="21" s="1"/>
  <c r="N331" i="21" l="1"/>
  <c r="AA331" i="21" l="1"/>
  <c r="AB331" i="21" s="1"/>
  <c r="X331" i="21"/>
  <c r="Y331" i="21" s="1"/>
  <c r="N332" i="21" l="1"/>
  <c r="AA332" i="21" l="1"/>
  <c r="AB332" i="21" s="1"/>
  <c r="X332" i="21"/>
  <c r="Y332" i="21" s="1"/>
  <c r="N333" i="21" l="1"/>
  <c r="AA333" i="21" l="1"/>
  <c r="AB333" i="21" s="1"/>
  <c r="X333" i="21"/>
  <c r="Y333" i="21" s="1"/>
  <c r="N334" i="21" l="1"/>
  <c r="AA334" i="21" l="1"/>
  <c r="AB334" i="21" s="1"/>
  <c r="X334" i="21"/>
  <c r="Y334" i="21" s="1"/>
  <c r="N335" i="21" l="1"/>
  <c r="AA335" i="21" l="1"/>
  <c r="AB335" i="21" s="1"/>
  <c r="X335" i="21"/>
  <c r="Y335" i="21" s="1"/>
  <c r="N336" i="21" l="1"/>
  <c r="AA336" i="21" l="1"/>
  <c r="AB336" i="21" s="1"/>
  <c r="X336" i="21"/>
  <c r="Y336" i="21" s="1"/>
  <c r="N337" i="21" l="1"/>
  <c r="AA337" i="21" l="1"/>
  <c r="AB337" i="21" s="1"/>
  <c r="X337" i="21"/>
  <c r="Y337" i="21" s="1"/>
  <c r="N338" i="21" l="1"/>
  <c r="AA338" i="21" l="1"/>
  <c r="AB338" i="21" s="1"/>
  <c r="X338" i="21"/>
  <c r="Y338" i="21" s="1"/>
  <c r="N339" i="21" l="1"/>
  <c r="X339" i="21" l="1"/>
  <c r="Y339" i="21" s="1"/>
  <c r="AA339" i="21"/>
  <c r="AB339" i="21" s="1"/>
  <c r="N340" i="21" l="1"/>
  <c r="X340" i="21" l="1"/>
  <c r="Y340" i="21" s="1"/>
  <c r="AA340" i="21"/>
  <c r="AB340" i="21" s="1"/>
  <c r="N341" i="21" l="1"/>
  <c r="AA341" i="21" l="1"/>
  <c r="AB341" i="21" s="1"/>
  <c r="X341" i="21"/>
  <c r="Y341" i="21" s="1"/>
  <c r="N342" i="21" l="1"/>
  <c r="X342" i="21" l="1"/>
  <c r="Y342" i="21" s="1"/>
  <c r="AA342" i="21"/>
  <c r="AB342" i="21" s="1"/>
  <c r="N343" i="21" l="1"/>
  <c r="AA343" i="21" l="1"/>
  <c r="AB343" i="21" s="1"/>
  <c r="X343" i="21"/>
  <c r="Y343" i="21" s="1"/>
  <c r="N344" i="21" l="1"/>
  <c r="AA344" i="21" l="1"/>
  <c r="AB344" i="21" s="1"/>
  <c r="X344" i="21"/>
  <c r="Y344" i="21" s="1"/>
  <c r="N345" i="21" l="1"/>
  <c r="AA345" i="21" l="1"/>
  <c r="AB345" i="21" s="1"/>
  <c r="X345" i="21"/>
  <c r="Y345" i="21" s="1"/>
  <c r="N346" i="21" l="1"/>
  <c r="X346" i="21" l="1"/>
  <c r="Y346" i="21" s="1"/>
  <c r="AA346" i="21"/>
  <c r="AB346" i="21" s="1"/>
  <c r="N347" i="21" l="1"/>
  <c r="X347" i="21" l="1"/>
  <c r="Y347" i="21" s="1"/>
  <c r="AA347" i="21"/>
  <c r="AB347" i="21" s="1"/>
  <c r="N348" i="21" l="1"/>
  <c r="X348" i="21" l="1"/>
  <c r="Y348" i="21" s="1"/>
  <c r="AA348" i="21"/>
  <c r="AB348" i="21" s="1"/>
  <c r="N349" i="21" l="1"/>
  <c r="X349" i="21" l="1"/>
  <c r="Y349" i="21" s="1"/>
  <c r="AA349" i="21"/>
  <c r="AB349" i="21" s="1"/>
  <c r="N350" i="21" l="1"/>
  <c r="X350" i="21" l="1"/>
  <c r="Y350" i="21" s="1"/>
  <c r="AA350" i="21"/>
  <c r="AB350" i="21" s="1"/>
  <c r="N351" i="21" l="1"/>
  <c r="X351" i="21" l="1"/>
  <c r="Y351" i="21" s="1"/>
  <c r="AA351" i="21"/>
  <c r="AB351" i="21" s="1"/>
  <c r="N352" i="21" l="1"/>
  <c r="X352" i="21" l="1"/>
  <c r="Y352" i="21" s="1"/>
  <c r="AA352" i="21"/>
  <c r="AB352" i="21" s="1"/>
  <c r="N353" i="21" l="1"/>
  <c r="X353" i="21" l="1"/>
  <c r="Y353" i="21" s="1"/>
  <c r="AA353" i="21"/>
  <c r="AB353" i="21" s="1"/>
  <c r="N354" i="21" l="1"/>
  <c r="X354" i="21" l="1"/>
  <c r="Y354" i="21" s="1"/>
  <c r="AA354" i="21"/>
  <c r="AB354" i="21" s="1"/>
  <c r="N355" i="21" l="1"/>
  <c r="AA355" i="21" l="1"/>
  <c r="AB355" i="21" s="1"/>
  <c r="X355" i="21"/>
  <c r="Y355" i="21" s="1"/>
  <c r="N356" i="21" l="1"/>
  <c r="AA356" i="21" l="1"/>
  <c r="AB356" i="21" s="1"/>
  <c r="X356" i="21"/>
  <c r="Y356" i="21" s="1"/>
  <c r="N357" i="21" l="1"/>
  <c r="X357" i="21" l="1"/>
  <c r="Y357" i="21" s="1"/>
  <c r="AA357" i="21"/>
  <c r="AB357" i="21" s="1"/>
  <c r="N358" i="21" l="1"/>
  <c r="AA358" i="21" l="1"/>
  <c r="AB358" i="21" s="1"/>
  <c r="X358" i="21"/>
  <c r="Y358" i="21" s="1"/>
  <c r="N359" i="21" l="1"/>
  <c r="AA359" i="21" l="1"/>
  <c r="AB359" i="21" s="1"/>
  <c r="X359" i="21"/>
  <c r="Y359" i="21" s="1"/>
  <c r="N360" i="21" l="1"/>
  <c r="X360" i="21" l="1"/>
  <c r="Y360" i="21" s="1"/>
  <c r="AA360" i="21"/>
  <c r="AB360" i="21" s="1"/>
  <c r="N361" i="21" l="1"/>
  <c r="X361" i="21" l="1"/>
  <c r="Y361" i="21" s="1"/>
  <c r="AA361" i="21"/>
  <c r="AB361" i="21" s="1"/>
  <c r="N362" i="21" l="1"/>
  <c r="X362" i="21" l="1"/>
  <c r="Y362" i="21" s="1"/>
  <c r="AA362" i="21"/>
  <c r="AB362" i="21" s="1"/>
  <c r="N363" i="21" l="1"/>
  <c r="AA363" i="21" l="1"/>
  <c r="AB363" i="21" s="1"/>
  <c r="X363" i="21"/>
  <c r="Y363" i="21" s="1"/>
  <c r="N364" i="21" l="1"/>
  <c r="AA364" i="21" l="1"/>
  <c r="AB364" i="21" s="1"/>
  <c r="X364" i="21"/>
  <c r="Y364" i="21" s="1"/>
  <c r="N365" i="21" l="1"/>
  <c r="AA365" i="21" l="1"/>
  <c r="AB365" i="21" s="1"/>
  <c r="X365" i="21"/>
  <c r="Y365" i="21" s="1"/>
  <c r="N366" i="21" l="1"/>
  <c r="AA366" i="21" l="1"/>
  <c r="AB366" i="21" s="1"/>
  <c r="X366" i="21"/>
  <c r="Y366" i="21" s="1"/>
  <c r="N367" i="21" l="1"/>
  <c r="AA367" i="21" l="1"/>
  <c r="AB367" i="21" s="1"/>
  <c r="X367" i="21"/>
  <c r="Y367" i="21" s="1"/>
  <c r="N368" i="21" l="1"/>
  <c r="X368" i="21" l="1"/>
  <c r="Y368" i="21" s="1"/>
  <c r="AA368" i="21"/>
  <c r="AB368" i="21" s="1"/>
  <c r="N369" i="21" l="1"/>
  <c r="X369" i="21" l="1"/>
  <c r="Y369" i="21" s="1"/>
  <c r="AA369" i="21"/>
  <c r="AB369" i="21" s="1"/>
  <c r="N370" i="21" l="1"/>
  <c r="AA370" i="21" l="1"/>
  <c r="AB370" i="21" s="1"/>
  <c r="X370" i="21"/>
  <c r="Y370" i="21" s="1"/>
  <c r="N371" i="21" l="1"/>
  <c r="X371" i="21" l="1"/>
  <c r="Y371" i="21" s="1"/>
  <c r="AA371" i="21"/>
  <c r="AB371" i="21" s="1"/>
  <c r="N372" i="21" l="1"/>
  <c r="X372" i="21" l="1"/>
  <c r="Y372" i="21" s="1"/>
  <c r="AA372" i="21"/>
  <c r="AB372" i="21" s="1"/>
  <c r="N373" i="21" l="1"/>
  <c r="X373" i="21" l="1"/>
  <c r="Y373" i="21" s="1"/>
  <c r="AA373" i="21"/>
  <c r="AB373" i="21" s="1"/>
  <c r="N374" i="21" l="1"/>
  <c r="AA374" i="21" l="1"/>
  <c r="AB374" i="21" s="1"/>
  <c r="X374" i="21"/>
  <c r="Y374" i="21" s="1"/>
  <c r="N375" i="21" l="1"/>
  <c r="X375" i="21" l="1"/>
  <c r="Y375" i="21" s="1"/>
  <c r="AA375" i="21"/>
  <c r="AB375" i="21" s="1"/>
  <c r="N376" i="21" l="1"/>
  <c r="AA376" i="21" l="1"/>
  <c r="AB376" i="21" s="1"/>
  <c r="X376" i="21"/>
  <c r="Y376" i="21" s="1"/>
  <c r="N377" i="21" l="1"/>
  <c r="X377" i="21" l="1"/>
  <c r="Y377" i="21" s="1"/>
  <c r="AA377" i="21"/>
  <c r="AB377" i="21" s="1"/>
  <c r="N378" i="21" l="1"/>
  <c r="AA378" i="21" l="1"/>
  <c r="AB378" i="21" s="1"/>
  <c r="X378" i="21"/>
  <c r="Y378" i="21" s="1"/>
  <c r="N379" i="21" l="1"/>
  <c r="X379" i="21" l="1"/>
  <c r="Y379" i="21" s="1"/>
  <c r="AA379" i="21"/>
  <c r="AB379" i="21" s="1"/>
  <c r="N380" i="21" l="1"/>
  <c r="AA380" i="21" l="1"/>
  <c r="AB380" i="21" s="1"/>
  <c r="X380" i="21"/>
  <c r="Y380" i="21" s="1"/>
  <c r="N381" i="21" l="1"/>
  <c r="AA381" i="21" l="1"/>
  <c r="AB381" i="21" s="1"/>
  <c r="X381" i="21"/>
  <c r="Y381" i="21" s="1"/>
  <c r="N382" i="21" l="1"/>
  <c r="X382" i="21" l="1"/>
  <c r="Y382" i="21" s="1"/>
  <c r="AA382" i="21"/>
  <c r="AB382" i="21" s="1"/>
  <c r="N383" i="21" l="1"/>
  <c r="AA383" i="21" l="1"/>
  <c r="AB383" i="21" s="1"/>
  <c r="X383" i="21"/>
  <c r="Y383" i="21" s="1"/>
  <c r="N384" i="21" l="1"/>
  <c r="X384" i="21" l="1"/>
  <c r="Y384" i="21" s="1"/>
  <c r="AA384" i="21"/>
  <c r="AB384" i="21" s="1"/>
  <c r="N385" i="21" l="1"/>
  <c r="AA385" i="21" l="1"/>
  <c r="AB385" i="21" s="1"/>
  <c r="X385" i="21"/>
  <c r="Y385" i="21" s="1"/>
  <c r="N386" i="21" l="1"/>
  <c r="X386" i="21" l="1"/>
  <c r="Y386" i="21" s="1"/>
  <c r="AA386" i="21"/>
  <c r="AB386" i="21" s="1"/>
  <c r="N387" i="21" l="1"/>
  <c r="AA387" i="21" l="1"/>
  <c r="AB387" i="21" s="1"/>
  <c r="X387" i="21"/>
  <c r="Y387" i="21" s="1"/>
  <c r="N388" i="21" l="1"/>
  <c r="X388" i="21" l="1"/>
  <c r="Y388" i="21" s="1"/>
  <c r="AA388" i="21"/>
  <c r="AB388" i="21" s="1"/>
  <c r="N389" i="21" l="1"/>
  <c r="AA389" i="21" l="1"/>
  <c r="AB389" i="21" s="1"/>
  <c r="X389" i="21"/>
  <c r="Y389" i="21" s="1"/>
  <c r="N390" i="21" l="1"/>
  <c r="AA390" i="21" l="1"/>
  <c r="AB390" i="21" s="1"/>
  <c r="X390" i="21"/>
  <c r="Y390" i="21" s="1"/>
  <c r="N391" i="21" l="1"/>
  <c r="AA391" i="21" l="1"/>
  <c r="AB391" i="21" s="1"/>
  <c r="X391" i="21"/>
  <c r="Y391" i="21" s="1"/>
  <c r="N392" i="21" l="1"/>
  <c r="AA392" i="21" l="1"/>
  <c r="AB392" i="21" s="1"/>
  <c r="X392" i="21"/>
  <c r="Y392" i="21" s="1"/>
  <c r="N393" i="21" l="1"/>
  <c r="AA393" i="21" l="1"/>
  <c r="AB393" i="21" s="1"/>
  <c r="X393" i="21"/>
  <c r="Y393" i="21" s="1"/>
  <c r="N394" i="21" l="1"/>
  <c r="AA394" i="21" l="1"/>
  <c r="AB394" i="21" s="1"/>
  <c r="X394" i="21"/>
  <c r="Y394" i="21" s="1"/>
  <c r="N395" i="21" l="1"/>
  <c r="AA395" i="21" l="1"/>
  <c r="AB395" i="21" s="1"/>
  <c r="X395" i="21"/>
  <c r="Y395" i="21" s="1"/>
  <c r="N396" i="21" l="1"/>
  <c r="AA396" i="21" l="1"/>
  <c r="AB396" i="21" s="1"/>
  <c r="X396" i="21"/>
  <c r="Y396" i="21" s="1"/>
  <c r="N397" i="21" l="1"/>
  <c r="AA397" i="21" l="1"/>
  <c r="AB397" i="21" s="1"/>
  <c r="X397" i="21"/>
  <c r="Y397" i="21" s="1"/>
  <c r="N398" i="21" l="1"/>
  <c r="X398" i="21" l="1"/>
  <c r="Y398" i="21" s="1"/>
  <c r="AA398" i="21"/>
  <c r="AB398" i="21" s="1"/>
  <c r="N399" i="21" l="1"/>
  <c r="X399" i="21" l="1"/>
  <c r="Y399" i="21" s="1"/>
  <c r="AA399" i="21"/>
  <c r="AB399" i="21" s="1"/>
  <c r="N400" i="21" l="1"/>
  <c r="X400" i="21" l="1"/>
  <c r="Y400" i="21" s="1"/>
  <c r="AA400" i="21"/>
  <c r="AB400" i="21" s="1"/>
  <c r="N401" i="21" l="1"/>
  <c r="X401" i="21" l="1"/>
  <c r="Y401" i="21" s="1"/>
  <c r="AA401" i="21"/>
  <c r="AB401" i="21" s="1"/>
  <c r="N402" i="21" l="1"/>
  <c r="AA402" i="21" l="1"/>
  <c r="AB402" i="21" s="1"/>
  <c r="X402" i="21"/>
  <c r="Y402" i="21" s="1"/>
  <c r="N403" i="21" l="1"/>
  <c r="X403" i="21" l="1"/>
  <c r="Y403" i="21" s="1"/>
  <c r="AA403" i="21"/>
  <c r="AB403" i="21" s="1"/>
  <c r="N404" i="21" l="1"/>
  <c r="AA404" i="21" l="1"/>
  <c r="AB404" i="21" s="1"/>
  <c r="X404" i="21"/>
  <c r="Y404" i="21" s="1"/>
  <c r="N405" i="21" l="1"/>
  <c r="AA405" i="21" l="1"/>
  <c r="AB405" i="21" s="1"/>
  <c r="X405" i="21"/>
  <c r="Y405" i="21" s="1"/>
  <c r="N406" i="21" l="1"/>
  <c r="AA406" i="21" l="1"/>
  <c r="AB406" i="21" s="1"/>
  <c r="X406" i="21"/>
  <c r="Y406" i="21" s="1"/>
  <c r="N407" i="21" l="1"/>
  <c r="X407" i="21" l="1"/>
  <c r="Y407" i="21" s="1"/>
  <c r="AA407" i="21"/>
  <c r="AB407" i="21" s="1"/>
  <c r="N408" i="21" l="1"/>
  <c r="AA408" i="21" l="1"/>
  <c r="AB408" i="21" s="1"/>
  <c r="X408" i="21"/>
  <c r="Y408" i="21" s="1"/>
  <c r="N409" i="21" l="1"/>
  <c r="AA409" i="21" l="1"/>
  <c r="AB409" i="21" s="1"/>
  <c r="X409" i="21"/>
  <c r="Y409" i="21" s="1"/>
  <c r="N410" i="21" l="1"/>
  <c r="AA410" i="21" l="1"/>
  <c r="AB410" i="21" s="1"/>
  <c r="X410" i="21"/>
  <c r="Y410" i="21" s="1"/>
  <c r="N411" i="21" l="1"/>
  <c r="X411" i="21" l="1"/>
  <c r="Y411" i="21" s="1"/>
  <c r="AA411" i="21"/>
  <c r="AB411" i="21" s="1"/>
  <c r="N412" i="21" l="1"/>
  <c r="AA412" i="21" l="1"/>
  <c r="AB412" i="21" s="1"/>
  <c r="X412" i="21"/>
  <c r="Y412" i="21" s="1"/>
  <c r="N413" i="21" l="1"/>
  <c r="X413" i="21" l="1"/>
  <c r="Y413" i="21" s="1"/>
  <c r="AA413" i="21"/>
  <c r="AB413" i="21" s="1"/>
  <c r="N414" i="21" l="1"/>
  <c r="AA414" i="21" l="1"/>
  <c r="AB414" i="21" s="1"/>
  <c r="X414" i="21"/>
  <c r="Y414" i="21" s="1"/>
  <c r="N415" i="21" l="1"/>
  <c r="AA415" i="21" l="1"/>
  <c r="AB415" i="21" s="1"/>
  <c r="X415" i="21"/>
  <c r="Y415" i="21" s="1"/>
  <c r="N416" i="21" l="1"/>
  <c r="X416" i="21" l="1"/>
  <c r="Y416" i="21" s="1"/>
  <c r="AA416" i="21"/>
  <c r="AB416" i="21" s="1"/>
  <c r="N417" i="21" l="1"/>
  <c r="X417" i="21" l="1"/>
  <c r="Y417" i="21" s="1"/>
  <c r="AA417" i="21"/>
  <c r="AB417" i="21" s="1"/>
  <c r="N418" i="21" l="1"/>
  <c r="AA418" i="21" l="1"/>
  <c r="AB418" i="21" s="1"/>
  <c r="X418" i="21"/>
  <c r="Y418" i="21" s="1"/>
  <c r="N419" i="21" l="1"/>
  <c r="AA419" i="21" l="1"/>
  <c r="AB419" i="21" s="1"/>
  <c r="X419" i="21"/>
  <c r="Y419" i="21" s="1"/>
  <c r="N420" i="21" l="1"/>
  <c r="AA420" i="21" l="1"/>
  <c r="AB420" i="21" s="1"/>
  <c r="X420" i="21"/>
  <c r="Y420" i="21" s="1"/>
  <c r="N421" i="21" l="1"/>
  <c r="AA421" i="21" l="1"/>
  <c r="AB421" i="21" s="1"/>
  <c r="X421" i="21"/>
  <c r="Y421" i="21" s="1"/>
  <c r="N422" i="21" l="1"/>
  <c r="X422" i="21" l="1"/>
  <c r="Y422" i="21" s="1"/>
  <c r="AA422" i="21"/>
  <c r="AB422" i="21" s="1"/>
  <c r="N423" i="21" l="1"/>
  <c r="AA423" i="21" l="1"/>
  <c r="AB423" i="21" s="1"/>
  <c r="X423" i="21"/>
  <c r="Y423" i="21" s="1"/>
  <c r="N424" i="21" l="1"/>
  <c r="AA424" i="21" l="1"/>
  <c r="AB424" i="21" s="1"/>
  <c r="X424" i="21"/>
  <c r="Y424" i="21" s="1"/>
  <c r="N425" i="21" l="1"/>
  <c r="X425" i="21" l="1"/>
  <c r="Y425" i="21" s="1"/>
  <c r="AA425" i="21"/>
  <c r="AB425" i="21" s="1"/>
  <c r="N426" i="21" l="1"/>
  <c r="X426" i="21" l="1"/>
  <c r="Y426" i="21" s="1"/>
  <c r="AA426" i="21"/>
  <c r="AB426" i="21" s="1"/>
  <c r="N427" i="21" l="1"/>
  <c r="AA427" i="21" l="1"/>
  <c r="AB427" i="21" s="1"/>
  <c r="X427" i="21"/>
  <c r="Y427" i="21" s="1"/>
  <c r="N428" i="21" l="1"/>
  <c r="AA428" i="21" l="1"/>
  <c r="AB428" i="21" s="1"/>
  <c r="X428" i="21"/>
  <c r="Y428" i="21" s="1"/>
  <c r="N429" i="21" l="1"/>
  <c r="X429" i="21" l="1"/>
  <c r="Y429" i="21" s="1"/>
  <c r="AA429" i="21"/>
  <c r="AB429" i="21" s="1"/>
  <c r="N430" i="21" l="1"/>
  <c r="AA430" i="21" l="1"/>
  <c r="AB430" i="21" s="1"/>
  <c r="X430" i="21"/>
  <c r="Y430" i="21" s="1"/>
  <c r="N431" i="21" l="1"/>
  <c r="AA431" i="21" l="1"/>
  <c r="AB431" i="21" s="1"/>
  <c r="X431" i="21"/>
  <c r="Y431" i="21" s="1"/>
  <c r="N432" i="21" l="1"/>
  <c r="X432" i="21" l="1"/>
  <c r="Y432" i="21" s="1"/>
  <c r="AA432" i="21"/>
  <c r="AB432" i="21" s="1"/>
  <c r="N433" i="21" l="1"/>
  <c r="AA433" i="21" l="1"/>
  <c r="AB433" i="21" s="1"/>
  <c r="X433" i="21"/>
  <c r="Y433" i="21" s="1"/>
  <c r="N434" i="21" l="1"/>
  <c r="X434" i="21" l="1"/>
  <c r="Y434" i="21" s="1"/>
  <c r="AA434" i="21"/>
  <c r="AB434" i="21" s="1"/>
  <c r="N435" i="21" l="1"/>
  <c r="AA435" i="21" l="1"/>
  <c r="AB435" i="21" s="1"/>
  <c r="X435" i="21"/>
  <c r="Y435" i="21" s="1"/>
  <c r="N436" i="21" l="1"/>
  <c r="X436" i="21" l="1"/>
  <c r="Y436" i="21" s="1"/>
  <c r="AA436" i="21"/>
  <c r="AB436" i="21" s="1"/>
  <c r="N437" i="21" l="1"/>
  <c r="AA437" i="21" l="1"/>
  <c r="AB437" i="21" s="1"/>
  <c r="X437" i="21"/>
  <c r="Y437" i="21" s="1"/>
  <c r="N438" i="21" l="1"/>
  <c r="X438" i="21" l="1"/>
  <c r="Y438" i="21" s="1"/>
  <c r="AA438" i="21"/>
  <c r="AB438" i="21" s="1"/>
  <c r="N439" i="21" l="1"/>
  <c r="AA439" i="21" l="1"/>
  <c r="AB439" i="21" s="1"/>
  <c r="X439" i="21"/>
  <c r="Y439" i="21" s="1"/>
  <c r="N440" i="21" l="1"/>
  <c r="X440" i="21" l="1"/>
  <c r="Y440" i="21" s="1"/>
  <c r="AA440" i="21"/>
  <c r="AB440" i="21" s="1"/>
  <c r="N441" i="21" l="1"/>
  <c r="AA441" i="21" l="1"/>
  <c r="AB441" i="21" s="1"/>
  <c r="X441" i="21"/>
  <c r="Y441" i="21" s="1"/>
  <c r="N442" i="21" l="1"/>
  <c r="AA442" i="21" l="1"/>
  <c r="AB442" i="21" s="1"/>
  <c r="X442" i="21"/>
  <c r="Y442" i="21" s="1"/>
  <c r="N443" i="21" l="1"/>
  <c r="AA443" i="21" l="1"/>
  <c r="AB443" i="21" s="1"/>
  <c r="X443" i="21"/>
  <c r="Y443" i="21" s="1"/>
  <c r="N444" i="21" l="1"/>
  <c r="AA444" i="21" l="1"/>
  <c r="AB444" i="21" s="1"/>
  <c r="X444" i="21"/>
  <c r="Y444" i="21" s="1"/>
  <c r="N445" i="21" l="1"/>
  <c r="X445" i="21" l="1"/>
  <c r="Y445" i="21" s="1"/>
  <c r="AA445" i="21"/>
  <c r="AB445" i="21" s="1"/>
  <c r="N446" i="21" l="1"/>
  <c r="AA446" i="21" l="1"/>
  <c r="AB446" i="21" s="1"/>
  <c r="X446" i="21"/>
  <c r="Y446" i="21" s="1"/>
  <c r="N447" i="21" l="1"/>
  <c r="AA447" i="21" l="1"/>
  <c r="AB447" i="21" s="1"/>
  <c r="X447" i="21"/>
  <c r="Y447" i="21" s="1"/>
  <c r="N448" i="21" l="1"/>
  <c r="X448" i="21" l="1"/>
  <c r="Y448" i="21" s="1"/>
  <c r="AA448" i="21"/>
  <c r="AB448" i="21" s="1"/>
  <c r="N449" i="21" l="1"/>
  <c r="X449" i="21" l="1"/>
  <c r="Y449" i="21" s="1"/>
  <c r="AA449" i="21"/>
  <c r="AB449" i="21" s="1"/>
  <c r="N450" i="21" l="1"/>
  <c r="AA450" i="21" l="1"/>
  <c r="AB450" i="21" s="1"/>
  <c r="X450" i="21"/>
  <c r="Y450" i="21" s="1"/>
  <c r="N451" i="21" l="1"/>
  <c r="AA451" i="21" l="1"/>
  <c r="AB451" i="21" s="1"/>
  <c r="X451" i="21"/>
  <c r="Y451" i="21" s="1"/>
  <c r="N452" i="21" l="1"/>
  <c r="X452" i="21" l="1"/>
  <c r="Y452" i="21" s="1"/>
  <c r="AA452" i="21"/>
  <c r="AB452" i="21" s="1"/>
  <c r="N453" i="21" l="1"/>
  <c r="AA453" i="21" l="1"/>
  <c r="AB453" i="21" s="1"/>
  <c r="X453" i="21"/>
  <c r="Y453" i="21" s="1"/>
  <c r="N454" i="21" l="1"/>
  <c r="AA454" i="21" l="1"/>
  <c r="AB454" i="21" s="1"/>
  <c r="X454" i="21"/>
  <c r="Y454" i="21" s="1"/>
  <c r="N455" i="21" l="1"/>
  <c r="X455" i="21" l="1"/>
  <c r="Y455" i="21" s="1"/>
  <c r="AA455" i="21"/>
  <c r="AB455" i="21" s="1"/>
  <c r="N456" i="21" l="1"/>
  <c r="AA456" i="21" l="1"/>
  <c r="AB456" i="21" s="1"/>
  <c r="X456" i="21"/>
  <c r="Y456" i="21" s="1"/>
  <c r="N457" i="21" l="1"/>
  <c r="X457" i="21" l="1"/>
  <c r="Y457" i="21" s="1"/>
  <c r="AA457" i="21"/>
  <c r="AB457" i="21" s="1"/>
  <c r="N458" i="21" l="1"/>
  <c r="X458" i="21" l="1"/>
  <c r="Y458" i="21" s="1"/>
  <c r="AA458" i="21"/>
  <c r="AB458" i="21" s="1"/>
  <c r="N459" i="21" l="1"/>
  <c r="X459" i="21" l="1"/>
  <c r="Y459" i="21" s="1"/>
  <c r="AA459" i="21"/>
  <c r="AB459" i="21" s="1"/>
  <c r="N460" i="21" l="1"/>
  <c r="X460" i="21" l="1"/>
  <c r="Y460" i="21" s="1"/>
  <c r="AA460" i="21"/>
  <c r="AB460" i="21" s="1"/>
  <c r="N461" i="21" l="1"/>
  <c r="X461" i="21" l="1"/>
  <c r="Y461" i="21" s="1"/>
  <c r="AA461" i="21"/>
  <c r="AB461" i="21" s="1"/>
  <c r="N462" i="21" l="1"/>
  <c r="AA462" i="21" l="1"/>
  <c r="AB462" i="21" s="1"/>
  <c r="X462" i="21"/>
  <c r="Y462" i="21" s="1"/>
  <c r="N463" i="21" l="1"/>
  <c r="X463" i="21" l="1"/>
  <c r="Y463" i="21" s="1"/>
  <c r="AA463" i="21"/>
  <c r="AB463" i="21" s="1"/>
  <c r="N464" i="21" l="1"/>
  <c r="AA464" i="21" l="1"/>
  <c r="AB464" i="21" s="1"/>
  <c r="X464" i="21"/>
  <c r="Y464" i="21" s="1"/>
  <c r="N465" i="21" l="1"/>
  <c r="X465" i="21" l="1"/>
  <c r="Y465" i="21" s="1"/>
  <c r="AA465" i="21"/>
  <c r="AB465" i="21" s="1"/>
  <c r="N466" i="21" l="1"/>
  <c r="AA466" i="21" l="1"/>
  <c r="AB466" i="21" s="1"/>
  <c r="X466" i="21"/>
  <c r="Y466" i="21" s="1"/>
  <c r="N467" i="21" l="1"/>
  <c r="AA467" i="21" l="1"/>
  <c r="AB467" i="21" s="1"/>
  <c r="X467" i="21"/>
  <c r="Y467" i="21" s="1"/>
  <c r="N468" i="21" l="1"/>
  <c r="X468" i="21" l="1"/>
  <c r="Y468" i="21" s="1"/>
  <c r="AA468" i="21"/>
  <c r="AB468" i="21" s="1"/>
  <c r="N469" i="21" l="1"/>
  <c r="AA469" i="21" l="1"/>
  <c r="AB469" i="21" s="1"/>
  <c r="X469" i="21"/>
  <c r="Y469" i="21" s="1"/>
  <c r="N470" i="21" l="1"/>
  <c r="AA470" i="21" l="1"/>
  <c r="AB470" i="21" s="1"/>
  <c r="X470" i="21"/>
  <c r="Y470" i="21" s="1"/>
  <c r="N471" i="21" l="1"/>
  <c r="AA471" i="21" l="1"/>
  <c r="AB471" i="21" s="1"/>
  <c r="X471" i="21"/>
  <c r="Y471" i="21" s="1"/>
  <c r="N472" i="21" l="1"/>
  <c r="AA472" i="21" l="1"/>
  <c r="AB472" i="21" s="1"/>
  <c r="X472" i="21"/>
  <c r="Y472" i="21" s="1"/>
  <c r="N473" i="21" l="1"/>
  <c r="X473" i="21" l="1"/>
  <c r="Y473" i="21" s="1"/>
  <c r="AA473" i="21"/>
  <c r="AB473" i="21" s="1"/>
  <c r="N474" i="21" l="1"/>
  <c r="AA474" i="21" l="1"/>
  <c r="AB474" i="21" s="1"/>
  <c r="X474" i="21"/>
  <c r="Y474" i="21" s="1"/>
  <c r="N475" i="21" l="1"/>
  <c r="AA475" i="21" l="1"/>
  <c r="AB475" i="21" s="1"/>
  <c r="X475" i="21"/>
  <c r="Y475" i="21" s="1"/>
  <c r="N476" i="21" l="1"/>
  <c r="X476" i="21" l="1"/>
  <c r="Y476" i="21" s="1"/>
  <c r="AA476" i="21"/>
  <c r="AB476" i="21" s="1"/>
  <c r="N477" i="21" l="1"/>
  <c r="X477" i="21" l="1"/>
  <c r="Y477" i="21" s="1"/>
  <c r="AA477" i="21"/>
  <c r="AB477" i="21" s="1"/>
  <c r="N478" i="21" l="1"/>
  <c r="X478" i="21" l="1"/>
  <c r="Y478" i="21" s="1"/>
  <c r="AA478" i="21"/>
  <c r="AB478" i="21" s="1"/>
  <c r="N479" i="21" l="1"/>
  <c r="AA479" i="21" l="1"/>
  <c r="AB479" i="21" s="1"/>
  <c r="X479" i="21"/>
  <c r="Y479" i="21" s="1"/>
  <c r="N480" i="21" l="1"/>
  <c r="AA480" i="21" l="1"/>
  <c r="AB480" i="21" s="1"/>
  <c r="X480" i="21"/>
  <c r="Y480" i="21" s="1"/>
  <c r="N481" i="21" l="1"/>
  <c r="X481" i="21" l="1"/>
  <c r="Y481" i="21" s="1"/>
  <c r="AA481" i="21"/>
  <c r="AB481" i="21" s="1"/>
  <c r="N482" i="21" l="1"/>
  <c r="AA482" i="21" l="1"/>
  <c r="AB482" i="21" s="1"/>
  <c r="X482" i="21"/>
  <c r="Y482" i="21" s="1"/>
  <c r="N483" i="21" l="1"/>
  <c r="AA483" i="21" l="1"/>
  <c r="AB483" i="21" s="1"/>
  <c r="X483" i="21"/>
  <c r="Y483" i="21" s="1"/>
  <c r="N484" i="21" l="1"/>
  <c r="X484" i="21" l="1"/>
  <c r="Y484" i="21" s="1"/>
  <c r="AA484" i="21"/>
  <c r="AB484" i="21" s="1"/>
  <c r="N485" i="21" l="1"/>
  <c r="AA485" i="21" l="1"/>
  <c r="AB485" i="21" s="1"/>
  <c r="X485" i="21"/>
  <c r="Y485" i="21" s="1"/>
  <c r="N486" i="21" l="1"/>
  <c r="X486" i="21" l="1"/>
  <c r="Y486" i="21" s="1"/>
  <c r="AA486" i="21"/>
  <c r="AB486" i="21" s="1"/>
  <c r="N487" i="21" l="1"/>
  <c r="AA487" i="21" l="1"/>
  <c r="AB487" i="21" s="1"/>
  <c r="X487" i="21"/>
  <c r="Y487" i="21" s="1"/>
  <c r="N488" i="21" l="1"/>
  <c r="X488" i="21" l="1"/>
  <c r="Y488" i="21" s="1"/>
  <c r="AA488" i="21"/>
  <c r="AB488" i="21" s="1"/>
  <c r="N489" i="21" l="1"/>
  <c r="AA489" i="21" l="1"/>
  <c r="AB489" i="21" s="1"/>
  <c r="X489" i="21"/>
  <c r="Y489" i="21" s="1"/>
  <c r="N490" i="21" l="1"/>
  <c r="AA490" i="21" l="1"/>
  <c r="AB490" i="21" s="1"/>
  <c r="X490" i="21"/>
  <c r="Y490" i="21" s="1"/>
  <c r="N491" i="21" l="1"/>
  <c r="X491" i="21" l="1"/>
  <c r="Y491" i="21" s="1"/>
  <c r="AA491" i="21"/>
  <c r="AB491" i="21" s="1"/>
  <c r="N492" i="21" l="1"/>
  <c r="AA492" i="21" l="1"/>
  <c r="AB492" i="21" s="1"/>
  <c r="X492" i="21"/>
  <c r="Y492" i="21" s="1"/>
  <c r="N493" i="21" l="1"/>
  <c r="X493" i="21" l="1"/>
  <c r="Y493" i="21" s="1"/>
  <c r="AA493" i="21"/>
  <c r="AB493" i="21" s="1"/>
  <c r="N494" i="21" l="1"/>
  <c r="AA494" i="21" l="1"/>
  <c r="AB494" i="21" s="1"/>
  <c r="X494" i="21"/>
  <c r="Y494" i="21" s="1"/>
  <c r="N495" i="21" l="1"/>
  <c r="X495" i="21" l="1"/>
  <c r="Y495" i="21" s="1"/>
  <c r="AA495" i="21"/>
  <c r="AB495" i="21" s="1"/>
  <c r="N496" i="21" l="1"/>
  <c r="AA496" i="21" l="1"/>
  <c r="AB496" i="21" s="1"/>
  <c r="X496" i="21"/>
  <c r="Y496" i="21" s="1"/>
  <c r="N497" i="21" l="1"/>
  <c r="AA497" i="21" l="1"/>
  <c r="AB497" i="21" s="1"/>
  <c r="X497" i="21"/>
  <c r="Y497" i="21" s="1"/>
  <c r="N498" i="21" l="1"/>
  <c r="X498" i="21" l="1"/>
  <c r="Y498" i="21" s="1"/>
  <c r="AA498" i="21"/>
  <c r="AB498" i="21" s="1"/>
  <c r="N499" i="21" l="1"/>
  <c r="AA499" i="21" l="1"/>
  <c r="AB499" i="21" s="1"/>
  <c r="X499" i="21"/>
  <c r="Y499" i="21" s="1"/>
  <c r="N500" i="21" l="1"/>
  <c r="X500" i="21" l="1"/>
  <c r="Y500" i="21" s="1"/>
  <c r="AA500" i="21"/>
  <c r="AB500" i="21" s="1"/>
  <c r="N501" i="21" l="1"/>
  <c r="AA501" i="21" l="1"/>
  <c r="AB501" i="21" s="1"/>
  <c r="X501" i="21"/>
  <c r="Y501" i="21" s="1"/>
  <c r="N502" i="21" l="1"/>
  <c r="X502" i="21" l="1"/>
  <c r="Y502" i="21" s="1"/>
  <c r="AA502" i="21"/>
  <c r="AB502" i="21" s="1"/>
  <c r="N503" i="21" l="1"/>
  <c r="AA503" i="21" l="1"/>
  <c r="AB503" i="21" s="1"/>
  <c r="X503" i="21"/>
  <c r="Y503" i="21" s="1"/>
  <c r="N504" i="21" l="1"/>
  <c r="X504" i="21" l="1"/>
  <c r="Y504" i="21" s="1"/>
  <c r="AA504" i="21"/>
  <c r="AB504" i="21" s="1"/>
  <c r="N505" i="21" l="1"/>
  <c r="X505" i="21" l="1"/>
  <c r="Y505" i="21" s="1"/>
  <c r="AA505" i="21"/>
  <c r="AB505" i="21" s="1"/>
  <c r="N506" i="21" l="1"/>
  <c r="AA506" i="21" l="1"/>
  <c r="AB506" i="21" s="1"/>
  <c r="X506" i="21"/>
  <c r="Y506" i="21" s="1"/>
  <c r="N507" i="21" l="1"/>
  <c r="AA507" i="21" l="1"/>
  <c r="AB507" i="21" s="1"/>
  <c r="X507" i="21"/>
  <c r="Y507" i="21" s="1"/>
  <c r="N508" i="21" l="1"/>
  <c r="X508" i="21" l="1"/>
  <c r="Y508" i="21" s="1"/>
  <c r="AA508" i="21"/>
  <c r="AB508" i="21" s="1"/>
  <c r="N509" i="21" l="1"/>
  <c r="X509" i="21" l="1"/>
  <c r="Y509" i="21" s="1"/>
  <c r="AA509" i="21"/>
  <c r="AB509" i="21" s="1"/>
  <c r="N510" i="21" l="1"/>
  <c r="AA510" i="21" l="1"/>
  <c r="AB510" i="21" s="1"/>
  <c r="X510" i="21"/>
  <c r="Y510" i="21" s="1"/>
  <c r="N511" i="21" l="1"/>
  <c r="AA511" i="21" l="1"/>
  <c r="AB511" i="21" s="1"/>
  <c r="X511" i="21"/>
  <c r="Y511" i="21" s="1"/>
  <c r="N512" i="21" l="1"/>
  <c r="AA512" i="21" l="1"/>
  <c r="AB512" i="21" s="1"/>
  <c r="X512" i="21"/>
  <c r="Y512" i="21" s="1"/>
  <c r="N513" i="21" l="1"/>
  <c r="X513" i="21" l="1"/>
  <c r="Y513" i="21" s="1"/>
  <c r="AA513" i="21"/>
  <c r="AB513" i="21" s="1"/>
  <c r="N514" i="21" l="1"/>
  <c r="AA514" i="21" l="1"/>
  <c r="AB514" i="21" s="1"/>
  <c r="X514" i="21"/>
  <c r="Y514" i="21" s="1"/>
  <c r="N515" i="21" l="1"/>
  <c r="AA515" i="21" l="1"/>
  <c r="AB515" i="21" s="1"/>
  <c r="X515" i="21"/>
  <c r="Y515" i="21" s="1"/>
  <c r="N516" i="21" l="1"/>
  <c r="X516" i="21" l="1"/>
  <c r="Y516" i="21" s="1"/>
  <c r="AA516" i="21"/>
  <c r="AB516" i="21" s="1"/>
  <c r="N517" i="21" l="1"/>
  <c r="X517" i="21" l="1"/>
  <c r="Y517" i="21" s="1"/>
  <c r="AA517" i="21"/>
  <c r="AB517" i="21" s="1"/>
  <c r="N518" i="21" l="1"/>
  <c r="AA518" i="21" l="1"/>
  <c r="AB518" i="21" s="1"/>
  <c r="X518" i="21"/>
  <c r="Y518" i="21" s="1"/>
  <c r="N519" i="21" l="1"/>
  <c r="AA519" i="21" l="1"/>
  <c r="AB519" i="21" s="1"/>
  <c r="X519" i="21"/>
  <c r="Y519" i="21" s="1"/>
  <c r="N520" i="21" l="1"/>
  <c r="AA520" i="21" l="1"/>
  <c r="AB520" i="21" s="1"/>
  <c r="X520" i="21"/>
  <c r="Y520" i="21" s="1"/>
  <c r="N521" i="21" l="1"/>
  <c r="X521" i="21" l="1"/>
  <c r="Y521" i="21" s="1"/>
  <c r="AA521" i="21"/>
  <c r="AB521" i="21" s="1"/>
  <c r="N522" i="21" l="1"/>
  <c r="AA522" i="21" l="1"/>
  <c r="AB522" i="21" s="1"/>
  <c r="X522" i="21"/>
  <c r="Y522" i="21" s="1"/>
  <c r="N523" i="21" l="1"/>
  <c r="AA523" i="21" l="1"/>
  <c r="AB523" i="21" s="1"/>
  <c r="X523" i="21"/>
  <c r="Y523" i="21" s="1"/>
  <c r="N524" i="21" l="1"/>
  <c r="X524" i="21" l="1"/>
  <c r="Y524" i="21" s="1"/>
  <c r="AA524" i="21"/>
  <c r="AB524" i="21" s="1"/>
  <c r="N525" i="21" l="1"/>
  <c r="X525" i="21" l="1"/>
  <c r="Y525" i="21" s="1"/>
  <c r="AA525" i="21"/>
  <c r="AB525" i="21" s="1"/>
  <c r="N526" i="21" l="1"/>
  <c r="AA526" i="21" l="1"/>
  <c r="AB526" i="21" s="1"/>
  <c r="X526" i="21"/>
  <c r="Y526" i="21" s="1"/>
  <c r="N527" i="21" l="1"/>
  <c r="AA527" i="21" l="1"/>
  <c r="AB527" i="21" s="1"/>
  <c r="X527" i="21"/>
  <c r="Y527" i="21" s="1"/>
  <c r="N528" i="21" l="1"/>
  <c r="AA528" i="21" l="1"/>
  <c r="AB528" i="21" s="1"/>
  <c r="X528" i="21"/>
  <c r="Y528" i="21" s="1"/>
  <c r="N529" i="21" l="1"/>
  <c r="AA529" i="21" l="1"/>
  <c r="AB529" i="21" s="1"/>
  <c r="X529" i="21"/>
  <c r="Y529" i="21" s="1"/>
  <c r="N530" i="21" l="1"/>
  <c r="AA530" i="21" l="1"/>
  <c r="AB530" i="21" s="1"/>
  <c r="X530" i="21"/>
  <c r="Y530" i="21" s="1"/>
  <c r="N531" i="21" l="1"/>
  <c r="AA531" i="21" l="1"/>
  <c r="AB531" i="21" s="1"/>
  <c r="X531" i="21"/>
  <c r="Y531" i="21" s="1"/>
  <c r="N532" i="21" l="1"/>
  <c r="X532" i="21" l="1"/>
  <c r="Y532" i="21" s="1"/>
  <c r="AA532" i="21"/>
  <c r="AB532" i="21" s="1"/>
  <c r="N533" i="21" l="1"/>
  <c r="X533" i="21" l="1"/>
  <c r="Y533" i="21" s="1"/>
  <c r="AA533" i="21"/>
  <c r="AB533" i="21" s="1"/>
  <c r="N534" i="21" l="1"/>
  <c r="AA534" i="21" l="1"/>
  <c r="AB534" i="21" s="1"/>
  <c r="X534" i="21"/>
  <c r="Y534" i="21" s="1"/>
  <c r="N535" i="21" l="1"/>
  <c r="X535" i="21" l="1"/>
  <c r="Y535" i="21" s="1"/>
  <c r="AA535" i="21"/>
  <c r="AB535" i="21" s="1"/>
  <c r="N536" i="21" l="1"/>
  <c r="AA536" i="21" l="1"/>
  <c r="AB536" i="21" s="1"/>
  <c r="X536" i="21"/>
  <c r="Y536" i="21" s="1"/>
  <c r="N537" i="21" l="1"/>
  <c r="X537" i="21" l="1"/>
  <c r="Y537" i="21" s="1"/>
  <c r="AA537" i="21"/>
  <c r="AB537" i="21" s="1"/>
  <c r="N538" i="21" l="1"/>
  <c r="X538" i="21" l="1"/>
  <c r="Y538" i="21" s="1"/>
  <c r="AA538" i="21"/>
  <c r="AB538" i="21" s="1"/>
  <c r="N539" i="21" l="1"/>
  <c r="AA539" i="21" l="1"/>
  <c r="AB539" i="21" s="1"/>
  <c r="X539" i="21"/>
  <c r="Y539" i="21" s="1"/>
  <c r="N540" i="21" l="1"/>
  <c r="AA540" i="21" l="1"/>
  <c r="AB540" i="21" s="1"/>
  <c r="X540" i="21"/>
  <c r="Y540" i="21" s="1"/>
  <c r="N541" i="21" l="1"/>
  <c r="X541" i="21" l="1"/>
  <c r="Y541" i="21" s="1"/>
  <c r="AA541" i="21"/>
  <c r="AB541" i="21" s="1"/>
  <c r="N542" i="21" l="1"/>
  <c r="AA542" i="21" l="1"/>
  <c r="AB542" i="21" s="1"/>
  <c r="X542" i="21"/>
  <c r="Y542" i="21" s="1"/>
  <c r="N543" i="21" l="1"/>
  <c r="AA543" i="21" l="1"/>
  <c r="AB543" i="21" s="1"/>
  <c r="X543" i="21"/>
  <c r="Y543" i="21" s="1"/>
  <c r="N544" i="21" l="1"/>
  <c r="X544" i="21" l="1"/>
  <c r="Y544" i="21" s="1"/>
  <c r="AA544" i="21"/>
  <c r="AB544" i="21" s="1"/>
  <c r="N545" i="21" l="1"/>
  <c r="X545" i="21" l="1"/>
  <c r="Y545" i="21" s="1"/>
  <c r="AA545" i="21"/>
  <c r="AB545" i="21" s="1"/>
  <c r="N546" i="21" l="1"/>
  <c r="X546" i="21" l="1"/>
  <c r="Y546" i="21" s="1"/>
  <c r="AA546" i="21"/>
  <c r="AB546" i="21" s="1"/>
  <c r="N547" i="21" l="1"/>
  <c r="AA547" i="21" l="1"/>
  <c r="AB547" i="21" s="1"/>
  <c r="X547" i="21"/>
  <c r="Y547" i="21" s="1"/>
  <c r="N548" i="21" l="1"/>
  <c r="AA548" i="21" l="1"/>
  <c r="AB548" i="21" s="1"/>
  <c r="X548" i="21"/>
  <c r="Y548" i="21" s="1"/>
  <c r="N549" i="21" l="1"/>
  <c r="AA549" i="21" l="1"/>
  <c r="AB549" i="21" s="1"/>
  <c r="X549" i="21"/>
  <c r="Y549" i="21" s="1"/>
  <c r="N550" i="21" l="1"/>
  <c r="X550" i="21" l="1"/>
  <c r="Y550" i="21" s="1"/>
  <c r="AA550" i="21"/>
  <c r="AB550" i="21" s="1"/>
  <c r="N551" i="21" l="1"/>
  <c r="X551" i="21" l="1"/>
  <c r="Y551" i="21" s="1"/>
  <c r="AA551" i="21"/>
  <c r="AB551" i="21" s="1"/>
  <c r="N552" i="21" l="1"/>
  <c r="X552" i="21" l="1"/>
  <c r="Y552" i="21" s="1"/>
  <c r="AA552" i="21"/>
  <c r="AB552" i="21" s="1"/>
  <c r="N553" i="21" l="1"/>
  <c r="X553" i="21" l="1"/>
  <c r="Y553" i="21" s="1"/>
  <c r="AA553" i="21"/>
  <c r="AB553" i="21" s="1"/>
  <c r="N554" i="21" l="1"/>
  <c r="X554" i="21" l="1"/>
  <c r="Y554" i="21" s="1"/>
  <c r="AA554" i="21"/>
  <c r="AB554" i="21" s="1"/>
  <c r="N555" i="21" l="1"/>
  <c r="X555" i="21" l="1"/>
  <c r="Y555" i="21" s="1"/>
  <c r="AA555" i="21"/>
  <c r="AB555" i="21" s="1"/>
  <c r="N556" i="21" l="1"/>
  <c r="AA556" i="21" l="1"/>
  <c r="AB556" i="21" s="1"/>
  <c r="X556" i="21"/>
  <c r="Y556" i="21" s="1"/>
  <c r="N557" i="21" l="1"/>
  <c r="AA557" i="21" l="1"/>
  <c r="AB557" i="21" s="1"/>
  <c r="X557" i="21"/>
  <c r="Y557" i="21" s="1"/>
  <c r="N558" i="21" l="1"/>
  <c r="AA558" i="21" l="1"/>
  <c r="AB558" i="21" s="1"/>
  <c r="X558" i="21"/>
  <c r="Y558" i="21" s="1"/>
  <c r="N559" i="21" l="1"/>
  <c r="AA559" i="21" l="1"/>
  <c r="AB559" i="21" s="1"/>
  <c r="X559" i="21"/>
  <c r="Y559" i="21" s="1"/>
  <c r="N560" i="21" l="1"/>
  <c r="AA560" i="21" l="1"/>
  <c r="AB560" i="21" s="1"/>
  <c r="X560" i="21"/>
  <c r="Y560" i="21" s="1"/>
  <c r="N561" i="21" l="1"/>
  <c r="AA561" i="21" l="1"/>
  <c r="AB561" i="21" s="1"/>
  <c r="X561" i="21"/>
  <c r="Y561" i="21" s="1"/>
  <c r="N562" i="21" l="1"/>
  <c r="AA562" i="21" l="1"/>
  <c r="AB562" i="21" s="1"/>
  <c r="X562" i="21"/>
  <c r="Y562" i="21" s="1"/>
  <c r="N563" i="21" l="1"/>
  <c r="AA563" i="21" l="1"/>
  <c r="AB563" i="21" s="1"/>
  <c r="X563" i="21"/>
  <c r="Y563" i="21" s="1"/>
  <c r="N564" i="21" l="1"/>
  <c r="AA564" i="21" l="1"/>
  <c r="AB564" i="21" s="1"/>
  <c r="X564" i="21"/>
  <c r="Y564" i="21" s="1"/>
  <c r="N565" i="21" l="1"/>
  <c r="AA565" i="21" l="1"/>
  <c r="AB565" i="21" s="1"/>
  <c r="X565" i="21"/>
  <c r="Y565" i="21" s="1"/>
  <c r="N566" i="21" l="1"/>
  <c r="X566" i="21" l="1"/>
  <c r="Y566" i="21" s="1"/>
  <c r="AA566" i="21"/>
  <c r="AB566" i="21" s="1"/>
  <c r="N567" i="21" l="1"/>
  <c r="AA567" i="21" l="1"/>
  <c r="AB567" i="21" s="1"/>
  <c r="X567" i="21"/>
  <c r="Y567" i="21" s="1"/>
  <c r="N568" i="21" l="1"/>
  <c r="AA568" i="21" l="1"/>
  <c r="AB568" i="21" s="1"/>
  <c r="X568" i="21"/>
  <c r="Y568" i="21" s="1"/>
  <c r="N569" i="21" l="1"/>
  <c r="AA569" i="21" l="1"/>
  <c r="AB569" i="21" s="1"/>
  <c r="X569" i="21"/>
  <c r="Y569" i="21" s="1"/>
  <c r="N570" i="21" l="1"/>
  <c r="AA570" i="21" l="1"/>
  <c r="AB570" i="21" s="1"/>
  <c r="X570" i="21"/>
  <c r="Y570" i="21" s="1"/>
  <c r="N571" i="21" l="1"/>
  <c r="AA571" i="21" l="1"/>
  <c r="AB571" i="21" s="1"/>
  <c r="X571" i="21"/>
  <c r="Y571" i="21" s="1"/>
  <c r="N572" i="21" l="1"/>
  <c r="X572" i="21" l="1"/>
  <c r="Y572" i="21" s="1"/>
  <c r="AA572" i="21"/>
  <c r="AB572" i="21" s="1"/>
  <c r="N573" i="21" l="1"/>
  <c r="AA573" i="21" l="1"/>
  <c r="AB573" i="21" s="1"/>
  <c r="X573" i="21"/>
  <c r="Y573" i="21" s="1"/>
  <c r="N574" i="21" l="1"/>
  <c r="X574" i="21" l="1"/>
  <c r="Y574" i="21" s="1"/>
  <c r="AA574" i="21"/>
  <c r="AB574" i="21" s="1"/>
  <c r="N575" i="21" l="1"/>
  <c r="AA575" i="21" l="1"/>
  <c r="AB575" i="21" s="1"/>
  <c r="X575" i="21"/>
  <c r="Y575" i="21" s="1"/>
  <c r="N576" i="21" l="1"/>
  <c r="AA576" i="21" l="1"/>
  <c r="AB576" i="21" s="1"/>
  <c r="X576" i="21"/>
  <c r="Y576" i="21" s="1"/>
  <c r="N577" i="21" l="1"/>
  <c r="AA577" i="21" l="1"/>
  <c r="AB577" i="21" s="1"/>
  <c r="X577" i="21"/>
  <c r="Y577" i="21" s="1"/>
  <c r="N578" i="21" l="1"/>
  <c r="X578" i="21" l="1"/>
  <c r="Y578" i="21" s="1"/>
  <c r="AA578" i="21"/>
  <c r="AB578" i="21" s="1"/>
  <c r="N579" i="21" l="1"/>
  <c r="AA579" i="21" l="1"/>
  <c r="AB579" i="21" s="1"/>
  <c r="X579" i="21"/>
  <c r="Y579" i="21" s="1"/>
  <c r="N580" i="21" l="1"/>
  <c r="X580" i="21" l="1"/>
  <c r="Y580" i="21" s="1"/>
  <c r="AA580" i="21"/>
  <c r="AB580" i="21" s="1"/>
  <c r="N581" i="21" l="1"/>
  <c r="X581" i="21" l="1"/>
  <c r="Y581" i="21" s="1"/>
  <c r="AA581" i="21"/>
  <c r="AB581" i="21" s="1"/>
  <c r="N582" i="21" l="1"/>
  <c r="X582" i="21" l="1"/>
  <c r="Y582" i="21" s="1"/>
  <c r="AA582" i="21"/>
  <c r="AB582" i="21" s="1"/>
  <c r="N583" i="21" l="1"/>
  <c r="X583" i="21" l="1"/>
  <c r="Y583" i="21" s="1"/>
  <c r="AA583" i="21"/>
  <c r="AB583" i="21" s="1"/>
  <c r="N584" i="21" l="1"/>
  <c r="AA584" i="21" l="1"/>
  <c r="AB584" i="21" s="1"/>
  <c r="X584" i="21"/>
  <c r="Y584" i="21" s="1"/>
  <c r="N585" i="21" l="1"/>
  <c r="X585" i="21" l="1"/>
  <c r="Y585" i="21" s="1"/>
  <c r="AA585" i="21"/>
  <c r="AB585" i="21" s="1"/>
  <c r="N586" i="21" l="1"/>
  <c r="AA586" i="21" l="1"/>
  <c r="AB586" i="21" s="1"/>
  <c r="X586" i="21"/>
  <c r="Y586" i="21" s="1"/>
  <c r="N587" i="21" l="1"/>
  <c r="X587" i="21" l="1"/>
  <c r="Y587" i="21" s="1"/>
  <c r="AA587" i="21"/>
  <c r="AB587" i="21" s="1"/>
  <c r="N588" i="21" l="1"/>
  <c r="X588" i="21" l="1"/>
  <c r="Y588" i="21" s="1"/>
  <c r="AA588" i="21"/>
  <c r="AB588" i="21" s="1"/>
  <c r="N589" i="21" l="1"/>
  <c r="AA589" i="21" l="1"/>
  <c r="AB589" i="21" s="1"/>
  <c r="X589" i="21"/>
  <c r="Y589" i="21" s="1"/>
  <c r="N590" i="21" l="1"/>
  <c r="AA590" i="21" l="1"/>
  <c r="AB590" i="21" s="1"/>
  <c r="X590" i="21"/>
  <c r="Y590" i="21" s="1"/>
  <c r="N591" i="21" l="1"/>
  <c r="AA591" i="21" l="1"/>
  <c r="AB591" i="21" s="1"/>
  <c r="X591" i="21"/>
  <c r="Y591" i="21" s="1"/>
  <c r="N592" i="21" l="1"/>
  <c r="AA592" i="21" l="1"/>
  <c r="AB592" i="21" s="1"/>
  <c r="X592" i="21"/>
  <c r="Y592" i="21" s="1"/>
  <c r="N593" i="21" l="1"/>
  <c r="AA593" i="21" l="1"/>
  <c r="AB593" i="21" s="1"/>
  <c r="X593" i="21"/>
  <c r="Y593" i="21" s="1"/>
  <c r="N594" i="21" l="1"/>
  <c r="X594" i="21" l="1"/>
  <c r="Y594" i="21" s="1"/>
  <c r="AA594" i="21"/>
  <c r="AB594" i="21" s="1"/>
  <c r="N595" i="21" l="1"/>
  <c r="AA595" i="21" l="1"/>
  <c r="AB595" i="21" s="1"/>
  <c r="X595" i="21"/>
  <c r="Y595" i="21" s="1"/>
  <c r="N596" i="21" l="1"/>
  <c r="X596" i="21" l="1"/>
  <c r="Y596" i="21" s="1"/>
  <c r="AA596" i="21"/>
  <c r="AB596" i="21" s="1"/>
  <c r="N597" i="21" l="1"/>
  <c r="X597" i="21" l="1"/>
  <c r="Y597" i="21" s="1"/>
  <c r="AA597" i="21"/>
  <c r="AB597" i="21" s="1"/>
  <c r="N598" i="21" l="1"/>
  <c r="AA598" i="21" l="1"/>
  <c r="AB598" i="21" s="1"/>
  <c r="X598" i="21"/>
  <c r="Y598" i="21" s="1"/>
  <c r="N599" i="21" l="1"/>
  <c r="X599" i="21" l="1"/>
  <c r="Y599" i="21" s="1"/>
  <c r="AA599" i="21"/>
  <c r="AB599" i="21" s="1"/>
  <c r="N600" i="21" l="1"/>
  <c r="AA600" i="21" l="1"/>
  <c r="AB600" i="21" s="1"/>
  <c r="X600" i="21"/>
  <c r="Y600" i="21" s="1"/>
  <c r="N601" i="21" l="1"/>
  <c r="X601" i="21" l="1"/>
  <c r="Y601" i="21" s="1"/>
  <c r="AA601" i="21"/>
  <c r="AB601" i="21" s="1"/>
  <c r="N602" i="21" l="1"/>
  <c r="AA602" i="21" l="1"/>
  <c r="AB602" i="21" s="1"/>
  <c r="X602" i="21"/>
  <c r="Y602" i="21" s="1"/>
  <c r="N603" i="21" l="1"/>
  <c r="AA603" i="21" l="1"/>
  <c r="AB603" i="21" s="1"/>
  <c r="X603" i="21"/>
  <c r="Y603" i="21" s="1"/>
  <c r="N604" i="21" l="1"/>
  <c r="AA604" i="21" l="1"/>
  <c r="AB604" i="21" s="1"/>
  <c r="X604" i="21"/>
  <c r="Y604" i="21" s="1"/>
  <c r="N605" i="21" l="1"/>
  <c r="X605" i="21" l="1"/>
  <c r="Y605" i="21" s="1"/>
  <c r="AA605" i="21"/>
  <c r="AB605" i="21" s="1"/>
  <c r="N606" i="21" l="1"/>
  <c r="X606" i="21" l="1"/>
  <c r="Y606" i="21" s="1"/>
  <c r="AA606" i="21"/>
  <c r="AB606" i="21" s="1"/>
  <c r="N607" i="21" l="1"/>
  <c r="AA607" i="21" l="1"/>
  <c r="AB607" i="21" s="1"/>
  <c r="X607" i="21"/>
  <c r="Y607" i="21" s="1"/>
  <c r="N608" i="21" l="1"/>
  <c r="X608" i="21" l="1"/>
  <c r="Y608" i="21" s="1"/>
  <c r="AA608" i="21"/>
  <c r="AB608" i="21" s="1"/>
  <c r="N609" i="21" l="1"/>
  <c r="AA609" i="21" l="1"/>
  <c r="AB609" i="21" s="1"/>
  <c r="X609" i="21"/>
  <c r="Y609" i="21" s="1"/>
  <c r="N610" i="21" l="1"/>
  <c r="X610" i="21" l="1"/>
  <c r="Y610" i="21" s="1"/>
  <c r="AA610" i="21"/>
  <c r="AB610" i="21" s="1"/>
  <c r="N611" i="21" l="1"/>
  <c r="AA611" i="21" l="1"/>
  <c r="AB611" i="21" s="1"/>
  <c r="X611" i="21"/>
  <c r="Y611" i="21" s="1"/>
  <c r="N612" i="21" l="1"/>
  <c r="X612" i="21" l="1"/>
  <c r="Y612" i="21" s="1"/>
  <c r="AA612" i="21"/>
  <c r="AB612" i="21" s="1"/>
  <c r="N613" i="21" l="1"/>
  <c r="AA613" i="21" l="1"/>
  <c r="AB613" i="21" s="1"/>
  <c r="X613" i="21"/>
  <c r="Y613" i="21" s="1"/>
  <c r="N614" i="21" l="1"/>
  <c r="X614" i="21" l="1"/>
  <c r="Y614" i="21" s="1"/>
  <c r="AA614" i="21"/>
  <c r="AB614" i="21" s="1"/>
  <c r="N615" i="21" l="1"/>
  <c r="X615" i="21" l="1"/>
  <c r="Y615" i="21" s="1"/>
  <c r="AA615" i="21"/>
  <c r="AB615" i="21" s="1"/>
  <c r="N616" i="21" l="1"/>
  <c r="X616" i="21" l="1"/>
  <c r="Y616" i="21" s="1"/>
  <c r="AA616" i="21"/>
  <c r="AB616" i="21" s="1"/>
  <c r="N617" i="21" l="1"/>
  <c r="X617" i="21" l="1"/>
  <c r="Y617" i="21" s="1"/>
  <c r="AA617" i="21"/>
  <c r="AB617" i="21" s="1"/>
  <c r="N618" i="21" l="1"/>
  <c r="X618" i="21" l="1"/>
  <c r="Y618" i="21" s="1"/>
  <c r="AA618" i="21"/>
  <c r="AB618" i="21" s="1"/>
  <c r="N619" i="21" l="1"/>
  <c r="X619" i="21" l="1"/>
  <c r="Y619" i="21" s="1"/>
  <c r="AA619" i="21"/>
  <c r="AB619" i="21" s="1"/>
  <c r="N620" i="21" l="1"/>
  <c r="AA620" i="21" l="1"/>
  <c r="AB620" i="21" s="1"/>
  <c r="X620" i="21"/>
  <c r="Y620" i="21" s="1"/>
  <c r="N621" i="21" l="1"/>
  <c r="AA621" i="21" l="1"/>
  <c r="AB621" i="21" s="1"/>
  <c r="X621" i="21"/>
  <c r="Y621" i="21" s="1"/>
  <c r="N622" i="21" l="1"/>
  <c r="X622" i="21" l="1"/>
  <c r="Y622" i="21" s="1"/>
  <c r="AA622" i="21"/>
  <c r="AB622" i="21" s="1"/>
  <c r="N623" i="21" l="1"/>
  <c r="AA623" i="21" l="1"/>
  <c r="AB623" i="21" s="1"/>
  <c r="X623" i="21"/>
  <c r="Y623" i="21" s="1"/>
  <c r="N624" i="21" l="1"/>
  <c r="AA624" i="21" l="1"/>
  <c r="AB624" i="21" s="1"/>
  <c r="X624" i="21"/>
  <c r="Y624" i="21" s="1"/>
  <c r="N625" i="21" l="1"/>
  <c r="AA625" i="21" l="1"/>
  <c r="AB625" i="21" s="1"/>
  <c r="X625" i="21"/>
  <c r="Y625" i="21" s="1"/>
  <c r="N626" i="21" l="1"/>
  <c r="X626" i="21" l="1"/>
  <c r="Y626" i="21" s="1"/>
  <c r="AA626" i="21"/>
  <c r="AB626" i="21" s="1"/>
  <c r="N627" i="21" l="1"/>
  <c r="AA627" i="21" l="1"/>
  <c r="AB627" i="21" s="1"/>
  <c r="X627" i="21"/>
  <c r="Y627" i="21" s="1"/>
  <c r="N628" i="21" l="1"/>
  <c r="X628" i="21" l="1"/>
  <c r="Y628" i="21" s="1"/>
  <c r="AA628" i="21"/>
  <c r="AB628" i="21" s="1"/>
  <c r="N629" i="21" l="1"/>
  <c r="AA629" i="21" l="1"/>
  <c r="AB629" i="21" s="1"/>
  <c r="X629" i="21"/>
  <c r="Y629" i="21" s="1"/>
  <c r="N630" i="21" l="1"/>
  <c r="AA630" i="21" l="1"/>
  <c r="AB630" i="21" s="1"/>
  <c r="X630" i="21"/>
  <c r="Y630" i="21" s="1"/>
  <c r="N631" i="21" l="1"/>
  <c r="X631" i="21" l="1"/>
  <c r="Y631" i="21" s="1"/>
  <c r="AA631" i="21"/>
  <c r="AB631" i="21" s="1"/>
  <c r="N632" i="21" l="1"/>
  <c r="AA632" i="21" l="1"/>
  <c r="AB632" i="21" s="1"/>
  <c r="X632" i="21"/>
  <c r="Y632" i="21" s="1"/>
  <c r="N633" i="21" l="1"/>
  <c r="X633" i="21" l="1"/>
  <c r="Y633" i="21" s="1"/>
  <c r="AA633" i="21"/>
  <c r="AB633" i="21" s="1"/>
  <c r="N634" i="21" l="1"/>
  <c r="X634" i="21" l="1"/>
  <c r="Y634" i="21" s="1"/>
  <c r="AA634" i="21"/>
  <c r="AB634" i="21" s="1"/>
  <c r="N635" i="21" l="1"/>
  <c r="AA635" i="21" l="1"/>
  <c r="AB635" i="21" s="1"/>
  <c r="X635" i="21"/>
  <c r="Y635" i="21" s="1"/>
  <c r="N636" i="21" l="1"/>
  <c r="X636" i="21" l="1"/>
  <c r="Y636" i="21" s="1"/>
  <c r="AA636" i="21"/>
  <c r="AB636" i="21" s="1"/>
  <c r="N637" i="21" l="1"/>
  <c r="AA637" i="21" l="1"/>
  <c r="AB637" i="21" s="1"/>
  <c r="X637" i="21"/>
  <c r="Y637" i="21" s="1"/>
  <c r="N638" i="21" l="1"/>
  <c r="X638" i="21" l="1"/>
  <c r="Y638" i="21" s="1"/>
  <c r="AA638" i="21"/>
  <c r="AB638" i="21" s="1"/>
  <c r="N639" i="21" l="1"/>
  <c r="X639" i="21" l="1"/>
  <c r="Y639" i="21" s="1"/>
  <c r="AA639" i="21"/>
  <c r="AB639" i="21" s="1"/>
  <c r="N640" i="21" l="1"/>
  <c r="X640" i="21" l="1"/>
  <c r="Y640" i="21" s="1"/>
  <c r="AA640" i="21"/>
  <c r="AB640" i="21" s="1"/>
  <c r="N641" i="21" l="1"/>
  <c r="X641" i="21" l="1"/>
  <c r="Y641" i="21" s="1"/>
  <c r="AA641" i="21"/>
  <c r="AB641" i="21" s="1"/>
  <c r="N642" i="21" l="1"/>
  <c r="X642" i="21" l="1"/>
  <c r="Y642" i="21" s="1"/>
  <c r="AA642" i="21"/>
  <c r="AB642" i="21" s="1"/>
  <c r="N643" i="21" l="1"/>
  <c r="AA643" i="21" l="1"/>
  <c r="AB643" i="21" s="1"/>
  <c r="X643" i="21"/>
  <c r="Y643" i="21" s="1"/>
  <c r="N644" i="21" l="1"/>
  <c r="X644" i="21" l="1"/>
  <c r="Y644" i="21" s="1"/>
  <c r="AA644" i="21"/>
  <c r="AB644" i="21" s="1"/>
  <c r="N645" i="21" l="1"/>
  <c r="X645" i="21" l="1"/>
  <c r="Y645" i="21" s="1"/>
  <c r="AA645" i="21"/>
  <c r="AB645" i="21" s="1"/>
  <c r="N646" i="21" l="1"/>
  <c r="X646" i="21" l="1"/>
  <c r="Y646" i="21" s="1"/>
  <c r="AA646" i="21"/>
  <c r="AB646" i="21" s="1"/>
  <c r="N647" i="21" l="1"/>
  <c r="AA647" i="21" l="1"/>
  <c r="AB647" i="21" s="1"/>
  <c r="X647" i="21"/>
  <c r="Y647" i="21" s="1"/>
  <c r="N648" i="21" l="1"/>
  <c r="X648" i="21" l="1"/>
  <c r="Y648" i="21" s="1"/>
  <c r="AA648" i="21"/>
  <c r="AB648" i="21" s="1"/>
  <c r="N649" i="21" l="1"/>
  <c r="AA649" i="21" l="1"/>
  <c r="AB649" i="21" s="1"/>
  <c r="X649" i="21"/>
  <c r="Y649" i="21" s="1"/>
  <c r="N650" i="21" l="1"/>
  <c r="AA650" i="21" l="1"/>
  <c r="AB650" i="21" s="1"/>
  <c r="X650" i="21"/>
  <c r="Y650" i="21" s="1"/>
  <c r="N651" i="21" l="1"/>
  <c r="X651" i="21" l="1"/>
  <c r="Y651" i="21" s="1"/>
  <c r="AA651" i="21"/>
  <c r="AB651" i="21" s="1"/>
  <c r="N652" i="21" l="1"/>
  <c r="X652" i="21" l="1"/>
  <c r="Y652" i="21" s="1"/>
  <c r="AA652" i="21"/>
  <c r="AB652" i="21" s="1"/>
  <c r="N653" i="21" l="1"/>
  <c r="AA653" i="21" l="1"/>
  <c r="AB653" i="21" s="1"/>
  <c r="X653" i="21"/>
  <c r="Y653" i="21" s="1"/>
  <c r="N654" i="21" l="1"/>
  <c r="X654" i="21" l="1"/>
  <c r="Y654" i="21" s="1"/>
  <c r="AA654" i="21"/>
  <c r="AB654" i="21" s="1"/>
  <c r="N655" i="21" l="1"/>
  <c r="X655" i="21" l="1"/>
  <c r="Y655" i="21" s="1"/>
  <c r="AA655" i="21"/>
  <c r="AB655" i="21" s="1"/>
  <c r="N656" i="21" l="1"/>
  <c r="X656" i="21" l="1"/>
  <c r="Y656" i="21" s="1"/>
  <c r="AA656" i="21"/>
  <c r="AB656" i="21" s="1"/>
  <c r="N657" i="21" l="1"/>
  <c r="AA657" i="21" l="1"/>
  <c r="AB657" i="21" s="1"/>
  <c r="X657" i="21"/>
  <c r="Y657" i="21" s="1"/>
  <c r="N658" i="21" l="1"/>
  <c r="AA658" i="21" l="1"/>
  <c r="AB658" i="21" s="1"/>
  <c r="X658" i="21"/>
  <c r="Y658" i="21" s="1"/>
  <c r="N659" i="21" l="1"/>
  <c r="X659" i="21" l="1"/>
  <c r="Y659" i="21" s="1"/>
  <c r="AA659" i="21"/>
  <c r="AB659" i="21" s="1"/>
  <c r="N660" i="21" l="1"/>
  <c r="AA660" i="21" l="1"/>
  <c r="AB660" i="21" s="1"/>
  <c r="X660" i="21"/>
  <c r="Y660" i="21" s="1"/>
  <c r="N661" i="21" l="1"/>
  <c r="AA661" i="21" l="1"/>
  <c r="AB661" i="21" s="1"/>
  <c r="X661" i="21"/>
  <c r="Y661" i="21" s="1"/>
  <c r="N662" i="21" l="1"/>
  <c r="AA662" i="21" l="1"/>
  <c r="AB662" i="21" s="1"/>
  <c r="X662" i="21"/>
  <c r="Y662" i="21" s="1"/>
  <c r="N663" i="21" l="1"/>
  <c r="X663" i="21" l="1"/>
  <c r="Y663" i="21" s="1"/>
  <c r="AA663" i="21"/>
  <c r="AB663" i="21" s="1"/>
  <c r="N664" i="21" l="1"/>
  <c r="AA664" i="21" l="1"/>
  <c r="AB664" i="21" s="1"/>
  <c r="X664" i="21"/>
  <c r="Y664" i="21" s="1"/>
  <c r="N665" i="21" l="1"/>
  <c r="X665" i="21" l="1"/>
  <c r="Y665" i="21" s="1"/>
  <c r="AA665" i="21"/>
  <c r="AB665" i="21" s="1"/>
  <c r="N666" i="21" l="1"/>
  <c r="AA666" i="21" l="1"/>
  <c r="AB666" i="21" s="1"/>
  <c r="X666" i="21"/>
  <c r="Y666" i="21" s="1"/>
  <c r="N667" i="21" l="1"/>
  <c r="AA667" i="21" l="1"/>
  <c r="AB667" i="21" s="1"/>
  <c r="X667" i="21"/>
  <c r="Y667" i="21" s="1"/>
  <c r="N668" i="21" l="1"/>
  <c r="X668" i="21" l="1"/>
  <c r="Y668" i="21" s="1"/>
  <c r="AA668" i="21"/>
  <c r="AB668" i="21" s="1"/>
  <c r="N669" i="21" l="1"/>
  <c r="X669" i="21" l="1"/>
  <c r="Y669" i="21" s="1"/>
  <c r="AA669" i="21"/>
  <c r="AB669" i="21" s="1"/>
  <c r="N670" i="21" l="1"/>
  <c r="AA670" i="21" l="1"/>
  <c r="AB670" i="21" s="1"/>
  <c r="X670" i="21"/>
  <c r="Y670" i="21" s="1"/>
  <c r="N671" i="21" l="1"/>
  <c r="X671" i="21" l="1"/>
  <c r="Y671" i="21" s="1"/>
  <c r="AA671" i="21"/>
  <c r="AB671" i="21" s="1"/>
  <c r="N672" i="21" l="1"/>
  <c r="AA672" i="21" l="1"/>
  <c r="AB672" i="21" s="1"/>
  <c r="X672" i="21"/>
  <c r="Y672" i="21" s="1"/>
  <c r="N673" i="21" l="1"/>
  <c r="AA673" i="21" l="1"/>
  <c r="AB673" i="21" s="1"/>
  <c r="X673" i="21"/>
  <c r="Y673" i="21" s="1"/>
  <c r="N674" i="21" l="1"/>
  <c r="X674" i="21" l="1"/>
  <c r="Y674" i="21" s="1"/>
  <c r="AA674" i="21"/>
  <c r="AB674" i="21" s="1"/>
  <c r="N675" i="21" l="1"/>
  <c r="X675" i="21" l="1"/>
  <c r="Y675" i="21" s="1"/>
  <c r="AA675" i="21"/>
  <c r="AB675" i="21" s="1"/>
  <c r="N676" i="21" l="1"/>
  <c r="AA676" i="21" l="1"/>
  <c r="AB676" i="21" s="1"/>
  <c r="X676" i="21"/>
  <c r="Y676" i="21" s="1"/>
  <c r="N677" i="21" l="1"/>
  <c r="AA677" i="21" l="1"/>
  <c r="AB677" i="21" s="1"/>
  <c r="X677" i="21"/>
  <c r="Y677" i="21" s="1"/>
  <c r="N678" i="21" l="1"/>
  <c r="X678" i="21" l="1"/>
  <c r="Y678" i="21" s="1"/>
  <c r="AA678" i="21"/>
  <c r="AB678" i="21" s="1"/>
  <c r="N679" i="21" l="1"/>
  <c r="X679" i="21" l="1"/>
  <c r="Y679" i="21" s="1"/>
  <c r="AA679" i="21"/>
  <c r="AB679" i="21" s="1"/>
  <c r="N680" i="21" l="1"/>
  <c r="AA680" i="21" l="1"/>
  <c r="AB680" i="21" s="1"/>
  <c r="X680" i="21"/>
  <c r="Y680" i="21" s="1"/>
  <c r="N681" i="21" l="1"/>
  <c r="AA681" i="21" l="1"/>
  <c r="AB681" i="21" s="1"/>
  <c r="X681" i="21"/>
  <c r="Y681" i="21" s="1"/>
  <c r="N682" i="21" l="1"/>
  <c r="AA682" i="21" l="1"/>
  <c r="AB682" i="21" s="1"/>
  <c r="X682" i="21"/>
  <c r="Y682" i="21" s="1"/>
  <c r="N683" i="21" l="1"/>
  <c r="AA683" i="21" l="1"/>
  <c r="AB683" i="21" s="1"/>
  <c r="X683" i="21"/>
  <c r="Y683" i="21" s="1"/>
  <c r="N684" i="21" l="1"/>
  <c r="X684" i="21" l="1"/>
  <c r="Y684" i="21" s="1"/>
  <c r="AA684" i="21"/>
  <c r="AB684" i="21" s="1"/>
  <c r="N685" i="21" l="1"/>
  <c r="X685" i="21" l="1"/>
  <c r="Y685" i="21" s="1"/>
  <c r="AA685" i="21"/>
  <c r="AB685" i="21" s="1"/>
  <c r="N686" i="21" l="1"/>
  <c r="X686" i="21" l="1"/>
  <c r="Y686" i="21" s="1"/>
  <c r="AA686" i="21"/>
  <c r="AB686" i="21" s="1"/>
  <c r="N687" i="21" l="1"/>
  <c r="AA687" i="21" l="1"/>
  <c r="AB687" i="21" s="1"/>
  <c r="X687" i="21"/>
  <c r="Y687" i="21" s="1"/>
  <c r="N688" i="21" l="1"/>
  <c r="AA688" i="21" l="1"/>
  <c r="AB688" i="21" s="1"/>
  <c r="X688" i="21"/>
  <c r="Y688" i="21" s="1"/>
  <c r="N689" i="21" l="1"/>
  <c r="AA689" i="21" l="1"/>
  <c r="AB689" i="21" s="1"/>
  <c r="X689" i="21"/>
  <c r="Y689" i="21" s="1"/>
  <c r="N690" i="21" l="1"/>
  <c r="AA690" i="21" l="1"/>
  <c r="AB690" i="21" s="1"/>
  <c r="X690" i="21"/>
  <c r="Y690" i="21" s="1"/>
  <c r="N691" i="21" l="1"/>
  <c r="X691" i="21" l="1"/>
  <c r="Y691" i="21" s="1"/>
  <c r="AA691" i="21"/>
  <c r="AB691" i="21" s="1"/>
  <c r="N692" i="21" l="1"/>
  <c r="AA692" i="21" l="1"/>
  <c r="AB692" i="21" s="1"/>
  <c r="X692" i="21"/>
  <c r="Y692" i="21" s="1"/>
  <c r="N693" i="21" l="1"/>
  <c r="AA693" i="21" l="1"/>
  <c r="AB693" i="21" s="1"/>
  <c r="X693" i="21"/>
  <c r="Y693" i="21" s="1"/>
  <c r="N694" i="21" l="1"/>
  <c r="X694" i="21" l="1"/>
  <c r="Y694" i="21" s="1"/>
  <c r="AA694" i="21"/>
  <c r="AB694" i="21" s="1"/>
  <c r="N695" i="21" l="1"/>
  <c r="X695" i="21" l="1"/>
  <c r="Y695" i="21" s="1"/>
  <c r="AA695" i="21"/>
  <c r="AB695" i="21" s="1"/>
  <c r="N696" i="21" l="1"/>
  <c r="X696" i="21" l="1"/>
  <c r="Y696" i="21" s="1"/>
  <c r="AA696" i="21"/>
  <c r="AB696" i="21" s="1"/>
  <c r="N697" i="21" l="1"/>
  <c r="AA697" i="21" l="1"/>
  <c r="AB697" i="21" s="1"/>
  <c r="X697" i="21"/>
  <c r="Y697" i="21" s="1"/>
  <c r="N698" i="21" l="1"/>
  <c r="X698" i="21" l="1"/>
  <c r="Y698" i="21" s="1"/>
  <c r="AA698" i="21"/>
  <c r="AB698" i="21" s="1"/>
  <c r="N699" i="21" l="1"/>
  <c r="AA699" i="21" l="1"/>
  <c r="AB699" i="21" s="1"/>
  <c r="X699" i="21"/>
  <c r="Y699" i="21" s="1"/>
  <c r="N700" i="21" l="1"/>
  <c r="X700" i="21" l="1"/>
  <c r="Y700" i="21" s="1"/>
  <c r="AA700" i="21"/>
  <c r="AB700" i="21" s="1"/>
  <c r="N701" i="21" l="1"/>
  <c r="X701" i="21" l="1"/>
  <c r="Y701" i="21" s="1"/>
  <c r="AA701" i="21"/>
  <c r="AB701" i="21" s="1"/>
  <c r="N702" i="21" l="1"/>
  <c r="X702" i="21" l="1"/>
  <c r="Y702" i="21" s="1"/>
  <c r="AA702" i="21"/>
  <c r="AB702" i="21" s="1"/>
  <c r="N703" i="21" l="1"/>
  <c r="AA703" i="21" l="1"/>
  <c r="AB703" i="21" s="1"/>
  <c r="X703" i="21"/>
  <c r="Y703" i="21" s="1"/>
  <c r="N704" i="21" l="1"/>
  <c r="AA704" i="21" l="1"/>
  <c r="AB704" i="21" s="1"/>
  <c r="X704" i="21"/>
  <c r="Y704" i="21" s="1"/>
  <c r="N705" i="21" l="1"/>
  <c r="AA705" i="21" l="1"/>
  <c r="AB705" i="21" s="1"/>
  <c r="X705" i="21"/>
  <c r="Y705" i="21" s="1"/>
  <c r="N706" i="21" l="1"/>
  <c r="AA706" i="21" l="1"/>
  <c r="AB706" i="21" s="1"/>
  <c r="X706" i="21"/>
  <c r="Y706" i="21" s="1"/>
  <c r="N707" i="21" l="1"/>
  <c r="X707" i="21" l="1"/>
  <c r="Y707" i="21" s="1"/>
  <c r="AA707" i="21"/>
  <c r="AB707" i="21" s="1"/>
  <c r="N708" i="21" l="1"/>
  <c r="AA708" i="21" l="1"/>
  <c r="AB708" i="21" s="1"/>
  <c r="X708" i="21"/>
  <c r="Y708" i="21" s="1"/>
  <c r="N709" i="21" l="1"/>
  <c r="AA709" i="21" l="1"/>
  <c r="AB709" i="21" s="1"/>
  <c r="X709" i="21"/>
  <c r="Y709" i="21" s="1"/>
  <c r="N710" i="21" l="1"/>
  <c r="X710" i="21" l="1"/>
  <c r="Y710" i="21" s="1"/>
  <c r="AA710" i="21"/>
  <c r="AB710" i="21" s="1"/>
  <c r="N711" i="21" l="1"/>
  <c r="X711" i="21" l="1"/>
  <c r="Y711" i="21" s="1"/>
  <c r="AA711" i="21"/>
  <c r="AB711" i="21" s="1"/>
  <c r="N712" i="21" l="1"/>
  <c r="AA712" i="21" l="1"/>
  <c r="AB712" i="21" s="1"/>
  <c r="X712" i="21"/>
  <c r="Y712" i="21" s="1"/>
  <c r="N713" i="21" l="1"/>
  <c r="AA713" i="21" l="1"/>
  <c r="AB713" i="21" s="1"/>
  <c r="X713" i="21"/>
  <c r="Y713" i="21" s="1"/>
  <c r="N714" i="21" l="1"/>
  <c r="X714" i="21" l="1"/>
  <c r="Y714" i="21" s="1"/>
  <c r="AA714" i="21"/>
  <c r="AB714" i="21" s="1"/>
  <c r="N715" i="21" l="1"/>
  <c r="X715" i="21" l="1"/>
  <c r="Y715" i="21" s="1"/>
  <c r="AA715" i="21"/>
  <c r="AB715" i="21" s="1"/>
  <c r="N716" i="21" l="1"/>
  <c r="AA716" i="21" l="1"/>
  <c r="AB716" i="21" s="1"/>
  <c r="X716" i="21"/>
  <c r="Y716" i="21" s="1"/>
  <c r="N717" i="21" l="1"/>
  <c r="X717" i="21" l="1"/>
  <c r="Y717" i="21" s="1"/>
  <c r="AA717" i="21"/>
  <c r="AB717" i="21" s="1"/>
  <c r="N718" i="21" l="1"/>
  <c r="X718" i="21" l="1"/>
  <c r="Y718" i="21" s="1"/>
  <c r="AA718" i="21"/>
  <c r="AB718" i="21" s="1"/>
  <c r="N719" i="21" l="1"/>
  <c r="AA719" i="21" l="1"/>
  <c r="AB719" i="21" s="1"/>
  <c r="X719" i="21"/>
  <c r="Y719" i="21" s="1"/>
  <c r="N720" i="21" l="1"/>
  <c r="AA720" i="21" l="1"/>
  <c r="AB720" i="21" s="1"/>
  <c r="X720" i="21"/>
  <c r="Y720" i="21" s="1"/>
  <c r="N721" i="21" l="1"/>
  <c r="AA721" i="21" l="1"/>
  <c r="AB721" i="21" s="1"/>
  <c r="X721" i="21"/>
  <c r="Y721" i="21" s="1"/>
  <c r="N722" i="21" l="1"/>
  <c r="X722" i="21" l="1"/>
  <c r="Y722" i="21" s="1"/>
  <c r="AA722" i="21"/>
  <c r="AB722" i="21" s="1"/>
  <c r="N723" i="21" l="1"/>
  <c r="X723" i="21" l="1"/>
  <c r="Y723" i="21" s="1"/>
  <c r="AA723" i="21"/>
  <c r="AB723" i="21" s="1"/>
  <c r="N724" i="21" l="1"/>
  <c r="AA724" i="21" l="1"/>
  <c r="AB724" i="21" s="1"/>
  <c r="X724" i="21"/>
  <c r="Y724" i="21" s="1"/>
  <c r="N725" i="21" l="1"/>
  <c r="AA725" i="21" l="1"/>
  <c r="AB725" i="21" s="1"/>
  <c r="X725" i="21"/>
  <c r="Y725" i="21" s="1"/>
  <c r="N726" i="21" l="1"/>
  <c r="X726" i="21" l="1"/>
  <c r="Y726" i="21" s="1"/>
  <c r="AA726" i="21"/>
  <c r="AB726" i="21" s="1"/>
  <c r="N727" i="21" l="1"/>
  <c r="X727" i="21" l="1"/>
  <c r="Y727" i="21" s="1"/>
  <c r="AA727" i="21"/>
  <c r="AB727" i="21" s="1"/>
  <c r="N728" i="21" l="1"/>
  <c r="AA728" i="21" l="1"/>
  <c r="AB728" i="21" s="1"/>
  <c r="X728" i="21"/>
  <c r="Y728" i="21" s="1"/>
  <c r="N729" i="21" l="1"/>
  <c r="AA729" i="21" l="1"/>
  <c r="AB729" i="21" s="1"/>
  <c r="X729" i="21"/>
  <c r="Y729" i="21" s="1"/>
  <c r="N730" i="21" l="1"/>
  <c r="AA730" i="21" l="1"/>
  <c r="AB730" i="21" s="1"/>
  <c r="X730" i="21"/>
  <c r="Y730" i="21" s="1"/>
  <c r="N731" i="21" l="1"/>
  <c r="AA731" i="21" l="1"/>
  <c r="AB731" i="21" s="1"/>
  <c r="X731" i="21"/>
  <c r="Y731" i="21" s="1"/>
  <c r="N732" i="21" l="1"/>
  <c r="X732" i="21" l="1"/>
  <c r="Y732" i="21" s="1"/>
  <c r="AA732" i="21"/>
  <c r="AB732" i="21" s="1"/>
  <c r="N733" i="21" l="1"/>
  <c r="X733" i="21" l="1"/>
  <c r="Y733" i="21" s="1"/>
  <c r="AA733" i="21"/>
  <c r="AB733" i="21" s="1"/>
  <c r="N734" i="21" l="1"/>
  <c r="X734" i="21" l="1"/>
  <c r="Y734" i="21" s="1"/>
  <c r="AA734" i="21"/>
  <c r="AB734" i="21" s="1"/>
  <c r="N735" i="21" l="1"/>
  <c r="AA735" i="21" l="1"/>
  <c r="AB735" i="21" s="1"/>
  <c r="X735" i="21"/>
  <c r="Y735" i="21" s="1"/>
  <c r="N736" i="21" l="1"/>
  <c r="X736" i="21" l="1"/>
  <c r="Y736" i="21" s="1"/>
  <c r="AA736" i="21"/>
  <c r="AB736" i="21" s="1"/>
  <c r="N737" i="21" l="1"/>
  <c r="AA737" i="21" l="1"/>
  <c r="AB737" i="21" s="1"/>
  <c r="X737" i="21"/>
  <c r="Y737" i="21" s="1"/>
  <c r="N738" i="21" l="1"/>
  <c r="X738" i="21" l="1"/>
  <c r="Y738" i="21" s="1"/>
  <c r="AA738" i="21"/>
  <c r="AB738" i="21" s="1"/>
  <c r="N739" i="21" l="1"/>
  <c r="X739" i="21" l="1"/>
  <c r="Y739" i="21" s="1"/>
  <c r="AA739" i="21"/>
  <c r="AB739" i="21" s="1"/>
  <c r="N740" i="21" l="1"/>
  <c r="X740" i="21" l="1"/>
  <c r="Y740" i="21" s="1"/>
  <c r="AA740" i="21"/>
  <c r="AB740" i="21" s="1"/>
  <c r="N741" i="21" l="1"/>
  <c r="AA741" i="21" l="1"/>
  <c r="AB741" i="21" s="1"/>
  <c r="X741" i="21"/>
  <c r="Y741" i="21" s="1"/>
  <c r="N742" i="21" l="1"/>
  <c r="X742" i="21" l="1"/>
  <c r="Y742" i="21" s="1"/>
  <c r="AA742" i="21"/>
  <c r="AB742" i="21" s="1"/>
  <c r="N743" i="21" l="1"/>
  <c r="X743" i="21" l="1"/>
  <c r="Y743" i="21" s="1"/>
  <c r="AA743" i="21"/>
  <c r="AB743" i="21" s="1"/>
  <c r="N744" i="21" l="1"/>
  <c r="X744" i="21" l="1"/>
  <c r="Y744" i="21" s="1"/>
  <c r="AA744" i="21"/>
  <c r="AB744" i="21" s="1"/>
  <c r="N745" i="21" l="1"/>
  <c r="AA745" i="21" l="1"/>
  <c r="AB745" i="21" s="1"/>
  <c r="X745" i="21"/>
  <c r="Y745" i="21" s="1"/>
  <c r="N746" i="21" l="1"/>
  <c r="AA746" i="21" l="1"/>
  <c r="AB746" i="21" s="1"/>
  <c r="X746" i="21"/>
  <c r="Y746" i="21" s="1"/>
  <c r="N747" i="21" l="1"/>
  <c r="X747" i="21" l="1"/>
  <c r="Y747" i="21" s="1"/>
  <c r="AA747" i="21"/>
  <c r="AB747" i="21" s="1"/>
  <c r="N748" i="21" l="1"/>
  <c r="AA748" i="21" l="1"/>
  <c r="AB748" i="21" s="1"/>
  <c r="X748" i="21"/>
  <c r="Y748" i="21" s="1"/>
  <c r="N749" i="21" l="1"/>
  <c r="X749" i="21" l="1"/>
  <c r="Y749" i="21" s="1"/>
  <c r="AA749" i="21"/>
  <c r="AB749" i="21" s="1"/>
  <c r="N750" i="21" l="1"/>
  <c r="X750" i="21" l="1"/>
  <c r="Y750" i="21" s="1"/>
  <c r="AA750" i="21"/>
  <c r="AB750" i="21" s="1"/>
  <c r="N751" i="21" l="1"/>
  <c r="AA751" i="21" l="1"/>
  <c r="AB751" i="21" s="1"/>
  <c r="X751" i="21"/>
  <c r="Y751" i="21" s="1"/>
  <c r="N752" i="21" l="1"/>
  <c r="X752" i="21" l="1"/>
  <c r="Y752" i="21" s="1"/>
  <c r="AA752" i="21"/>
  <c r="AB752" i="21" s="1"/>
  <c r="N753" i="21" l="1"/>
  <c r="AA753" i="21" l="1"/>
  <c r="AB753" i="21" s="1"/>
  <c r="X753" i="21"/>
  <c r="Y753" i="21" s="1"/>
  <c r="N754" i="21" l="1"/>
  <c r="X754" i="21" l="1"/>
  <c r="Y754" i="21" s="1"/>
  <c r="AA754" i="21"/>
  <c r="AB754" i="21" s="1"/>
  <c r="N755" i="21" l="1"/>
  <c r="X755" i="21" l="1"/>
  <c r="Y755" i="21" s="1"/>
  <c r="AA755" i="21"/>
  <c r="AB755" i="21" s="1"/>
  <c r="N756" i="21" l="1"/>
  <c r="X756" i="21" l="1"/>
  <c r="Y756" i="21" s="1"/>
  <c r="AA756" i="21"/>
  <c r="AB756" i="21" s="1"/>
  <c r="N757" i="21" l="1"/>
  <c r="AA757" i="21" l="1"/>
  <c r="AB757" i="21" s="1"/>
  <c r="X757" i="21"/>
  <c r="Y757" i="21" s="1"/>
  <c r="N758" i="21" l="1"/>
  <c r="AA758" i="21" l="1"/>
  <c r="AB758" i="21" s="1"/>
  <c r="X758" i="21"/>
  <c r="Y758" i="21" s="1"/>
  <c r="N759" i="21" l="1"/>
  <c r="AA759" i="21" l="1"/>
  <c r="AB759" i="21" s="1"/>
  <c r="X759" i="21"/>
  <c r="Y759" i="21" s="1"/>
  <c r="N760" i="21" l="1"/>
  <c r="X760" i="21" l="1"/>
  <c r="Y760" i="21" s="1"/>
  <c r="AA760" i="21"/>
  <c r="AB760" i="21" s="1"/>
  <c r="N761" i="21" l="1"/>
  <c r="AA761" i="21" l="1"/>
  <c r="AB761" i="21" s="1"/>
  <c r="X761" i="21"/>
  <c r="Y761" i="21" s="1"/>
  <c r="N762" i="21" l="1"/>
  <c r="X762" i="21" l="1"/>
  <c r="Y762" i="21" s="1"/>
  <c r="AA762" i="21"/>
  <c r="AB762" i="21" s="1"/>
  <c r="N763" i="21" l="1"/>
  <c r="AA763" i="21" l="1"/>
  <c r="AB763" i="21" s="1"/>
  <c r="X763" i="21"/>
  <c r="Y763" i="21" s="1"/>
  <c r="N764" i="21" l="1"/>
  <c r="X764" i="21" l="1"/>
  <c r="Y764" i="21" s="1"/>
  <c r="AA764" i="21"/>
  <c r="AB764" i="21" s="1"/>
  <c r="N765" i="21" l="1"/>
  <c r="X765" i="21" l="1"/>
  <c r="Y765" i="21" s="1"/>
  <c r="AA765" i="21"/>
  <c r="AB765" i="21" s="1"/>
  <c r="N766" i="21" l="1"/>
  <c r="AA766" i="21" l="1"/>
  <c r="AB766" i="21" s="1"/>
  <c r="X766" i="21"/>
  <c r="Y766" i="21" s="1"/>
  <c r="N767" i="21" l="1"/>
  <c r="AA767" i="21" l="1"/>
  <c r="AB767" i="21" s="1"/>
  <c r="X767" i="21"/>
  <c r="Y767" i="21" s="1"/>
  <c r="N768" i="21" l="1"/>
  <c r="X768" i="21" l="1"/>
  <c r="Y768" i="21" s="1"/>
  <c r="AA768" i="21"/>
  <c r="AB768" i="21" s="1"/>
  <c r="N769" i="21" l="1"/>
  <c r="AA769" i="21" l="1"/>
  <c r="AB769" i="21" s="1"/>
  <c r="X769" i="21"/>
  <c r="Y769" i="21" s="1"/>
  <c r="N770" i="21" l="1"/>
  <c r="AA770" i="21" l="1"/>
  <c r="AB770" i="21" s="1"/>
  <c r="X770" i="21"/>
  <c r="Y770" i="21" s="1"/>
  <c r="N771" i="21" l="1"/>
  <c r="X771" i="21" l="1"/>
  <c r="Y771" i="21" s="1"/>
  <c r="AA771" i="21"/>
  <c r="AB771" i="21" s="1"/>
  <c r="N772" i="21" l="1"/>
  <c r="X772" i="21" l="1"/>
  <c r="Y772" i="21" s="1"/>
  <c r="AA772" i="21"/>
  <c r="AB772" i="21" s="1"/>
  <c r="N773" i="21" l="1"/>
  <c r="X773" i="21" l="1"/>
  <c r="Y773" i="21" s="1"/>
  <c r="AA773" i="21"/>
  <c r="AB773" i="21" s="1"/>
  <c r="N774" i="21" l="1"/>
  <c r="AA774" i="21" l="1"/>
  <c r="AB774" i="21" s="1"/>
  <c r="X774" i="21"/>
  <c r="Y774" i="21" s="1"/>
  <c r="N775" i="21" l="1"/>
  <c r="X775" i="21" l="1"/>
  <c r="Y775" i="21" s="1"/>
  <c r="AA775" i="21"/>
  <c r="AB775" i="21" s="1"/>
  <c r="N776" i="21" l="1"/>
  <c r="X776" i="21" l="1"/>
  <c r="Y776" i="21" s="1"/>
  <c r="AA776" i="21"/>
  <c r="AB776" i="21" s="1"/>
  <c r="N777" i="21" l="1"/>
  <c r="X777" i="21" l="1"/>
  <c r="Y777" i="21" s="1"/>
  <c r="AA777" i="21"/>
  <c r="AB777" i="21" s="1"/>
  <c r="N778" i="21" l="1"/>
  <c r="X778" i="21" l="1"/>
  <c r="Y778" i="21" s="1"/>
  <c r="AA778" i="21"/>
  <c r="AB778" i="21" s="1"/>
  <c r="N779" i="21" l="1"/>
  <c r="AA779" i="21" l="1"/>
  <c r="AB779" i="21" s="1"/>
  <c r="X779" i="21"/>
  <c r="Y779" i="21" s="1"/>
  <c r="N780" i="21" l="1"/>
  <c r="X780" i="21" l="1"/>
  <c r="Y780" i="21" s="1"/>
  <c r="AA780" i="21"/>
  <c r="AB780" i="21" s="1"/>
  <c r="N781" i="21" l="1"/>
  <c r="X781" i="21" l="1"/>
  <c r="Y781" i="21" s="1"/>
  <c r="AA781" i="21"/>
  <c r="AB781" i="21" s="1"/>
  <c r="N782" i="21" l="1"/>
  <c r="X782" i="21" l="1"/>
  <c r="Y782" i="21" s="1"/>
  <c r="AA782" i="21"/>
  <c r="AB782" i="21" s="1"/>
  <c r="N783" i="21" l="1"/>
  <c r="AA783" i="21" l="1"/>
  <c r="AB783" i="21" s="1"/>
  <c r="X783" i="21"/>
  <c r="Y783" i="21" s="1"/>
  <c r="N784" i="21" l="1"/>
  <c r="X784" i="21" l="1"/>
  <c r="Y784" i="21" s="1"/>
  <c r="AA784" i="21"/>
  <c r="AB784" i="21" s="1"/>
  <c r="N785" i="21" l="1"/>
  <c r="AA785" i="21" l="1"/>
  <c r="AB785" i="21" s="1"/>
  <c r="X785" i="21"/>
  <c r="Y785" i="21" s="1"/>
  <c r="N786" i="21" l="1"/>
  <c r="X786" i="21" l="1"/>
  <c r="Y786" i="21" s="1"/>
  <c r="AA786" i="21"/>
  <c r="AB786" i="21" s="1"/>
  <c r="N787" i="21" l="1"/>
  <c r="X787" i="21" l="1"/>
  <c r="Y787" i="21" s="1"/>
  <c r="AA787" i="21"/>
  <c r="AB787" i="21" s="1"/>
  <c r="N788" i="21" l="1"/>
  <c r="X788" i="21" l="1"/>
  <c r="Y788" i="21" s="1"/>
  <c r="AA788" i="21"/>
  <c r="AB788" i="21" s="1"/>
  <c r="N789" i="21" l="1"/>
  <c r="AA789" i="21" l="1"/>
  <c r="AB789" i="21" s="1"/>
  <c r="X789" i="21"/>
  <c r="Y789" i="21" s="1"/>
  <c r="N790" i="21" l="1"/>
  <c r="AA790" i="21" l="1"/>
  <c r="AB790" i="21" s="1"/>
  <c r="X790" i="21"/>
  <c r="Y790" i="21" s="1"/>
  <c r="N791" i="21" l="1"/>
  <c r="X791" i="21" l="1"/>
  <c r="Y791" i="21" s="1"/>
  <c r="AA791" i="21"/>
  <c r="AB791" i="21" s="1"/>
  <c r="N792" i="21" l="1"/>
  <c r="X792" i="21" l="1"/>
  <c r="Y792" i="21" s="1"/>
  <c r="AA792" i="21"/>
  <c r="AB792" i="21" s="1"/>
  <c r="N793" i="21" l="1"/>
  <c r="X793" i="21" l="1"/>
  <c r="Y793" i="21" s="1"/>
  <c r="AA793" i="21"/>
  <c r="AB793" i="21" s="1"/>
  <c r="N794" i="21" l="1"/>
  <c r="AA794" i="21" l="1"/>
  <c r="AB794" i="21" s="1"/>
  <c r="X794" i="21"/>
  <c r="Y794" i="21" s="1"/>
  <c r="N795" i="21" l="1"/>
  <c r="AA795" i="21" l="1"/>
  <c r="AB795" i="21" s="1"/>
  <c r="X795" i="21"/>
  <c r="Y795" i="21" s="1"/>
  <c r="N796" i="21" l="1"/>
  <c r="X796" i="21" l="1"/>
  <c r="Y796" i="21" s="1"/>
  <c r="AA796" i="21"/>
  <c r="AB796" i="21" s="1"/>
  <c r="N797" i="21" l="1"/>
  <c r="X797" i="21" l="1"/>
  <c r="Y797" i="21" s="1"/>
  <c r="AA797" i="21"/>
  <c r="AB797" i="21" s="1"/>
  <c r="N798" i="21" l="1"/>
  <c r="X798" i="21" l="1"/>
  <c r="Y798" i="21" s="1"/>
  <c r="AA798" i="21"/>
  <c r="AB798" i="21" s="1"/>
  <c r="N799" i="21" l="1"/>
  <c r="AA799" i="21" l="1"/>
  <c r="AB799" i="21" s="1"/>
  <c r="X799" i="21"/>
  <c r="Y799" i="21" s="1"/>
  <c r="N800" i="21" l="1"/>
  <c r="X800" i="21" l="1"/>
  <c r="Y800" i="21" s="1"/>
  <c r="AA800" i="21"/>
  <c r="AB800" i="21" s="1"/>
  <c r="N801" i="21" l="1"/>
  <c r="AA801" i="21" l="1"/>
  <c r="AB801" i="21" s="1"/>
  <c r="X801" i="21"/>
  <c r="Y801" i="21" s="1"/>
  <c r="N802" i="21" l="1"/>
  <c r="X802" i="21" l="1"/>
  <c r="Y802" i="21" s="1"/>
  <c r="AA802" i="21"/>
  <c r="AB802" i="21" s="1"/>
  <c r="N803" i="21" l="1"/>
  <c r="X803" i="21" l="1"/>
  <c r="Y803" i="21" s="1"/>
  <c r="AA803" i="21"/>
  <c r="AB803" i="21" s="1"/>
  <c r="N804" i="21" l="1"/>
  <c r="X804" i="21" l="1"/>
  <c r="Y804" i="21" s="1"/>
  <c r="AA804" i="21"/>
  <c r="AB804" i="21" s="1"/>
  <c r="N805" i="21" l="1"/>
  <c r="AA805" i="21" l="1"/>
  <c r="AB805" i="21" s="1"/>
  <c r="X805" i="21"/>
  <c r="Y805" i="21" s="1"/>
  <c r="N806" i="21" l="1"/>
  <c r="AA806" i="21" l="1"/>
  <c r="AB806" i="21" s="1"/>
  <c r="X806" i="21"/>
  <c r="Y806" i="21" s="1"/>
  <c r="N807" i="21" l="1"/>
  <c r="X807" i="21" l="1"/>
  <c r="Y807" i="21" s="1"/>
  <c r="AA807" i="21"/>
  <c r="AB807" i="21" s="1"/>
  <c r="N808" i="21" l="1"/>
  <c r="AA808" i="21" l="1"/>
  <c r="AB808" i="21" s="1"/>
  <c r="X808" i="21"/>
  <c r="Y808" i="21" s="1"/>
  <c r="N809" i="21" l="1"/>
  <c r="X809" i="21" l="1"/>
  <c r="Y809" i="21" s="1"/>
  <c r="AA809" i="21"/>
  <c r="AB809" i="21" s="1"/>
  <c r="N810" i="21" l="1"/>
  <c r="AA810" i="21" l="1"/>
  <c r="AB810" i="21" s="1"/>
  <c r="X810" i="21"/>
  <c r="Y810" i="21" s="1"/>
  <c r="N811" i="21" l="1"/>
  <c r="AA811" i="21" l="1"/>
  <c r="AB811" i="21" s="1"/>
  <c r="X811" i="21"/>
  <c r="Y811" i="21" s="1"/>
  <c r="N812" i="21" l="1"/>
  <c r="X812" i="21" l="1"/>
  <c r="Y812" i="21" s="1"/>
  <c r="AA812" i="21"/>
  <c r="AB812" i="21" s="1"/>
  <c r="N813" i="21" l="1"/>
  <c r="AA813" i="21" l="1"/>
  <c r="AB813" i="21" s="1"/>
  <c r="X813" i="21"/>
  <c r="Y813" i="21" s="1"/>
  <c r="N814" i="21" l="1"/>
  <c r="X814" i="21" l="1"/>
  <c r="Y814" i="21" s="1"/>
  <c r="AA814" i="21"/>
  <c r="AB814" i="21" s="1"/>
  <c r="N815" i="21" l="1"/>
  <c r="AA815" i="21" l="1"/>
  <c r="AB815" i="21" s="1"/>
  <c r="X815" i="21"/>
  <c r="Y815" i="21" s="1"/>
  <c r="N816" i="21" l="1"/>
  <c r="X816" i="21" l="1"/>
  <c r="Y816" i="21" s="1"/>
  <c r="AA816" i="21"/>
  <c r="AB816" i="21" s="1"/>
  <c r="N817" i="21" l="1"/>
  <c r="AA817" i="21" l="1"/>
  <c r="AB817" i="21" s="1"/>
  <c r="X817" i="21"/>
  <c r="Y817" i="21" s="1"/>
  <c r="N818" i="21" l="1"/>
  <c r="AA818" i="21" l="1"/>
  <c r="AB818" i="21" s="1"/>
  <c r="X818" i="21"/>
  <c r="Y818" i="21" s="1"/>
  <c r="N819" i="21" l="1"/>
  <c r="AA819" i="21" l="1"/>
  <c r="AB819" i="21" s="1"/>
  <c r="X819" i="21"/>
  <c r="Y819" i="21" s="1"/>
  <c r="N820" i="21" l="1"/>
  <c r="X820" i="21" l="1"/>
  <c r="Y820" i="21" s="1"/>
  <c r="AA820" i="21"/>
  <c r="AB820" i="21" s="1"/>
  <c r="N821" i="21" l="1"/>
  <c r="X821" i="21" l="1"/>
  <c r="Y821" i="21" s="1"/>
  <c r="AA821" i="21"/>
  <c r="AB821" i="21" s="1"/>
  <c r="N822" i="21" l="1"/>
  <c r="AA822" i="21" l="1"/>
  <c r="AB822" i="21" s="1"/>
  <c r="X822" i="21"/>
  <c r="Y822" i="21" s="1"/>
  <c r="N823" i="21" l="1"/>
  <c r="AA823" i="21" l="1"/>
  <c r="AB823" i="21" s="1"/>
  <c r="X823" i="21"/>
  <c r="Y823" i="21" s="1"/>
  <c r="N824" i="21" l="1"/>
  <c r="X824" i="21" l="1"/>
  <c r="Y824" i="21" s="1"/>
  <c r="AA824" i="21"/>
  <c r="AB824" i="21" s="1"/>
  <c r="N825" i="21" l="1"/>
  <c r="X825" i="21" l="1"/>
  <c r="Y825" i="21" s="1"/>
  <c r="AA825" i="21"/>
  <c r="AB825" i="21" s="1"/>
  <c r="N826" i="21" l="1"/>
  <c r="AA826" i="21" l="1"/>
  <c r="AB826" i="21" s="1"/>
  <c r="X826" i="21"/>
  <c r="Y826" i="21" s="1"/>
  <c r="N827" i="21" l="1"/>
  <c r="AA827" i="21" l="1"/>
  <c r="AB827" i="21" s="1"/>
  <c r="X827" i="21"/>
  <c r="Y827" i="21" s="1"/>
  <c r="N828" i="21" l="1"/>
  <c r="X828" i="21" l="1"/>
  <c r="Y828" i="21" s="1"/>
  <c r="AA828" i="21"/>
  <c r="AB828" i="21" s="1"/>
  <c r="N829" i="21" l="1"/>
  <c r="X829" i="21" l="1"/>
  <c r="Y829" i="21" s="1"/>
  <c r="AA829" i="21"/>
  <c r="AB829" i="21" s="1"/>
  <c r="N830" i="21" l="1"/>
  <c r="X830" i="21" l="1"/>
  <c r="Y830" i="21" s="1"/>
  <c r="AA830" i="21"/>
  <c r="AB830" i="21" s="1"/>
  <c r="N831" i="21" l="1"/>
  <c r="X831" i="21" l="1"/>
  <c r="Y831" i="21" s="1"/>
  <c r="N832" i="21"/>
  <c r="AA831" i="21"/>
  <c r="AB831" i="21" s="1"/>
  <c r="AA832" i="21" l="1"/>
  <c r="AB832" i="21" s="1"/>
  <c r="X832" i="21"/>
  <c r="Y832" i="21" s="1"/>
  <c r="N833" i="21"/>
  <c r="AA833" i="21" l="1"/>
  <c r="AB833" i="21" s="1"/>
  <c r="N834" i="21"/>
  <c r="X833" i="21"/>
  <c r="Y833" i="21" s="1"/>
  <c r="N835" i="21" l="1"/>
  <c r="X834" i="21"/>
  <c r="Y834" i="21" s="1"/>
  <c r="AA834" i="21"/>
  <c r="AB834" i="21" s="1"/>
  <c r="X835" i="21" l="1"/>
  <c r="Y835" i="21" s="1"/>
  <c r="N836" i="21"/>
  <c r="AA835" i="21"/>
  <c r="AB835" i="21" s="1"/>
  <c r="N837" i="21" l="1"/>
  <c r="X836" i="21"/>
  <c r="Y836" i="21" s="1"/>
  <c r="AA836" i="21"/>
  <c r="AB836" i="21" s="1"/>
  <c r="N838" i="21" l="1"/>
  <c r="AA837" i="21"/>
  <c r="AB837" i="21" s="1"/>
  <c r="X837" i="21"/>
  <c r="Y837" i="21" s="1"/>
  <c r="N839" i="21" l="1"/>
  <c r="X838" i="21"/>
  <c r="Y838" i="21" s="1"/>
  <c r="AA838" i="21"/>
  <c r="AB838" i="21" s="1"/>
  <c r="N840" i="21" l="1"/>
  <c r="AA839" i="21"/>
  <c r="AB839" i="21" s="1"/>
  <c r="X839" i="21"/>
  <c r="Y839" i="21" s="1"/>
  <c r="N841" i="21" l="1"/>
  <c r="AA840" i="21"/>
  <c r="AB840" i="21" s="1"/>
  <c r="X840" i="21"/>
  <c r="Y840" i="21" s="1"/>
  <c r="N842" i="21" l="1"/>
  <c r="AA841" i="21"/>
  <c r="AB841" i="21" s="1"/>
  <c r="X841" i="21"/>
  <c r="Y841" i="21" s="1"/>
  <c r="AA842" i="21" l="1"/>
  <c r="AB842" i="21" s="1"/>
  <c r="N843" i="21"/>
  <c r="X842" i="21"/>
  <c r="Y842" i="21" s="1"/>
  <c r="X843" i="21" l="1"/>
  <c r="Y843" i="21" s="1"/>
  <c r="N844" i="21"/>
  <c r="AA843" i="21"/>
  <c r="AB843" i="21" s="1"/>
  <c r="N845" i="21" l="1"/>
  <c r="AA844" i="21"/>
  <c r="AB844" i="21" s="1"/>
  <c r="X844" i="21"/>
  <c r="Y844" i="21" s="1"/>
  <c r="AA845" i="21" l="1"/>
  <c r="AB845" i="21" s="1"/>
  <c r="N846" i="21"/>
  <c r="X845" i="21"/>
  <c r="Y845" i="21" s="1"/>
  <c r="AA846" i="21" l="1"/>
  <c r="AB846" i="21" s="1"/>
  <c r="N847" i="21"/>
  <c r="X846" i="21"/>
  <c r="Y846" i="21" s="1"/>
  <c r="N848" i="21" l="1"/>
  <c r="X847" i="21"/>
  <c r="Y847" i="21" s="1"/>
  <c r="AA847" i="21"/>
  <c r="AB847" i="21" s="1"/>
  <c r="AA848" i="21" l="1"/>
  <c r="AB848" i="21" s="1"/>
  <c r="N849" i="21"/>
  <c r="X848" i="21"/>
  <c r="Y848" i="21" s="1"/>
  <c r="N850" i="21" l="1"/>
  <c r="AA849" i="21"/>
  <c r="AB849" i="21" s="1"/>
  <c r="X849" i="21"/>
  <c r="Y849" i="21" s="1"/>
  <c r="N851" i="21" l="1"/>
  <c r="X850" i="21"/>
  <c r="Y850" i="21" s="1"/>
  <c r="AA850" i="21"/>
  <c r="AB850" i="21" s="1"/>
  <c r="N852" i="21" l="1"/>
  <c r="X851" i="21"/>
  <c r="Y851" i="21" s="1"/>
  <c r="AA851" i="21"/>
  <c r="AB851" i="21" s="1"/>
  <c r="AA852" i="21" l="1"/>
  <c r="AB852" i="21" s="1"/>
  <c r="X852" i="21"/>
  <c r="Y852" i="21" s="1"/>
  <c r="N853" i="21"/>
  <c r="N854" i="21" l="1"/>
  <c r="AA853" i="21"/>
  <c r="AB853" i="21" s="1"/>
  <c r="X853" i="21"/>
  <c r="Y853" i="21" s="1"/>
  <c r="N855" i="21" l="1"/>
  <c r="AA854" i="21"/>
  <c r="AB854" i="21" s="1"/>
  <c r="X854" i="21"/>
  <c r="Y854" i="21" s="1"/>
  <c r="N856" i="21" l="1"/>
  <c r="X855" i="21"/>
  <c r="Y855" i="21" s="1"/>
  <c r="AA855" i="21"/>
  <c r="AB855" i="21" s="1"/>
  <c r="AA856" i="21" l="1"/>
  <c r="AB856" i="21" s="1"/>
  <c r="X856" i="21"/>
  <c r="Y856" i="21" s="1"/>
  <c r="N857" i="21"/>
  <c r="N858" i="21" l="1"/>
  <c r="AA857" i="21"/>
  <c r="AB857" i="21" s="1"/>
  <c r="X857" i="21"/>
  <c r="Y857" i="21" s="1"/>
  <c r="N859" i="21" l="1"/>
  <c r="AA858" i="21"/>
  <c r="AB858" i="21" s="1"/>
  <c r="X858" i="21"/>
  <c r="Y858" i="21" s="1"/>
  <c r="AA859" i="21" l="1"/>
  <c r="AB859" i="21" s="1"/>
  <c r="N860" i="21"/>
  <c r="X859" i="21"/>
  <c r="Y859" i="21" s="1"/>
  <c r="X860" i="21" l="1"/>
  <c r="Y860" i="21" s="1"/>
  <c r="AA860" i="21"/>
  <c r="AB860" i="21" s="1"/>
  <c r="N861" i="21"/>
  <c r="AA861" i="21" l="1"/>
  <c r="AB861" i="21" s="1"/>
  <c r="N862" i="21"/>
  <c r="X861" i="21"/>
  <c r="Y861" i="21" s="1"/>
  <c r="N863" i="21" l="1"/>
  <c r="X862" i="21"/>
  <c r="Y862" i="21" s="1"/>
  <c r="AA862" i="21"/>
  <c r="AB862" i="21" s="1"/>
  <c r="N864" i="21" l="1"/>
  <c r="AA863" i="21"/>
  <c r="AB863" i="21" s="1"/>
  <c r="X863" i="21"/>
  <c r="Y863" i="21" s="1"/>
  <c r="AA864" i="21" l="1"/>
  <c r="AB864" i="21" s="1"/>
  <c r="N865" i="21"/>
  <c r="X864" i="21"/>
  <c r="Y864" i="21" s="1"/>
  <c r="N866" i="21" l="1"/>
  <c r="AA865" i="21"/>
  <c r="AB865" i="21" s="1"/>
  <c r="X865" i="21"/>
  <c r="Y865" i="21" s="1"/>
  <c r="AA866" i="21" l="1"/>
  <c r="AB866" i="21" s="1"/>
  <c r="N867" i="21"/>
  <c r="X866" i="21"/>
  <c r="Y866" i="21" s="1"/>
  <c r="N868" i="21" l="1"/>
  <c r="X867" i="21"/>
  <c r="Y867" i="21" s="1"/>
  <c r="AA867" i="21"/>
  <c r="AB867" i="21" s="1"/>
  <c r="AA868" i="21" l="1"/>
  <c r="AB868" i="21" s="1"/>
  <c r="X868" i="21"/>
  <c r="Y868" i="21" s="1"/>
  <c r="N869" i="21"/>
  <c r="N870" i="21" l="1"/>
  <c r="AA869" i="21"/>
  <c r="AB869" i="21" s="1"/>
  <c r="X869" i="21"/>
  <c r="Y869" i="21" s="1"/>
  <c r="N871" i="21" l="1"/>
  <c r="AA870" i="21"/>
  <c r="AB870" i="21" s="1"/>
  <c r="X870" i="21"/>
  <c r="Y870" i="21" s="1"/>
  <c r="N872" i="21" l="1"/>
  <c r="X871" i="21"/>
  <c r="Y871" i="21" s="1"/>
  <c r="AA871" i="21"/>
  <c r="AB871" i="21" s="1"/>
  <c r="X872" i="21" l="1"/>
  <c r="Y872" i="21" s="1"/>
  <c r="AA872" i="21"/>
  <c r="AB872" i="21" s="1"/>
  <c r="N873" i="21"/>
  <c r="N874" i="21" l="1"/>
  <c r="AA873" i="21"/>
  <c r="AB873" i="21" s="1"/>
  <c r="X873" i="21"/>
  <c r="Y873" i="21" s="1"/>
  <c r="AA874" i="21" l="1"/>
  <c r="AB874" i="21" s="1"/>
  <c r="N875" i="21"/>
  <c r="X874" i="21"/>
  <c r="Y874" i="21" s="1"/>
  <c r="X875" i="21" l="1"/>
  <c r="Y875" i="21" s="1"/>
  <c r="N876" i="21"/>
  <c r="AA875" i="21"/>
  <c r="AB875" i="21" s="1"/>
  <c r="N877" i="21" l="1"/>
  <c r="AA876" i="21"/>
  <c r="AB876" i="21" s="1"/>
  <c r="X876" i="21"/>
  <c r="Y876" i="21" s="1"/>
  <c r="X877" i="21" l="1"/>
  <c r="Y877" i="21" s="1"/>
  <c r="N878" i="21"/>
  <c r="AA877" i="21"/>
  <c r="AB877" i="21" s="1"/>
  <c r="N879" i="21" l="1"/>
  <c r="AA878" i="21"/>
  <c r="AB878" i="21" s="1"/>
  <c r="X878" i="21"/>
  <c r="Y878" i="21" s="1"/>
  <c r="N880" i="21" l="1"/>
  <c r="X879" i="21"/>
  <c r="Y879" i="21" s="1"/>
  <c r="AA879" i="21"/>
  <c r="AB879" i="21" s="1"/>
  <c r="AA880" i="21" l="1"/>
  <c r="AB880" i="21" s="1"/>
  <c r="N881" i="21"/>
  <c r="X880" i="21"/>
  <c r="Y880" i="21" s="1"/>
  <c r="N882" i="21" l="1"/>
  <c r="AA881" i="21"/>
  <c r="AB881" i="21" s="1"/>
  <c r="X881" i="21"/>
  <c r="Y881" i="21" s="1"/>
  <c r="N883" i="21" l="1"/>
  <c r="X882" i="21"/>
  <c r="Y882" i="21" s="1"/>
  <c r="AA882" i="21"/>
  <c r="AB882" i="21" s="1"/>
  <c r="N884" i="21" l="1"/>
  <c r="X883" i="21"/>
  <c r="Y883" i="21" s="1"/>
  <c r="AA883" i="21"/>
  <c r="AB883" i="21" s="1"/>
  <c r="AA884" i="21" l="1"/>
  <c r="AB884" i="21" s="1"/>
  <c r="X884" i="21"/>
  <c r="Y884" i="21" s="1"/>
  <c r="N885" i="21"/>
  <c r="N886" i="21" l="1"/>
  <c r="AA885" i="21"/>
  <c r="AB885" i="21" s="1"/>
  <c r="X885" i="21"/>
  <c r="Y885" i="21" s="1"/>
  <c r="N887" i="21" l="1"/>
  <c r="AA886" i="21"/>
  <c r="AB886" i="21" s="1"/>
  <c r="X886" i="21"/>
  <c r="Y886" i="21" s="1"/>
  <c r="N888" i="21" l="1"/>
  <c r="X887" i="21"/>
  <c r="Y887" i="21" s="1"/>
  <c r="AA887" i="21"/>
  <c r="AB887" i="21" s="1"/>
  <c r="X888" i="21" l="1"/>
  <c r="Y888" i="21" s="1"/>
  <c r="AA888" i="21"/>
  <c r="AB888" i="21" s="1"/>
  <c r="N889" i="21"/>
  <c r="N890" i="21" l="1"/>
  <c r="AA889" i="21"/>
  <c r="AB889" i="21" s="1"/>
  <c r="X889" i="21"/>
  <c r="Y889" i="21" s="1"/>
  <c r="N891" i="21" l="1"/>
  <c r="X890" i="21"/>
  <c r="Y890" i="21" s="1"/>
  <c r="AA890" i="21"/>
  <c r="AB890" i="21" s="1"/>
  <c r="AA891" i="21" l="1"/>
  <c r="AB891" i="21" s="1"/>
  <c r="N892" i="21"/>
  <c r="X891" i="21"/>
  <c r="Y891" i="21" s="1"/>
  <c r="X892" i="21" l="1"/>
  <c r="Y892" i="21" s="1"/>
  <c r="AA892" i="21"/>
  <c r="AB892" i="21" s="1"/>
  <c r="N893" i="21"/>
  <c r="AA893" i="21" l="1"/>
  <c r="AB893" i="21" s="1"/>
  <c r="N894" i="21"/>
  <c r="X893" i="21"/>
  <c r="Y893" i="21" s="1"/>
  <c r="N895" i="21" l="1"/>
  <c r="X894" i="21"/>
  <c r="Y894" i="21" s="1"/>
  <c r="AA894" i="21"/>
  <c r="AB894" i="21" s="1"/>
  <c r="X895" i="21" l="1"/>
  <c r="Y895" i="21" s="1"/>
  <c r="N896" i="21"/>
  <c r="AA895" i="21"/>
  <c r="AB895" i="21" s="1"/>
  <c r="AA896" i="21" l="1"/>
  <c r="AB896" i="21" s="1"/>
  <c r="N897" i="21"/>
  <c r="X896" i="21"/>
  <c r="Y896" i="21" s="1"/>
  <c r="N898" i="21" l="1"/>
  <c r="X897" i="21"/>
  <c r="Y897" i="21" s="1"/>
  <c r="AA897" i="21"/>
  <c r="AB897" i="21" s="1"/>
  <c r="AA898" i="21" l="1"/>
  <c r="AB898" i="21" s="1"/>
  <c r="N899" i="21"/>
  <c r="X898" i="21"/>
  <c r="Y898" i="21" s="1"/>
  <c r="N900" i="21" l="1"/>
  <c r="X899" i="21"/>
  <c r="Y899" i="21" s="1"/>
  <c r="AA899" i="21"/>
  <c r="AB899" i="21" s="1"/>
  <c r="N901" i="21" l="1"/>
  <c r="X900" i="21"/>
  <c r="Y900" i="21" s="1"/>
  <c r="AA900" i="21"/>
  <c r="AB900" i="21" s="1"/>
  <c r="N902" i="21" l="1"/>
  <c r="AA901" i="21"/>
  <c r="AB901" i="21" s="1"/>
  <c r="X901" i="21"/>
  <c r="Y901" i="21" s="1"/>
  <c r="N903" i="21" l="1"/>
  <c r="AA902" i="21"/>
  <c r="AB902" i="21" s="1"/>
  <c r="X902" i="21"/>
  <c r="Y902" i="21" s="1"/>
  <c r="N904" i="21" l="1"/>
  <c r="X903" i="21"/>
  <c r="Y903" i="21" s="1"/>
  <c r="AA903" i="21"/>
  <c r="AB903" i="21" s="1"/>
  <c r="N905" i="21" l="1"/>
  <c r="AA904" i="21"/>
  <c r="AB904" i="21" s="1"/>
  <c r="X904" i="21"/>
  <c r="Y904" i="21" s="1"/>
  <c r="N906" i="21" l="1"/>
  <c r="X905" i="21"/>
  <c r="Y905" i="21" s="1"/>
  <c r="AA905" i="21"/>
  <c r="AB905" i="21" s="1"/>
  <c r="X906" i="21" l="1"/>
  <c r="Y906" i="21" s="1"/>
  <c r="N907" i="21"/>
  <c r="AA906" i="21"/>
  <c r="AB906" i="21" s="1"/>
  <c r="X907" i="21" l="1"/>
  <c r="Y907" i="21" s="1"/>
  <c r="N908" i="21"/>
  <c r="AA907" i="21"/>
  <c r="AB907" i="21" s="1"/>
  <c r="N909" i="21" l="1"/>
  <c r="X908" i="21"/>
  <c r="Y908" i="21" s="1"/>
  <c r="AA908" i="21"/>
  <c r="AB908" i="21" s="1"/>
  <c r="AA909" i="21" l="1"/>
  <c r="AB909" i="21" s="1"/>
  <c r="N910" i="21"/>
  <c r="X909" i="21"/>
  <c r="Y909" i="21" s="1"/>
  <c r="N911" i="21" l="1"/>
  <c r="AA910" i="21"/>
  <c r="AB910" i="21" s="1"/>
  <c r="X910" i="21"/>
  <c r="Y910" i="21" s="1"/>
  <c r="N912" i="21" l="1"/>
  <c r="X911" i="21"/>
  <c r="Y911" i="21" s="1"/>
  <c r="AA911" i="21"/>
  <c r="AB911" i="21" s="1"/>
  <c r="X912" i="21" l="1"/>
  <c r="Y912" i="21" s="1"/>
  <c r="N913" i="21"/>
  <c r="AA912" i="21"/>
  <c r="AB912" i="21" s="1"/>
  <c r="N914" i="21" l="1"/>
  <c r="X913" i="21"/>
  <c r="Y913" i="21" s="1"/>
  <c r="AA913" i="21"/>
  <c r="AB913" i="21" s="1"/>
  <c r="N915" i="21" l="1"/>
  <c r="AA914" i="21"/>
  <c r="AB914" i="21" s="1"/>
  <c r="X914" i="21"/>
  <c r="Y914" i="21" s="1"/>
  <c r="N916" i="21" l="1"/>
  <c r="X915" i="21"/>
  <c r="Y915" i="21" s="1"/>
  <c r="AA915" i="21"/>
  <c r="AB915" i="21" s="1"/>
  <c r="N917" i="21" l="1"/>
  <c r="AA916" i="21"/>
  <c r="AB916" i="21" s="1"/>
  <c r="X916" i="21"/>
  <c r="Y916" i="21" s="1"/>
  <c r="N918" i="21" l="1"/>
  <c r="AA917" i="21"/>
  <c r="AB917" i="21" s="1"/>
  <c r="X917" i="21"/>
  <c r="Y917" i="21" s="1"/>
  <c r="X918" i="21" l="1"/>
  <c r="Y918" i="21" s="1"/>
  <c r="AA918" i="21"/>
  <c r="AB918" i="21" s="1"/>
  <c r="N919" i="21"/>
  <c r="N920" i="21" l="1"/>
  <c r="AA919" i="21"/>
  <c r="AB919" i="21" s="1"/>
  <c r="X919" i="21"/>
  <c r="Y919" i="21" s="1"/>
  <c r="N921" i="21" l="1"/>
  <c r="AA920" i="21"/>
  <c r="AB920" i="21" s="1"/>
  <c r="X920" i="21"/>
  <c r="Y920" i="21" s="1"/>
  <c r="N922" i="21" l="1"/>
  <c r="AA921" i="21"/>
  <c r="AB921" i="21" s="1"/>
  <c r="X921" i="21"/>
  <c r="Y921" i="21" s="1"/>
  <c r="N923" i="21" l="1"/>
  <c r="X922" i="21"/>
  <c r="Y922" i="21" s="1"/>
  <c r="AA922" i="21"/>
  <c r="AB922" i="21" s="1"/>
  <c r="AA923" i="21" l="1"/>
  <c r="AB923" i="21" s="1"/>
  <c r="N924" i="21"/>
  <c r="X923" i="21"/>
  <c r="Y923" i="21" s="1"/>
  <c r="N925" i="21" l="1"/>
  <c r="AA924" i="21"/>
  <c r="AB924" i="21" s="1"/>
  <c r="X924" i="21"/>
  <c r="Y924" i="21" s="1"/>
  <c r="N926" i="21" l="1"/>
  <c r="AA925" i="21"/>
  <c r="AB925" i="21" s="1"/>
  <c r="X925" i="21"/>
  <c r="Y925" i="21" s="1"/>
  <c r="X926" i="21" l="1"/>
  <c r="Y926" i="21" s="1"/>
  <c r="AA926" i="21"/>
  <c r="AB926" i="21" s="1"/>
  <c r="N927" i="21"/>
  <c r="N928" i="21" l="1"/>
  <c r="AA927" i="21"/>
  <c r="AB927" i="21" s="1"/>
  <c r="X927" i="21"/>
  <c r="Y927" i="21" s="1"/>
  <c r="X928" i="21" l="1"/>
  <c r="Y928" i="21" s="1"/>
  <c r="N929" i="21"/>
  <c r="AA928" i="21"/>
  <c r="AB928" i="21" s="1"/>
  <c r="N930" i="21" l="1"/>
  <c r="X929" i="21"/>
  <c r="Y929" i="21" s="1"/>
  <c r="AA929" i="21"/>
  <c r="AB929" i="21" s="1"/>
  <c r="X930" i="21" l="1"/>
  <c r="Y930" i="21" s="1"/>
  <c r="N931" i="21"/>
  <c r="AA930" i="21"/>
  <c r="AB930" i="21" s="1"/>
  <c r="N932" i="21" l="1"/>
  <c r="X931" i="21"/>
  <c r="Y931" i="21" s="1"/>
  <c r="AA931" i="21"/>
  <c r="AB931" i="21" s="1"/>
  <c r="X932" i="21" l="1"/>
  <c r="Y932" i="21" s="1"/>
  <c r="AA932" i="21"/>
  <c r="AB932" i="21" s="1"/>
  <c r="N933" i="21"/>
  <c r="N934" i="21" l="1"/>
  <c r="AA933" i="21"/>
  <c r="AB933" i="21" s="1"/>
  <c r="X933" i="21"/>
  <c r="Y933" i="21" s="1"/>
  <c r="N935" i="21" l="1"/>
  <c r="AA934" i="21"/>
  <c r="AB934" i="21" s="1"/>
  <c r="X934" i="21"/>
  <c r="Y934" i="21" s="1"/>
  <c r="N936" i="21" l="1"/>
  <c r="AA935" i="21"/>
  <c r="AB935" i="21" s="1"/>
  <c r="X935" i="21"/>
  <c r="Y935" i="21" s="1"/>
  <c r="N937" i="21" l="1"/>
  <c r="AA936" i="21"/>
  <c r="AB936" i="21" s="1"/>
  <c r="X936" i="21"/>
  <c r="Y936" i="21" s="1"/>
  <c r="X937" i="21" l="1"/>
  <c r="Y937" i="21" s="1"/>
  <c r="N938" i="21"/>
  <c r="AA937" i="21"/>
  <c r="AB937" i="21" s="1"/>
  <c r="N939" i="21" l="1"/>
  <c r="X938" i="21"/>
  <c r="Y938" i="21" s="1"/>
  <c r="AA938" i="21"/>
  <c r="AB938" i="21" s="1"/>
  <c r="X939" i="21" l="1"/>
  <c r="Y939" i="21" s="1"/>
  <c r="N940" i="21"/>
  <c r="AA939" i="21"/>
  <c r="AB939" i="21" s="1"/>
  <c r="AA940" i="21" l="1"/>
  <c r="AB940" i="21" s="1"/>
  <c r="N941" i="21"/>
  <c r="X940" i="21"/>
  <c r="Y940" i="21" s="1"/>
  <c r="N942" i="21" l="1"/>
  <c r="X941" i="21"/>
  <c r="Y941" i="21" s="1"/>
  <c r="AA941" i="21"/>
  <c r="AB941" i="21" s="1"/>
  <c r="N943" i="21" l="1"/>
  <c r="X942" i="21"/>
  <c r="Y942" i="21" s="1"/>
  <c r="AA942" i="21"/>
  <c r="AB942" i="21" s="1"/>
  <c r="N944" i="21" l="1"/>
  <c r="X943" i="21"/>
  <c r="Y943" i="21" s="1"/>
  <c r="AA943" i="21"/>
  <c r="AB943" i="21" s="1"/>
  <c r="AA944" i="21" l="1"/>
  <c r="AB944" i="21" s="1"/>
  <c r="X944" i="21"/>
  <c r="Y944" i="21" s="1"/>
  <c r="N945" i="21"/>
  <c r="X945" i="21" l="1"/>
  <c r="Y945" i="21" s="1"/>
  <c r="N946" i="21"/>
  <c r="AA945" i="21"/>
  <c r="AB945" i="21" s="1"/>
  <c r="N947" i="21" l="1"/>
  <c r="X946" i="21"/>
  <c r="Y946" i="21" s="1"/>
  <c r="AA946" i="21"/>
  <c r="AB946" i="21" s="1"/>
  <c r="X947" i="21" l="1"/>
  <c r="Y947" i="21" s="1"/>
  <c r="N948" i="21"/>
  <c r="AA947" i="21"/>
  <c r="AB947" i="21" s="1"/>
  <c r="AA948" i="21" l="1"/>
  <c r="AB948" i="21" s="1"/>
  <c r="N949" i="21"/>
  <c r="X948" i="21"/>
  <c r="Y948" i="21" s="1"/>
  <c r="N950" i="21" l="1"/>
  <c r="X949" i="21"/>
  <c r="Y949" i="21" s="1"/>
  <c r="AA949" i="21"/>
  <c r="AB949" i="21" s="1"/>
  <c r="X950" i="21" l="1"/>
  <c r="Y950" i="21" s="1"/>
  <c r="N951" i="21"/>
  <c r="AA950" i="21"/>
  <c r="AB950" i="21" s="1"/>
  <c r="X951" i="21" l="1"/>
  <c r="Y951" i="21" s="1"/>
  <c r="N952" i="21"/>
  <c r="AA951" i="21"/>
  <c r="AB951" i="21" s="1"/>
  <c r="X952" i="21" l="1"/>
  <c r="Y952" i="21" s="1"/>
  <c r="AA952" i="21"/>
  <c r="AB952" i="21" s="1"/>
  <c r="N953" i="21"/>
  <c r="AA953" i="21" l="1"/>
  <c r="AB953" i="21" s="1"/>
  <c r="N954" i="21"/>
  <c r="X953" i="21"/>
  <c r="Y953" i="21" s="1"/>
  <c r="N955" i="21" l="1"/>
  <c r="X954" i="21"/>
  <c r="Y954" i="21" s="1"/>
  <c r="AA954" i="21"/>
  <c r="AB954" i="21" s="1"/>
  <c r="AA955" i="21" l="1"/>
  <c r="AB955" i="21" s="1"/>
  <c r="N956" i="21"/>
  <c r="X955" i="21"/>
  <c r="Y955" i="21" s="1"/>
  <c r="AA956" i="21" l="1"/>
  <c r="AB956" i="21" s="1"/>
  <c r="N957" i="21"/>
  <c r="X956" i="21"/>
  <c r="Y956" i="21" s="1"/>
  <c r="AA957" i="21" l="1"/>
  <c r="AB957" i="21" s="1"/>
  <c r="N958" i="21"/>
  <c r="X957" i="21"/>
  <c r="Y957" i="21" s="1"/>
  <c r="N959" i="21" l="1"/>
  <c r="AA958" i="21"/>
  <c r="AB958" i="21" s="1"/>
  <c r="X958" i="21"/>
  <c r="Y958" i="21" s="1"/>
  <c r="N960" i="21" l="1"/>
  <c r="X959" i="21"/>
  <c r="Y959" i="21" s="1"/>
  <c r="AA959" i="21"/>
  <c r="AB959" i="21" s="1"/>
  <c r="AA960" i="21" l="1"/>
  <c r="AB960" i="21" s="1"/>
  <c r="N961" i="21"/>
  <c r="X960" i="21"/>
  <c r="Y960" i="21" s="1"/>
  <c r="AA961" i="21" l="1"/>
  <c r="AB961" i="21" s="1"/>
  <c r="N962" i="21"/>
  <c r="X961" i="21"/>
  <c r="Y961" i="21" s="1"/>
  <c r="N963" i="21" l="1"/>
  <c r="X962" i="21"/>
  <c r="Y962" i="21" s="1"/>
  <c r="AA962" i="21"/>
  <c r="AB962" i="21" s="1"/>
  <c r="X963" i="21" l="1"/>
  <c r="Y963" i="21" s="1"/>
  <c r="N964" i="21"/>
  <c r="AA963" i="21"/>
  <c r="AB963" i="21" s="1"/>
  <c r="X964" i="21" l="1"/>
  <c r="Y964" i="21" s="1"/>
  <c r="N965" i="21"/>
  <c r="AA964" i="21"/>
  <c r="AB964" i="21" s="1"/>
  <c r="AA965" i="21" l="1"/>
  <c r="AB965" i="21" s="1"/>
  <c r="N966" i="21"/>
  <c r="X965" i="21"/>
  <c r="Y965" i="21" s="1"/>
  <c r="AA966" i="21" l="1"/>
  <c r="AB966" i="21" s="1"/>
  <c r="N967" i="21"/>
  <c r="X966" i="21"/>
  <c r="Y966" i="21" s="1"/>
  <c r="N968" i="21" l="1"/>
  <c r="AA967" i="21"/>
  <c r="AB967" i="21" s="1"/>
  <c r="X967" i="21"/>
  <c r="Y967" i="21" s="1"/>
  <c r="AA968" i="21" l="1"/>
  <c r="AB968" i="21" s="1"/>
  <c r="N969" i="21"/>
  <c r="X968" i="21"/>
  <c r="Y968" i="21" s="1"/>
  <c r="AA969" i="21" l="1"/>
  <c r="AB969" i="21" s="1"/>
  <c r="N970" i="21"/>
  <c r="X969" i="21"/>
  <c r="Y969" i="21" s="1"/>
  <c r="N971" i="21" l="1"/>
  <c r="X970" i="21"/>
  <c r="Y970" i="21" s="1"/>
  <c r="AA970" i="21"/>
  <c r="AB970" i="21" s="1"/>
  <c r="X971" i="21" l="1"/>
  <c r="Y971" i="21" s="1"/>
  <c r="N972" i="21"/>
  <c r="AA971" i="21"/>
  <c r="AB971" i="21" s="1"/>
  <c r="N973" i="21" l="1"/>
  <c r="AA972" i="21"/>
  <c r="AB972" i="21" s="1"/>
  <c r="X972" i="21"/>
  <c r="Y972" i="21" s="1"/>
  <c r="N974" i="21" l="1"/>
  <c r="AA973" i="21"/>
  <c r="AB973" i="21" s="1"/>
  <c r="X973" i="21"/>
  <c r="Y973" i="21" s="1"/>
  <c r="X974" i="21" l="1"/>
  <c r="Y974" i="21" s="1"/>
  <c r="N975" i="21"/>
  <c r="AA974" i="21"/>
  <c r="AB974" i="21" s="1"/>
  <c r="N976" i="21" l="1"/>
  <c r="AA975" i="21"/>
  <c r="AB975" i="21" s="1"/>
  <c r="X975" i="21"/>
  <c r="Y975" i="21" s="1"/>
  <c r="AA976" i="21" l="1"/>
  <c r="AB976" i="21" s="1"/>
  <c r="N977" i="21"/>
  <c r="X976" i="21"/>
  <c r="Y976" i="21" s="1"/>
  <c r="X977" i="21" l="1"/>
  <c r="Y977" i="21" s="1"/>
  <c r="N978" i="21"/>
  <c r="AA977" i="21"/>
  <c r="AB977" i="21" s="1"/>
  <c r="AA978" i="21" l="1"/>
  <c r="AB978" i="21" s="1"/>
  <c r="X978" i="21"/>
  <c r="Y978" i="21" s="1"/>
  <c r="N979" i="21"/>
  <c r="X979" i="21" l="1"/>
  <c r="Y979" i="21" s="1"/>
  <c r="N980" i="21"/>
  <c r="AA979" i="21"/>
  <c r="AB979" i="21" s="1"/>
  <c r="X980" i="21" l="1"/>
  <c r="Y980" i="21" s="1"/>
  <c r="AA980" i="21"/>
  <c r="AB980" i="21" s="1"/>
  <c r="N981" i="21"/>
  <c r="X981" i="21" l="1"/>
  <c r="Y981" i="21" s="1"/>
  <c r="N982" i="21"/>
  <c r="AA981" i="21"/>
  <c r="AB981" i="21" s="1"/>
  <c r="N983" i="21" l="1"/>
  <c r="AA982" i="21"/>
  <c r="AB982" i="21" s="1"/>
  <c r="X982" i="21"/>
  <c r="Y982" i="21" s="1"/>
  <c r="N984" i="21" l="1"/>
  <c r="AA983" i="21"/>
  <c r="AB983" i="21" s="1"/>
  <c r="X983" i="21"/>
  <c r="Y983" i="21" s="1"/>
  <c r="AA984" i="21" l="1"/>
  <c r="AB984" i="21" s="1"/>
  <c r="N985" i="21"/>
  <c r="X984" i="21"/>
  <c r="Y984" i="21" s="1"/>
  <c r="AA985" i="21" l="1"/>
  <c r="AB985" i="21" s="1"/>
  <c r="N986" i="21"/>
  <c r="X985" i="21"/>
  <c r="Y985" i="21" s="1"/>
  <c r="X986" i="21" l="1"/>
  <c r="Y986" i="21" s="1"/>
  <c r="AA986" i="21"/>
  <c r="AB986" i="21" s="1"/>
  <c r="N987" i="21"/>
  <c r="AA987" i="21" l="1"/>
  <c r="AB987" i="21" s="1"/>
  <c r="N988" i="21"/>
  <c r="X987" i="21"/>
  <c r="Y987" i="21" s="1"/>
  <c r="N989" i="21" l="1"/>
  <c r="AA988" i="21"/>
  <c r="AB988" i="21" s="1"/>
  <c r="X988" i="21"/>
  <c r="Y988" i="21" s="1"/>
  <c r="N990" i="21" l="1"/>
  <c r="X989" i="21"/>
  <c r="Y989" i="21" s="1"/>
  <c r="AA989" i="21"/>
  <c r="AB989" i="21" s="1"/>
  <c r="N991" i="21" l="1"/>
  <c r="X990" i="21"/>
  <c r="Y990" i="21" s="1"/>
  <c r="AA990" i="21"/>
  <c r="AB990" i="21" s="1"/>
  <c r="N992" i="21" l="1"/>
  <c r="X991" i="21"/>
  <c r="Y991" i="21" s="1"/>
  <c r="AA991" i="21"/>
  <c r="AB991" i="21" s="1"/>
  <c r="X992" i="21" l="1"/>
  <c r="Y992" i="21" s="1"/>
  <c r="AA992" i="21"/>
  <c r="AB992" i="21" s="1"/>
  <c r="N993" i="21"/>
  <c r="N994" i="21" l="1"/>
  <c r="X993" i="21"/>
  <c r="Y993" i="21" s="1"/>
  <c r="AA993" i="21"/>
  <c r="AB993" i="21" s="1"/>
  <c r="AA994" i="21" l="1"/>
  <c r="AB994" i="21" s="1"/>
  <c r="N995" i="21"/>
  <c r="X994" i="21"/>
  <c r="Y994" i="21" s="1"/>
  <c r="AA995" i="21" l="1"/>
  <c r="AB995" i="21" s="1"/>
  <c r="N996" i="21"/>
  <c r="X995" i="21"/>
  <c r="Y995" i="21" s="1"/>
  <c r="X996" i="21" l="1"/>
  <c r="Y996" i="21" s="1"/>
  <c r="AA996" i="21"/>
  <c r="AB996" i="21" s="1"/>
  <c r="N997" i="21"/>
  <c r="X997" i="21" l="1"/>
  <c r="Y997" i="21" s="1"/>
  <c r="N998" i="21"/>
  <c r="AA997" i="21"/>
  <c r="AB997" i="21" s="1"/>
  <c r="X998" i="21" l="1"/>
  <c r="Y998" i="21" s="1"/>
  <c r="AA998" i="21"/>
  <c r="AB998" i="21" s="1"/>
  <c r="N999" i="21"/>
  <c r="X999" i="21" l="1"/>
  <c r="Y999" i="21" s="1"/>
  <c r="N1000" i="21"/>
  <c r="AA999" i="21"/>
  <c r="AB999" i="21" s="1"/>
  <c r="AA1000" i="21" l="1"/>
  <c r="AB1000" i="21" s="1"/>
  <c r="N1001" i="21"/>
  <c r="X1000" i="21"/>
  <c r="Y1000" i="21" s="1"/>
  <c r="N1002" i="21" l="1"/>
  <c r="X1001" i="21"/>
  <c r="Y1001" i="21" s="1"/>
  <c r="AA1001" i="21"/>
  <c r="AB1001" i="21" s="1"/>
  <c r="AA1002" i="21" l="1"/>
  <c r="AB1002" i="21" s="1"/>
  <c r="N1003" i="21"/>
  <c r="X1002" i="21"/>
  <c r="Y1002" i="21" s="1"/>
  <c r="X1003" i="21" l="1"/>
  <c r="Y1003" i="21" s="1"/>
  <c r="N1004" i="21"/>
  <c r="AA1003" i="21"/>
  <c r="AB1003" i="21" s="1"/>
  <c r="X1004" i="21" l="1"/>
  <c r="Y1004" i="21" s="1"/>
  <c r="AA1004" i="21"/>
  <c r="AB1004" i="21" s="1"/>
  <c r="N1005" i="21"/>
  <c r="X1005" i="21" l="1"/>
  <c r="Y1005" i="21" s="1"/>
  <c r="N1006" i="21"/>
  <c r="AA1005" i="21"/>
  <c r="AB1005" i="21" s="1"/>
  <c r="X1006" i="21" l="1"/>
  <c r="Y1006" i="21" s="1"/>
  <c r="N1007" i="21"/>
  <c r="AA1006" i="21"/>
  <c r="AB1006" i="21" s="1"/>
  <c r="X1007" i="21" l="1"/>
  <c r="Y1007" i="21" s="1"/>
  <c r="N1008" i="21"/>
  <c r="AA1007" i="21"/>
  <c r="AB1007" i="21" s="1"/>
  <c r="N1009" i="21" l="1"/>
  <c r="X1008" i="21"/>
  <c r="Y1008" i="21" s="1"/>
  <c r="AA1008" i="21"/>
  <c r="AB1008" i="21" s="1"/>
  <c r="N1010" i="21" l="1"/>
  <c r="AA1009" i="21"/>
  <c r="AB1009" i="21" s="1"/>
  <c r="X1009" i="21"/>
  <c r="Y1009" i="21" s="1"/>
  <c r="N1011" i="21" l="1"/>
  <c r="X1010" i="21"/>
  <c r="Y1010" i="21" s="1"/>
  <c r="AA1010" i="21"/>
  <c r="AB1010" i="21" s="1"/>
  <c r="AA1011" i="21" l="1"/>
  <c r="AB1011" i="21" s="1"/>
  <c r="N1012" i="21"/>
  <c r="X1011" i="21"/>
  <c r="Y1011" i="21" s="1"/>
  <c r="AA1012" i="21" l="1"/>
  <c r="AB1012" i="21" s="1"/>
  <c r="N1013" i="21"/>
  <c r="X1012" i="21"/>
  <c r="Y1012" i="21" s="1"/>
  <c r="N1014" i="21" l="1"/>
  <c r="X1013" i="21"/>
  <c r="Y1013" i="21" s="1"/>
  <c r="AA1013" i="21"/>
  <c r="AB1013" i="21" s="1"/>
  <c r="X1014" i="21" l="1"/>
  <c r="Y1014" i="21" s="1"/>
  <c r="N1015" i="21"/>
  <c r="AA1014" i="21"/>
  <c r="AB1014" i="21" s="1"/>
  <c r="AA1015" i="21" l="1"/>
  <c r="AB1015" i="21" s="1"/>
  <c r="N1016" i="21"/>
  <c r="X1015" i="21"/>
  <c r="Y1015" i="21" s="1"/>
  <c r="N1017" i="21" l="1"/>
  <c r="AA1016" i="21"/>
  <c r="AB1016" i="21" s="1"/>
  <c r="X1016" i="21"/>
  <c r="Y1016" i="21" s="1"/>
  <c r="X1017" i="21" l="1"/>
  <c r="Y1017" i="21" s="1"/>
  <c r="N1018" i="21"/>
  <c r="AA1017" i="21"/>
  <c r="AB1017" i="21" s="1"/>
  <c r="N1019" i="21" l="1"/>
  <c r="X1018" i="21"/>
  <c r="Y1018" i="21" s="1"/>
  <c r="AA1018" i="21"/>
  <c r="AB1018" i="21" s="1"/>
  <c r="AA1019" i="21" l="1"/>
  <c r="AB1019" i="21" s="1"/>
  <c r="N1020" i="21"/>
  <c r="X1019" i="21"/>
  <c r="Y1019" i="21" s="1"/>
  <c r="X1020" i="21" l="1"/>
  <c r="Y1020" i="21" s="1"/>
  <c r="N1021" i="21"/>
  <c r="AA1020" i="21"/>
  <c r="AB1020" i="21" s="1"/>
  <c r="N1022" i="21" l="1"/>
  <c r="AA1021" i="21"/>
  <c r="AB1021" i="21" s="1"/>
  <c r="X1021" i="21"/>
  <c r="Y1021" i="21" s="1"/>
  <c r="AA1022" i="21" l="1"/>
  <c r="AB1022" i="21" s="1"/>
  <c r="N1023" i="21"/>
  <c r="X1022" i="21"/>
  <c r="Y1022" i="21" s="1"/>
  <c r="X1023" i="21" l="1"/>
  <c r="Y1023" i="21" s="1"/>
  <c r="N1024" i="21"/>
  <c r="AA1023" i="21"/>
  <c r="AB1023" i="21" s="1"/>
  <c r="AA1024" i="21" l="1"/>
  <c r="AB1024" i="21" s="1"/>
  <c r="X1024" i="21"/>
  <c r="Y1024" i="21" s="1"/>
  <c r="N1025" i="21"/>
  <c r="X1025" i="21" l="1"/>
  <c r="Y1025" i="21" s="1"/>
  <c r="N1026" i="21"/>
  <c r="AA1025" i="21"/>
  <c r="AB1025" i="21" s="1"/>
  <c r="X1026" i="21" l="1"/>
  <c r="Y1026" i="21" s="1"/>
  <c r="AA1026" i="21"/>
  <c r="AB1026" i="21" s="1"/>
  <c r="N1027" i="21"/>
  <c r="N1028" i="21" l="1"/>
  <c r="AA1027" i="21"/>
  <c r="AB1027" i="21" s="1"/>
  <c r="X1027" i="21"/>
  <c r="Y1027" i="21" s="1"/>
  <c r="AA1028" i="21" l="1"/>
  <c r="AB1028" i="21" s="1"/>
  <c r="N1029" i="21"/>
  <c r="X1028" i="21"/>
  <c r="Y1028" i="21" s="1"/>
  <c r="N1030" i="21" l="1"/>
  <c r="X1029" i="21"/>
  <c r="Y1029" i="21" s="1"/>
  <c r="AA1029" i="21"/>
  <c r="AB1029" i="21" s="1"/>
  <c r="AA1030" i="21" l="1"/>
  <c r="AB1030" i="21" s="1"/>
  <c r="N1031" i="21"/>
  <c r="X1030" i="21"/>
  <c r="Y1030" i="21" s="1"/>
  <c r="X1031" i="21" l="1"/>
  <c r="Y1031" i="21" s="1"/>
  <c r="N1032" i="21"/>
  <c r="AA1031" i="21"/>
  <c r="AB1031" i="21" s="1"/>
  <c r="AA1032" i="21" l="1"/>
  <c r="AB1032" i="21" s="1"/>
  <c r="X1032" i="21"/>
  <c r="Y1032" i="21" s="1"/>
  <c r="N1033" i="21"/>
  <c r="N1034" i="21" l="1"/>
  <c r="X1033" i="21"/>
  <c r="Y1033" i="21" s="1"/>
  <c r="AA1033" i="21"/>
  <c r="AB1033" i="21" s="1"/>
  <c r="AA1034" i="21" l="1"/>
  <c r="AB1034" i="21" s="1"/>
  <c r="X1034" i="21"/>
  <c r="Y1034" i="21" s="1"/>
  <c r="N1035" i="21"/>
  <c r="X1035" i="21" l="1"/>
  <c r="Y1035" i="21" s="1"/>
  <c r="N1036" i="21"/>
  <c r="AA1035" i="21"/>
  <c r="AB1035" i="21" s="1"/>
  <c r="AA1036" i="21" l="1"/>
  <c r="AB1036" i="21" s="1"/>
  <c r="N1037" i="21"/>
  <c r="X1036" i="21"/>
  <c r="Y1036" i="21" s="1"/>
  <c r="X1037" i="21" l="1"/>
  <c r="Y1037" i="21" s="1"/>
  <c r="N1038" i="21"/>
  <c r="AA1037" i="21"/>
  <c r="AB1037" i="21" s="1"/>
  <c r="AA1038" i="21" l="1"/>
  <c r="AB1038" i="21" s="1"/>
  <c r="N1039" i="21"/>
  <c r="X1038" i="21"/>
  <c r="Y1038" i="21" s="1"/>
  <c r="X1039" i="21" l="1"/>
  <c r="Y1039" i="21" s="1"/>
  <c r="N1040" i="21"/>
  <c r="AA1039" i="21"/>
  <c r="AB1039" i="21" s="1"/>
  <c r="X1040" i="21" l="1"/>
  <c r="Y1040" i="21" s="1"/>
  <c r="AA1040" i="21"/>
  <c r="AB1040" i="21" s="1"/>
  <c r="N1041" i="21"/>
  <c r="N1042" i="21" l="1"/>
  <c r="X1041" i="21"/>
  <c r="Y1041" i="21" s="1"/>
  <c r="AA1041" i="21"/>
  <c r="AB1041" i="21" s="1"/>
  <c r="N1043" i="21" l="1"/>
  <c r="X1042" i="21"/>
  <c r="Y1042" i="21" s="1"/>
  <c r="AA1042" i="21"/>
  <c r="AB1042" i="21" s="1"/>
  <c r="AA1043" i="21" l="1"/>
  <c r="AB1043" i="21" s="1"/>
  <c r="N1044" i="21"/>
  <c r="X1043" i="21"/>
  <c r="Y1043" i="21" s="1"/>
  <c r="N1045" i="21" l="1"/>
  <c r="AA1044" i="21"/>
  <c r="AB1044" i="21" s="1"/>
  <c r="X1044" i="21"/>
  <c r="Y1044" i="21" s="1"/>
  <c r="AA1045" i="21" l="1"/>
  <c r="AB1045" i="21" s="1"/>
  <c r="N1046" i="21"/>
  <c r="X1045" i="21"/>
  <c r="Y1045" i="21" s="1"/>
  <c r="X1046" i="21" l="1"/>
  <c r="Y1046" i="21" s="1"/>
  <c r="N1047" i="21"/>
  <c r="AA1046" i="21"/>
  <c r="AB1046" i="21" s="1"/>
  <c r="N1048" i="21" l="1"/>
  <c r="X1047" i="21"/>
  <c r="Y1047" i="21" s="1"/>
  <c r="AA1047" i="21"/>
  <c r="AB1047" i="21" s="1"/>
  <c r="X1048" i="21" l="1"/>
  <c r="Y1048" i="21" s="1"/>
  <c r="AA1048" i="21"/>
  <c r="AB1048" i="21" s="1"/>
  <c r="N1049" i="21"/>
  <c r="N1050" i="21" l="1"/>
  <c r="X1049" i="21"/>
  <c r="Y1049" i="21" s="1"/>
  <c r="AA1049" i="21"/>
  <c r="AB1049" i="21" s="1"/>
  <c r="N1051" i="21" l="1"/>
  <c r="X1050" i="21"/>
  <c r="Y1050" i="21" s="1"/>
  <c r="AA1050" i="21"/>
  <c r="AB1050" i="21" s="1"/>
  <c r="X1051" i="21" l="1"/>
  <c r="Y1051" i="21" s="1"/>
  <c r="N1052" i="21"/>
  <c r="AA1051" i="21"/>
  <c r="AB1051" i="21" s="1"/>
  <c r="N1053" i="21" l="1"/>
  <c r="AA1052" i="21"/>
  <c r="AB1052" i="21" s="1"/>
  <c r="X1052" i="21"/>
  <c r="Y1052" i="21" s="1"/>
  <c r="X1053" i="21" l="1"/>
  <c r="Y1053" i="21" s="1"/>
  <c r="N1054" i="21"/>
  <c r="AA1053" i="21"/>
  <c r="AB1053" i="21" s="1"/>
  <c r="AA1054" i="21" l="1"/>
  <c r="AB1054" i="21" s="1"/>
  <c r="N1055" i="21"/>
  <c r="X1054" i="21"/>
  <c r="Y1054" i="21" s="1"/>
  <c r="X1055" i="21" l="1"/>
  <c r="Y1055" i="21" s="1"/>
  <c r="N1056" i="21"/>
  <c r="AA1055" i="21"/>
  <c r="AB1055" i="21" s="1"/>
  <c r="N1057" i="21" l="1"/>
  <c r="AA1056" i="21"/>
  <c r="AB1056" i="21" s="1"/>
  <c r="X1056" i="21"/>
  <c r="Y1056" i="21" s="1"/>
  <c r="N1058" i="21" l="1"/>
  <c r="AA1057" i="21"/>
  <c r="AB1057" i="21" s="1"/>
  <c r="X1057" i="21"/>
  <c r="Y1057" i="21" s="1"/>
  <c r="N1059" i="21" l="1"/>
  <c r="X1058" i="21"/>
  <c r="Y1058" i="21" s="1"/>
  <c r="AA1058" i="21"/>
  <c r="AB1058" i="21" s="1"/>
  <c r="AA1059" i="21" l="1"/>
  <c r="AB1059" i="21" s="1"/>
  <c r="N1060" i="21"/>
  <c r="X1059" i="21"/>
  <c r="Y1059" i="21" s="1"/>
  <c r="X1060" i="21" l="1"/>
  <c r="Y1060" i="21" s="1"/>
  <c r="AA1060" i="21"/>
  <c r="AB1060" i="21" s="1"/>
  <c r="N1061" i="21"/>
  <c r="N1062" i="21" l="1"/>
  <c r="X1061" i="21"/>
  <c r="Y1061" i="21" s="1"/>
  <c r="AA1061" i="21"/>
  <c r="AB1061" i="21" s="1"/>
  <c r="X1062" i="21" l="1"/>
  <c r="Y1062" i="21" s="1"/>
  <c r="N1063" i="21"/>
  <c r="AA1062" i="21"/>
  <c r="AB1062" i="21" s="1"/>
  <c r="AA1063" i="21" l="1"/>
  <c r="AB1063" i="21" s="1"/>
  <c r="N1064" i="21"/>
  <c r="X1063" i="21"/>
  <c r="Y1063" i="21" s="1"/>
  <c r="X1064" i="21" l="1"/>
  <c r="Y1064" i="21" s="1"/>
  <c r="AA1064" i="21"/>
  <c r="AB1064" i="21" s="1"/>
  <c r="N1065" i="21"/>
  <c r="N1066" i="21" l="1"/>
  <c r="X1065" i="21"/>
  <c r="Y1065" i="21" s="1"/>
  <c r="AA1065" i="21"/>
  <c r="AB1065" i="21" s="1"/>
  <c r="AA1066" i="21" l="1"/>
  <c r="AB1066" i="21" s="1"/>
  <c r="N1067" i="21"/>
  <c r="X1066" i="21"/>
  <c r="Y1066" i="21" s="1"/>
  <c r="AA1067" i="21" l="1"/>
  <c r="AB1067" i="21" s="1"/>
  <c r="N1068" i="21"/>
  <c r="X1067" i="21"/>
  <c r="Y1067" i="21" s="1"/>
  <c r="AA1068" i="21" l="1"/>
  <c r="AB1068" i="21" s="1"/>
  <c r="N1069" i="21"/>
  <c r="X1068" i="21"/>
  <c r="Y1068" i="21" s="1"/>
  <c r="AA1069" i="21" l="1"/>
  <c r="AB1069" i="21" s="1"/>
  <c r="N1070" i="21"/>
  <c r="X1069" i="21"/>
  <c r="Y1069" i="21" s="1"/>
  <c r="X1070" i="21" l="1"/>
  <c r="Y1070" i="21" s="1"/>
  <c r="N1071" i="21"/>
  <c r="AA1070" i="21"/>
  <c r="AB1070" i="21" s="1"/>
  <c r="AA1071" i="21" l="1"/>
  <c r="AB1071" i="21" s="1"/>
  <c r="N1072" i="21"/>
  <c r="X1071" i="21"/>
  <c r="Y1071" i="21" s="1"/>
  <c r="N1073" i="21" l="1"/>
  <c r="AA1072" i="21"/>
  <c r="AB1072" i="21" s="1"/>
  <c r="X1072" i="21"/>
  <c r="Y1072" i="21" s="1"/>
  <c r="N1074" i="21" l="1"/>
  <c r="AA1073" i="21"/>
  <c r="AB1073" i="21" s="1"/>
  <c r="X1073" i="21"/>
  <c r="Y1073" i="21" s="1"/>
  <c r="N1075" i="21" l="1"/>
  <c r="AA1074" i="21"/>
  <c r="AB1074" i="21" s="1"/>
  <c r="X1074" i="21"/>
  <c r="Y1074" i="21" s="1"/>
  <c r="AA1075" i="21" l="1"/>
  <c r="AB1075" i="21" s="1"/>
  <c r="N1076" i="21"/>
  <c r="X1075" i="21"/>
  <c r="Y1075" i="21" s="1"/>
  <c r="AA1076" i="21" l="1"/>
  <c r="AB1076" i="21" s="1"/>
  <c r="N1077" i="21"/>
  <c r="X1076" i="21"/>
  <c r="Y1076" i="21" s="1"/>
  <c r="X1077" i="21" l="1"/>
  <c r="Y1077" i="21" s="1"/>
  <c r="N1078" i="21"/>
  <c r="AA1077" i="21"/>
  <c r="AB1077" i="21" s="1"/>
  <c r="AA1078" i="21" l="1"/>
  <c r="AB1078" i="21" s="1"/>
  <c r="N1079" i="21"/>
  <c r="X1078" i="21"/>
  <c r="Y1078" i="21" s="1"/>
  <c r="N1080" i="21" l="1"/>
  <c r="X1079" i="21"/>
  <c r="Y1079" i="21" s="1"/>
  <c r="AA1079" i="21"/>
  <c r="AB1079" i="21" s="1"/>
  <c r="X1080" i="21" l="1"/>
  <c r="Y1080" i="21" s="1"/>
  <c r="AA1080" i="21"/>
  <c r="AB1080" i="21" s="1"/>
  <c r="N1081" i="21"/>
  <c r="N1082" i="21" l="1"/>
  <c r="X1081" i="21"/>
  <c r="Y1081" i="21" s="1"/>
  <c r="AA1081" i="21"/>
  <c r="AB1081" i="21" s="1"/>
  <c r="N1083" i="21" l="1"/>
  <c r="X1082" i="21"/>
  <c r="Y1082" i="21" s="1"/>
  <c r="AA1082" i="21"/>
  <c r="AB1082" i="21" s="1"/>
  <c r="AA1083" i="21" l="1"/>
  <c r="AB1083" i="21" s="1"/>
  <c r="N1084" i="21"/>
  <c r="X1083" i="21"/>
  <c r="Y1083" i="21" s="1"/>
  <c r="N1085" i="21" l="1"/>
  <c r="AA1084" i="21"/>
  <c r="AB1084" i="21" s="1"/>
  <c r="X1084" i="21"/>
  <c r="Y1084" i="21" s="1"/>
  <c r="X1085" i="21" l="1"/>
  <c r="Y1085" i="21" s="1"/>
  <c r="N1086" i="21"/>
  <c r="AA1085" i="21"/>
  <c r="AB1085" i="21" s="1"/>
  <c r="N1087" i="21" l="1"/>
  <c r="X1086" i="21"/>
  <c r="Y1086" i="21" s="1"/>
  <c r="AA1086" i="21"/>
  <c r="AB1086" i="21" s="1"/>
  <c r="N1088" i="21" l="1"/>
  <c r="AA1087" i="21"/>
  <c r="AB1087" i="21" s="1"/>
  <c r="X1087" i="21"/>
  <c r="Y1087" i="21" s="1"/>
  <c r="AA1088" i="21" l="1"/>
  <c r="AB1088" i="21" s="1"/>
  <c r="N1089" i="21"/>
  <c r="X1088" i="21"/>
  <c r="Y1088" i="21" s="1"/>
  <c r="N1090" i="21" l="1"/>
  <c r="AA1089" i="21"/>
  <c r="AB1089" i="21" s="1"/>
  <c r="X1089" i="21"/>
  <c r="Y1089" i="21" s="1"/>
  <c r="X1090" i="21" l="1"/>
  <c r="Y1090" i="21" s="1"/>
  <c r="N1091" i="21"/>
  <c r="AA1090" i="21"/>
  <c r="AB1090" i="21" s="1"/>
  <c r="N1092" i="21" l="1"/>
  <c r="AA1091" i="21"/>
  <c r="AB1091" i="21" s="1"/>
  <c r="X1091" i="21"/>
  <c r="Y1091" i="21" s="1"/>
  <c r="N1093" i="21" l="1"/>
  <c r="X1092" i="21"/>
  <c r="Y1092" i="21" s="1"/>
  <c r="AA1092" i="21"/>
  <c r="AB1092" i="21" s="1"/>
  <c r="N1094" i="21" l="1"/>
  <c r="AA1093" i="21"/>
  <c r="AB1093" i="21" s="1"/>
  <c r="X1093" i="21"/>
  <c r="Y1093" i="21" s="1"/>
  <c r="X1094" i="21" l="1"/>
  <c r="Y1094" i="21" s="1"/>
  <c r="AA1094" i="21"/>
  <c r="AB1094" i="21" s="1"/>
  <c r="N1095" i="21"/>
  <c r="X1095" i="21" l="1"/>
  <c r="Y1095" i="21" s="1"/>
  <c r="N1096" i="21"/>
  <c r="AA1095" i="21"/>
  <c r="AB1095" i="21" s="1"/>
  <c r="N1097" i="21" l="1"/>
  <c r="X1096" i="21"/>
  <c r="Y1096" i="21" s="1"/>
  <c r="AA1096" i="21"/>
  <c r="AB1096" i="21" s="1"/>
  <c r="AA1097" i="21" l="1"/>
  <c r="AB1097" i="21" s="1"/>
  <c r="N1098" i="21"/>
  <c r="X1097" i="21"/>
  <c r="Y1097" i="21" s="1"/>
  <c r="X1098" i="21" l="1"/>
  <c r="Y1098" i="21" s="1"/>
  <c r="AA1098" i="21"/>
  <c r="AB1098" i="21" s="1"/>
  <c r="N1099" i="21"/>
  <c r="X1099" i="21" l="1"/>
  <c r="Y1099" i="21" s="1"/>
  <c r="N1100" i="21"/>
  <c r="AA1099" i="21"/>
  <c r="AB1099" i="21" s="1"/>
  <c r="X1100" i="21" l="1"/>
  <c r="Y1100" i="21" s="1"/>
  <c r="N1101" i="21"/>
  <c r="AA1100" i="21"/>
  <c r="AB1100" i="21" s="1"/>
  <c r="AA1101" i="21" l="1"/>
  <c r="AB1101" i="21" s="1"/>
  <c r="N1102" i="21"/>
  <c r="X1101" i="21"/>
  <c r="Y1101" i="21" s="1"/>
  <c r="AA1102" i="21" l="1"/>
  <c r="AB1102" i="21" s="1"/>
  <c r="N1103" i="21"/>
  <c r="X1102" i="21"/>
  <c r="Y1102" i="21" s="1"/>
  <c r="N1104" i="21" l="1"/>
  <c r="X1103" i="21"/>
  <c r="Y1103" i="21" s="1"/>
  <c r="AA1103" i="21"/>
  <c r="AB1103" i="21" s="1"/>
  <c r="N1105" i="21" l="1"/>
  <c r="X1104" i="21"/>
  <c r="Y1104" i="21" s="1"/>
  <c r="AA1104" i="21"/>
  <c r="AB1104" i="21" s="1"/>
  <c r="N1106" i="21" l="1"/>
  <c r="AA1105" i="21"/>
  <c r="AB1105" i="21" s="1"/>
  <c r="X1105" i="21"/>
  <c r="Y1105" i="21" s="1"/>
  <c r="N1107" i="21" l="1"/>
  <c r="X1106" i="21"/>
  <c r="Y1106" i="21" s="1"/>
  <c r="AA1106" i="21"/>
  <c r="AB1106" i="21" s="1"/>
  <c r="N1108" i="21" l="1"/>
  <c r="AA1107" i="21"/>
  <c r="AB1107" i="21" s="1"/>
  <c r="X1107" i="21"/>
  <c r="Y1107" i="21" s="1"/>
  <c r="AA1108" i="21" l="1"/>
  <c r="AB1108" i="21" s="1"/>
  <c r="X1108" i="21"/>
  <c r="Y1108" i="21" s="1"/>
  <c r="N1109" i="21"/>
  <c r="N1110" i="21" l="1"/>
  <c r="AA1109" i="21"/>
  <c r="AB1109" i="21" s="1"/>
  <c r="X1109" i="21"/>
  <c r="Y1109" i="21" s="1"/>
  <c r="AA1110" i="21" l="1"/>
  <c r="AB1110" i="21" s="1"/>
  <c r="N1111" i="21"/>
  <c r="X1110" i="21"/>
  <c r="Y1110" i="21" s="1"/>
  <c r="X1111" i="21" l="1"/>
  <c r="Y1111" i="21" s="1"/>
  <c r="N1112" i="21"/>
  <c r="AA1111" i="21"/>
  <c r="AB1111" i="21" s="1"/>
  <c r="X1112" i="21" l="1"/>
  <c r="Y1112" i="21" s="1"/>
  <c r="AA1112" i="21"/>
  <c r="AB1112" i="21" s="1"/>
  <c r="N1113" i="21"/>
  <c r="AA1113" i="21" l="1"/>
  <c r="AB1113" i="21" s="1"/>
  <c r="N1114" i="21"/>
  <c r="X1113" i="21"/>
  <c r="Y1113" i="21" s="1"/>
  <c r="N1115" i="21" l="1"/>
  <c r="X1114" i="21"/>
  <c r="Y1114" i="21" s="1"/>
  <c r="AA1114" i="21"/>
  <c r="AB1114" i="21" s="1"/>
  <c r="N1116" i="21" l="1"/>
  <c r="AA1115" i="21"/>
  <c r="AB1115" i="21" s="1"/>
  <c r="X1115" i="21"/>
  <c r="Y1115" i="21" s="1"/>
  <c r="N1117" i="21" l="1"/>
  <c r="X1116" i="21"/>
  <c r="Y1116" i="21" s="1"/>
  <c r="AA1116" i="21"/>
  <c r="AB1116" i="21" s="1"/>
  <c r="N1118" i="21" l="1"/>
  <c r="X1117" i="21"/>
  <c r="Y1117" i="21" s="1"/>
  <c r="AA1117" i="21"/>
  <c r="AB1117" i="21" s="1"/>
  <c r="AA1118" i="21" l="1"/>
  <c r="AB1118" i="21" s="1"/>
  <c r="N1119" i="21"/>
  <c r="X1118" i="21"/>
  <c r="Y1118" i="21" s="1"/>
  <c r="N1120" i="21" l="1"/>
  <c r="X1119" i="21"/>
  <c r="Y1119" i="21" s="1"/>
  <c r="AA1119" i="21"/>
  <c r="AB1119" i="21" s="1"/>
  <c r="N1121" i="21" l="1"/>
  <c r="X1120" i="21"/>
  <c r="Y1120" i="21" s="1"/>
  <c r="AA1120" i="21"/>
  <c r="AB1120" i="21" s="1"/>
  <c r="N1122" i="21" l="1"/>
  <c r="X1121" i="21"/>
  <c r="Y1121" i="21" s="1"/>
  <c r="AA1121" i="21"/>
  <c r="AB1121" i="21" s="1"/>
  <c r="AA1122" i="21" l="1"/>
  <c r="AB1122" i="21" s="1"/>
  <c r="N1123" i="21"/>
  <c r="X1122" i="21"/>
  <c r="Y1122" i="21" s="1"/>
  <c r="N1124" i="21" l="1"/>
  <c r="X1123" i="21"/>
  <c r="Y1123" i="21" s="1"/>
  <c r="AA1123" i="21"/>
  <c r="AB1123" i="21" s="1"/>
  <c r="N1125" i="21" l="1"/>
  <c r="AA1124" i="21"/>
  <c r="AB1124" i="21" s="1"/>
  <c r="X1124" i="21"/>
  <c r="Y1124" i="21" s="1"/>
  <c r="N1126" i="21" l="1"/>
  <c r="AA1125" i="21"/>
  <c r="AB1125" i="21" s="1"/>
  <c r="X1125" i="21"/>
  <c r="Y1125" i="21" s="1"/>
  <c r="X1126" i="21" l="1"/>
  <c r="Y1126" i="21" s="1"/>
  <c r="AA1126" i="21"/>
  <c r="AB1126" i="21" s="1"/>
  <c r="N1127" i="21"/>
  <c r="N1128" i="21" l="1"/>
  <c r="AA1127" i="21"/>
  <c r="AB1127" i="21" s="1"/>
  <c r="X1127" i="21"/>
  <c r="Y1127" i="21" s="1"/>
  <c r="X1128" i="21" l="1"/>
  <c r="Y1128" i="21" s="1"/>
  <c r="N1129" i="21"/>
  <c r="AA1128" i="21"/>
  <c r="AB1128" i="21" s="1"/>
  <c r="N1130" i="21" l="1"/>
  <c r="AA1129" i="21"/>
  <c r="AB1129" i="21" s="1"/>
  <c r="X1129" i="21"/>
  <c r="Y1129" i="21" s="1"/>
  <c r="AA1130" i="21" l="1"/>
  <c r="AB1130" i="21" s="1"/>
  <c r="N1131" i="21"/>
  <c r="X1130" i="21"/>
  <c r="Y1130" i="21" s="1"/>
  <c r="N1132" i="21" l="1"/>
  <c r="X1131" i="21"/>
  <c r="Y1131" i="21" s="1"/>
  <c r="AA1131" i="21"/>
  <c r="AB1131" i="21" s="1"/>
  <c r="X1132" i="21" l="1"/>
  <c r="Y1132" i="21" s="1"/>
  <c r="AA1132" i="21"/>
  <c r="AB1132" i="21" s="1"/>
  <c r="N1133" i="21"/>
  <c r="N1134" i="21" l="1"/>
  <c r="AA1133" i="21"/>
  <c r="AB1133" i="21" s="1"/>
  <c r="X1133" i="21"/>
  <c r="Y1133" i="21" s="1"/>
  <c r="X1134" i="21" l="1"/>
  <c r="Y1134" i="21" s="1"/>
  <c r="AA1134" i="21"/>
  <c r="AB1134" i="21" s="1"/>
  <c r="N1135" i="21"/>
  <c r="N1136" i="21" l="1"/>
  <c r="AA1135" i="21"/>
  <c r="AB1135" i="21" s="1"/>
  <c r="X1135" i="21"/>
  <c r="Y1135" i="21" s="1"/>
  <c r="X1136" i="21" l="1"/>
  <c r="Y1136" i="21" s="1"/>
  <c r="AA1136" i="21"/>
  <c r="AB1136" i="21" s="1"/>
  <c r="N1137" i="21"/>
  <c r="N1138" i="21" l="1"/>
  <c r="AA1137" i="21"/>
  <c r="AB1137" i="21" s="1"/>
  <c r="X1137" i="21"/>
  <c r="Y1137" i="21" s="1"/>
  <c r="X1138" i="21" l="1"/>
  <c r="Y1138" i="21" s="1"/>
  <c r="N1139" i="21"/>
  <c r="AA1138" i="21"/>
  <c r="AB1138" i="21" s="1"/>
  <c r="N1140" i="21" l="1"/>
  <c r="AA1139" i="21"/>
  <c r="AB1139" i="21" s="1"/>
  <c r="X1139" i="21"/>
  <c r="Y1139" i="21" s="1"/>
  <c r="N1141" i="21" l="1"/>
  <c r="AA1140" i="21"/>
  <c r="AB1140" i="21" s="1"/>
  <c r="X1140" i="21"/>
  <c r="Y1140" i="21" s="1"/>
  <c r="N1142" i="21" l="1"/>
  <c r="X1141" i="21"/>
  <c r="Y1141" i="21" s="1"/>
  <c r="AA1141" i="21"/>
  <c r="AB1141" i="21" s="1"/>
  <c r="N1143" i="21" l="1"/>
  <c r="X1142" i="21"/>
  <c r="Y1142" i="21" s="1"/>
  <c r="AA1142" i="21"/>
  <c r="AB1142" i="21" s="1"/>
  <c r="N1144" i="21" l="1"/>
  <c r="AA1143" i="21"/>
  <c r="AB1143" i="21" s="1"/>
  <c r="X1143" i="21"/>
  <c r="Y1143" i="21" s="1"/>
  <c r="N1145" i="21" l="1"/>
  <c r="X1144" i="21"/>
  <c r="Y1144" i="21" s="1"/>
  <c r="AA1144" i="21"/>
  <c r="AB1144" i="21" s="1"/>
  <c r="N1146" i="21" l="1"/>
  <c r="X1145" i="21"/>
  <c r="Y1145" i="21" s="1"/>
  <c r="AA1145" i="21"/>
  <c r="AB1145" i="21" s="1"/>
  <c r="X1146" i="21" l="1"/>
  <c r="Y1146" i="21" s="1"/>
  <c r="N1147" i="21"/>
  <c r="AA1146" i="21"/>
  <c r="AB1146" i="21" s="1"/>
  <c r="N1148" i="21" l="1"/>
  <c r="X1147" i="21"/>
  <c r="Y1147" i="21" s="1"/>
  <c r="AA1147" i="21"/>
  <c r="AB1147" i="21" s="1"/>
  <c r="N1149" i="21" l="1"/>
  <c r="AA1148" i="21"/>
  <c r="AB1148" i="21" s="1"/>
  <c r="X1148" i="21"/>
  <c r="Y1148" i="21" s="1"/>
  <c r="N1150" i="21" l="1"/>
  <c r="X1149" i="21"/>
  <c r="Y1149" i="21" s="1"/>
  <c r="AA1149" i="21"/>
  <c r="AB1149" i="21" s="1"/>
  <c r="AA1150" i="21" l="1"/>
  <c r="AB1150" i="21" s="1"/>
  <c r="N1151" i="21"/>
  <c r="X1150" i="21"/>
  <c r="Y1150" i="21" s="1"/>
  <c r="N1152" i="21" l="1"/>
  <c r="AA1151" i="21"/>
  <c r="AB1151" i="21" s="1"/>
  <c r="X1151" i="21"/>
  <c r="Y1151" i="21" s="1"/>
  <c r="AA1152" i="21" l="1"/>
  <c r="AB1152" i="21" s="1"/>
  <c r="X1152" i="21"/>
  <c r="Y1152" i="21" s="1"/>
  <c r="N1153" i="21"/>
  <c r="N1154" i="21" l="1"/>
  <c r="X1153" i="21"/>
  <c r="Y1153" i="21" s="1"/>
  <c r="AA1153" i="21"/>
  <c r="AB1153" i="21" s="1"/>
  <c r="N1155" i="21" l="1"/>
  <c r="AA1154" i="21"/>
  <c r="AB1154" i="21" s="1"/>
  <c r="X1154" i="21"/>
  <c r="Y1154" i="21" s="1"/>
  <c r="N1156" i="21" l="1"/>
  <c r="AA1155" i="21"/>
  <c r="AB1155" i="21" s="1"/>
  <c r="X1155" i="21"/>
  <c r="Y1155" i="21" s="1"/>
  <c r="AA1156" i="21" l="1"/>
  <c r="AB1156" i="21" s="1"/>
  <c r="X1156" i="21"/>
  <c r="Y1156" i="21" s="1"/>
  <c r="N1157" i="21"/>
  <c r="N1158" i="21" l="1"/>
  <c r="X1157" i="21"/>
  <c r="Y1157" i="21" s="1"/>
  <c r="AA1157" i="21"/>
  <c r="AB1157" i="21" s="1"/>
  <c r="N1159" i="21" l="1"/>
  <c r="X1158" i="21"/>
  <c r="Y1158" i="21" s="1"/>
  <c r="AA1158" i="21"/>
  <c r="AB1158" i="21" s="1"/>
  <c r="N1160" i="21" l="1"/>
  <c r="AA1159" i="21"/>
  <c r="AB1159" i="21" s="1"/>
  <c r="X1159" i="21"/>
  <c r="Y1159" i="21" s="1"/>
  <c r="AA1160" i="21" l="1"/>
  <c r="AB1160" i="21" s="1"/>
  <c r="X1160" i="21"/>
  <c r="Y1160" i="21" s="1"/>
  <c r="N1161" i="21"/>
  <c r="N1162" i="21" l="1"/>
  <c r="X1161" i="21"/>
  <c r="Y1161" i="21" s="1"/>
  <c r="AA1161" i="21"/>
  <c r="AB1161" i="21" s="1"/>
  <c r="X1162" i="21" l="1"/>
  <c r="Y1162" i="21" s="1"/>
  <c r="AA1162" i="21"/>
  <c r="AB1162" i="21" s="1"/>
  <c r="N1163" i="21"/>
  <c r="N1164" i="21" l="1"/>
  <c r="X1163" i="21"/>
  <c r="Y1163" i="21" s="1"/>
  <c r="AA1163" i="21"/>
  <c r="AB1163" i="21" s="1"/>
  <c r="X1164" i="21" l="1"/>
  <c r="Y1164" i="21" s="1"/>
  <c r="AA1164" i="21"/>
  <c r="AB1164" i="21" s="1"/>
  <c r="N1165" i="21"/>
  <c r="N1166" i="21" l="1"/>
  <c r="X1165" i="21"/>
  <c r="Y1165" i="21" s="1"/>
  <c r="AA1165" i="21"/>
  <c r="AB1165" i="21" s="1"/>
  <c r="X1166" i="21" l="1"/>
  <c r="Y1166" i="21" s="1"/>
  <c r="N1167" i="21"/>
  <c r="AA1166" i="21"/>
  <c r="AB1166" i="21" s="1"/>
  <c r="N1168" i="21" l="1"/>
  <c r="AA1167" i="21"/>
  <c r="AB1167" i="21" s="1"/>
  <c r="X1167" i="21"/>
  <c r="Y1167" i="21" s="1"/>
  <c r="N1169" i="21" l="1"/>
  <c r="X1168" i="21"/>
  <c r="Y1168" i="21" s="1"/>
  <c r="AA1168" i="21"/>
  <c r="AB1168" i="21" s="1"/>
  <c r="N1170" i="21" l="1"/>
  <c r="X1169" i="21"/>
  <c r="Y1169" i="21" s="1"/>
  <c r="AA1169" i="21"/>
  <c r="AB1169" i="21" s="1"/>
  <c r="N1171" i="21" l="1"/>
  <c r="X1170" i="21"/>
  <c r="Y1170" i="21" s="1"/>
  <c r="AA1170" i="21"/>
  <c r="AB1170" i="21" s="1"/>
  <c r="N1172" i="21" l="1"/>
  <c r="AA1171" i="21"/>
  <c r="AB1171" i="21" s="1"/>
  <c r="X1171" i="21"/>
  <c r="Y1171" i="21" s="1"/>
  <c r="X1172" i="21" l="1"/>
  <c r="Y1172" i="21" s="1"/>
  <c r="AA1172" i="21"/>
  <c r="AB1172" i="21" s="1"/>
  <c r="N1173" i="21"/>
  <c r="N1174" i="21" l="1"/>
  <c r="AA1173" i="21"/>
  <c r="AB1173" i="21" s="1"/>
  <c r="X1173" i="21"/>
  <c r="Y1173" i="21" s="1"/>
  <c r="X1174" i="21" l="1"/>
  <c r="Y1174" i="21" s="1"/>
  <c r="N1175" i="21"/>
  <c r="AA1174" i="21"/>
  <c r="AB1174" i="21" s="1"/>
  <c r="N1176" i="21" l="1"/>
  <c r="AA1175" i="21"/>
  <c r="AB1175" i="21" s="1"/>
  <c r="X1175" i="21"/>
  <c r="Y1175" i="21" s="1"/>
  <c r="N1177" i="21" l="1"/>
  <c r="AA1176" i="21"/>
  <c r="AB1176" i="21" s="1"/>
  <c r="X1176" i="21"/>
  <c r="Y1176" i="21" s="1"/>
  <c r="N1178" i="21" l="1"/>
  <c r="AA1177" i="21"/>
  <c r="AB1177" i="21" s="1"/>
  <c r="X1177" i="21"/>
  <c r="Y1177" i="21" s="1"/>
  <c r="AA1178" i="21" l="1"/>
  <c r="AB1178" i="21" s="1"/>
  <c r="N1179" i="21"/>
  <c r="X1178" i="21"/>
  <c r="Y1178" i="21" s="1"/>
  <c r="N1180" i="21" l="1"/>
  <c r="AA1179" i="21"/>
  <c r="AB1179" i="21" s="1"/>
  <c r="X1179" i="21"/>
  <c r="Y1179" i="21" s="1"/>
  <c r="X1180" i="21" l="1"/>
  <c r="Y1180" i="21" s="1"/>
  <c r="AA1180" i="21"/>
  <c r="AB1180" i="21" s="1"/>
  <c r="N1181" i="21"/>
  <c r="N1182" i="21" l="1"/>
  <c r="AA1181" i="21"/>
  <c r="AB1181" i="21" s="1"/>
  <c r="X1181" i="21"/>
  <c r="Y1181" i="21" s="1"/>
  <c r="N1183" i="21" l="1"/>
  <c r="X1182" i="21"/>
  <c r="Y1182" i="21" s="1"/>
  <c r="AA1182" i="21"/>
  <c r="AB1182" i="21" s="1"/>
  <c r="AA1183" i="21" l="1"/>
  <c r="AB1183" i="21" s="1"/>
  <c r="N1184" i="21"/>
  <c r="X1183" i="21"/>
  <c r="Y1183" i="21" s="1"/>
  <c r="AA1184" i="21" l="1"/>
  <c r="AB1184" i="21" s="1"/>
  <c r="N1185" i="21"/>
  <c r="X1184" i="21"/>
  <c r="Y1184" i="21" s="1"/>
  <c r="X1185" i="21" l="1"/>
  <c r="Y1185" i="21" s="1"/>
  <c r="N1186" i="21"/>
  <c r="AA1185" i="21"/>
  <c r="AB1185" i="21" s="1"/>
  <c r="X1186" i="21" l="1"/>
  <c r="Y1186" i="21" s="1"/>
  <c r="AA1186" i="21"/>
  <c r="AB1186" i="21" s="1"/>
  <c r="N1187" i="21"/>
  <c r="N1188" i="21" l="1"/>
  <c r="X1187" i="21"/>
  <c r="Y1187" i="21" s="1"/>
  <c r="AA1187" i="21"/>
  <c r="AB1187" i="21" s="1"/>
  <c r="AA1188" i="21" l="1"/>
  <c r="AB1188" i="21" s="1"/>
  <c r="N1189" i="21"/>
  <c r="X1188" i="21"/>
  <c r="Y1188" i="21" s="1"/>
  <c r="N1190" i="21" l="1"/>
  <c r="AA1189" i="21"/>
  <c r="AB1189" i="21" s="1"/>
  <c r="X1189" i="21"/>
  <c r="Y1189" i="21" s="1"/>
  <c r="X1190" i="21" l="1"/>
  <c r="Y1190" i="21" s="1"/>
  <c r="N1191" i="21"/>
  <c r="AA1190" i="21"/>
  <c r="AB1190" i="21" s="1"/>
  <c r="AA1191" i="21" l="1"/>
  <c r="AB1191" i="21" s="1"/>
  <c r="N1192" i="21"/>
  <c r="X1191" i="21"/>
  <c r="Y1191" i="21" s="1"/>
  <c r="N1193" i="21" l="1"/>
  <c r="X1192" i="21"/>
  <c r="Y1192" i="21" s="1"/>
  <c r="AA1192" i="21"/>
  <c r="AB1192" i="21" s="1"/>
  <c r="AA1193" i="21" l="1"/>
  <c r="AB1193" i="21" s="1"/>
  <c r="N1194" i="21"/>
  <c r="X1193" i="21"/>
  <c r="Y1193" i="21" s="1"/>
  <c r="AA1194" i="21" l="1"/>
  <c r="AB1194" i="21" s="1"/>
  <c r="T85" i="21" s="1"/>
  <c r="G79" i="21" s="1"/>
  <c r="X1194" i="21"/>
  <c r="Y1194" i="21" s="1"/>
  <c r="P85" i="21" s="1"/>
  <c r="R88" i="21" l="1"/>
  <c r="G75"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C35" authorId="0" shapeId="0" xr:uid="{00000000-0006-0000-0100-000001000000}">
      <text>
        <r>
          <rPr>
            <sz val="14"/>
            <color indexed="81"/>
            <rFont val="Calibri"/>
            <family val="2"/>
            <scheme val="minor"/>
          </rPr>
          <t>Las  dimensiones de la malla se selleccionan 
en esta celda.  Para ver el díametro correspondiente y el área de acero en mm2/m vea en las casillas inferiores ésta información.</t>
        </r>
      </text>
    </comment>
    <comment ref="C38" authorId="0" shapeId="0" xr:uid="{00000000-0006-0000-0100-000002000000}">
      <text>
        <r>
          <rPr>
            <sz val="14"/>
            <color indexed="81"/>
            <rFont val="Calibri"/>
            <family val="2"/>
            <scheme val="minor"/>
          </rPr>
          <t>La segunda capa de malla electrosoldada es cuantificada en aquellos casos en donde el espesor de la losa h es igual o superior a 150 mm</t>
        </r>
        <r>
          <rPr>
            <sz val="9"/>
            <color indexed="81"/>
            <rFont val="Tahoma"/>
            <family val="2"/>
          </rPr>
          <t xml:space="preserve">
</t>
        </r>
      </text>
    </comment>
    <comment ref="D51" authorId="0" shapeId="0" xr:uid="{00000000-0006-0000-0100-000003000000}">
      <text>
        <r>
          <rPr>
            <sz val="12"/>
            <color indexed="81"/>
            <rFont val="Calibri"/>
            <family val="2"/>
            <scheme val="minor"/>
          </rPr>
          <t>Resistencia a tensión por medida de ancho unitario aportada por el refuerzo</t>
        </r>
        <r>
          <rPr>
            <sz val="12"/>
            <color indexed="81"/>
            <rFont val="Calibri Light"/>
            <family val="2"/>
            <scheme val="major"/>
          </rPr>
          <t xml:space="preserve">. </t>
        </r>
      </text>
    </comment>
    <comment ref="D52" authorId="0" shapeId="0" xr:uid="{00000000-0006-0000-0100-000004000000}">
      <text>
        <r>
          <rPr>
            <sz val="12"/>
            <color indexed="81"/>
            <rFont val="Calibri"/>
            <family val="2"/>
            <scheme val="minor"/>
          </rPr>
          <t>La condición</t>
        </r>
        <r>
          <rPr>
            <b/>
            <sz val="12"/>
            <color indexed="81"/>
            <rFont val="Calibri"/>
            <family val="2"/>
            <scheme val="minor"/>
          </rPr>
          <t xml:space="preserve"> "NO APLICA"</t>
        </r>
        <r>
          <rPr>
            <sz val="12"/>
            <color indexed="81"/>
            <rFont val="Calibri"/>
            <family val="2"/>
            <scheme val="minor"/>
          </rPr>
          <t xml:space="preserve"> corresponde al caso donde el valor de Re,3 es igual o superior al 70%.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C50" authorId="0" shapeId="0" xr:uid="{00000000-0006-0000-0200-000001000000}">
      <text>
        <r>
          <rPr>
            <sz val="14"/>
            <color indexed="81"/>
            <rFont val="Calibri"/>
            <family val="2"/>
            <scheme val="minor"/>
          </rPr>
          <t>La segunda capa de refuerzo corrugado es cuantificada en aquellos casos en donde el espesor de la losa h es igual o superior a 150 mm</t>
        </r>
        <r>
          <rPr>
            <sz val="9"/>
            <color indexed="81"/>
            <rFont val="Tahoma"/>
            <family val="2"/>
          </rPr>
          <t xml:space="preserve">
</t>
        </r>
      </text>
    </comment>
    <comment ref="D67" authorId="0" shapeId="0" xr:uid="{00000000-0006-0000-0200-000002000000}">
      <text>
        <r>
          <rPr>
            <sz val="12"/>
            <color indexed="81"/>
            <rFont val="Calibri"/>
            <family val="2"/>
            <scheme val="minor"/>
          </rPr>
          <t xml:space="preserve">Resistencia a tensión por medida de ancho unitario aportada por el refuerzo. 
</t>
        </r>
        <r>
          <rPr>
            <sz val="9"/>
            <color indexed="81"/>
            <rFont val="Tahoma"/>
            <family val="2"/>
          </rPr>
          <t xml:space="preserve">
</t>
        </r>
      </text>
    </comment>
    <comment ref="D68" authorId="0" shapeId="0" xr:uid="{00000000-0006-0000-0200-000003000000}">
      <text>
        <r>
          <rPr>
            <sz val="12"/>
            <color indexed="81"/>
            <rFont val="Calibri"/>
            <family val="2"/>
            <scheme val="minor"/>
          </rPr>
          <t xml:space="preserve">La condición </t>
        </r>
        <r>
          <rPr>
            <b/>
            <sz val="12"/>
            <color indexed="81"/>
            <rFont val="Calibri"/>
            <family val="2"/>
            <scheme val="minor"/>
          </rPr>
          <t>"NO APLICA"</t>
        </r>
        <r>
          <rPr>
            <sz val="12"/>
            <color indexed="81"/>
            <rFont val="Calibri"/>
            <family val="2"/>
            <scheme val="minor"/>
          </rPr>
          <t xml:space="preserve"> corresponde al caso donde el valor de Re,3 es igual o superior al 70%.</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D32" authorId="0" shapeId="0" xr:uid="{00000000-0006-0000-0400-000001000000}">
      <text>
        <r>
          <rPr>
            <sz val="9"/>
            <color indexed="81"/>
            <rFont val="Tahoma"/>
            <family val="2"/>
          </rPr>
          <t xml:space="preserve">El recubrimiento mínimo es de 50 mm, por lo tanto, alturas totales mínimas: 
100.8 mm
126.2 mm
</t>
        </r>
      </text>
    </comment>
    <comment ref="D55" authorId="0" shapeId="0" xr:uid="{00000000-0006-0000-0400-000002000000}">
      <text>
        <r>
          <rPr>
            <sz val="9"/>
            <color indexed="81"/>
            <rFont val="Tahoma"/>
            <family val="2"/>
          </rPr>
          <t>La resistencia mínima requerida es de 21 Mpa, sin embargo debe establecerse según requerimientos de resistencia al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D11" authorId="0" shapeId="0" xr:uid="{00000000-0006-0000-0500-000001000000}">
      <text>
        <r>
          <rPr>
            <sz val="9"/>
            <color indexed="81"/>
            <rFont val="Tahoma"/>
            <family val="2"/>
          </rPr>
          <t xml:space="preserve">       Valores Típicos para el Módulo de subrasante (k)
                           Relativos al Tipo de Suelo
      Tipo de Suelo                              Rango de k (N/mm</t>
        </r>
        <r>
          <rPr>
            <vertAlign val="superscript"/>
            <sz val="9"/>
            <color indexed="81"/>
            <rFont val="Tahoma"/>
            <family val="2"/>
          </rPr>
          <t>3</t>
        </r>
        <r>
          <rPr>
            <sz val="9"/>
            <color indexed="81"/>
            <rFont val="Tahoma"/>
            <family val="2"/>
          </rPr>
          <t xml:space="preserve">)  
Arena fina o ligeramente compactada              0.015 - 0.030
Arena bien compactada                                 0.050 - 0.100
Arena muy bien compactada                          0.100 - 0.150
Marga o arcilla (húmeda)                                0.030 - 0.060
Marga o arcilla (seca)                                     0.080 - 0.100
Arcilla arenosa                                              0.080 - 0.100
Triturado con arena                                      0.100 - 0.150
Triturado grueso                                          0.200 - 0.250
Triturado bien compactado                            0.200 - 0.300
</t>
        </r>
      </text>
    </comment>
    <comment ref="D41" authorId="0" shapeId="0" xr:uid="{00000000-0006-0000-0500-000002000000}">
      <text>
        <r>
          <rPr>
            <sz val="9"/>
            <color indexed="81"/>
            <rFont val="Tahoma"/>
            <family val="2"/>
          </rPr>
          <t xml:space="preserve">
</t>
        </r>
      </text>
    </comment>
    <comment ref="D43" authorId="0" shapeId="0" xr:uid="{00000000-0006-0000-0500-000003000000}">
      <text>
        <r>
          <rPr>
            <sz val="9"/>
            <color indexed="81"/>
            <rFont val="Tahoma"/>
            <family val="2"/>
          </rPr>
          <t xml:space="preserve">
</t>
        </r>
      </text>
    </comment>
    <comment ref="D45" authorId="0" shapeId="0" xr:uid="{00000000-0006-0000-0500-000004000000}">
      <text>
        <r>
          <rPr>
            <sz val="12"/>
            <color indexed="81"/>
            <rFont val="Calibri"/>
            <family val="2"/>
            <scheme val="minor"/>
          </rPr>
          <t xml:space="preserve">
Al introducir un espesor en esta celda en mm, en conjunto con las demás celdas de entrada diligenciadas, podrá calcular los </t>
        </r>
        <r>
          <rPr>
            <b/>
            <sz val="12"/>
            <color indexed="81"/>
            <rFont val="Calibri"/>
            <family val="2"/>
            <scheme val="minor"/>
          </rPr>
          <t xml:space="preserve">índices de capacidad </t>
        </r>
        <r>
          <rPr>
            <sz val="12"/>
            <color indexed="81"/>
            <rFont val="Calibri"/>
            <family val="2"/>
            <scheme val="minor"/>
          </rPr>
          <t xml:space="preserve">bajo carga estática y perforación por corte en condiciones de carga interna, de borde y de esquina y verificar si cumplen.  Los resultados se visualizan más abajo.  
Si desea llegar al </t>
        </r>
        <r>
          <rPr>
            <b/>
            <sz val="12"/>
            <color indexed="81"/>
            <rFont val="Calibri"/>
            <family val="2"/>
            <scheme val="minor"/>
          </rPr>
          <t>valor mínimo requerido</t>
        </r>
        <r>
          <rPr>
            <sz val="12"/>
            <color indexed="81"/>
            <rFont val="Calibri"/>
            <family val="2"/>
            <scheme val="minor"/>
          </rPr>
          <t xml:space="preserve"> para cumplir con los índices de capacidad, oprima el botón "Buscar Indice de Capacidad" y visualice los resultados más abajo.  </t>
        </r>
        <r>
          <rPr>
            <b/>
            <u/>
            <sz val="12"/>
            <color indexed="81"/>
            <rFont val="Calibri"/>
            <family val="2"/>
            <scheme val="minor"/>
          </rPr>
          <t>Antes de oprimir alguno de los botones, asegurese de que todos las celdas de entrada tengan los valores correspondientes.</t>
        </r>
        <r>
          <rPr>
            <sz val="12"/>
            <color indexed="81"/>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D11" authorId="0" shapeId="0" xr:uid="{00000000-0006-0000-0600-000001000000}">
      <text>
        <r>
          <rPr>
            <sz val="9"/>
            <color indexed="81"/>
            <rFont val="Tahoma"/>
            <family val="2"/>
          </rPr>
          <t xml:space="preserve">       Valores Típicos para el Módulo de subrasante (k)
                           Relativos al Tipo de Suelo
      Tipo de Suelo                              Rango de k (N/mm</t>
        </r>
        <r>
          <rPr>
            <vertAlign val="superscript"/>
            <sz val="9"/>
            <color indexed="81"/>
            <rFont val="Tahoma"/>
            <family val="2"/>
          </rPr>
          <t>3</t>
        </r>
        <r>
          <rPr>
            <sz val="9"/>
            <color indexed="81"/>
            <rFont val="Tahoma"/>
            <family val="2"/>
          </rPr>
          <t xml:space="preserve">)  
Arena fina o ligeramente compactada              0.015 - 0.030
Arena bien compactada                                 0.050 - 0.100
Arena muy bien compactada                          0.100 - 0.150
Marga o arcilla (húmeda)                                0.030 - 0.060
Marga o arcilla (seca)                                     0.080 - 0.100
Arcilla arenosa                                              0.080 - 0.100
Triturado con arena                                      0.100 - 0.150
Triturado grueso                                          0.200 - 0.250
Triturado bien compactado                            0.200 - 0.300
</t>
        </r>
      </text>
    </comment>
    <comment ref="D42" authorId="0" shapeId="0" xr:uid="{00000000-0006-0000-0600-000002000000}">
      <text>
        <r>
          <rPr>
            <sz val="9"/>
            <color indexed="81"/>
            <rFont val="Tahoma"/>
            <family val="2"/>
          </rPr>
          <t xml:space="preserve">
</t>
        </r>
      </text>
    </comment>
    <comment ref="D44" authorId="0" shapeId="0" xr:uid="{00000000-0006-0000-0600-000003000000}">
      <text>
        <r>
          <rPr>
            <sz val="9"/>
            <color indexed="81"/>
            <rFont val="Tahoma"/>
            <family val="2"/>
          </rPr>
          <t xml:space="preserve">
</t>
        </r>
      </text>
    </comment>
    <comment ref="D47" authorId="0" shapeId="0" xr:uid="{00000000-0006-0000-0600-000004000000}">
      <text>
        <r>
          <rPr>
            <sz val="9"/>
            <color indexed="81"/>
            <rFont val="Tahoma"/>
            <family val="2"/>
          </rPr>
          <t xml:space="preserve">
</t>
        </r>
      </text>
    </comment>
    <comment ref="D49" authorId="0" shapeId="0" xr:uid="{00000000-0006-0000-0600-000005000000}">
      <text>
        <r>
          <rPr>
            <sz val="9"/>
            <color indexed="81"/>
            <rFont val="Tahoma"/>
            <family val="2"/>
          </rPr>
          <t xml:space="preserve">
</t>
        </r>
      </text>
    </comment>
    <comment ref="D51" authorId="0" shapeId="0" xr:uid="{00000000-0006-0000-0600-000006000000}">
      <text>
        <r>
          <rPr>
            <sz val="9"/>
            <color indexed="81"/>
            <rFont val="Tahoma"/>
            <family val="2"/>
          </rPr>
          <t xml:space="preserve">
Al introducir un espesor en esta celda en mm, en conjunto con las demás celdas de entrada diligenciadas, podrá calcular los índices de capacidad bajo carga estática y perforación por corte en condiciones de carga interna y de borde y verificar si cumplen.  Los resultados se visualizan más abajo.  
Si desea llegar al valor mínimo requerido para cumplir con los índices de capacidad, oprima alguno de los botones "Buscar Indice de Capacidad" y visualice los resultados más abajo.  Antes de oprimir alguno de los botones, asegurese de que todos las celdas de entrada tengan los valores correspondientes.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D11" authorId="0" shapeId="0" xr:uid="{00000000-0006-0000-0700-000001000000}">
      <text>
        <r>
          <rPr>
            <sz val="9"/>
            <color indexed="81"/>
            <rFont val="Tahoma"/>
            <family val="2"/>
          </rPr>
          <t xml:space="preserve">       Valores Típicos para el Módulo de subrasante (k)
                           Relativos al Tipo de Suelo
      Tipo de Suelo                              Rango de k (N/mm</t>
        </r>
        <r>
          <rPr>
            <vertAlign val="superscript"/>
            <sz val="9"/>
            <color indexed="81"/>
            <rFont val="Tahoma"/>
            <family val="2"/>
          </rPr>
          <t>3</t>
        </r>
        <r>
          <rPr>
            <sz val="9"/>
            <color indexed="81"/>
            <rFont val="Tahoma"/>
            <family val="2"/>
          </rPr>
          <t xml:space="preserve">)  
Arena fina o ligeramente compactada              0.015 - 0.030
Arena bien compactada                                 0.050 - 0.100
Arena muy bien compactada                          0.100 - 0.150
Marga o arcilla (húmeda)                                0.030 - 0.060
Marga o arcilla (seca)                                     0.080 - 0.100
Arcilla arenosa                                              0.080 - 0.100
Triturado con arena                                      0.100 - 0.150
Triturado grueso                                          0.200 - 0.250
Triturado bien compactado                            0.200 - 0.300
</t>
        </r>
      </text>
    </comment>
    <comment ref="D43" authorId="0" shapeId="0" xr:uid="{00000000-0006-0000-0700-000002000000}">
      <text>
        <r>
          <rPr>
            <sz val="9"/>
            <color indexed="81"/>
            <rFont val="Tahoma"/>
            <family val="2"/>
          </rPr>
          <t xml:space="preserve">
</t>
        </r>
      </text>
    </comment>
    <comment ref="D45" authorId="0" shapeId="0" xr:uid="{00000000-0006-0000-0700-000003000000}">
      <text>
        <r>
          <rPr>
            <sz val="9"/>
            <color indexed="81"/>
            <rFont val="Tahoma"/>
            <family val="2"/>
          </rPr>
          <t xml:space="preserve">
</t>
        </r>
      </text>
    </comment>
    <comment ref="D47" authorId="0" shapeId="0" xr:uid="{00000000-0006-0000-0700-000004000000}">
      <text>
        <r>
          <rPr>
            <sz val="9"/>
            <color indexed="81"/>
            <rFont val="Tahoma"/>
            <family val="2"/>
          </rPr>
          <t xml:space="preserve">
Al introducir un espesor en esta celda en mm, en conjunto con las demás celdas de entrada diligenciadas, podrá calcular los índices de capacidad bajo carga estática y perforación por corte en condiciones de carga interna y de borde y verificar si cumplen.  Los resultados se visualizan más abajo.  
Si desea llegar al valor mínimo requerido para cumplir con los índices de capacidad, oprima alguno de los botones "Buscar Indice de Capacidad" y visualice los resultados más abajo.  Antes de oprimir alguno de los botones, asegurese de que todos las celdas de entrada tengan los valores correspondientes.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D11" authorId="0" shapeId="0" xr:uid="{00000000-0006-0000-0800-000001000000}">
      <text>
        <r>
          <rPr>
            <sz val="9"/>
            <color indexed="81"/>
            <rFont val="Tahoma"/>
            <family val="2"/>
          </rPr>
          <t xml:space="preserve">       Valores Típicos para el Módulo de subrasante (k)
                           Relativos al Tipo de Suelo
      Tipo de Suelo                              Rango de k (N/mm</t>
        </r>
        <r>
          <rPr>
            <vertAlign val="superscript"/>
            <sz val="9"/>
            <color indexed="81"/>
            <rFont val="Tahoma"/>
            <family val="2"/>
          </rPr>
          <t>3</t>
        </r>
        <r>
          <rPr>
            <sz val="9"/>
            <color indexed="81"/>
            <rFont val="Tahoma"/>
            <family val="2"/>
          </rPr>
          <t xml:space="preserve">)  
Arena fina o ligeramente compactada              0.015 - 0.030
Arena bien compactada                                 0.050 - 0.100
Arena muy bien compactada                          0.100 - 0.150
Marga o arcilla (húmeda)                                0.030 - 0.060
Marga o arcilla (seca)                                     0.080 - 0.100
Arcilla arenosa                                              0.080 - 0.100
Triturado con arena                                      0.100 - 0.150
Triturado grueso                                          0.200 - 0.250
Triturado bien compactado                            0.200 - 0.300
</t>
        </r>
      </text>
    </comment>
    <comment ref="D35" authorId="0" shapeId="0" xr:uid="{00000000-0006-0000-0800-000002000000}">
      <text>
        <r>
          <rPr>
            <sz val="14"/>
            <color indexed="81"/>
            <rFont val="Tahoma"/>
            <family val="2"/>
          </rPr>
          <t>Considere la mitad del peso del eje más pesado según manual del montacargas.</t>
        </r>
      </text>
    </comment>
    <comment ref="D37" authorId="0" shapeId="0" xr:uid="{00000000-0006-0000-0800-000003000000}">
      <text>
        <r>
          <rPr>
            <sz val="14"/>
            <color indexed="81"/>
            <rFont val="Tahoma"/>
            <family val="2"/>
          </rPr>
          <t xml:space="preserve">El rango de valores para la presión de inflado está entre 600 y 800 kPa.  Para otras condiciones particulares consultar la presión de inflado en el manual del equipo correspondiente.
</t>
        </r>
      </text>
    </comment>
    <comment ref="D41" authorId="0" shapeId="0" xr:uid="{00000000-0006-0000-0800-000004000000}">
      <text>
        <r>
          <rPr>
            <sz val="9"/>
            <color indexed="81"/>
            <rFont val="Tahoma"/>
            <family val="2"/>
          </rPr>
          <t xml:space="preserve">
</t>
        </r>
      </text>
    </comment>
    <comment ref="D43" authorId="0" shapeId="0" xr:uid="{00000000-0006-0000-0800-000005000000}">
      <text>
        <r>
          <rPr>
            <sz val="9"/>
            <color indexed="81"/>
            <rFont val="Tahoma"/>
            <family val="2"/>
          </rPr>
          <t xml:space="preserve">
</t>
        </r>
      </text>
    </comment>
    <comment ref="D51" authorId="0" shapeId="0" xr:uid="{00000000-0006-0000-0800-000006000000}">
      <text>
        <r>
          <rPr>
            <sz val="9"/>
            <color indexed="81"/>
            <rFont val="Tahoma"/>
            <family val="2"/>
          </rPr>
          <t xml:space="preserve">
Al introducir un espesor en esta celda en mm, en conjunto con las demás celdas de entrada diligenciadas, podrá calcular los índices de capacidad bajo carga estática y perforación por corte en condiciones de carga interna y de borde y verificar si cumplen.  Los resultados se visualizan más abajo.  
Si desea llegar al valor mínimo requerido para cumplir con los índices de capacidad, oprima alguno de los botones "Buscar Indice de Capacidad" y visualice los resultados más abajo.  Antes de oprimir alguno de los botones, asegurese de que todos las celdas de entrada tengan los valores correspondientes.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Fernando Valencia Salgado</author>
  </authors>
  <commentList>
    <comment ref="E15" authorId="0" shapeId="0" xr:uid="{00000000-0006-0000-0A00-000001000000}">
      <text>
        <r>
          <rPr>
            <sz val="9"/>
            <color indexed="81"/>
            <rFont val="Tahoma"/>
            <family val="2"/>
          </rPr>
          <t>El eje individual equivalente es el eje considerado de un camión de diseño estándar, cuya carga es de 8.2 ton.</t>
        </r>
      </text>
    </comment>
    <comment ref="G18" authorId="0" shapeId="0" xr:uid="{00000000-0006-0000-0A00-000002000000}">
      <text>
        <r>
          <rPr>
            <b/>
            <sz val="9"/>
            <color indexed="81"/>
            <rFont val="Tahoma"/>
            <family val="2"/>
          </rPr>
          <t xml:space="preserve">
</t>
        </r>
        <r>
          <rPr>
            <sz val="9"/>
            <color indexed="81"/>
            <rFont val="Tahoma"/>
            <family val="2"/>
          </rPr>
          <t xml:space="preserve">Es la resistencia a flexión del concreto a los 28 días.  Este ensayo se realiza con una viga sometida a una carga en el centro de la luz.
</t>
        </r>
      </text>
    </comment>
    <comment ref="G23" authorId="0" shapeId="0" xr:uid="{00000000-0006-0000-0A00-000003000000}">
      <text>
        <r>
          <rPr>
            <sz val="9"/>
            <color indexed="81"/>
            <rFont val="Tahoma"/>
            <family val="2"/>
          </rPr>
          <t xml:space="preserve">4,000,000 psi, valor típico
</t>
        </r>
      </text>
    </comment>
    <comment ref="G28" authorId="0" shapeId="0" xr:uid="{00000000-0006-0000-0A00-000004000000}">
      <text>
        <r>
          <rPr>
            <sz val="9"/>
            <color indexed="81"/>
            <rFont val="Tahoma"/>
            <family val="2"/>
          </rPr>
          <t xml:space="preserve">La dosificación mínima es de 2.4 kg/m3.   
La dosificación máxima es de 5.0 kg/m3
</t>
        </r>
      </text>
    </comment>
    <comment ref="G38" authorId="0" shapeId="0" xr:uid="{00000000-0006-0000-0A00-000005000000}">
      <text>
        <r>
          <rPr>
            <sz val="9"/>
            <color indexed="81"/>
            <rFont val="Tahoma"/>
            <family val="2"/>
          </rPr>
          <t xml:space="preserve">
Propiedad de la subrasante medida generalmente a través de un ensayo de placa.
</t>
        </r>
      </text>
    </comment>
    <comment ref="G43" authorId="0" shapeId="0" xr:uid="{00000000-0006-0000-0A00-000006000000}">
      <text>
        <r>
          <rPr>
            <sz val="9"/>
            <color indexed="81"/>
            <rFont val="Tahoma"/>
            <family val="2"/>
          </rPr>
          <t xml:space="preserve">
"Nivel de Confiabilidad" es la probabilidad de que una sección de pavimento diseñada usando el proceso se desempeñará satisfactoriamente sobre el tráfico y las condiciones ambientales para el período de diseño
Clasificación Funcional                                    Nivel de Confiabilidad Recomendado
                                                                               Urbano             Rural
Interestatales y otras autopistas                          85 - 99                80 -  99
Arterias principales                                               80 - 99                75 -  95 
Colectores                                                           80 - 95               75 -  95
Local                                                                   50 - 80                50 - 80 </t>
        </r>
      </text>
    </comment>
    <comment ref="G48" authorId="0" shapeId="0" xr:uid="{00000000-0006-0000-0A00-000007000000}">
      <text>
        <r>
          <rPr>
            <sz val="9"/>
            <color indexed="81"/>
            <rFont val="Tahoma"/>
            <family val="2"/>
          </rPr>
          <t xml:space="preserve">
El "Error Combinado Estándar" cuantifica la variabilidad esperada de dos entradas básicas de diseño: tráfico y desempeño del pavimento.
Para pavimentos rígidos, la desviación estándar está entre 0.3 y 0.4</t>
        </r>
      </text>
    </comment>
    <comment ref="G53" authorId="0" shapeId="0" xr:uid="{00000000-0006-0000-0A00-000008000000}">
      <text>
        <r>
          <rPr>
            <sz val="9"/>
            <color indexed="81"/>
            <rFont val="Tahoma"/>
            <family val="2"/>
          </rPr>
          <t xml:space="preserve">
El "Coeficiente de Transferencia de Carga" es un número derivado empíricamente usado para medir la eficiencia en la transferencia de carga a través de juntas o grietas.  Entre menor sea el factor, mejor es la transferencia.
Juntas con dovelas  3.2
Juntas sin dovelas 3.8 - 4.4
Para casos más específicos consultar tabla 2.6 AASHTO 1993.</t>
        </r>
      </text>
    </comment>
    <comment ref="G58" authorId="0" shapeId="0" xr:uid="{00000000-0006-0000-0A00-000009000000}">
      <text>
        <r>
          <rPr>
            <b/>
            <sz val="9"/>
            <color indexed="81"/>
            <rFont val="Tahoma"/>
            <family val="2"/>
          </rPr>
          <t xml:space="preserve">
</t>
        </r>
        <r>
          <rPr>
            <sz val="9"/>
            <color indexed="81"/>
            <rFont val="Tahoma"/>
            <family val="2"/>
          </rPr>
          <t>El coeficiente de drenaje es un número derivado empíricamente para expresar el efecto del drenaje en la subrasante sobre el desempeño del pavimento.</t>
        </r>
        <r>
          <rPr>
            <b/>
            <sz val="9"/>
            <color indexed="81"/>
            <rFont val="Tahoma"/>
            <family val="2"/>
          </rPr>
          <t xml:space="preserve">
</t>
        </r>
        <r>
          <rPr>
            <sz val="9"/>
            <color indexed="81"/>
            <rFont val="Tahoma"/>
            <family val="2"/>
          </rPr>
          <t>Consultar tabla 2.5 AASHTO 1993.
Valores recomendados
Excelente  1.1
Bueno       1.0
Regular     0.9
Malo          0.8
Muy Malo   0.7</t>
        </r>
      </text>
    </comment>
    <comment ref="G63" authorId="0" shapeId="0" xr:uid="{00000000-0006-0000-0A00-00000A000000}">
      <text>
        <r>
          <rPr>
            <sz val="9"/>
            <color indexed="81"/>
            <rFont val="Tahoma"/>
            <family val="2"/>
          </rPr>
          <t xml:space="preserve">
El índice de serviciabilidad inicial es el índice de serviciabilidad justo después de la construcción de la estructura de pavimento.  Un valor típico para pavimentos en concreto es 4.5</t>
        </r>
      </text>
    </comment>
    <comment ref="G68" authorId="0" shapeId="0" xr:uid="{00000000-0006-0000-0A00-00000B000000}">
      <text>
        <r>
          <rPr>
            <sz val="9"/>
            <color indexed="81"/>
            <rFont val="Tahoma"/>
            <family val="2"/>
          </rPr>
          <t xml:space="preserve">
El índice de serviciabilidad final es el índice de serviciabilidad justo después cuando se considera que el pavimento no puede dar soporte al tráfico que actúa sobre el.  Un valor típico para pavimentos en concreto está entre 1.5 y 3.0.
</t>
        </r>
      </text>
    </comment>
  </commentList>
</comments>
</file>

<file path=xl/sharedStrings.xml><?xml version="1.0" encoding="utf-8"?>
<sst xmlns="http://schemas.openxmlformats.org/spreadsheetml/2006/main" count="2411" uniqueCount="713">
  <si>
    <t>Descripción del Proyecto</t>
  </si>
  <si>
    <t>Tipo de Malla Electrosoldada</t>
  </si>
  <si>
    <t>Tipo de Agregado</t>
  </si>
  <si>
    <t>Triturado</t>
  </si>
  <si>
    <r>
      <t xml:space="preserve">Diámetro de barra, </t>
    </r>
    <r>
      <rPr>
        <sz val="14"/>
        <rFont val="Symbol"/>
        <family val="1"/>
        <charset val="2"/>
      </rPr>
      <t>f</t>
    </r>
  </si>
  <si>
    <t>mm</t>
  </si>
  <si>
    <t>Medida de ancho unitario , b</t>
  </si>
  <si>
    <t>Espaciamento entre barras, s</t>
  </si>
  <si>
    <r>
      <t>Area de acero suministrado, A</t>
    </r>
    <r>
      <rPr>
        <vertAlign val="subscript"/>
        <sz val="10"/>
        <rFont val="Calibri"/>
        <family val="2"/>
        <scheme val="minor"/>
      </rPr>
      <t>s</t>
    </r>
  </si>
  <si>
    <r>
      <t>mm</t>
    </r>
    <r>
      <rPr>
        <vertAlign val="superscript"/>
        <sz val="14"/>
        <rFont val="Calibri"/>
        <family val="2"/>
        <scheme val="minor"/>
      </rPr>
      <t>2</t>
    </r>
    <r>
      <rPr>
        <sz val="14"/>
        <rFont val="Calibri"/>
        <family val="2"/>
        <scheme val="minor"/>
      </rPr>
      <t>/m</t>
    </r>
  </si>
  <si>
    <t>Espesor de losa, h</t>
  </si>
  <si>
    <r>
      <t xml:space="preserve">Cuantía de Acero, </t>
    </r>
    <r>
      <rPr>
        <sz val="14"/>
        <rFont val="Symbol"/>
        <family val="1"/>
        <charset val="2"/>
      </rPr>
      <t>r</t>
    </r>
  </si>
  <si>
    <t>%</t>
  </si>
  <si>
    <r>
      <t>Resistencia a compresión concreto, f'</t>
    </r>
    <r>
      <rPr>
        <vertAlign val="subscript"/>
        <sz val="14"/>
        <rFont val="Calibri"/>
        <family val="2"/>
        <scheme val="minor"/>
      </rPr>
      <t>c</t>
    </r>
  </si>
  <si>
    <t>MPa</t>
  </si>
  <si>
    <r>
      <t>Resistencia típica del acero, f</t>
    </r>
    <r>
      <rPr>
        <vertAlign val="subscript"/>
        <sz val="14"/>
        <rFont val="Calibri"/>
        <family val="2"/>
        <scheme val="minor"/>
      </rPr>
      <t>y</t>
    </r>
  </si>
  <si>
    <r>
      <t>Validación de la Cuantía              (</t>
    </r>
    <r>
      <rPr>
        <sz val="14"/>
        <rFont val="Symbol"/>
        <family val="1"/>
        <charset val="2"/>
      </rPr>
      <t xml:space="preserve">r </t>
    </r>
    <r>
      <rPr>
        <sz val="14"/>
        <rFont val="Calibri"/>
        <family val="2"/>
        <scheme val="minor"/>
      </rPr>
      <t>&gt; 0.1%)</t>
    </r>
  </si>
  <si>
    <t>Factor de resistencia a Flexión del Concreto</t>
  </si>
  <si>
    <r>
      <t>Resistencia Distribuida a la tensión del acero , f</t>
    </r>
    <r>
      <rPr>
        <vertAlign val="subscript"/>
        <sz val="14"/>
        <rFont val="Calibri"/>
        <family val="2"/>
        <scheme val="minor"/>
      </rPr>
      <t xml:space="preserve">wwm </t>
    </r>
  </si>
  <si>
    <r>
      <t>R</t>
    </r>
    <r>
      <rPr>
        <vertAlign val="subscript"/>
        <sz val="14"/>
        <rFont val="Calibri"/>
        <family val="2"/>
        <scheme val="minor"/>
      </rPr>
      <t>e3</t>
    </r>
    <r>
      <rPr>
        <sz val="14"/>
        <rFont val="Calibri"/>
        <family val="2"/>
        <scheme val="minor"/>
      </rPr>
      <t xml:space="preserve"> valor requerido para alcanzar la Resistencia Distribuida a Tensión</t>
    </r>
  </si>
  <si>
    <t>** - Conversión de dosificación de fibra a partir del desempeño requerido según ensayo ASTM C1609.</t>
  </si>
  <si>
    <t>Volumen requerido de FIBRAPLAS CONCRETE:</t>
  </si>
  <si>
    <r>
      <t>kg/m</t>
    </r>
    <r>
      <rPr>
        <b/>
        <u/>
        <vertAlign val="superscript"/>
        <sz val="16"/>
        <rFont val="Calibri"/>
        <family val="2"/>
        <scheme val="minor"/>
      </rPr>
      <t>3</t>
    </r>
  </si>
  <si>
    <t>**</t>
  </si>
  <si>
    <t>Referencia</t>
  </si>
  <si>
    <t>Separación (mm)</t>
  </si>
  <si>
    <r>
      <t>Area Long (mm</t>
    </r>
    <r>
      <rPr>
        <b/>
        <vertAlign val="superscript"/>
        <sz val="10"/>
        <rFont val="Arial"/>
        <family val="2"/>
      </rPr>
      <t>2</t>
    </r>
    <r>
      <rPr>
        <b/>
        <sz val="10"/>
        <rFont val="Arial"/>
        <family val="2"/>
      </rPr>
      <t>)</t>
    </r>
  </si>
  <si>
    <r>
      <t>Area Transv. (mm</t>
    </r>
    <r>
      <rPr>
        <b/>
        <vertAlign val="superscript"/>
        <sz val="10"/>
        <rFont val="Arial"/>
        <family val="2"/>
      </rPr>
      <t>2</t>
    </r>
    <r>
      <rPr>
        <b/>
        <sz val="10"/>
        <rFont val="Arial"/>
        <family val="2"/>
      </rPr>
      <t>)</t>
    </r>
  </si>
  <si>
    <t>Diametro Long (mm)</t>
  </si>
  <si>
    <t>Diametro Transv. (mm)</t>
  </si>
  <si>
    <r>
      <t xml:space="preserve">50x50 MW25.8/25.8  </t>
    </r>
    <r>
      <rPr>
        <sz val="11"/>
        <color rgb="FFFF0000"/>
        <rFont val="Arial"/>
        <family val="2"/>
      </rPr>
      <t>(2x2 W4.0/4.0)</t>
    </r>
  </si>
  <si>
    <r>
      <t xml:space="preserve">50x50 MW18.7/18.7  </t>
    </r>
    <r>
      <rPr>
        <sz val="11"/>
        <color rgb="FFFF0000"/>
        <rFont val="Arial"/>
        <family val="2"/>
      </rPr>
      <t>(2x2 W2.9/2.9)</t>
    </r>
  </si>
  <si>
    <r>
      <t xml:space="preserve">50x50 MW13.3/13.3  </t>
    </r>
    <r>
      <rPr>
        <sz val="11"/>
        <color rgb="FFFF0000"/>
        <rFont val="Arial"/>
        <family val="2"/>
      </rPr>
      <t>(2x2 W2.1/2.1)</t>
    </r>
  </si>
  <si>
    <r>
      <t xml:space="preserve">50x50 MW9.1/9.1       </t>
    </r>
    <r>
      <rPr>
        <sz val="11"/>
        <color rgb="FFFF0000"/>
        <rFont val="Arial"/>
        <family val="2"/>
      </rPr>
      <t>(2x2 W1.4/1.4)</t>
    </r>
  </si>
  <si>
    <r>
      <t xml:space="preserve">50x50 MW5.6/5.6       </t>
    </r>
    <r>
      <rPr>
        <sz val="11"/>
        <color rgb="FFFF0000"/>
        <rFont val="Arial"/>
        <family val="2"/>
      </rPr>
      <t>(2x2 W0.9/0.9)</t>
    </r>
  </si>
  <si>
    <r>
      <t xml:space="preserve">50x50 MW3.2/3.2       </t>
    </r>
    <r>
      <rPr>
        <sz val="11"/>
        <color rgb="FFFF0000"/>
        <rFont val="Arial"/>
        <family val="2"/>
      </rPr>
      <t>(2x2 W0.5/0.5)</t>
    </r>
  </si>
  <si>
    <r>
      <t xml:space="preserve">50x50 MW2.0/2.0       </t>
    </r>
    <r>
      <rPr>
        <sz val="11"/>
        <color rgb="FFFF0000"/>
        <rFont val="Arial"/>
        <family val="2"/>
      </rPr>
      <t>(2x2 W0.3/0.3)</t>
    </r>
  </si>
  <si>
    <r>
      <t xml:space="preserve">76x76 MW13.3/13.3  </t>
    </r>
    <r>
      <rPr>
        <sz val="11"/>
        <color rgb="FFFF0000"/>
        <rFont val="Arial"/>
        <family val="2"/>
      </rPr>
      <t>(3x3 W2.1/2.1)</t>
    </r>
  </si>
  <si>
    <r>
      <t xml:space="preserve">76x76 MW9.1/9.1      </t>
    </r>
    <r>
      <rPr>
        <sz val="11"/>
        <color rgb="FFFF0000"/>
        <rFont val="Arial"/>
        <family val="2"/>
      </rPr>
      <t xml:space="preserve"> (3x3 W1.4/1.4)</t>
    </r>
  </si>
  <si>
    <r>
      <t xml:space="preserve">76x76 MW5.6/5.6       </t>
    </r>
    <r>
      <rPr>
        <sz val="11"/>
        <color rgb="FFFF0000"/>
        <rFont val="Arial"/>
        <family val="2"/>
      </rPr>
      <t>(3x3 W0.9/0.9)</t>
    </r>
  </si>
  <si>
    <r>
      <t xml:space="preserve">76x76 MW3.2/3.2      </t>
    </r>
    <r>
      <rPr>
        <sz val="11"/>
        <color rgb="FFFF0000"/>
        <rFont val="Arial"/>
        <family val="2"/>
      </rPr>
      <t xml:space="preserve"> (3x3 W0.5/0.5)</t>
    </r>
  </si>
  <si>
    <r>
      <t xml:space="preserve">102x102 MW25.8/25.8  </t>
    </r>
    <r>
      <rPr>
        <sz val="11"/>
        <color rgb="FFFF0000"/>
        <rFont val="Arial"/>
        <family val="2"/>
      </rPr>
      <t>(4x4 W4.0/4.0)</t>
    </r>
  </si>
  <si>
    <r>
      <t xml:space="preserve">102x102 MW18.7/18.7  </t>
    </r>
    <r>
      <rPr>
        <sz val="11"/>
        <color rgb="FFFF0000"/>
        <rFont val="Arial"/>
        <family val="2"/>
      </rPr>
      <t>(4x4 W2.9/2.9)</t>
    </r>
  </si>
  <si>
    <r>
      <t xml:space="preserve">102x102 MW13.3/13.3  </t>
    </r>
    <r>
      <rPr>
        <sz val="11"/>
        <color rgb="FFFF0000"/>
        <rFont val="Arial"/>
        <family val="2"/>
      </rPr>
      <t>(4x4 W2.1/2.1)</t>
    </r>
  </si>
  <si>
    <r>
      <t xml:space="preserve">102x102 MW11.1/11.1  </t>
    </r>
    <r>
      <rPr>
        <sz val="11"/>
        <color rgb="FFFF0000"/>
        <rFont val="Arial"/>
        <family val="2"/>
      </rPr>
      <t>(4x4 W1.7/1.7)</t>
    </r>
  </si>
  <si>
    <r>
      <t xml:space="preserve">102x102 MW9.1/9.1      </t>
    </r>
    <r>
      <rPr>
        <sz val="11"/>
        <color rgb="FFFF0000"/>
        <rFont val="Arial"/>
        <family val="2"/>
      </rPr>
      <t xml:space="preserve"> (4x4 W1.4/1.4)</t>
    </r>
  </si>
  <si>
    <r>
      <t xml:space="preserve">102x102 MW5.6/5.6      </t>
    </r>
    <r>
      <rPr>
        <sz val="11"/>
        <color rgb="FFFF0000"/>
        <rFont val="Arial"/>
        <family val="2"/>
      </rPr>
      <t xml:space="preserve"> (4x4 W0.9/0.9)</t>
    </r>
  </si>
  <si>
    <r>
      <t xml:space="preserve">102x102 MW4.2/4.2      </t>
    </r>
    <r>
      <rPr>
        <sz val="11"/>
        <color rgb="FFFF0000"/>
        <rFont val="Arial"/>
        <family val="2"/>
      </rPr>
      <t xml:space="preserve"> (4x4 W0.7/0.7)</t>
    </r>
  </si>
  <si>
    <r>
      <t xml:space="preserve">102x102 MW3.2/3.2       </t>
    </r>
    <r>
      <rPr>
        <sz val="11"/>
        <color rgb="FFFF0000"/>
        <rFont val="Arial"/>
        <family val="2"/>
      </rPr>
      <t>(4x4 W0.5/0.5)</t>
    </r>
  </si>
  <si>
    <r>
      <t xml:space="preserve">152x152 MW47.6/47.6  </t>
    </r>
    <r>
      <rPr>
        <sz val="11"/>
        <color rgb="FFFF0000"/>
        <rFont val="Arial"/>
        <family val="2"/>
      </rPr>
      <t>(6x6 W7.4/7.4)</t>
    </r>
  </si>
  <si>
    <r>
      <t xml:space="preserve">152x152 MW40.6/40.6  </t>
    </r>
    <r>
      <rPr>
        <sz val="11"/>
        <color rgb="FFFF0000"/>
        <rFont val="Arial"/>
        <family val="2"/>
      </rPr>
      <t>(6x6 W6.3/6.3)</t>
    </r>
  </si>
  <si>
    <r>
      <t xml:space="preserve">152x152 MW34.9/34.9  </t>
    </r>
    <r>
      <rPr>
        <sz val="11"/>
        <color rgb="FFFF0000"/>
        <rFont val="Arial"/>
        <family val="2"/>
      </rPr>
      <t>(6x6 W5.4/5.4)</t>
    </r>
  </si>
  <si>
    <r>
      <t xml:space="preserve">152x152 MW30.1/30.1  </t>
    </r>
    <r>
      <rPr>
        <sz val="11"/>
        <color rgb="FFFF0000"/>
        <rFont val="Arial"/>
        <family val="2"/>
      </rPr>
      <t>(6x6 W4.7/4.7)</t>
    </r>
  </si>
  <si>
    <r>
      <t xml:space="preserve">152x152 MW25.8/25.8  </t>
    </r>
    <r>
      <rPr>
        <sz val="11"/>
        <color rgb="FFFF0000"/>
        <rFont val="Arial"/>
        <family val="2"/>
      </rPr>
      <t>(6x6 W4.0/4.0)</t>
    </r>
  </si>
  <si>
    <r>
      <t xml:space="preserve">152x152 MW25.8/18.7  </t>
    </r>
    <r>
      <rPr>
        <sz val="11"/>
        <color rgb="FFFF0000"/>
        <rFont val="Arial"/>
        <family val="2"/>
      </rPr>
      <t>(6x6 W4.0/2.9)</t>
    </r>
  </si>
  <si>
    <r>
      <t xml:space="preserve">152x152 MW21.7/21.7  </t>
    </r>
    <r>
      <rPr>
        <sz val="11"/>
        <color rgb="FFFF0000"/>
        <rFont val="Arial"/>
        <family val="2"/>
      </rPr>
      <t>(6x6 W3.4/3.4)</t>
    </r>
  </si>
  <si>
    <r>
      <t xml:space="preserve">152x152 MW18.7/18.7  </t>
    </r>
    <r>
      <rPr>
        <sz val="11"/>
        <color rgb="FFFF0000"/>
        <rFont val="Arial"/>
        <family val="2"/>
      </rPr>
      <t>(6x6 W2.9/2.9)</t>
    </r>
  </si>
  <si>
    <r>
      <t xml:space="preserve">152x152 MW15.9/15.9  </t>
    </r>
    <r>
      <rPr>
        <sz val="11"/>
        <color rgb="FFFF0000"/>
        <rFont val="Arial"/>
        <family val="2"/>
      </rPr>
      <t>(6x6 W2.5/2.5)</t>
    </r>
  </si>
  <si>
    <r>
      <t xml:space="preserve">152x152 MW13.3/13.3  </t>
    </r>
    <r>
      <rPr>
        <sz val="11"/>
        <color rgb="FFFF0000"/>
        <rFont val="Arial"/>
        <family val="2"/>
      </rPr>
      <t>(6x6 W2.1/2.1)</t>
    </r>
  </si>
  <si>
    <r>
      <t xml:space="preserve">152x152 MW11.1/11.1  </t>
    </r>
    <r>
      <rPr>
        <sz val="11"/>
        <color rgb="FFFF0000"/>
        <rFont val="Arial"/>
        <family val="2"/>
      </rPr>
      <t>(6x6 W1.7/1.7)</t>
    </r>
  </si>
  <si>
    <r>
      <t xml:space="preserve">152x152 MW9.1/9.1       </t>
    </r>
    <r>
      <rPr>
        <sz val="11"/>
        <color rgb="FFFF0000"/>
        <rFont val="Arial"/>
        <family val="2"/>
      </rPr>
      <t>(6x6 W1.4/1.4)</t>
    </r>
  </si>
  <si>
    <r>
      <t xml:space="preserve">305x305 MW34.9/34.9  </t>
    </r>
    <r>
      <rPr>
        <sz val="11"/>
        <color rgb="FFFF0000"/>
        <rFont val="Arial"/>
        <family val="2"/>
      </rPr>
      <t>(12x12 W5.4/5.4)</t>
    </r>
  </si>
  <si>
    <t>DIACO XY-084</t>
  </si>
  <si>
    <t>DIACO XY-106</t>
  </si>
  <si>
    <t>DIACO XY-131</t>
  </si>
  <si>
    <t>DIACO XY-158</t>
  </si>
  <si>
    <t>DIACO XY-221</t>
  </si>
  <si>
    <t>DIACO XY-257</t>
  </si>
  <si>
    <t>DIACO XY-335</t>
  </si>
  <si>
    <t>DIACO XY-378</t>
  </si>
  <si>
    <t>DIACO XX-050</t>
  </si>
  <si>
    <t>DIACO XX-063</t>
  </si>
  <si>
    <t>DIACO XX-084</t>
  </si>
  <si>
    <t>DIACO XX-106</t>
  </si>
  <si>
    <t>DIACO XX-131</t>
  </si>
  <si>
    <t>DIACO XX-158</t>
  </si>
  <si>
    <t>DIACO XX-188</t>
  </si>
  <si>
    <t>DIACO XX-221</t>
  </si>
  <si>
    <t>DIACO XX-257</t>
  </si>
  <si>
    <t>DIACO XX-295</t>
  </si>
  <si>
    <t>DIACO XX-335</t>
  </si>
  <si>
    <t>DIACO XX-378</t>
  </si>
  <si>
    <t>Factor</t>
  </si>
  <si>
    <t>Agregado de Rio</t>
  </si>
  <si>
    <r>
      <t>Area Long (mm</t>
    </r>
    <r>
      <rPr>
        <b/>
        <vertAlign val="superscript"/>
        <sz val="8"/>
        <rFont val="Arial"/>
        <family val="2"/>
      </rPr>
      <t>2</t>
    </r>
    <r>
      <rPr>
        <b/>
        <sz val="8"/>
        <rFont val="Arial"/>
        <family val="2"/>
      </rPr>
      <t>)</t>
    </r>
  </si>
  <si>
    <r>
      <t>Area Transv. (mm</t>
    </r>
    <r>
      <rPr>
        <b/>
        <vertAlign val="superscript"/>
        <sz val="8"/>
        <rFont val="Arial"/>
        <family val="2"/>
      </rPr>
      <t>2</t>
    </r>
    <r>
      <rPr>
        <b/>
        <sz val="8"/>
        <rFont val="Arial"/>
        <family val="2"/>
      </rPr>
      <t>)</t>
    </r>
  </si>
  <si>
    <t>Dosificación de Fibra en Reemplazo de Malla Electrosoldada en Losas Apoyadas sobre el suelo Según Documento Técnico TR34, Concrete Society, UK</t>
  </si>
  <si>
    <t>Datos de entrada requeridos</t>
  </si>
  <si>
    <t>Constantes - reemplace solamente si es necesario</t>
  </si>
  <si>
    <t>Datos calculados</t>
  </si>
  <si>
    <t>Requerimientos finales de dosificación</t>
  </si>
  <si>
    <t>Posición del acero, d</t>
  </si>
  <si>
    <r>
      <t xml:space="preserve">Profundidad Bloque de esfuerzo equivalente, </t>
    </r>
    <r>
      <rPr>
        <i/>
        <sz val="14"/>
        <rFont val="Calibri"/>
        <family val="2"/>
        <scheme val="minor"/>
      </rPr>
      <t>a</t>
    </r>
  </si>
  <si>
    <r>
      <t>Momento resistente, M</t>
    </r>
    <r>
      <rPr>
        <vertAlign val="subscript"/>
        <sz val="14"/>
        <rFont val="Calibri"/>
        <family val="2"/>
        <scheme val="minor"/>
      </rPr>
      <t>r</t>
    </r>
  </si>
  <si>
    <t>kN.m</t>
  </si>
  <si>
    <r>
      <t xml:space="preserve">Capacidad de Esfuerzos de la sección reforzada con fibra, </t>
    </r>
    <r>
      <rPr>
        <sz val="14"/>
        <rFont val="Symbol"/>
        <family val="1"/>
        <charset val="2"/>
      </rPr>
      <t>s</t>
    </r>
  </si>
  <si>
    <t>** - Conversión de dosificación de fibra a partir del desempeño requerido según ensayo ASTM C1399.</t>
  </si>
  <si>
    <t>Dosificación de Fibra en Reemplazo de Malla Electrosoldada en Elementos de Pared Delgada considerando la Resistencia Residual Promedio (ASTM C1399) del Concreto Reforzado con Fibras</t>
  </si>
  <si>
    <t>Espesor de la pared, h</t>
  </si>
  <si>
    <t>Tamaño</t>
  </si>
  <si>
    <t>Diámetro</t>
  </si>
  <si>
    <t>(in)</t>
  </si>
  <si>
    <t>(mm)</t>
  </si>
  <si>
    <t>Dosificación de Fibra en Reemplazo de Barras de Acero en Losas Apoyadas sobre el suelo Según Documento Técnico TR34, Concrete Society, UK</t>
  </si>
  <si>
    <r>
      <t>Referencia lámina metálica(</t>
    </r>
    <r>
      <rPr>
        <i/>
        <sz val="16"/>
        <rFont val="Calibri"/>
        <family val="2"/>
        <scheme val="minor"/>
      </rPr>
      <t>deck depth</t>
    </r>
    <r>
      <rPr>
        <sz val="16"/>
        <rFont val="Calibri"/>
        <family val="2"/>
        <scheme val="minor"/>
      </rPr>
      <t xml:space="preserve">) </t>
    </r>
  </si>
  <si>
    <r>
      <t>Altura total de la losa (</t>
    </r>
    <r>
      <rPr>
        <i/>
        <sz val="16"/>
        <rFont val="Calibri"/>
        <family val="2"/>
        <scheme val="minor"/>
      </rPr>
      <t>total slab depth</t>
    </r>
    <r>
      <rPr>
        <sz val="16"/>
        <rFont val="Calibri"/>
        <family val="2"/>
        <scheme val="minor"/>
      </rPr>
      <t xml:space="preserve">) </t>
    </r>
  </si>
  <si>
    <r>
      <t>Altura por encima de la lámina metálica (</t>
    </r>
    <r>
      <rPr>
        <i/>
        <sz val="16"/>
        <rFont val="Calibri"/>
        <family val="2"/>
        <scheme val="minor"/>
      </rPr>
      <t>t</t>
    </r>
    <r>
      <rPr>
        <sz val="16"/>
        <rFont val="Calibri"/>
        <family val="2"/>
        <scheme val="minor"/>
      </rPr>
      <t>)</t>
    </r>
  </si>
  <si>
    <t>Area de Acero por temperatura mínima Requerida</t>
  </si>
  <si>
    <t>PASO 2: SELECCIÓN DEL TIPO DE MALLA ELECTROSOLDADA MÍNIMA REQUERIDA</t>
  </si>
  <si>
    <t>VALIDACIÓN DE LA MALLA ELECTROSOLDADA</t>
  </si>
  <si>
    <t>Metaldeck 2"</t>
  </si>
  <si>
    <t>Metaldeck 3"</t>
  </si>
  <si>
    <t>Dosificación de Fibra en Entrepisos de concreto compuestos con lámina metálica según documento SDI-ANSI-C-2011</t>
  </si>
  <si>
    <t>1. Parámetro del Suelo:</t>
  </si>
  <si>
    <t>Módulo de Subrasante</t>
  </si>
  <si>
    <t>k</t>
  </si>
  <si>
    <t>Resistencia característica a la compresión  (cubo)</t>
  </si>
  <si>
    <r>
      <rPr>
        <i/>
        <sz val="12"/>
        <color theme="1"/>
        <rFont val="Calibri"/>
        <family val="2"/>
        <scheme val="minor"/>
      </rPr>
      <t>f</t>
    </r>
    <r>
      <rPr>
        <vertAlign val="subscript"/>
        <sz val="12"/>
        <color theme="1"/>
        <rFont val="Calibri"/>
        <family val="2"/>
        <scheme val="minor"/>
      </rPr>
      <t>cu</t>
    </r>
  </si>
  <si>
    <r>
      <t>N/mm</t>
    </r>
    <r>
      <rPr>
        <vertAlign val="superscript"/>
        <sz val="11"/>
        <color theme="1"/>
        <rFont val="Calibri"/>
        <family val="2"/>
        <scheme val="minor"/>
      </rPr>
      <t>2</t>
    </r>
  </si>
  <si>
    <t>Resistencia a la compresión promedio (cilíndro)</t>
  </si>
  <si>
    <r>
      <rPr>
        <i/>
        <sz val="12"/>
        <color theme="1"/>
        <rFont val="Calibri"/>
        <family val="2"/>
        <scheme val="minor"/>
      </rPr>
      <t>f</t>
    </r>
    <r>
      <rPr>
        <vertAlign val="subscript"/>
        <sz val="12"/>
        <color theme="1"/>
        <rFont val="Calibri"/>
        <family val="2"/>
        <scheme val="minor"/>
      </rPr>
      <t>cm</t>
    </r>
  </si>
  <si>
    <t>2. Parámetros del Concreto:</t>
  </si>
  <si>
    <t>Resistencia a la tensión axial promedio</t>
  </si>
  <si>
    <r>
      <rPr>
        <i/>
        <sz val="12"/>
        <color theme="1"/>
        <rFont val="Calibri"/>
        <family val="2"/>
        <scheme val="minor"/>
      </rPr>
      <t>f</t>
    </r>
    <r>
      <rPr>
        <vertAlign val="subscript"/>
        <sz val="12"/>
        <color theme="1"/>
        <rFont val="Calibri"/>
        <family val="2"/>
        <scheme val="minor"/>
      </rPr>
      <t>ctm</t>
    </r>
  </si>
  <si>
    <t>Resistencia característica a la tensión axial  (5% fractura)</t>
  </si>
  <si>
    <r>
      <rPr>
        <i/>
        <sz val="12"/>
        <color theme="1"/>
        <rFont val="Calibri"/>
        <family val="2"/>
        <scheme val="minor"/>
      </rPr>
      <t>f</t>
    </r>
    <r>
      <rPr>
        <vertAlign val="subscript"/>
        <sz val="12"/>
        <color theme="1"/>
        <rFont val="Calibri"/>
        <family val="2"/>
        <scheme val="minor"/>
      </rPr>
      <t>ctk(0.05)</t>
    </r>
  </si>
  <si>
    <r>
      <rPr>
        <i/>
        <sz val="14"/>
        <color theme="1"/>
        <rFont val="Calibri"/>
        <family val="2"/>
        <scheme val="minor"/>
      </rPr>
      <t>f</t>
    </r>
    <r>
      <rPr>
        <vertAlign val="subscript"/>
        <sz val="14"/>
        <color theme="1"/>
        <rFont val="Calibri"/>
        <family val="2"/>
        <scheme val="minor"/>
      </rPr>
      <t>ck</t>
    </r>
  </si>
  <si>
    <t>Módulo de rigidez secante</t>
  </si>
  <si>
    <r>
      <rPr>
        <i/>
        <sz val="12"/>
        <color theme="1"/>
        <rFont val="Calibri"/>
        <family val="2"/>
        <scheme val="minor"/>
      </rPr>
      <t>E</t>
    </r>
    <r>
      <rPr>
        <vertAlign val="subscript"/>
        <sz val="12"/>
        <color theme="1"/>
        <rFont val="Calibri"/>
        <family val="2"/>
        <scheme val="minor"/>
      </rPr>
      <t>cm</t>
    </r>
  </si>
  <si>
    <t>Resistencia caracterísitica a la flexión del concreto plano</t>
  </si>
  <si>
    <r>
      <rPr>
        <i/>
        <sz val="12"/>
        <color theme="1"/>
        <rFont val="Calibri"/>
        <family val="2"/>
        <scheme val="minor"/>
      </rPr>
      <t>f</t>
    </r>
    <r>
      <rPr>
        <vertAlign val="subscript"/>
        <sz val="12"/>
        <color theme="1"/>
        <rFont val="Calibri"/>
        <family val="2"/>
        <scheme val="minor"/>
      </rPr>
      <t>ctk,fl</t>
    </r>
  </si>
  <si>
    <t>Dosificacion fibra FIBRAPLAS Concrete</t>
  </si>
  <si>
    <r>
      <t>D</t>
    </r>
    <r>
      <rPr>
        <i/>
        <vertAlign val="subscript"/>
        <sz val="14"/>
        <color theme="1"/>
        <rFont val="Calibri"/>
        <family val="2"/>
        <scheme val="minor"/>
      </rPr>
      <t>fb</t>
    </r>
  </si>
  <si>
    <r>
      <t>kg/m</t>
    </r>
    <r>
      <rPr>
        <vertAlign val="superscript"/>
        <sz val="12"/>
        <color theme="1"/>
        <rFont val="Calibri"/>
        <family val="2"/>
        <scheme val="minor"/>
      </rPr>
      <t>3</t>
    </r>
  </si>
  <si>
    <t>Espesor efectivo de la losa</t>
  </si>
  <si>
    <t>d</t>
  </si>
  <si>
    <t>Factor No. 1 para cálculos de resistencia al corte</t>
  </si>
  <si>
    <r>
      <rPr>
        <i/>
        <sz val="12"/>
        <color theme="1"/>
        <rFont val="Calibri"/>
        <family val="2"/>
        <scheme val="minor"/>
      </rPr>
      <t>k</t>
    </r>
    <r>
      <rPr>
        <vertAlign val="subscript"/>
        <sz val="12"/>
        <color theme="1"/>
        <rFont val="Calibri"/>
        <family val="2"/>
        <scheme val="minor"/>
      </rPr>
      <t>1</t>
    </r>
  </si>
  <si>
    <t>Resistencia mínima del concreto al corte</t>
  </si>
  <si>
    <r>
      <t>v</t>
    </r>
    <r>
      <rPr>
        <vertAlign val="subscript"/>
        <sz val="12"/>
        <color theme="1"/>
        <rFont val="Calibri"/>
        <family val="2"/>
        <scheme val="minor"/>
      </rPr>
      <t>Rd,ct</t>
    </r>
  </si>
  <si>
    <t>3. Parámetros Geométricos y Carga Máxima:</t>
  </si>
  <si>
    <t>Rigidez de la losa</t>
  </si>
  <si>
    <r>
      <rPr>
        <i/>
        <sz val="12"/>
        <color theme="1"/>
        <rFont val="Calibri"/>
        <family val="2"/>
        <scheme val="minor"/>
      </rPr>
      <t>k</t>
    </r>
    <r>
      <rPr>
        <vertAlign val="subscript"/>
        <sz val="12"/>
        <color theme="1"/>
        <rFont val="Calibri"/>
        <family val="2"/>
        <scheme val="minor"/>
      </rPr>
      <t>3</t>
    </r>
  </si>
  <si>
    <t>MN.mm</t>
  </si>
  <si>
    <t>Índice de rigidez relativa</t>
  </si>
  <si>
    <t>l</t>
  </si>
  <si>
    <t>Índice de resistencia a flexión equivalente</t>
  </si>
  <si>
    <r>
      <rPr>
        <i/>
        <sz val="12"/>
        <color theme="1"/>
        <rFont val="Calibri"/>
        <family val="2"/>
        <scheme val="minor"/>
      </rPr>
      <t>R</t>
    </r>
    <r>
      <rPr>
        <vertAlign val="subscript"/>
        <sz val="12"/>
        <color theme="1"/>
        <rFont val="Calibri"/>
        <family val="2"/>
        <scheme val="minor"/>
      </rPr>
      <t>e,3</t>
    </r>
  </si>
  <si>
    <t>Momento resistente último negativo de la losa</t>
  </si>
  <si>
    <r>
      <t>M</t>
    </r>
    <r>
      <rPr>
        <i/>
        <vertAlign val="subscript"/>
        <sz val="12"/>
        <color theme="1"/>
        <rFont val="Calibri"/>
        <family val="2"/>
        <scheme val="minor"/>
      </rPr>
      <t>n</t>
    </r>
  </si>
  <si>
    <t>kN</t>
  </si>
  <si>
    <t>Momento resistente último positivo de la losa</t>
  </si>
  <si>
    <r>
      <t>M</t>
    </r>
    <r>
      <rPr>
        <i/>
        <vertAlign val="subscript"/>
        <sz val="12"/>
        <color theme="1"/>
        <rFont val="Calibri"/>
        <family val="2"/>
        <scheme val="minor"/>
      </rPr>
      <t>p</t>
    </r>
  </si>
  <si>
    <r>
      <t xml:space="preserve">Índice </t>
    </r>
    <r>
      <rPr>
        <i/>
        <sz val="11"/>
        <color theme="1"/>
        <rFont val="Calibri"/>
        <family val="2"/>
        <scheme val="minor"/>
      </rPr>
      <t>a/l</t>
    </r>
  </si>
  <si>
    <t>a/l</t>
  </si>
  <si>
    <t>CARGAS INTERNAS</t>
  </si>
  <si>
    <t>Dimensión A en platina de base</t>
  </si>
  <si>
    <t>A =</t>
  </si>
  <si>
    <t>Dimensión B en platina de base</t>
  </si>
  <si>
    <t>B =</t>
  </si>
  <si>
    <t>Carga Estática Máxima</t>
  </si>
  <si>
    <r>
      <t>Q</t>
    </r>
    <r>
      <rPr>
        <i/>
        <vertAlign val="subscript"/>
        <sz val="14"/>
        <color theme="1"/>
        <rFont val="Calibri"/>
        <family val="2"/>
        <scheme val="minor"/>
      </rPr>
      <t>1</t>
    </r>
  </si>
  <si>
    <t>h</t>
  </si>
  <si>
    <t>Espesor mínimo de la losa (carga interna)</t>
  </si>
  <si>
    <t>Espesor mínimo de la losa (carga de borde)</t>
  </si>
  <si>
    <t>Espesor mínimo de la losa (carga de esquina)</t>
  </si>
  <si>
    <t>4. Condición interna:</t>
  </si>
  <si>
    <t>CONSTANTES</t>
  </si>
  <si>
    <t>Relación de Poisson</t>
  </si>
  <si>
    <t>n</t>
  </si>
  <si>
    <t>Factor parcial de seguridad para barras de acero y mallas electrosoldadas con resistencia característica menor o igual a 460 Mpa</t>
  </si>
  <si>
    <r>
      <t>g</t>
    </r>
    <r>
      <rPr>
        <vertAlign val="subscript"/>
        <sz val="12"/>
        <color theme="1"/>
        <rFont val="Calibri"/>
        <family val="2"/>
        <scheme val="minor"/>
      </rPr>
      <t>s1</t>
    </r>
  </si>
  <si>
    <t>Factor parcial de seguridad para barras de acero y mallas electrosoldadas con resistencia característica mayor a 460 Mpa</t>
  </si>
  <si>
    <r>
      <t>g</t>
    </r>
    <r>
      <rPr>
        <vertAlign val="subscript"/>
        <sz val="12"/>
        <color theme="1"/>
        <rFont val="Calibri"/>
        <family val="2"/>
        <scheme val="minor"/>
      </rPr>
      <t>s2</t>
    </r>
  </si>
  <si>
    <t>Factor parcial de seguridad para concreto plano y concreto reforzado con fibras</t>
  </si>
  <si>
    <r>
      <t>g</t>
    </r>
    <r>
      <rPr>
        <vertAlign val="subscript"/>
        <sz val="12"/>
        <color theme="1"/>
        <rFont val="Calibri"/>
        <family val="2"/>
        <scheme val="minor"/>
      </rPr>
      <t>c</t>
    </r>
  </si>
  <si>
    <t>Factor parcial de seguridad frente a acciones permanentes (estantes)</t>
  </si>
  <si>
    <r>
      <t>g</t>
    </r>
    <r>
      <rPr>
        <vertAlign val="subscript"/>
        <sz val="12"/>
        <color theme="1"/>
        <rFont val="Calibri"/>
        <family val="2"/>
        <scheme val="minor"/>
      </rPr>
      <t>f1</t>
    </r>
  </si>
  <si>
    <t>Factor parcial de seguridad frente a acciones variables (cargas aleatorias)</t>
  </si>
  <si>
    <r>
      <t>g</t>
    </r>
    <r>
      <rPr>
        <vertAlign val="subscript"/>
        <sz val="12"/>
        <color theme="1"/>
        <rFont val="Calibri"/>
        <family val="2"/>
        <scheme val="minor"/>
      </rPr>
      <t>f2</t>
    </r>
  </si>
  <si>
    <t>Factor parcial de seguridad frente a acciones dinámicas (montacargas y maquinaria sometida a vibración)</t>
  </si>
  <si>
    <r>
      <t>g</t>
    </r>
    <r>
      <rPr>
        <vertAlign val="subscript"/>
        <sz val="12"/>
        <color theme="1"/>
        <rFont val="Calibri"/>
        <family val="2"/>
        <scheme val="minor"/>
      </rPr>
      <t>f3</t>
    </r>
  </si>
  <si>
    <t xml:space="preserve">Carga Estática Última Requerida </t>
  </si>
  <si>
    <r>
      <t>Q</t>
    </r>
    <r>
      <rPr>
        <i/>
        <vertAlign val="subscript"/>
        <sz val="10"/>
        <color theme="1"/>
        <rFont val="Calibri"/>
        <family val="2"/>
        <scheme val="minor"/>
      </rPr>
      <t>1,ult</t>
    </r>
  </si>
  <si>
    <t>Radio del área de contacto equivalente</t>
  </si>
  <si>
    <t>a</t>
  </si>
  <si>
    <t>Capacidad Última bajo Carga Concentrada a/l = 0</t>
  </si>
  <si>
    <r>
      <t>P</t>
    </r>
    <r>
      <rPr>
        <i/>
        <vertAlign val="subscript"/>
        <sz val="10"/>
        <color theme="1"/>
        <rFont val="Calibri"/>
        <family val="2"/>
        <scheme val="minor"/>
      </rPr>
      <t>u,1</t>
    </r>
  </si>
  <si>
    <t>Capacidad Última bajo Carga Concentrada a/l &gt; 0.2</t>
  </si>
  <si>
    <r>
      <t>P</t>
    </r>
    <r>
      <rPr>
        <i/>
        <vertAlign val="subscript"/>
        <sz val="10"/>
        <color theme="1"/>
        <rFont val="Calibri"/>
        <family val="2"/>
        <scheme val="minor"/>
      </rPr>
      <t>u,2</t>
    </r>
  </si>
  <si>
    <t>Capacidad Última bajo Carga Concentrada a/l</t>
  </si>
  <si>
    <r>
      <t>P</t>
    </r>
    <r>
      <rPr>
        <i/>
        <vertAlign val="subscript"/>
        <sz val="10"/>
        <color theme="1"/>
        <rFont val="Calibri"/>
        <family val="2"/>
        <scheme val="minor"/>
      </rPr>
      <t>u,3</t>
    </r>
  </si>
  <si>
    <t>Índice de Capacidad para cargas internas</t>
  </si>
  <si>
    <r>
      <t>P</t>
    </r>
    <r>
      <rPr>
        <i/>
        <vertAlign val="subscript"/>
        <sz val="10"/>
        <color theme="1"/>
        <rFont val="Calibri"/>
        <family val="2"/>
        <scheme val="minor"/>
      </rPr>
      <t>u,3</t>
    </r>
    <r>
      <rPr>
        <i/>
        <sz val="10"/>
        <color theme="1"/>
        <rFont val="Calibri"/>
        <family val="2"/>
        <scheme val="minor"/>
      </rPr>
      <t>/Q1,ult</t>
    </r>
  </si>
  <si>
    <t>Punzonamiento</t>
  </si>
  <si>
    <t>Perforación por Corte</t>
  </si>
  <si>
    <t>Esfuerzo cortante máximo</t>
  </si>
  <si>
    <r>
      <t>v</t>
    </r>
    <r>
      <rPr>
        <vertAlign val="subscript"/>
        <sz val="11"/>
        <color theme="1"/>
        <rFont val="Calibri"/>
        <family val="2"/>
        <scheme val="minor"/>
      </rPr>
      <t>max</t>
    </r>
  </si>
  <si>
    <t>Longitud del perímetro en la cara del área cargada (caso interior)</t>
  </si>
  <si>
    <r>
      <t>u</t>
    </r>
    <r>
      <rPr>
        <vertAlign val="subscript"/>
        <sz val="11"/>
        <color theme="1"/>
        <rFont val="Calibri"/>
        <family val="2"/>
        <scheme val="minor"/>
      </rPr>
      <t>0,1</t>
    </r>
  </si>
  <si>
    <t>Esfuerzo cortante actuante máximo (caso interior)</t>
  </si>
  <si>
    <r>
      <t>v</t>
    </r>
    <r>
      <rPr>
        <vertAlign val="subscript"/>
        <sz val="11"/>
        <color theme="1"/>
        <rFont val="Calibri"/>
        <family val="2"/>
        <scheme val="minor"/>
      </rPr>
      <t>p,1</t>
    </r>
  </si>
  <si>
    <t>Índice de Capacidad a Perforación por cargas internas</t>
  </si>
  <si>
    <r>
      <t>P</t>
    </r>
    <r>
      <rPr>
        <vertAlign val="subscript"/>
        <sz val="11"/>
        <color theme="1"/>
        <rFont val="Calibri"/>
        <family val="2"/>
        <scheme val="minor"/>
      </rPr>
      <t>p,max1</t>
    </r>
    <r>
      <rPr>
        <sz val="11"/>
        <color theme="1"/>
        <rFont val="Calibri"/>
        <family val="2"/>
        <scheme val="minor"/>
      </rPr>
      <t>/Q</t>
    </r>
    <r>
      <rPr>
        <vertAlign val="subscript"/>
        <sz val="11"/>
        <color theme="1"/>
        <rFont val="Calibri"/>
        <family val="2"/>
        <scheme val="minor"/>
      </rPr>
      <t>1,ult</t>
    </r>
  </si>
  <si>
    <t>Longitud del perímetro critico (caso interior)</t>
  </si>
  <si>
    <r>
      <t>u</t>
    </r>
    <r>
      <rPr>
        <vertAlign val="subscript"/>
        <sz val="11"/>
        <color theme="1"/>
        <rFont val="Calibri"/>
        <family val="2"/>
        <scheme val="minor"/>
      </rPr>
      <t>1,1</t>
    </r>
  </si>
  <si>
    <t>Máxima capacidad en perímetro crítico (caso interior)</t>
  </si>
  <si>
    <r>
      <t>P</t>
    </r>
    <r>
      <rPr>
        <vertAlign val="subscript"/>
        <sz val="11"/>
        <color theme="1"/>
        <rFont val="Calibri"/>
        <family val="2"/>
        <scheme val="minor"/>
      </rPr>
      <t>p,max5</t>
    </r>
  </si>
  <si>
    <t>Índice de Capacidad a Perforación por cargas internas en perímetro crítico</t>
  </si>
  <si>
    <r>
      <t>P</t>
    </r>
    <r>
      <rPr>
        <vertAlign val="subscript"/>
        <sz val="11"/>
        <color theme="1"/>
        <rFont val="Calibri"/>
        <family val="2"/>
        <scheme val="minor"/>
      </rPr>
      <t>p,max5</t>
    </r>
    <r>
      <rPr>
        <sz val="11"/>
        <color theme="1"/>
        <rFont val="Calibri"/>
        <family val="2"/>
        <scheme val="minor"/>
      </rPr>
      <t>/Q</t>
    </r>
    <r>
      <rPr>
        <vertAlign val="subscript"/>
        <sz val="11"/>
        <color theme="1"/>
        <rFont val="Calibri"/>
        <family val="2"/>
        <scheme val="minor"/>
      </rPr>
      <t>1,ult</t>
    </r>
  </si>
  <si>
    <t>5. Condición de borde:</t>
  </si>
  <si>
    <t>Resistencia de diseño a compresión del concreto</t>
  </si>
  <si>
    <r>
      <rPr>
        <i/>
        <sz val="12"/>
        <color theme="1"/>
        <rFont val="Calibri"/>
        <family val="2"/>
        <scheme val="minor"/>
      </rPr>
      <t>f</t>
    </r>
    <r>
      <rPr>
        <vertAlign val="subscript"/>
        <sz val="12"/>
        <color theme="1"/>
        <rFont val="Calibri"/>
        <family val="2"/>
        <scheme val="minor"/>
      </rPr>
      <t>cd</t>
    </r>
  </si>
  <si>
    <r>
      <rPr>
        <i/>
        <sz val="14"/>
        <color theme="1"/>
        <rFont val="Calibri"/>
        <family val="2"/>
        <scheme val="minor"/>
      </rPr>
      <t>k</t>
    </r>
    <r>
      <rPr>
        <vertAlign val="subscript"/>
        <sz val="14"/>
        <color theme="1"/>
        <rFont val="Calibri"/>
        <family val="2"/>
        <scheme val="minor"/>
      </rPr>
      <t>2</t>
    </r>
  </si>
  <si>
    <t>Longitud del perímetro en la cara del área cargada (caso borde 1)</t>
  </si>
  <si>
    <r>
      <t>u</t>
    </r>
    <r>
      <rPr>
        <vertAlign val="subscript"/>
        <sz val="11"/>
        <color theme="1"/>
        <rFont val="Calibri"/>
        <family val="2"/>
        <scheme val="minor"/>
      </rPr>
      <t>0,2</t>
    </r>
  </si>
  <si>
    <t>Longitud del perímetro en la cara del área cargada (caso borde 2)</t>
  </si>
  <si>
    <r>
      <t>u</t>
    </r>
    <r>
      <rPr>
        <vertAlign val="subscript"/>
        <sz val="11"/>
        <color theme="1"/>
        <rFont val="Calibri"/>
        <family val="2"/>
        <scheme val="minor"/>
      </rPr>
      <t>0,3</t>
    </r>
  </si>
  <si>
    <t>Longitud del perímetro en la cara del área cargada (caso esquina )</t>
  </si>
  <si>
    <r>
      <t>u</t>
    </r>
    <r>
      <rPr>
        <vertAlign val="subscript"/>
        <sz val="11"/>
        <color theme="1"/>
        <rFont val="Calibri"/>
        <family val="2"/>
        <scheme val="minor"/>
      </rPr>
      <t>0,4</t>
    </r>
  </si>
  <si>
    <t>Esfuerzo cortante actuante máximo (caso borde 1)</t>
  </si>
  <si>
    <r>
      <t>v</t>
    </r>
    <r>
      <rPr>
        <vertAlign val="subscript"/>
        <sz val="11"/>
        <color theme="1"/>
        <rFont val="Calibri"/>
        <family val="2"/>
        <scheme val="minor"/>
      </rPr>
      <t>p,2</t>
    </r>
  </si>
  <si>
    <t>Esfuerzo cortante actuante máximo (caso borde 2)</t>
  </si>
  <si>
    <r>
      <t>v</t>
    </r>
    <r>
      <rPr>
        <vertAlign val="subscript"/>
        <sz val="11"/>
        <color theme="1"/>
        <rFont val="Calibri"/>
        <family val="2"/>
        <scheme val="minor"/>
      </rPr>
      <t>p,3</t>
    </r>
  </si>
  <si>
    <t>Esfuerzo cortante actuante máximo (caso esquina)</t>
  </si>
  <si>
    <r>
      <t>v</t>
    </r>
    <r>
      <rPr>
        <vertAlign val="subscript"/>
        <sz val="11"/>
        <color theme="1"/>
        <rFont val="Calibri"/>
        <family val="2"/>
        <scheme val="minor"/>
      </rPr>
      <t>p,4</t>
    </r>
  </si>
  <si>
    <t>Carga Estática Última Requerida para bordes entre paneles</t>
  </si>
  <si>
    <r>
      <t>Q</t>
    </r>
    <r>
      <rPr>
        <i/>
        <vertAlign val="subscript"/>
        <sz val="10"/>
        <color theme="1"/>
        <rFont val="Calibri"/>
        <family val="2"/>
        <scheme val="minor"/>
      </rPr>
      <t>1,ult,jb</t>
    </r>
  </si>
  <si>
    <r>
      <t>P</t>
    </r>
    <r>
      <rPr>
        <i/>
        <vertAlign val="subscript"/>
        <sz val="10"/>
        <color theme="1"/>
        <rFont val="Calibri"/>
        <family val="2"/>
        <scheme val="minor"/>
      </rPr>
      <t>u,4</t>
    </r>
  </si>
  <si>
    <t>Máxima capacidad de carga frente a perforación por corte (caso interior)</t>
  </si>
  <si>
    <r>
      <t>P</t>
    </r>
    <r>
      <rPr>
        <vertAlign val="subscript"/>
        <sz val="11"/>
        <color theme="1"/>
        <rFont val="Calibri"/>
        <family val="2"/>
        <scheme val="minor"/>
      </rPr>
      <t>p,max1</t>
    </r>
  </si>
  <si>
    <r>
      <t>P</t>
    </r>
    <r>
      <rPr>
        <i/>
        <vertAlign val="subscript"/>
        <sz val="10"/>
        <color theme="1"/>
        <rFont val="Calibri"/>
        <family val="2"/>
        <scheme val="minor"/>
      </rPr>
      <t>u,5</t>
    </r>
  </si>
  <si>
    <t>Máxima capacidad de carga frente a perforación por corte (caso borde 1)</t>
  </si>
  <si>
    <r>
      <t>P</t>
    </r>
    <r>
      <rPr>
        <vertAlign val="subscript"/>
        <sz val="11"/>
        <color theme="1"/>
        <rFont val="Calibri"/>
        <family val="2"/>
        <scheme val="minor"/>
      </rPr>
      <t>p,max2</t>
    </r>
  </si>
  <si>
    <r>
      <t>P</t>
    </r>
    <r>
      <rPr>
        <i/>
        <vertAlign val="subscript"/>
        <sz val="10"/>
        <color theme="1"/>
        <rFont val="Calibri"/>
        <family val="2"/>
        <scheme val="minor"/>
      </rPr>
      <t>u,6</t>
    </r>
  </si>
  <si>
    <r>
      <t>P</t>
    </r>
    <r>
      <rPr>
        <vertAlign val="subscript"/>
        <sz val="11"/>
        <color theme="1"/>
        <rFont val="Calibri"/>
        <family val="2"/>
        <scheme val="minor"/>
      </rPr>
      <t>p,max3</t>
    </r>
  </si>
  <si>
    <t>Índice de Capacidad para bordes entre paneles</t>
  </si>
  <si>
    <r>
      <t>P</t>
    </r>
    <r>
      <rPr>
        <i/>
        <vertAlign val="subscript"/>
        <sz val="10"/>
        <color theme="1"/>
        <rFont val="Calibri"/>
        <family val="2"/>
        <scheme val="minor"/>
      </rPr>
      <t>u,6</t>
    </r>
    <r>
      <rPr>
        <i/>
        <sz val="10"/>
        <color theme="1"/>
        <rFont val="Calibri"/>
        <family val="2"/>
        <scheme val="minor"/>
      </rPr>
      <t>/Q1,ult,jb</t>
    </r>
  </si>
  <si>
    <t>Máxima capacidad de carga frente a perforación por corte (caso esquina)</t>
  </si>
  <si>
    <r>
      <t>P</t>
    </r>
    <r>
      <rPr>
        <vertAlign val="subscript"/>
        <sz val="11"/>
        <color theme="1"/>
        <rFont val="Calibri"/>
        <family val="2"/>
        <scheme val="minor"/>
      </rPr>
      <t>p,max4</t>
    </r>
  </si>
  <si>
    <t>Longitud del perímetro critico (caso borde 1)</t>
  </si>
  <si>
    <r>
      <t>u</t>
    </r>
    <r>
      <rPr>
        <vertAlign val="subscript"/>
        <sz val="11"/>
        <color theme="1"/>
        <rFont val="Calibri"/>
        <family val="2"/>
        <scheme val="minor"/>
      </rPr>
      <t>1,2</t>
    </r>
  </si>
  <si>
    <t>Longitud del perímetro crítico (caso borde 2)</t>
  </si>
  <si>
    <r>
      <t>u</t>
    </r>
    <r>
      <rPr>
        <vertAlign val="subscript"/>
        <sz val="11"/>
        <color theme="1"/>
        <rFont val="Calibri"/>
        <family val="2"/>
        <scheme val="minor"/>
      </rPr>
      <t>1,3</t>
    </r>
  </si>
  <si>
    <t>Longitud del perímetro crítico (caso esquina )</t>
  </si>
  <si>
    <r>
      <t>u</t>
    </r>
    <r>
      <rPr>
        <vertAlign val="subscript"/>
        <sz val="11"/>
        <color theme="1"/>
        <rFont val="Calibri"/>
        <family val="2"/>
        <scheme val="minor"/>
      </rPr>
      <t>1,4</t>
    </r>
  </si>
  <si>
    <t>Máxima capacidad en perímetro crítico (caso borde 1)</t>
  </si>
  <si>
    <r>
      <t>P</t>
    </r>
    <r>
      <rPr>
        <vertAlign val="subscript"/>
        <sz val="11"/>
        <color theme="1"/>
        <rFont val="Calibri"/>
        <family val="2"/>
        <scheme val="minor"/>
      </rPr>
      <t>p,max6</t>
    </r>
  </si>
  <si>
    <t>Máxima capacidad en perímetro crítico (caso borde 2)</t>
  </si>
  <si>
    <r>
      <t>P</t>
    </r>
    <r>
      <rPr>
        <vertAlign val="subscript"/>
        <sz val="11"/>
        <color theme="1"/>
        <rFont val="Calibri"/>
        <family val="2"/>
        <scheme val="minor"/>
      </rPr>
      <t>p,max7</t>
    </r>
  </si>
  <si>
    <t>Máxima capacidad en perímetro crítico (caso esquina)</t>
  </si>
  <si>
    <r>
      <t>P</t>
    </r>
    <r>
      <rPr>
        <vertAlign val="subscript"/>
        <sz val="11"/>
        <color theme="1"/>
        <rFont val="Calibri"/>
        <family val="2"/>
        <scheme val="minor"/>
      </rPr>
      <t>p,max8</t>
    </r>
  </si>
  <si>
    <t>Índice de Capacidad a Perforación por cargas de borde</t>
  </si>
  <si>
    <r>
      <t>P</t>
    </r>
    <r>
      <rPr>
        <vertAlign val="subscript"/>
        <sz val="11"/>
        <color theme="1"/>
        <rFont val="Calibri"/>
        <family val="2"/>
        <scheme val="minor"/>
      </rPr>
      <t>p,max2,3</t>
    </r>
    <r>
      <rPr>
        <sz val="11"/>
        <color theme="1"/>
        <rFont val="Calibri"/>
        <family val="2"/>
        <scheme val="minor"/>
      </rPr>
      <t>/Q</t>
    </r>
    <r>
      <rPr>
        <vertAlign val="subscript"/>
        <sz val="11"/>
        <color theme="1"/>
        <rFont val="Calibri"/>
        <family val="2"/>
        <scheme val="minor"/>
      </rPr>
      <t>1,ult,jb</t>
    </r>
  </si>
  <si>
    <t>Índice de Capacidad a Perforación por cargas de borde en perímetro crítico</t>
  </si>
  <si>
    <r>
      <t>P</t>
    </r>
    <r>
      <rPr>
        <vertAlign val="subscript"/>
        <sz val="10"/>
        <color theme="1"/>
        <rFont val="Calibri"/>
        <family val="2"/>
        <scheme val="minor"/>
      </rPr>
      <t>p,max6</t>
    </r>
    <r>
      <rPr>
        <sz val="10"/>
        <color theme="1"/>
        <rFont val="Calibri"/>
        <family val="2"/>
        <scheme val="minor"/>
      </rPr>
      <t>/Q</t>
    </r>
    <r>
      <rPr>
        <vertAlign val="subscript"/>
        <sz val="10"/>
        <color theme="1"/>
        <rFont val="Calibri"/>
        <family val="2"/>
        <scheme val="minor"/>
      </rPr>
      <t>1,ult,jb</t>
    </r>
  </si>
  <si>
    <t>6. Condición de esquina:</t>
  </si>
  <si>
    <t>Carga Estática Última Requerida para esquinas entre paneles</t>
  </si>
  <si>
    <r>
      <t>Q</t>
    </r>
    <r>
      <rPr>
        <i/>
        <vertAlign val="subscript"/>
        <sz val="10"/>
        <color theme="1"/>
        <rFont val="Calibri"/>
        <family val="2"/>
        <scheme val="minor"/>
      </rPr>
      <t>1,ult,ep</t>
    </r>
  </si>
  <si>
    <r>
      <t>P</t>
    </r>
    <r>
      <rPr>
        <i/>
        <vertAlign val="subscript"/>
        <sz val="10"/>
        <color theme="1"/>
        <rFont val="Calibri"/>
        <family val="2"/>
        <scheme val="minor"/>
      </rPr>
      <t>u,7</t>
    </r>
  </si>
  <si>
    <r>
      <t>P</t>
    </r>
    <r>
      <rPr>
        <i/>
        <vertAlign val="subscript"/>
        <sz val="10"/>
        <color theme="1"/>
        <rFont val="Calibri"/>
        <family val="2"/>
        <scheme val="minor"/>
      </rPr>
      <t>u,8</t>
    </r>
  </si>
  <si>
    <r>
      <t>P</t>
    </r>
    <r>
      <rPr>
        <i/>
        <vertAlign val="subscript"/>
        <sz val="10"/>
        <color theme="1"/>
        <rFont val="Calibri"/>
        <family val="2"/>
        <scheme val="minor"/>
      </rPr>
      <t>u,9</t>
    </r>
  </si>
  <si>
    <t>Índice de Capacidad para esquinas entre paneles</t>
  </si>
  <si>
    <r>
      <t>P</t>
    </r>
    <r>
      <rPr>
        <i/>
        <vertAlign val="subscript"/>
        <sz val="10"/>
        <color theme="1"/>
        <rFont val="Calibri"/>
        <family val="2"/>
        <scheme val="minor"/>
      </rPr>
      <t>u,9</t>
    </r>
    <r>
      <rPr>
        <i/>
        <sz val="10"/>
        <color theme="1"/>
        <rFont val="Calibri"/>
        <family val="2"/>
        <scheme val="minor"/>
      </rPr>
      <t>/Q1,ult,ep</t>
    </r>
  </si>
  <si>
    <t>Índice de Capacidad a Perforación por cargas esquina</t>
  </si>
  <si>
    <r>
      <t>P</t>
    </r>
    <r>
      <rPr>
        <vertAlign val="subscript"/>
        <sz val="11"/>
        <color theme="1"/>
        <rFont val="Calibri"/>
        <family val="2"/>
        <scheme val="minor"/>
      </rPr>
      <t>p,max4</t>
    </r>
    <r>
      <rPr>
        <sz val="11"/>
        <color theme="1"/>
        <rFont val="Calibri"/>
        <family val="2"/>
        <scheme val="minor"/>
      </rPr>
      <t>/Q</t>
    </r>
    <r>
      <rPr>
        <vertAlign val="subscript"/>
        <sz val="11"/>
        <color theme="1"/>
        <rFont val="Calibri"/>
        <family val="2"/>
        <scheme val="minor"/>
      </rPr>
      <t>1,ep</t>
    </r>
  </si>
  <si>
    <t>Índice de Capacidad a Perforación por cargas de esquina en perímetro crítico</t>
  </si>
  <si>
    <r>
      <t>P</t>
    </r>
    <r>
      <rPr>
        <vertAlign val="subscript"/>
        <sz val="10"/>
        <color theme="1"/>
        <rFont val="Calibri"/>
        <family val="2"/>
        <scheme val="minor"/>
      </rPr>
      <t>p,max8</t>
    </r>
    <r>
      <rPr>
        <sz val="10"/>
        <color theme="1"/>
        <rFont val="Calibri"/>
        <family val="2"/>
        <scheme val="minor"/>
      </rPr>
      <t>/Q</t>
    </r>
    <r>
      <rPr>
        <vertAlign val="subscript"/>
        <sz val="10"/>
        <color theme="1"/>
        <rFont val="Calibri"/>
        <family val="2"/>
        <scheme val="minor"/>
      </rPr>
      <t>1,ult,ep</t>
    </r>
  </si>
  <si>
    <t>Separación centro a centro entre postes de estanterias contiguas</t>
  </si>
  <si>
    <t>Z =</t>
  </si>
  <si>
    <t>Área de contacto equivalente combinada</t>
  </si>
  <si>
    <r>
      <t>A</t>
    </r>
    <r>
      <rPr>
        <i/>
        <vertAlign val="subscript"/>
        <sz val="12"/>
        <color theme="1"/>
        <rFont val="Calibri"/>
        <family val="2"/>
        <scheme val="minor"/>
      </rPr>
      <t>comb</t>
    </r>
  </si>
  <si>
    <t>Radio del área de contacto equivalente para el área combinada</t>
  </si>
  <si>
    <r>
      <t>a</t>
    </r>
    <r>
      <rPr>
        <i/>
        <vertAlign val="subscript"/>
        <sz val="12"/>
        <color theme="1"/>
        <rFont val="Calibri"/>
        <family val="2"/>
        <scheme val="minor"/>
      </rPr>
      <t>equiv</t>
    </r>
  </si>
  <si>
    <r>
      <t>P</t>
    </r>
    <r>
      <rPr>
        <vertAlign val="subscript"/>
        <sz val="11"/>
        <color theme="1"/>
        <rFont val="Calibri"/>
        <family val="2"/>
        <scheme val="minor"/>
      </rPr>
      <t>p,max4</t>
    </r>
    <r>
      <rPr>
        <sz val="11"/>
        <color theme="1"/>
        <rFont val="Calibri"/>
        <family val="2"/>
        <scheme val="minor"/>
      </rPr>
      <t>/Q</t>
    </r>
    <r>
      <rPr>
        <vertAlign val="subscript"/>
        <sz val="11"/>
        <color theme="1"/>
        <rFont val="Calibri"/>
        <family val="2"/>
        <scheme val="minor"/>
      </rPr>
      <t>1,ult,ep</t>
    </r>
  </si>
  <si>
    <t>Presión de Inflado</t>
  </si>
  <si>
    <r>
      <t>q</t>
    </r>
    <r>
      <rPr>
        <i/>
        <vertAlign val="subscript"/>
        <sz val="14"/>
        <color theme="1"/>
        <rFont val="Calibri"/>
        <family val="2"/>
        <scheme val="minor"/>
      </rPr>
      <t>1</t>
    </r>
  </si>
  <si>
    <t>kPa</t>
  </si>
  <si>
    <t>Longitud del perímetro en la cara del área cargada (caso borde)</t>
  </si>
  <si>
    <r>
      <t>P</t>
    </r>
    <r>
      <rPr>
        <vertAlign val="subscript"/>
        <sz val="10"/>
        <color theme="1"/>
        <rFont val="Calibri"/>
        <family val="2"/>
        <scheme val="minor"/>
      </rPr>
      <t>p,max4</t>
    </r>
    <r>
      <rPr>
        <sz val="10"/>
        <color theme="1"/>
        <rFont val="Calibri"/>
        <family val="2"/>
        <scheme val="minor"/>
      </rPr>
      <t>/Q</t>
    </r>
    <r>
      <rPr>
        <vertAlign val="subscript"/>
        <sz val="10"/>
        <color theme="1"/>
        <rFont val="Calibri"/>
        <family val="2"/>
        <scheme val="minor"/>
      </rPr>
      <t>1,ult,ep</t>
    </r>
  </si>
  <si>
    <t>FS_Borde</t>
  </si>
  <si>
    <t>FS_Interno</t>
  </si>
  <si>
    <t>FS_Esquina</t>
  </si>
  <si>
    <t>Descripción del Proyecto:</t>
  </si>
  <si>
    <r>
      <t>Diseño de Pisos Industriales (Carga Estantería Individual) Según Reporte Técnico TR34 - Concrete Industrial Ground Floors: A guide to Design and Construction, 3</t>
    </r>
    <r>
      <rPr>
        <b/>
        <u/>
        <vertAlign val="superscript"/>
        <sz val="14"/>
        <color theme="1"/>
        <rFont val="Calibri"/>
        <family val="2"/>
        <scheme val="minor"/>
      </rPr>
      <t>ra</t>
    </r>
    <r>
      <rPr>
        <b/>
        <sz val="14"/>
        <color theme="1"/>
        <rFont val="Calibri"/>
        <family val="2"/>
        <scheme val="minor"/>
      </rPr>
      <t xml:space="preserve"> Edición, Concrete Society, UK  </t>
    </r>
  </si>
  <si>
    <r>
      <t>Diseño de Pisos Industriales (Carga Estanterías Contiguas) Según Reporte Técnico TR34 - Concrete Industrial Ground Floors: A guide to Design and Construction, 3</t>
    </r>
    <r>
      <rPr>
        <b/>
        <u/>
        <vertAlign val="superscript"/>
        <sz val="14"/>
        <color theme="1"/>
        <rFont val="Calibri"/>
        <family val="2"/>
        <scheme val="minor"/>
      </rPr>
      <t>ra</t>
    </r>
    <r>
      <rPr>
        <b/>
        <sz val="14"/>
        <color theme="1"/>
        <rFont val="Calibri"/>
        <family val="2"/>
        <scheme val="minor"/>
      </rPr>
      <t xml:space="preserve"> Edición, Concrete Society, UK  </t>
    </r>
  </si>
  <si>
    <r>
      <t>Diseño de Pisos Industriales (Carga Montacargas) Según Reporte Técnico TR34 - Concrete Industrial Ground Floors: A guide to Design and Construction, 3</t>
    </r>
    <r>
      <rPr>
        <b/>
        <u/>
        <vertAlign val="superscript"/>
        <sz val="14"/>
        <color theme="1"/>
        <rFont val="Calibri"/>
        <family val="2"/>
        <scheme val="minor"/>
      </rPr>
      <t>ra</t>
    </r>
    <r>
      <rPr>
        <b/>
        <sz val="14"/>
        <color theme="1"/>
        <rFont val="Calibri"/>
        <family val="2"/>
        <scheme val="minor"/>
      </rPr>
      <t xml:space="preserve"> Edición, Concrete Society, UK  </t>
    </r>
  </si>
  <si>
    <t>Categoría de Eje de Carga</t>
  </si>
  <si>
    <t>Descripción</t>
  </si>
  <si>
    <t>Tránsito</t>
  </si>
  <si>
    <t>Cargas Máximas de Eje, Kips</t>
  </si>
  <si>
    <t>Soporte</t>
  </si>
  <si>
    <t>Tipo de Suelo</t>
  </si>
  <si>
    <t>Valores de k (pci)</t>
  </si>
  <si>
    <t>Valores de k (Mpa/m)</t>
  </si>
  <si>
    <t>Valores de CBR (%)</t>
  </si>
  <si>
    <t>Valor medio de k (pci)</t>
  </si>
  <si>
    <t>Valor definicion de k (pci)</t>
  </si>
  <si>
    <t>Tránsito Diario Promedio</t>
  </si>
  <si>
    <t>Tránsito Díario Promedio de Camiones</t>
  </si>
  <si>
    <t>Tránsito de Camiones en 20 Años</t>
  </si>
  <si>
    <t>Por día</t>
  </si>
  <si>
    <t>Ejes Sencillos</t>
  </si>
  <si>
    <t>Ejes Tandem</t>
  </si>
  <si>
    <t>Bajo</t>
  </si>
  <si>
    <t>Suelos de grano fino en los cuales las particulas predominantes son limos y arcillas</t>
  </si>
  <si>
    <t>Hasta 120</t>
  </si>
  <si>
    <t>Hasta 32.6</t>
  </si>
  <si>
    <t>Hasta 6.3</t>
  </si>
  <si>
    <t>TB_1</t>
  </si>
  <si>
    <t>TDPC ADMISIBLE</t>
  </si>
  <si>
    <t>espesor losa</t>
  </si>
  <si>
    <t>TB_4</t>
  </si>
  <si>
    <t>Código verificación</t>
  </si>
  <si>
    <t>CATEGORÍA</t>
  </si>
  <si>
    <t>CONDICIÓN DE JUNTA</t>
  </si>
  <si>
    <t>CONDICIÓN DE BORDE</t>
  </si>
  <si>
    <t>TIPO DE SOPORTE</t>
  </si>
  <si>
    <t>MR (pci)</t>
  </si>
  <si>
    <t>Número</t>
  </si>
  <si>
    <t>Categoría 1</t>
  </si>
  <si>
    <t>Calles residenciales, vías rurales y secundarias (bajo a medio)</t>
  </si>
  <si>
    <t>200 -800</t>
  </si>
  <si>
    <t>1 - 3</t>
  </si>
  <si>
    <t>hasta 25</t>
  </si>
  <si>
    <t>Medio</t>
  </si>
  <si>
    <t>Arenas y mezclas arena-grava con cantidades moderadas de limos y arcillas</t>
  </si>
  <si>
    <t>130 - 170</t>
  </si>
  <si>
    <t>35.3 - 46.2</t>
  </si>
  <si>
    <t>7.0 - 9.8</t>
  </si>
  <si>
    <t>TB_7</t>
  </si>
  <si>
    <t>TB_10</t>
  </si>
  <si>
    <t>TB_13</t>
  </si>
  <si>
    <t>TB_16</t>
  </si>
  <si>
    <t>1. Defina el Tránsito Diario Promedio de Camiones (tdpc)</t>
  </si>
  <si>
    <t>Categoría 2</t>
  </si>
  <si>
    <t>Calles colectoras, vías rurales y secundarias (alto), vías arteria y vías primarias (bajo)</t>
  </si>
  <si>
    <t>700 -5000</t>
  </si>
  <si>
    <t>5 - 18</t>
  </si>
  <si>
    <t>40 - 1000</t>
  </si>
  <si>
    <t>292,000 - 7,300,000</t>
  </si>
  <si>
    <t>Alto</t>
  </si>
  <si>
    <t>Arenas y mezclas arena-grava relativamente libres de finos plásticos</t>
  </si>
  <si>
    <t>180 - 220</t>
  </si>
  <si>
    <t>48.9 - 59.8</t>
  </si>
  <si>
    <t>10.6 - 13.7</t>
  </si>
  <si>
    <t>Categoría 3</t>
  </si>
  <si>
    <t>Vías arteria y vías primarias (medio), Autopistas, vías nacionales rurales y urbanas (bajo a medio)</t>
  </si>
  <si>
    <t>3000 -12000 dos carriles                  3000 - 50000+  4 carriles o más</t>
  </si>
  <si>
    <t>8 - 30</t>
  </si>
  <si>
    <t>300 - 5000</t>
  </si>
  <si>
    <t>2,190,000 - 36,500,000</t>
  </si>
  <si>
    <t>Muy Alto</t>
  </si>
  <si>
    <t>Bases tratadas con cemento</t>
  </si>
  <si>
    <t>250 - 400</t>
  </si>
  <si>
    <t>67.9 - 108.6</t>
  </si>
  <si>
    <t>16.1 - 29.5</t>
  </si>
  <si>
    <t>Categoría 4</t>
  </si>
  <si>
    <t>Vías arteria, vías primarias, Autopistas (alto), vías nacionales rurales y urbanas (medio a alto)</t>
  </si>
  <si>
    <t>3000 -20000 dos carriles                  3000 - 150000+  4 carriles o más</t>
  </si>
  <si>
    <t>1500 - 8000+</t>
  </si>
  <si>
    <t>10,950,000 - 58,400,000</t>
  </si>
  <si>
    <t>*  La descripción alto, medio, o bajo se refiere a los pesos relativos de cargas de eje para el tipo de calle o vía, es decir, "bajo" para una vía nacional rural representa cargas mayores a "bajo" para una vía secundaria</t>
  </si>
  <si>
    <t>Condiciones de soporte en subrasante</t>
  </si>
  <si>
    <t>2. Seleccione la categoría de carga de eje</t>
  </si>
  <si>
    <t>Sin Mejoramiento</t>
  </si>
  <si>
    <t>TB_2</t>
  </si>
  <si>
    <t>TB_5</t>
  </si>
  <si>
    <t>**  Camiones - caminones de dos ejes y cuatro llantas están excluidos</t>
  </si>
  <si>
    <t>Subbase no tratada</t>
  </si>
  <si>
    <t>TB_8</t>
  </si>
  <si>
    <t>TB_11</t>
  </si>
  <si>
    <t>TB_14</t>
  </si>
  <si>
    <t>TB_17</t>
  </si>
  <si>
    <t>Subbase tratada con cemento</t>
  </si>
  <si>
    <t>Condición de Junta</t>
  </si>
  <si>
    <t>TB_3</t>
  </si>
  <si>
    <t>TB_6</t>
  </si>
  <si>
    <t>Tránsito Díario Promedio de Camiones (TDPC)</t>
  </si>
  <si>
    <t>Sin Dovelas</t>
  </si>
  <si>
    <t>TB_9</t>
  </si>
  <si>
    <t>TB_12</t>
  </si>
  <si>
    <t>TB_15</t>
  </si>
  <si>
    <t>TB_18</t>
  </si>
  <si>
    <t>Condición de Borde</t>
  </si>
  <si>
    <t>3. Seleccione las Características de Soporte de La Estructura de Pavimento</t>
  </si>
  <si>
    <t>Sin Berma</t>
  </si>
  <si>
    <t>Con Berma</t>
  </si>
  <si>
    <t>Condición de Refuerzo</t>
  </si>
  <si>
    <r>
      <t>Valores Aproximados del Módulo de Reacción (</t>
    </r>
    <r>
      <rPr>
        <i/>
        <sz val="14"/>
        <color theme="1"/>
        <rFont val="Calibri"/>
        <family val="2"/>
        <charset val="2"/>
        <scheme val="minor"/>
      </rPr>
      <t>k</t>
    </r>
    <r>
      <rPr>
        <sz val="14"/>
        <color theme="1"/>
        <rFont val="Calibri"/>
        <family val="2"/>
        <charset val="2"/>
        <scheme val="minor"/>
      </rPr>
      <t>) en pci</t>
    </r>
  </si>
  <si>
    <t>ESPESOR LOSA</t>
  </si>
  <si>
    <t>TB_19</t>
  </si>
  <si>
    <t>TB_22</t>
  </si>
  <si>
    <t>TB_25</t>
  </si>
  <si>
    <t>TB_28</t>
  </si>
  <si>
    <t>TB_31</t>
  </si>
  <si>
    <t>TB_34</t>
  </si>
  <si>
    <t>TB_37</t>
  </si>
  <si>
    <t>TB_40</t>
  </si>
  <si>
    <t>Sin Refuerzo</t>
  </si>
  <si>
    <r>
      <t>Valores Aproximados del Módulo de Reacción (</t>
    </r>
    <r>
      <rPr>
        <i/>
        <sz val="14"/>
        <color theme="1"/>
        <rFont val="Calibri"/>
        <family val="2"/>
        <charset val="2"/>
        <scheme val="minor"/>
      </rPr>
      <t>k</t>
    </r>
    <r>
      <rPr>
        <sz val="14"/>
        <color theme="1"/>
        <rFont val="Calibri"/>
        <family val="2"/>
        <charset val="2"/>
        <scheme val="minor"/>
      </rPr>
      <t>) en mpa/m</t>
    </r>
  </si>
  <si>
    <t>Refuerzo con fibraplas concrete</t>
  </si>
  <si>
    <t>Módulo de Rotura del Concreto</t>
  </si>
  <si>
    <t>Valores Aproximados del CBR (%)</t>
  </si>
  <si>
    <t>TB_20</t>
  </si>
  <si>
    <t>TB_23</t>
  </si>
  <si>
    <t>TB_26</t>
  </si>
  <si>
    <t>TB_29</t>
  </si>
  <si>
    <t>TB_32</t>
  </si>
  <si>
    <t>TB_35</t>
  </si>
  <si>
    <t>TB_38</t>
  </si>
  <si>
    <t>TB_41</t>
  </si>
  <si>
    <t>4. Defina condiciones de Mejoramiento en la Subrasante</t>
  </si>
  <si>
    <t>TB_21</t>
  </si>
  <si>
    <t>TB_24</t>
  </si>
  <si>
    <t>TB_27</t>
  </si>
  <si>
    <t>TB_30</t>
  </si>
  <si>
    <t>TB_33</t>
  </si>
  <si>
    <t>TB_36</t>
  </si>
  <si>
    <t>TB_39</t>
  </si>
  <si>
    <t>TB_42</t>
  </si>
  <si>
    <t>5. Condición en las Juntas</t>
  </si>
  <si>
    <t>TB_43</t>
  </si>
  <si>
    <t>TB_46</t>
  </si>
  <si>
    <t>TB_49</t>
  </si>
  <si>
    <t>TB_52</t>
  </si>
  <si>
    <t>TB_55</t>
  </si>
  <si>
    <t>TB_58</t>
  </si>
  <si>
    <t>TB_61</t>
  </si>
  <si>
    <t>TB_64</t>
  </si>
  <si>
    <t>6. Condición de Borde</t>
  </si>
  <si>
    <t>TB_44</t>
  </si>
  <si>
    <t>TB_47</t>
  </si>
  <si>
    <t>TB_50</t>
  </si>
  <si>
    <t>TB_53</t>
  </si>
  <si>
    <t>TB_56</t>
  </si>
  <si>
    <t>TB_59</t>
  </si>
  <si>
    <t>TB_62</t>
  </si>
  <si>
    <t>TB_65</t>
  </si>
  <si>
    <t>7. Módulo de Rotura del Concreto (psi)</t>
  </si>
  <si>
    <t>TB_45</t>
  </si>
  <si>
    <t>TB_48</t>
  </si>
  <si>
    <t>TB_51</t>
  </si>
  <si>
    <t>TB_54</t>
  </si>
  <si>
    <t>TB_57</t>
  </si>
  <si>
    <t>TB_60</t>
  </si>
  <si>
    <t>TB_63</t>
  </si>
  <si>
    <t>TB_66</t>
  </si>
  <si>
    <t>8. Defina condiciones de Refuerzo con FIBRAPLAS CONCRETE</t>
  </si>
  <si>
    <t>TB_67</t>
  </si>
  <si>
    <t>TB_70</t>
  </si>
  <si>
    <t>TB_73</t>
  </si>
  <si>
    <t>TB_76</t>
  </si>
  <si>
    <t>TB_79</t>
  </si>
  <si>
    <t>TB_82</t>
  </si>
  <si>
    <t>TB_85</t>
  </si>
  <si>
    <t>TB_88</t>
  </si>
  <si>
    <t>TB_68</t>
  </si>
  <si>
    <t>TB_71</t>
  </si>
  <si>
    <t>TB_74</t>
  </si>
  <si>
    <t>TB_77</t>
  </si>
  <si>
    <t>TB_80</t>
  </si>
  <si>
    <t>TB_83</t>
  </si>
  <si>
    <t>TB_86</t>
  </si>
  <si>
    <t>TB_89</t>
  </si>
  <si>
    <t>Tránsito Diario Promedio de Camiones Admisible (TDPCA)</t>
  </si>
  <si>
    <t>TB_69</t>
  </si>
  <si>
    <t>TB_72</t>
  </si>
  <si>
    <t>TB_75</t>
  </si>
  <si>
    <t>TB_78</t>
  </si>
  <si>
    <t>TB_81</t>
  </si>
  <si>
    <t>TB_84</t>
  </si>
  <si>
    <t>TB_87</t>
  </si>
  <si>
    <t>TB_90</t>
  </si>
  <si>
    <t>Espesor Estructura de Pavimento Rígido (pulgadas)</t>
  </si>
  <si>
    <t>TB_91</t>
  </si>
  <si>
    <t>TB_94</t>
  </si>
  <si>
    <t>TB_97</t>
  </si>
  <si>
    <t>TB_100</t>
  </si>
  <si>
    <t>TB_103</t>
  </si>
  <si>
    <t>TB_106</t>
  </si>
  <si>
    <t>TB_109</t>
  </si>
  <si>
    <t>TB_112</t>
  </si>
  <si>
    <t>TB_92</t>
  </si>
  <si>
    <t>TB_95</t>
  </si>
  <si>
    <t>TB_98</t>
  </si>
  <si>
    <t>TB_101</t>
  </si>
  <si>
    <t>TB_104</t>
  </si>
  <si>
    <t>TB_107</t>
  </si>
  <si>
    <t>TB_110</t>
  </si>
  <si>
    <t>TB_113</t>
  </si>
  <si>
    <t>TB_93</t>
  </si>
  <si>
    <t>TB_96</t>
  </si>
  <si>
    <t>TB_99</t>
  </si>
  <si>
    <t>TB_102</t>
  </si>
  <si>
    <t>TB_105</t>
  </si>
  <si>
    <t>TB_108</t>
  </si>
  <si>
    <t>TB_111</t>
  </si>
  <si>
    <t>TB_114</t>
  </si>
  <si>
    <t>TB_115</t>
  </si>
  <si>
    <t>TB_118</t>
  </si>
  <si>
    <t>TB_121</t>
  </si>
  <si>
    <t>TB_124</t>
  </si>
  <si>
    <t>TB_127</t>
  </si>
  <si>
    <t>TB_130</t>
  </si>
  <si>
    <t>TB_133</t>
  </si>
  <si>
    <t>TB_136</t>
  </si>
  <si>
    <t>TB_116</t>
  </si>
  <si>
    <t>TB_119</t>
  </si>
  <si>
    <t>TB_122</t>
  </si>
  <si>
    <t>TB_125</t>
  </si>
  <si>
    <t>TB_128</t>
  </si>
  <si>
    <t>TB_131</t>
  </si>
  <si>
    <t>TB_134</t>
  </si>
  <si>
    <t>TB_137</t>
  </si>
  <si>
    <t>TB_129</t>
  </si>
  <si>
    <t>TB_132</t>
  </si>
  <si>
    <t>TB_135</t>
  </si>
  <si>
    <t>TB_138</t>
  </si>
  <si>
    <t>TB_117</t>
  </si>
  <si>
    <t>TB_120</t>
  </si>
  <si>
    <t>TB_123</t>
  </si>
  <si>
    <t>TB_126</t>
  </si>
  <si>
    <t>TB_139</t>
  </si>
  <si>
    <t>TB_142</t>
  </si>
  <si>
    <t>TB_145</t>
  </si>
  <si>
    <t>TB_148</t>
  </si>
  <si>
    <t>TB_151</t>
  </si>
  <si>
    <t>TB_154</t>
  </si>
  <si>
    <t>TB_157</t>
  </si>
  <si>
    <t>TB_160</t>
  </si>
  <si>
    <t>TB_140</t>
  </si>
  <si>
    <t>TB_143</t>
  </si>
  <si>
    <t>TB_146</t>
  </si>
  <si>
    <t>TB_149</t>
  </si>
  <si>
    <t>TB_152</t>
  </si>
  <si>
    <t>TB_155</t>
  </si>
  <si>
    <t>TB_158</t>
  </si>
  <si>
    <t>TB_161</t>
  </si>
  <si>
    <t>TB_141</t>
  </si>
  <si>
    <t>TB_144</t>
  </si>
  <si>
    <t>TB_147</t>
  </si>
  <si>
    <t>TB_150</t>
  </si>
  <si>
    <t>TB_153</t>
  </si>
  <si>
    <t>TB_156</t>
  </si>
  <si>
    <t>TB_159</t>
  </si>
  <si>
    <t>TB_162</t>
  </si>
  <si>
    <t>Diseño de Pavimentos Rígidos Según Reporte Técnico "Thickness Design for Concrete Highway and Street Pavements" de la Portland Cement Association (PCA), 1984</t>
  </si>
  <si>
    <t>Módulo Final Mejorado de Rotura del Concreto (psi):</t>
  </si>
  <si>
    <t>1. Número de Aplicaciones de la Carga del Eje Individual Equivalente en el Período de Diseño</t>
  </si>
  <si>
    <t>2. Módulo de Rotura del Concreto (psi)</t>
  </si>
  <si>
    <t>3. Módulo de Elasticidad del Concreto (psi)</t>
  </si>
  <si>
    <t>5. Módulo de Reacción (k) de Subrasante (pci)</t>
  </si>
  <si>
    <t>6. Confiabilidad (%)</t>
  </si>
  <si>
    <t>7. Desviación Estándar</t>
  </si>
  <si>
    <t>8. Coeficiente de Transferencia en Juntas</t>
  </si>
  <si>
    <t>9. Coeficiente de Drenaje</t>
  </si>
  <si>
    <t>10. Serviciabilidad Inicial</t>
  </si>
  <si>
    <t>11. Serviciabilidad Terminal</t>
  </si>
  <si>
    <t>Espesor de Diseño Estructura de Pavimento Rígido Convencional (pulgadas)</t>
  </si>
  <si>
    <t>D, pulgadas =</t>
  </si>
  <si>
    <t>D Ref, pulgadas =</t>
  </si>
  <si>
    <t>D Step =</t>
  </si>
  <si>
    <t>Ratio</t>
  </si>
  <si>
    <t>D</t>
  </si>
  <si>
    <t>PCC MR</t>
  </si>
  <si>
    <t>E</t>
  </si>
  <si>
    <t>k-value</t>
  </si>
  <si>
    <t>R</t>
  </si>
  <si>
    <t>So</t>
  </si>
  <si>
    <t>J</t>
  </si>
  <si>
    <t>Cd</t>
  </si>
  <si>
    <t>Pi</t>
  </si>
  <si>
    <t>Pt</t>
  </si>
  <si>
    <t>W18</t>
  </si>
  <si>
    <t>(W18calc/W18design)</t>
  </si>
  <si>
    <t>PCC IMR</t>
  </si>
  <si>
    <r>
      <t>4. Dosificación de FIBRAPLAS CONCRETE (kg/m</t>
    </r>
    <r>
      <rPr>
        <b/>
        <vertAlign val="superscript"/>
        <sz val="16"/>
        <color theme="1"/>
        <rFont val="Calibri"/>
        <family val="2"/>
        <scheme val="minor"/>
      </rPr>
      <t>3</t>
    </r>
    <r>
      <rPr>
        <b/>
        <sz val="16"/>
        <color theme="1"/>
        <rFont val="Calibri"/>
        <family val="2"/>
        <scheme val="minor"/>
      </rPr>
      <t>)</t>
    </r>
  </si>
  <si>
    <r>
      <t xml:space="preserve">Espesor de Diseño Estructura de Pavimento Rígido Reforzado con </t>
    </r>
    <r>
      <rPr>
        <b/>
        <sz val="16"/>
        <color rgb="FFF19861"/>
        <rFont val="Calibri"/>
        <family val="2"/>
        <scheme val="minor"/>
      </rPr>
      <t>FIBRAPLAS CONCRETE</t>
    </r>
    <r>
      <rPr>
        <b/>
        <sz val="16"/>
        <color theme="1"/>
        <rFont val="Calibri"/>
        <family val="2"/>
        <scheme val="minor"/>
      </rPr>
      <t xml:space="preserve"> (pulgadas)</t>
    </r>
  </si>
  <si>
    <t>Diseño de Pavimentos Rígidos Según Documento Técnico "Guide for Design of Pavement Structures" de AASHTO, 1993</t>
  </si>
  <si>
    <t>Espesor de liner en concreto lanzado, t</t>
  </si>
  <si>
    <t>Capacidad a Momento Flector</t>
  </si>
  <si>
    <t>N.mm</t>
  </si>
  <si>
    <r>
      <t>f</t>
    </r>
    <r>
      <rPr>
        <vertAlign val="subscript"/>
        <sz val="14"/>
        <rFont val="Calibri"/>
        <family val="2"/>
        <scheme val="minor"/>
      </rPr>
      <t>600</t>
    </r>
    <r>
      <rPr>
        <sz val="14"/>
        <rFont val="Calibri"/>
        <family val="2"/>
        <scheme val="minor"/>
      </rPr>
      <t xml:space="preserve"> Resistencia residual requerida</t>
    </r>
  </si>
  <si>
    <t>Dosificación de Fibra en Concreto Lanzado  según Documento Técnico ACI 506.1-08 (Unidades SI)</t>
  </si>
  <si>
    <t>Not Activated</t>
  </si>
  <si>
    <t>152x152 MW13.3/13.3  (6x6 W2.1/2.1)</t>
  </si>
  <si>
    <t xml:space="preserve">HERRAMIENTAS PARA EL DISEÑO DE ELEMENTOS DE CONCRETO REFORZADOS CON FIBRA SINTÉTICA FIBRAPLAS CONCRETE® </t>
  </si>
  <si>
    <t>EQUIVALENCIAS A FIBRA</t>
  </si>
  <si>
    <t>DISEÑO PISOS INDUSTRIALES</t>
  </si>
  <si>
    <t>PAVIMENTOS RIGIDOS</t>
  </si>
  <si>
    <t>OTRAS APLICACIONES</t>
  </si>
  <si>
    <t xml:space="preserve">Espesor de piso </t>
  </si>
  <si>
    <t>DEFINICIÓN PROPIEDADES BÁSICAS DEL ENTREPISO COMPUESTO</t>
  </si>
  <si>
    <t>PROPIEDADES DEL CONCRETO</t>
  </si>
  <si>
    <t>Resistencia a Flexión del concreto (MR)</t>
  </si>
  <si>
    <r>
      <t>N/mm</t>
    </r>
    <r>
      <rPr>
        <vertAlign val="superscript"/>
        <sz val="12"/>
        <color theme="1"/>
        <rFont val="Calibri"/>
        <family val="2"/>
        <scheme val="minor"/>
      </rPr>
      <t>3</t>
    </r>
  </si>
  <si>
    <t>Determinación del módulo de Rotura</t>
  </si>
  <si>
    <t>Calculado</t>
  </si>
  <si>
    <t>Definido por el usuario</t>
  </si>
  <si>
    <t>Resistencia a Compresión a los 28 días</t>
  </si>
  <si>
    <t>Módulo de Rotura</t>
  </si>
  <si>
    <t>Factor de Seguridad Global</t>
  </si>
  <si>
    <t>FS</t>
  </si>
  <si>
    <t>Factor Parcial de Seguridad para las cargas de diseño</t>
  </si>
  <si>
    <t>Factor Global de Seguridad para las cargas de diseño</t>
  </si>
  <si>
    <t>Espesor mínimo del piso (carga interna)</t>
  </si>
  <si>
    <t>Espesor mínimo del piso (carga de borde)</t>
  </si>
  <si>
    <t>Espesor mínimo del piso (carga de esquina)</t>
  </si>
  <si>
    <r>
      <rPr>
        <i/>
        <sz val="14"/>
        <color theme="1"/>
        <rFont val="Calibri"/>
        <family val="2"/>
        <scheme val="minor"/>
      </rPr>
      <t>f</t>
    </r>
    <r>
      <rPr>
        <vertAlign val="subscript"/>
        <sz val="14"/>
        <color theme="1"/>
        <rFont val="Calibri"/>
        <family val="2"/>
        <scheme val="minor"/>
      </rPr>
      <t>ctm</t>
    </r>
  </si>
  <si>
    <t>Determinación del Módulo de Rotura</t>
  </si>
  <si>
    <t>Definido por el Usuario</t>
  </si>
  <si>
    <t>Presión de Infado</t>
  </si>
  <si>
    <t>psi</t>
  </si>
  <si>
    <t>bar</t>
  </si>
  <si>
    <t xml:space="preserve">Diseño de Pisos Industriales (Carga Montacargas) Según Reporte Técnico TR34 - Concrete Industrial Ground Floors: A guide to Design and Construction, 3ra Edición, Concrete Society, UK  </t>
  </si>
  <si>
    <r>
      <t>q</t>
    </r>
    <r>
      <rPr>
        <i/>
        <vertAlign val="subscript"/>
        <sz val="14"/>
        <color theme="1"/>
        <rFont val="Calibri"/>
        <family val="2"/>
        <scheme val="minor"/>
      </rPr>
      <t>1</t>
    </r>
    <r>
      <rPr>
        <vertAlign val="subscript"/>
        <sz val="14"/>
        <color theme="1"/>
        <rFont val="Calibri"/>
        <family val="2"/>
        <scheme val="minor"/>
      </rPr>
      <t xml:space="preserve"> </t>
    </r>
    <r>
      <rPr>
        <sz val="14"/>
        <color theme="1"/>
        <rFont val="Calibri"/>
        <family val="2"/>
        <scheme val="minor"/>
      </rPr>
      <t>=</t>
    </r>
  </si>
  <si>
    <t>Carga Estática Máxima del Eje Crítico</t>
  </si>
  <si>
    <r>
      <t>S</t>
    </r>
    <r>
      <rPr>
        <i/>
        <vertAlign val="subscript"/>
        <sz val="14"/>
        <color theme="1"/>
        <rFont val="Calibri"/>
        <family val="2"/>
        <scheme val="minor"/>
      </rPr>
      <t>d</t>
    </r>
    <r>
      <rPr>
        <i/>
        <sz val="14"/>
        <color theme="1"/>
        <rFont val="Calibri"/>
        <family val="2"/>
        <scheme val="minor"/>
      </rPr>
      <t xml:space="preserve"> </t>
    </r>
    <r>
      <rPr>
        <sz val="14"/>
        <color theme="1"/>
        <rFont val="Calibri"/>
        <family val="2"/>
        <scheme val="minor"/>
      </rPr>
      <t>=</t>
    </r>
  </si>
  <si>
    <r>
      <t>Q</t>
    </r>
    <r>
      <rPr>
        <i/>
        <vertAlign val="subscript"/>
        <sz val="14"/>
        <color theme="1"/>
        <rFont val="Calibri"/>
        <family val="2"/>
        <scheme val="minor"/>
      </rPr>
      <t xml:space="preserve">1 </t>
    </r>
    <r>
      <rPr>
        <sz val="14"/>
        <color theme="1"/>
        <rFont val="Calibri"/>
        <family val="2"/>
        <scheme val="minor"/>
      </rPr>
      <t>=</t>
    </r>
  </si>
  <si>
    <r>
      <rPr>
        <i/>
        <sz val="14"/>
        <color theme="1"/>
        <rFont val="Calibri"/>
        <family val="2"/>
        <scheme val="minor"/>
      </rPr>
      <t>S</t>
    </r>
    <r>
      <rPr>
        <sz val="14"/>
        <color theme="1"/>
        <rFont val="Calibri"/>
        <family val="2"/>
        <scheme val="minor"/>
      </rPr>
      <t xml:space="preserve"> =</t>
    </r>
  </si>
  <si>
    <t>Factor de Carga</t>
  </si>
  <si>
    <t>F_Carga</t>
  </si>
  <si>
    <t>Dist. Centro Geométrico de Cargas (dual)</t>
  </si>
  <si>
    <t>Dist. Centro Geométrico de Cargas</t>
  </si>
  <si>
    <t>Caso_dual</t>
  </si>
  <si>
    <t>Con Dovelas</t>
  </si>
  <si>
    <t>TERMINOS Y CONDICIONES</t>
  </si>
  <si>
    <t xml:space="preserve">PROGRAMAS PARA EL DISEÑO DE ELEMENTOS DE CONCRETO REFORZADOS CON FIBRA SINTÉTICA FIBRAPLAS CONCRETE® </t>
  </si>
  <si>
    <t>PISOS INDUSTRIALES</t>
  </si>
  <si>
    <t>Determinar el volumen requerido de FIBRAPLAS CONCRETE® que reemplace un proyecto ya especificado con malla electrosoldada</t>
  </si>
  <si>
    <t>Con este programa usted puede :</t>
  </si>
  <si>
    <t xml:space="preserve">Determinar el espesor de un piso industrial bajo diversos tipos de carga usando una dosificación establecida de FIBRAPLAS CONCRETE® </t>
  </si>
  <si>
    <t>ENTREPISOS EN STEEL DECK</t>
  </si>
  <si>
    <t>Podrá diseñar además:</t>
  </si>
  <si>
    <t>SISTEMAS PREFABRICADOS</t>
  </si>
  <si>
    <t>ESTRUCTURAS EN CONCRETO LANZADO</t>
  </si>
  <si>
    <t xml:space="preserve">Calcular el espesor de pavimentos rígidos bajo las especificaciones PCA y AASHTO, usando FIBRAPLAS CONCRETE® </t>
  </si>
  <si>
    <t>Ringo</t>
  </si>
  <si>
    <t>Sanchez de guzman</t>
  </si>
  <si>
    <t>Fuente</t>
  </si>
  <si>
    <t>Recubrimiento superior mínimo (mm)</t>
  </si>
  <si>
    <t>Recubrimiento inferior mínimo (mm)</t>
  </si>
  <si>
    <t>Obtenido de tabla 20.6.1.3.1 ACI 318-M14</t>
  </si>
  <si>
    <t>Tipo de Malla Electrosoldada capa 1</t>
  </si>
  <si>
    <t>Tipo de Malla Electrosoldada capa 2</t>
  </si>
  <si>
    <r>
      <t xml:space="preserve">Diámetro de barra (capa 1), </t>
    </r>
    <r>
      <rPr>
        <sz val="14"/>
        <rFont val="Symbol"/>
        <family val="1"/>
        <charset val="2"/>
      </rPr>
      <t>f</t>
    </r>
  </si>
  <si>
    <t>Espaciamento mínimo entre barras (capa 1), s</t>
  </si>
  <si>
    <r>
      <t xml:space="preserve">Diámetro de barra (capa 2), </t>
    </r>
    <r>
      <rPr>
        <sz val="14"/>
        <rFont val="Symbol"/>
        <family val="1"/>
        <charset val="2"/>
      </rPr>
      <t>f</t>
    </r>
  </si>
  <si>
    <t>Espaciamento mínimo entre barras (capa 2), s</t>
  </si>
  <si>
    <t>** - Conversión de dosificación de fibra a partir del desempeño requerido según ensayo ASTM C1609</t>
  </si>
  <si>
    <t>DIACO XY-084 (R-2.1)</t>
  </si>
  <si>
    <t>DIACO XY-106 (R-3.3)</t>
  </si>
  <si>
    <t>DIACO XY-158 (R-3.2)</t>
  </si>
  <si>
    <t>DIACO XY-131 (R-3.1)</t>
  </si>
  <si>
    <t>DIACO XY-221 (R-8.1)</t>
  </si>
  <si>
    <t>DIACO XY-257 (R-6.1)</t>
  </si>
  <si>
    <t>DIACO XY-335 (R-5.3)</t>
  </si>
  <si>
    <t>DIACO XY-378 (R-5.1)</t>
  </si>
  <si>
    <t>DIACO XX-050 (Q-2.1)</t>
  </si>
  <si>
    <t>DIACO XX-063 (Q-2.2)</t>
  </si>
  <si>
    <t>DIACO XX-084 (Q-2)</t>
  </si>
  <si>
    <t>DIACO XX-106 (Q-3)</t>
  </si>
  <si>
    <t>DIACO XX-131 (Q-3.1)</t>
  </si>
  <si>
    <t>DIACO XX-158 (Q-4)</t>
  </si>
  <si>
    <t>DIACO XX-188 (Q-5)</t>
  </si>
  <si>
    <t>DIACO XX-221 (Q-6)</t>
  </si>
  <si>
    <t>DIACO XX-257 (Q-6.1)</t>
  </si>
  <si>
    <t>DIACO XX-295 (Q-7)</t>
  </si>
  <si>
    <t>DIACO XX-335 (Q-7.1)</t>
  </si>
  <si>
    <t>DIACO XX-378 (Q-8)</t>
  </si>
  <si>
    <t>Número de capas de malla a considerar</t>
  </si>
  <si>
    <t>Refuerzo Corrugado (Capa 1 dir.X)</t>
  </si>
  <si>
    <t>Refuerzo Corrugado (Capa 2 dir.X)</t>
  </si>
  <si>
    <t>Refuerzo Corrugado (Capa 1 dir.Y)</t>
  </si>
  <si>
    <t>Refuerzo Corrugado (Capa 2 dir.Y)</t>
  </si>
  <si>
    <r>
      <t xml:space="preserve">Diámetro de barra (1-X), </t>
    </r>
    <r>
      <rPr>
        <sz val="14"/>
        <rFont val="Symbol"/>
        <family val="1"/>
        <charset val="2"/>
      </rPr>
      <t>f1</t>
    </r>
  </si>
  <si>
    <r>
      <t xml:space="preserve">Diámetro de barra (1-Y), </t>
    </r>
    <r>
      <rPr>
        <sz val="14"/>
        <rFont val="Symbol"/>
        <family val="1"/>
        <charset val="2"/>
      </rPr>
      <t>f2</t>
    </r>
  </si>
  <si>
    <r>
      <t xml:space="preserve">Diámetro de barra (2-X), </t>
    </r>
    <r>
      <rPr>
        <sz val="14"/>
        <rFont val="Symbol"/>
        <family val="1"/>
        <charset val="2"/>
      </rPr>
      <t>f3</t>
    </r>
  </si>
  <si>
    <r>
      <t xml:space="preserve">Diámetro de barra (2-Y), </t>
    </r>
    <r>
      <rPr>
        <sz val="14"/>
        <rFont val="Symbol"/>
        <family val="1"/>
        <charset val="2"/>
      </rPr>
      <t>f4</t>
    </r>
  </si>
  <si>
    <t>Espaciamento entre barras, 1-X</t>
  </si>
  <si>
    <t>Espaciamento entre barras, 2-X</t>
  </si>
  <si>
    <t>Espaciamento entre barras, 1-Y</t>
  </si>
  <si>
    <t>Espaciamento entre barras, 2-Y</t>
  </si>
  <si>
    <t>#2  (1/4") (M6)</t>
  </si>
  <si>
    <t>#3  (3/8") (M9)</t>
  </si>
  <si>
    <t>#4  (1/2") (M13)</t>
  </si>
  <si>
    <t>#5  (5/8") (M16)</t>
  </si>
  <si>
    <t>#6  (3/4") (M19)</t>
  </si>
  <si>
    <t>#7  (7/8") (M22)</t>
  </si>
  <si>
    <t>#8   (1") (M25)</t>
  </si>
  <si>
    <t>#9 (1 1/8") (M29)</t>
  </si>
  <si>
    <t>#10 (1 1/4") (M32)</t>
  </si>
  <si>
    <t>#11 (1 3/8") (M35)</t>
  </si>
  <si>
    <t>Mpa/m</t>
  </si>
  <si>
    <r>
      <t xml:space="preserve">NOTA: Esta herramienta </t>
    </r>
    <r>
      <rPr>
        <b/>
        <sz val="12"/>
        <color rgb="FFFF0000"/>
        <rFont val="Calibri"/>
        <family val="2"/>
        <scheme val="minor"/>
      </rPr>
      <t>NO</t>
    </r>
    <r>
      <rPr>
        <sz val="12"/>
        <rFont val="Calibri"/>
        <family val="2"/>
        <scheme val="minor"/>
      </rPr>
      <t xml:space="preserve"> fue desarrollada para reemplazar el refuerzo principal de muros en concreto reforzado.  Esta herramienta contempla elementos prefabricados de pared delgada principalmente.  Para casos especiales (reemplazar acero de refuerzo mínimo usado para control de retracción por FIBRAPLAS CONCRETE en muros en concreto reforzado o Box Culverts) comuníquese con el área técnica de ECOPLAS S.AS.</t>
    </r>
  </si>
  <si>
    <t>Refuerzo corrugado</t>
  </si>
  <si>
    <t>Resistencia a Flexión del concreto</t>
  </si>
  <si>
    <t>ESTE PROGRAMA ASI COMO LA MARCA FIBRAPLAS CONCRETE® SON DE USO EXCLUSIVO DE LA EMPRESA COLOMBIANA DEL PLASTICO S.A.S.</t>
  </si>
  <si>
    <t>Dosificación de Fibraplas concrete (kg/m3)</t>
  </si>
  <si>
    <t>Espesor de la subbase de mejoramiento (pulgadas)</t>
  </si>
  <si>
    <t>Característica Final Mejorada de Soporte:</t>
  </si>
  <si>
    <t>Proyecto Numero 51</t>
  </si>
  <si>
    <t>Algunas de las hojas de cálculo contenidas en este archivo contienen Macros.  Por lo tanto, es necesario activar el uso de macros en su versión de Microsoft Excel.  Esta herramienta fue desarrollada para trabajar bajo sistema operativo WINDOWS y fue desarrollada exclusivamente para la EMPRESA COLOMBIANA DEL PLASTICO S.A.S.  Esta es una licencia individual y no puede ser distribuida sin previa autorización de EMPRESA COLOMBIANA DEL PLASTICO S.A.S.  En ningún evento EMPRESA COLOMBIANA DEL PLASTICO S.A.S se hace responsable por daños especiales, incidentales o derivados del uso de estas hojas de cálculo. EMPRESA COLOMBIANA DEL PLASTICO S.A.S no toma ninguna responsabilidad por el uso de estas hojas de cálculo y no garantiza que estén libres de errores. No se permite la decompilación, el uso de ingeniería inversa, o el desbloqueo de estas hojas de cálculo. Al usar estas herramientas usted comprende y acepta los términos y condiciones.  También reconoce que no es el propietario de estas hojas de cálculo.</t>
  </si>
  <si>
    <t>Algunas de las hojas de cálculo contenidas en este archivo contienen Macros.  Por lo tanto, es necesario activar el uso de macros en su versión de Microsoft Excel.  Esta herramienta fue desarrollada para trabajar bajo sistema operativo WINDOWS y fue desarrollada exclusivamente para la EMPRESA COLOMBIANA DEL PLÁSTICO S.A.S. Esta es una licencia individual y no puede ser distribuida sin previa autorización de EMPRESA COLOMBIANA DEL PLÁSTICO S.A.S.  En ningún evento EMPRESA COLOMBIANA DEL PLÁSTICO S.A.S. se hace responsable por daños especiales, incidentales o derivados del uso de estas hojas de cálculo. EMPRESA COLOMBIANA DEL PLÁSTICO S.A.S. no toma ninguna responsabilidad por el uso de estas hojas de cálculo y no garantiza que estén libres de errores. No se permite la decompilación, el uso de ingeniería inversa, o el desbloqueo de estas hojas de cálculo. Al usar estas herramientas usted comprende y acepta los términos y condiciones.  También reconoce que no es el propietario de estas hojas de cálculo.</t>
  </si>
  <si>
    <t>VERSIÓN 1.9</t>
  </si>
  <si>
    <t>Conversión Dosificación Fibra Metálica a Dosificación Fibraplas Concrete</t>
  </si>
  <si>
    <t>Relación de aspecto de la fibra metálica</t>
  </si>
  <si>
    <t>Resistencia a compresión del concreto</t>
  </si>
  <si>
    <t>Dosificación fibra metálica</t>
  </si>
  <si>
    <r>
      <t>kg/m</t>
    </r>
    <r>
      <rPr>
        <vertAlign val="superscript"/>
        <sz val="14"/>
        <rFont val="Calibri"/>
        <family val="2"/>
        <scheme val="minor"/>
      </rPr>
      <t>3</t>
    </r>
  </si>
  <si>
    <t>Dosificación equivalente de FIBRAPLAS CONCRETE:</t>
  </si>
  <si>
    <t>Re_3_fm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</si>
</sst>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_);_(&quot;$&quot;* \(#,##0\);_(&quot;$&quot;* &quot;-&quot;_);_(@_)"/>
    <numFmt numFmtId="165" formatCode="0.0"/>
    <numFmt numFmtId="166" formatCode="0.000"/>
    <numFmt numFmtId="167" formatCode="0.000000"/>
    <numFmt numFmtId="168" formatCode="0.00000"/>
    <numFmt numFmtId="169" formatCode="0.0000"/>
    <numFmt numFmtId="170" formatCode="#,##0.0"/>
  </numFmts>
  <fonts count="124">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sz val="10"/>
      <name val="Arial"/>
      <family val="2"/>
    </font>
    <font>
      <sz val="10"/>
      <name val="Calibri"/>
      <family val="2"/>
      <scheme val="minor"/>
    </font>
    <font>
      <b/>
      <sz val="22"/>
      <name val="Calibri"/>
      <family val="2"/>
      <scheme val="minor"/>
    </font>
    <font>
      <b/>
      <sz val="18"/>
      <name val="Calibri"/>
      <family val="2"/>
      <scheme val="minor"/>
    </font>
    <font>
      <b/>
      <sz val="14"/>
      <name val="Calibri"/>
      <family val="2"/>
      <scheme val="minor"/>
    </font>
    <font>
      <sz val="14"/>
      <name val="Calibri"/>
      <family val="2"/>
      <scheme val="minor"/>
    </font>
    <font>
      <sz val="16"/>
      <name val="Calibri"/>
      <family val="2"/>
      <scheme val="minor"/>
    </font>
    <font>
      <sz val="14"/>
      <name val="Symbol"/>
      <family val="1"/>
      <charset val="2"/>
    </font>
    <font>
      <vertAlign val="subscript"/>
      <sz val="10"/>
      <name val="Calibri"/>
      <family val="2"/>
      <scheme val="minor"/>
    </font>
    <font>
      <vertAlign val="superscript"/>
      <sz val="14"/>
      <name val="Calibri"/>
      <family val="2"/>
      <scheme val="minor"/>
    </font>
    <font>
      <vertAlign val="subscript"/>
      <sz val="14"/>
      <name val="Calibri"/>
      <family val="2"/>
      <scheme val="minor"/>
    </font>
    <font>
      <b/>
      <sz val="12"/>
      <name val="Calibri"/>
      <family val="2"/>
      <scheme val="minor"/>
    </font>
    <font>
      <b/>
      <sz val="16"/>
      <name val="Calibri"/>
      <family val="2"/>
      <scheme val="minor"/>
    </font>
    <font>
      <b/>
      <u/>
      <sz val="16"/>
      <name val="Calibri"/>
      <family val="2"/>
      <scheme val="minor"/>
    </font>
    <font>
      <b/>
      <u/>
      <vertAlign val="superscript"/>
      <sz val="16"/>
      <name val="Calibri"/>
      <family val="2"/>
      <scheme val="minor"/>
    </font>
    <font>
      <b/>
      <sz val="10"/>
      <name val="Calibri"/>
      <family val="2"/>
      <scheme val="minor"/>
    </font>
    <font>
      <b/>
      <sz val="10"/>
      <name val="Arial"/>
      <family val="2"/>
    </font>
    <font>
      <b/>
      <vertAlign val="superscript"/>
      <sz val="10"/>
      <name val="Arial"/>
      <family val="2"/>
    </font>
    <font>
      <sz val="11"/>
      <color rgb="FFFF0000"/>
      <name val="Arial"/>
      <family val="2"/>
    </font>
    <font>
      <sz val="12"/>
      <color rgb="FF3F3F76"/>
      <name val="Calibri"/>
      <family val="2"/>
      <scheme val="minor"/>
    </font>
    <font>
      <b/>
      <sz val="8"/>
      <name val="Arial"/>
      <family val="2"/>
    </font>
    <font>
      <b/>
      <vertAlign val="superscript"/>
      <sz val="8"/>
      <name val="Arial"/>
      <family val="2"/>
    </font>
    <font>
      <i/>
      <sz val="14"/>
      <name val="Calibri"/>
      <family val="2"/>
      <scheme val="minor"/>
    </font>
    <font>
      <b/>
      <u/>
      <sz val="14"/>
      <name val="Calibri"/>
      <family val="2"/>
      <scheme val="minor"/>
    </font>
    <font>
      <sz val="10"/>
      <name val="Arial"/>
      <family val="2"/>
    </font>
    <font>
      <i/>
      <sz val="16"/>
      <name val="Calibri"/>
      <family val="2"/>
      <scheme val="minor"/>
    </font>
    <font>
      <b/>
      <sz val="9"/>
      <color indexed="81"/>
      <name val="Tahoma"/>
      <family val="2"/>
    </font>
    <font>
      <b/>
      <sz val="14"/>
      <color rgb="FF3F3F3F"/>
      <name val="Calibri"/>
      <family val="2"/>
      <scheme val="minor"/>
    </font>
    <font>
      <sz val="14"/>
      <color rgb="FF3F3F76"/>
      <name val="Calibri"/>
      <family val="2"/>
      <scheme val="minor"/>
    </font>
    <font>
      <b/>
      <i/>
      <u/>
      <sz val="14"/>
      <color theme="1"/>
      <name val="Calibri"/>
      <family val="2"/>
      <scheme val="minor"/>
    </font>
    <font>
      <b/>
      <i/>
      <u/>
      <sz val="18"/>
      <color theme="1"/>
      <name val="Calibri"/>
      <family val="2"/>
      <scheme val="minor"/>
    </font>
    <font>
      <b/>
      <i/>
      <sz val="12"/>
      <color theme="1"/>
      <name val="Calibri"/>
      <family val="2"/>
      <scheme val="minor"/>
    </font>
    <font>
      <b/>
      <u/>
      <sz val="16"/>
      <color theme="1"/>
      <name val="Calibri"/>
      <family val="2"/>
      <scheme val="minor"/>
    </font>
    <font>
      <i/>
      <sz val="12"/>
      <color theme="1"/>
      <name val="Calibri"/>
      <family val="2"/>
      <scheme val="minor"/>
    </font>
    <font>
      <b/>
      <u/>
      <sz val="14"/>
      <color theme="1"/>
      <name val="Calibri"/>
      <family val="2"/>
      <scheme val="minor"/>
    </font>
    <font>
      <i/>
      <sz val="14"/>
      <color theme="1"/>
      <name val="Calibri"/>
      <family val="2"/>
      <scheme val="minor"/>
    </font>
    <font>
      <vertAlign val="superscript"/>
      <sz val="12"/>
      <color theme="1"/>
      <name val="Calibri"/>
      <family val="2"/>
      <scheme val="minor"/>
    </font>
    <font>
      <vertAlign val="subscript"/>
      <sz val="12"/>
      <color theme="1"/>
      <name val="Calibri"/>
      <family val="2"/>
      <scheme val="minor"/>
    </font>
    <font>
      <vertAlign val="superscript"/>
      <sz val="11"/>
      <color theme="1"/>
      <name val="Calibri"/>
      <family val="2"/>
      <scheme val="minor"/>
    </font>
    <font>
      <vertAlign val="subscript"/>
      <sz val="14"/>
      <color theme="1"/>
      <name val="Calibri"/>
      <family val="2"/>
      <scheme val="minor"/>
    </font>
    <font>
      <b/>
      <i/>
      <sz val="14"/>
      <color theme="1"/>
      <name val="Calibri"/>
      <family val="2"/>
      <scheme val="minor"/>
    </font>
    <font>
      <i/>
      <vertAlign val="subscript"/>
      <sz val="14"/>
      <color theme="1"/>
      <name val="Calibri"/>
      <family val="2"/>
      <scheme val="minor"/>
    </font>
    <font>
      <sz val="10"/>
      <color theme="1"/>
      <name val="Calibri"/>
      <family val="2"/>
      <scheme val="minor"/>
    </font>
    <font>
      <i/>
      <vertAlign val="subscript"/>
      <sz val="12"/>
      <color theme="1"/>
      <name val="Calibri"/>
      <family val="2"/>
      <scheme val="minor"/>
    </font>
    <font>
      <i/>
      <sz val="11"/>
      <color theme="1"/>
      <name val="Calibri"/>
      <family val="2"/>
      <scheme val="minor"/>
    </font>
    <font>
      <sz val="12"/>
      <color theme="1"/>
      <name val="Symbol"/>
      <family val="1"/>
      <charset val="2"/>
    </font>
    <font>
      <i/>
      <sz val="10"/>
      <color theme="1"/>
      <name val="Calibri"/>
      <family val="2"/>
      <scheme val="minor"/>
    </font>
    <font>
      <i/>
      <vertAlign val="subscript"/>
      <sz val="10"/>
      <color theme="1"/>
      <name val="Calibri"/>
      <family val="2"/>
      <scheme val="minor"/>
    </font>
    <font>
      <b/>
      <sz val="9"/>
      <name val="Calibri"/>
      <family val="2"/>
      <scheme val="minor"/>
    </font>
    <font>
      <b/>
      <sz val="11"/>
      <name val="Calibri"/>
      <family val="2"/>
      <scheme val="minor"/>
    </font>
    <font>
      <vertAlign val="subscript"/>
      <sz val="11"/>
      <color theme="1"/>
      <name val="Calibri"/>
      <family val="2"/>
      <scheme val="minor"/>
    </font>
    <font>
      <vertAlign val="subscript"/>
      <sz val="10"/>
      <color theme="1"/>
      <name val="Calibri"/>
      <family val="2"/>
      <scheme val="minor"/>
    </font>
    <font>
      <b/>
      <u/>
      <sz val="12"/>
      <color theme="1"/>
      <name val="Calibri"/>
      <family val="2"/>
      <scheme val="minor"/>
    </font>
    <font>
      <sz val="9"/>
      <color indexed="81"/>
      <name val="Tahoma"/>
      <family val="2"/>
    </font>
    <font>
      <b/>
      <sz val="10"/>
      <color theme="1"/>
      <name val="Calibri"/>
      <family val="2"/>
      <scheme val="minor"/>
    </font>
    <font>
      <b/>
      <sz val="8"/>
      <color theme="1"/>
      <name val="Calibri"/>
      <family val="2"/>
      <scheme val="minor"/>
    </font>
    <font>
      <b/>
      <sz val="9"/>
      <color theme="1"/>
      <name val="Calibri"/>
      <family val="2"/>
      <scheme val="minor"/>
    </font>
    <font>
      <sz val="18"/>
      <color theme="3"/>
      <name val="Calibri Light"/>
      <family val="2"/>
      <scheme val="major"/>
    </font>
    <font>
      <b/>
      <u/>
      <vertAlign val="superscript"/>
      <sz val="14"/>
      <color theme="1"/>
      <name val="Calibri"/>
      <family val="2"/>
      <scheme val="minor"/>
    </font>
    <font>
      <sz val="10"/>
      <color theme="1"/>
      <name val="TechnicBold"/>
      <charset val="2"/>
    </font>
    <font>
      <b/>
      <sz val="15"/>
      <color theme="3"/>
      <name val="Calibri Light"/>
      <family val="2"/>
      <scheme val="major"/>
    </font>
    <font>
      <b/>
      <sz val="10"/>
      <color theme="3"/>
      <name val="TechnicBold"/>
      <charset val="2"/>
    </font>
    <font>
      <b/>
      <sz val="18"/>
      <color theme="3"/>
      <name val="TechnicBold"/>
      <charset val="2"/>
    </font>
    <font>
      <sz val="10"/>
      <color theme="3"/>
      <name val="Calibri Light"/>
      <family val="2"/>
      <scheme val="major"/>
    </font>
    <font>
      <i/>
      <sz val="14"/>
      <color theme="4" tint="-0.499984740745262"/>
      <name val="TechnicBold"/>
      <charset val="2"/>
    </font>
    <font>
      <i/>
      <sz val="10"/>
      <color theme="4" tint="-0.24994659260841701"/>
      <name val="TechnicBold"/>
      <charset val="2"/>
    </font>
    <font>
      <b/>
      <sz val="10"/>
      <color theme="1"/>
      <name val="TechnicBold"/>
      <charset val="2"/>
    </font>
    <font>
      <sz val="18"/>
      <color rgb="FF3F3F76"/>
      <name val="Calibri"/>
      <family val="2"/>
      <scheme val="minor"/>
    </font>
    <font>
      <sz val="10"/>
      <color rgb="FFFF0000"/>
      <name val="TechnicBold"/>
      <charset val="2"/>
    </font>
    <font>
      <sz val="14"/>
      <color theme="1"/>
      <name val="TechnicBold"/>
      <charset val="2"/>
    </font>
    <font>
      <i/>
      <sz val="14"/>
      <color theme="4" tint="-0.24994659260841701"/>
      <name val="TechnicBold"/>
      <charset val="2"/>
    </font>
    <font>
      <i/>
      <sz val="14"/>
      <color theme="1"/>
      <name val="Calibri"/>
      <family val="2"/>
      <charset val="2"/>
      <scheme val="minor"/>
    </font>
    <font>
      <sz val="14"/>
      <color theme="1"/>
      <name val="Calibri"/>
      <family val="2"/>
      <charset val="2"/>
      <scheme val="minor"/>
    </font>
    <font>
      <i/>
      <sz val="10"/>
      <color rgb="FF7F7F7F"/>
      <name val="TechnicBold"/>
      <charset val="2"/>
    </font>
    <font>
      <sz val="16"/>
      <color theme="1"/>
      <name val="TechnicBold"/>
      <charset val="2"/>
    </font>
    <font>
      <sz val="11"/>
      <color theme="1"/>
      <name val="TechnicBold"/>
      <charset val="2"/>
    </font>
    <font>
      <b/>
      <sz val="18"/>
      <color rgb="FF3F3F3F"/>
      <name val="Calibri"/>
      <family val="2"/>
      <scheme val="minor"/>
    </font>
    <font>
      <sz val="12"/>
      <color theme="1"/>
      <name val="TechnicBold"/>
      <charset val="2"/>
    </font>
    <font>
      <b/>
      <sz val="15"/>
      <color theme="3"/>
      <name val="TechnicBold"/>
      <charset val="2"/>
    </font>
    <font>
      <b/>
      <sz val="18"/>
      <color theme="3"/>
      <name val="Calibri"/>
      <family val="2"/>
      <scheme val="minor"/>
    </font>
    <font>
      <i/>
      <sz val="10"/>
      <color theme="4" tint="-0.24994659260841701"/>
      <name val="Calibri"/>
      <family val="2"/>
      <scheme val="minor"/>
    </font>
    <font>
      <sz val="16"/>
      <color theme="1"/>
      <name val="Calibri"/>
      <family val="2"/>
      <scheme val="minor"/>
    </font>
    <font>
      <b/>
      <vertAlign val="superscript"/>
      <sz val="16"/>
      <color theme="1"/>
      <name val="Calibri"/>
      <family val="2"/>
      <scheme val="minor"/>
    </font>
    <font>
      <sz val="18"/>
      <color theme="3"/>
      <name val="Calibri"/>
      <family val="2"/>
      <scheme val="minor"/>
    </font>
    <font>
      <b/>
      <sz val="16"/>
      <color rgb="FFF19861"/>
      <name val="Calibri"/>
      <family val="2"/>
      <scheme val="minor"/>
    </font>
    <font>
      <sz val="10"/>
      <color indexed="10"/>
      <name val="Calibri"/>
      <family val="2"/>
      <scheme val="minor"/>
    </font>
    <font>
      <sz val="8"/>
      <name val="Calibri"/>
      <family val="2"/>
      <scheme val="minor"/>
    </font>
    <font>
      <b/>
      <sz val="10"/>
      <color rgb="FF000000"/>
      <name val="Arial CE"/>
    </font>
    <font>
      <b/>
      <sz val="12"/>
      <color theme="1"/>
      <name val="Calibri"/>
      <family val="2"/>
      <scheme val="minor"/>
    </font>
    <font>
      <sz val="11"/>
      <color rgb="FF000000"/>
      <name val="Calibri"/>
      <family val="2"/>
    </font>
    <font>
      <sz val="14"/>
      <color rgb="FF000000"/>
      <name val="Calibri"/>
      <family val="2"/>
    </font>
    <font>
      <b/>
      <sz val="12"/>
      <color rgb="FF000000"/>
      <name val="Calibri"/>
      <family val="2"/>
    </font>
    <font>
      <b/>
      <sz val="16"/>
      <color rgb="FF000000"/>
      <name val="Calibri"/>
      <family val="2"/>
    </font>
    <font>
      <sz val="8"/>
      <color theme="1"/>
      <name val="Calibri"/>
      <family val="2"/>
      <scheme val="minor"/>
    </font>
    <font>
      <sz val="12"/>
      <color rgb="FF000000"/>
      <name val="Calibri"/>
      <family val="2"/>
    </font>
    <font>
      <sz val="12"/>
      <name val="Calibri"/>
      <family val="2"/>
      <scheme val="minor"/>
    </font>
    <font>
      <vertAlign val="superscript"/>
      <sz val="9"/>
      <color indexed="81"/>
      <name val="Tahoma"/>
      <family val="2"/>
    </font>
    <font>
      <b/>
      <sz val="14"/>
      <color rgb="FFFF0000"/>
      <name val="Calibri"/>
      <family val="2"/>
      <scheme val="minor"/>
    </font>
    <font>
      <b/>
      <sz val="11"/>
      <color rgb="FFFF0000"/>
      <name val="Calibri"/>
      <family val="2"/>
      <scheme val="minor"/>
    </font>
    <font>
      <sz val="12"/>
      <color indexed="81"/>
      <name val="Calibri"/>
      <family val="2"/>
      <scheme val="minor"/>
    </font>
    <font>
      <b/>
      <sz val="12"/>
      <color indexed="81"/>
      <name val="Calibri"/>
      <family val="2"/>
      <scheme val="minor"/>
    </font>
    <font>
      <b/>
      <u/>
      <sz val="12"/>
      <color indexed="81"/>
      <name val="Calibri"/>
      <family val="2"/>
      <scheme val="minor"/>
    </font>
    <font>
      <b/>
      <i/>
      <sz val="11"/>
      <color theme="1"/>
      <name val="Calibri"/>
      <family val="2"/>
      <scheme val="minor"/>
    </font>
    <font>
      <b/>
      <i/>
      <sz val="10"/>
      <color theme="1"/>
      <name val="Calibri"/>
      <family val="2"/>
      <scheme val="minor"/>
    </font>
    <font>
      <b/>
      <u/>
      <sz val="18"/>
      <color theme="1"/>
      <name val="Calibri"/>
      <family val="2"/>
      <scheme val="minor"/>
    </font>
    <font>
      <sz val="14"/>
      <color indexed="81"/>
      <name val="Tahoma"/>
      <family val="2"/>
    </font>
    <font>
      <sz val="10"/>
      <color rgb="FF000000"/>
      <name val="Arial CE"/>
    </font>
    <font>
      <u/>
      <sz val="11"/>
      <color theme="10"/>
      <name val="Calibri"/>
      <family val="2"/>
      <scheme val="minor"/>
    </font>
    <font>
      <b/>
      <sz val="24"/>
      <color theme="1"/>
      <name val="Calibri"/>
      <family val="2"/>
      <scheme val="minor"/>
    </font>
    <font>
      <b/>
      <sz val="10"/>
      <color rgb="FFFF6600"/>
      <name val="Calibri"/>
      <family val="2"/>
    </font>
    <font>
      <sz val="14"/>
      <color indexed="81"/>
      <name val="Calibri"/>
      <family val="2"/>
      <scheme val="minor"/>
    </font>
    <font>
      <sz val="12"/>
      <color indexed="81"/>
      <name val="Calibri Light"/>
      <family val="2"/>
      <scheme val="major"/>
    </font>
    <font>
      <b/>
      <sz val="12"/>
      <color rgb="FFFF0000"/>
      <name val="Calibri"/>
      <family val="2"/>
      <scheme val="minor"/>
    </font>
    <font>
      <b/>
      <sz val="16"/>
      <color rgb="FF3F3F3F"/>
      <name val="Calibri"/>
      <family val="2"/>
      <scheme val="minor"/>
    </font>
    <font>
      <sz val="16"/>
      <color rgb="FF3F3F76"/>
      <name val="Calibri"/>
      <family val="2"/>
      <scheme val="minor"/>
    </font>
    <font>
      <sz val="14"/>
      <color rgb="FFFF6600"/>
      <name val="Calibri"/>
      <family val="2"/>
    </font>
  </fonts>
  <fills count="15">
    <fill>
      <patternFill patternType="none"/>
    </fill>
    <fill>
      <patternFill patternType="gray125"/>
    </fill>
    <fill>
      <patternFill patternType="solid">
        <fgColor rgb="FFFFCC99"/>
      </patternFill>
    </fill>
    <fill>
      <patternFill patternType="solid">
        <fgColor rgb="FFF2F2F2"/>
      </patternFill>
    </fill>
    <fill>
      <patternFill patternType="solid">
        <fgColor rgb="FFFFFFCC"/>
      </patternFill>
    </fill>
    <fill>
      <patternFill patternType="solid">
        <fgColor rgb="FFFFC000"/>
        <bgColor indexed="64"/>
      </patternFill>
    </fill>
    <fill>
      <patternFill patternType="solid">
        <fgColor rgb="FFFF6600"/>
        <bgColor indexed="64"/>
      </patternFill>
    </fill>
    <fill>
      <patternFill patternType="solid">
        <fgColor rgb="FFE9751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B061"/>
        <bgColor indexed="64"/>
      </patternFill>
    </fill>
    <fill>
      <patternFill patternType="solid">
        <fgColor rgb="FFFFFFCC"/>
        <bgColor indexed="64"/>
      </patternFill>
    </fill>
    <fill>
      <patternFill patternType="solid">
        <fgColor theme="0" tint="-0.249977111117893"/>
        <bgColor indexed="64"/>
      </patternFill>
    </fill>
    <fill>
      <patternFill patternType="solid">
        <fgColor indexed="13"/>
        <bgColor indexed="64"/>
      </patternFill>
    </fill>
  </fills>
  <borders count="6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ck">
        <color rgb="FFFFCC99"/>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rgb="FF3F3F3F"/>
      </left>
      <right/>
      <top style="thin">
        <color rgb="FF3F3F3F"/>
      </top>
      <bottom/>
      <diagonal/>
    </border>
    <border>
      <left/>
      <right/>
      <top style="thin">
        <color rgb="FF3F3F3F"/>
      </top>
      <bottom/>
      <diagonal/>
    </border>
    <border>
      <left/>
      <right style="medium">
        <color indexed="64"/>
      </right>
      <top style="thin">
        <color rgb="FF3F3F3F"/>
      </top>
      <bottom/>
      <diagonal/>
    </border>
    <border>
      <left style="thin">
        <color rgb="FF3F3F3F"/>
      </left>
      <right/>
      <top/>
      <bottom style="thin">
        <color rgb="FF3F3F3F"/>
      </bottom>
      <diagonal/>
    </border>
    <border>
      <left/>
      <right/>
      <top/>
      <bottom style="thin">
        <color rgb="FF3F3F3F"/>
      </bottom>
      <diagonal/>
    </border>
    <border>
      <left/>
      <right style="medium">
        <color indexed="64"/>
      </right>
      <top/>
      <bottom style="thin">
        <color rgb="FF3F3F3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bottom/>
      <diagonal/>
    </border>
    <border>
      <left/>
      <right style="thin">
        <color rgb="FFB2B2B2"/>
      </right>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rgb="FF7F7F7F"/>
      </left>
      <right/>
      <top/>
      <bottom/>
      <diagonal/>
    </border>
    <border>
      <left/>
      <right style="thin">
        <color rgb="FF7F7F7F"/>
      </right>
      <top/>
      <bottom/>
      <diagonal/>
    </border>
    <border>
      <left/>
      <right style="thin">
        <color rgb="FF3F3F3F"/>
      </right>
      <top style="thin">
        <color rgb="FF3F3F3F"/>
      </top>
      <bottom/>
      <diagonal/>
    </border>
    <border>
      <left style="thin">
        <color rgb="FF3F3F3F"/>
      </left>
      <right/>
      <top/>
      <bottom/>
      <diagonal/>
    </border>
    <border>
      <left/>
      <right style="thin">
        <color rgb="FF3F3F3F"/>
      </right>
      <top/>
      <bottom/>
      <diagonal/>
    </border>
    <border>
      <left/>
      <right style="thin">
        <color rgb="FF3F3F3F"/>
      </right>
      <top/>
      <bottom style="thin">
        <color rgb="FF3F3F3F"/>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164" fontId="1" fillId="0" borderId="0" applyFont="0" applyFill="0" applyBorder="0" applyAlignment="0" applyProtection="0"/>
    <xf numFmtId="9" fontId="1" fillId="0" borderId="0" applyFont="0" applyFill="0" applyBorder="0" applyAlignment="0" applyProtection="0"/>
    <xf numFmtId="0" fontId="36" fillId="2" borderId="1" applyNumberFormat="0" applyAlignment="0">
      <protection locked="0"/>
    </xf>
    <xf numFmtId="0" fontId="35" fillId="3" borderId="2" applyNumberFormat="0" applyAlignment="0" applyProtection="0"/>
    <xf numFmtId="0" fontId="1" fillId="4" borderId="3" applyNumberFormat="0" applyFont="0" applyAlignment="0" applyProtection="0"/>
    <xf numFmtId="0" fontId="8" fillId="0" borderId="0"/>
    <xf numFmtId="0" fontId="32" fillId="0" borderId="0"/>
    <xf numFmtId="0" fontId="65" fillId="0" borderId="0" applyNumberFormat="0" applyFill="0" applyBorder="0" applyAlignment="0" applyProtection="0"/>
    <xf numFmtId="0" fontId="5" fillId="0" borderId="0"/>
    <xf numFmtId="0" fontId="68" fillId="0" borderId="16" applyNumberFormat="0" applyFill="0" applyAlignment="0" applyProtection="0"/>
    <xf numFmtId="0" fontId="72" fillId="0" borderId="0" applyNumberFormat="0" applyBorder="0" applyAlignment="0" applyProtection="0"/>
    <xf numFmtId="0" fontId="75" fillId="11" borderId="1" applyNumberFormat="0">
      <alignment horizontal="center" vertical="center"/>
      <protection locked="0"/>
    </xf>
    <xf numFmtId="0" fontId="43" fillId="12" borderId="3" applyNumberFormat="0" applyAlignment="0" applyProtection="0"/>
    <xf numFmtId="0" fontId="84" fillId="3" borderId="2" applyNumberFormat="0" applyAlignment="0" applyProtection="0"/>
    <xf numFmtId="0" fontId="85" fillId="0" borderId="0"/>
    <xf numFmtId="0" fontId="86" fillId="0" borderId="16" applyNumberFormat="0" applyFill="0" applyAlignment="0" applyProtection="0"/>
    <xf numFmtId="0" fontId="5" fillId="0" borderId="0"/>
    <xf numFmtId="0" fontId="115" fillId="0" borderId="0" applyNumberFormat="0" applyFill="0" applyBorder="0" applyAlignment="0" applyProtection="0"/>
    <xf numFmtId="0" fontId="1" fillId="0" borderId="0">
      <protection locked="0"/>
    </xf>
  </cellStyleXfs>
  <cellXfs count="568">
    <xf numFmtId="0" fontId="0" fillId="0" borderId="0" xfId="0"/>
    <xf numFmtId="0" fontId="9" fillId="7" borderId="0" xfId="6" applyFont="1" applyFill="1" applyBorder="1" applyAlignment="1" applyProtection="1">
      <alignment vertical="center"/>
    </xf>
    <xf numFmtId="0" fontId="9" fillId="0" borderId="0" xfId="6" applyFont="1" applyFill="1" applyBorder="1" applyAlignment="1" applyProtection="1">
      <alignment vertical="center"/>
      <protection hidden="1"/>
    </xf>
    <xf numFmtId="0" fontId="10" fillId="7" borderId="0" xfId="6" applyFont="1" applyFill="1" applyBorder="1" applyAlignment="1" applyProtection="1">
      <alignment vertical="center" wrapText="1"/>
    </xf>
    <xf numFmtId="0" fontId="11" fillId="7" borderId="0" xfId="6" applyFont="1" applyFill="1" applyBorder="1" applyAlignment="1" applyProtection="1">
      <alignment vertical="center" wrapText="1"/>
    </xf>
    <xf numFmtId="0" fontId="12" fillId="7" borderId="0" xfId="6" applyFont="1" applyFill="1" applyBorder="1" applyAlignment="1" applyProtection="1">
      <alignment vertical="center" wrapText="1"/>
    </xf>
    <xf numFmtId="0" fontId="12" fillId="0" borderId="0" xfId="6" applyFont="1" applyFill="1" applyBorder="1" applyAlignment="1" applyProtection="1">
      <alignment vertical="center" wrapText="1"/>
      <protection hidden="1"/>
    </xf>
    <xf numFmtId="0" fontId="9" fillId="0" borderId="0" xfId="6" applyFont="1" applyFill="1" applyBorder="1" applyAlignment="1" applyProtection="1">
      <alignment vertical="center"/>
    </xf>
    <xf numFmtId="0" fontId="9" fillId="0" borderId="0" xfId="6" applyFont="1" applyFill="1" applyBorder="1" applyAlignment="1" applyProtection="1">
      <alignment horizontal="right" vertical="center"/>
    </xf>
    <xf numFmtId="0" fontId="9" fillId="0" borderId="0" xfId="6" applyFont="1" applyBorder="1" applyAlignment="1" applyProtection="1">
      <alignment vertical="center"/>
    </xf>
    <xf numFmtId="0" fontId="13" fillId="0" borderId="0" xfId="6" applyFont="1" applyFill="1" applyBorder="1" applyAlignment="1" applyProtection="1">
      <alignment horizontal="left" vertical="center" indent="1"/>
    </xf>
    <xf numFmtId="0" fontId="13" fillId="0" borderId="0" xfId="6" applyFont="1" applyFill="1" applyBorder="1" applyAlignment="1" applyProtection="1">
      <alignment vertical="center"/>
    </xf>
    <xf numFmtId="0" fontId="13" fillId="0" borderId="5" xfId="6" applyFont="1" applyFill="1" applyBorder="1" applyAlignment="1" applyProtection="1">
      <alignment vertical="center"/>
    </xf>
    <xf numFmtId="0" fontId="9" fillId="0" borderId="0" xfId="6" applyFont="1" applyFill="1" applyBorder="1" applyAlignment="1" applyProtection="1">
      <alignment horizontal="left" vertical="center" indent="1"/>
    </xf>
    <xf numFmtId="167" fontId="9" fillId="0" borderId="0" xfId="6" applyNumberFormat="1" applyFont="1" applyFill="1" applyBorder="1" applyAlignment="1" applyProtection="1">
      <alignment vertical="center"/>
      <protection hidden="1"/>
    </xf>
    <xf numFmtId="0" fontId="9" fillId="0" borderId="0" xfId="6" applyFont="1" applyFill="1" applyBorder="1" applyAlignment="1" applyProtection="1">
      <alignment horizontal="left" vertical="center"/>
      <protection hidden="1"/>
    </xf>
    <xf numFmtId="0" fontId="9" fillId="0" borderId="0" xfId="6" applyFont="1" applyFill="1" applyBorder="1" applyAlignment="1" applyProtection="1">
      <alignment horizontal="left" vertical="center"/>
    </xf>
    <xf numFmtId="165" fontId="9" fillId="0" borderId="0" xfId="6" applyNumberFormat="1" applyFont="1" applyFill="1" applyBorder="1" applyAlignment="1" applyProtection="1">
      <alignment horizontal="left" vertical="center"/>
      <protection hidden="1"/>
    </xf>
    <xf numFmtId="165" fontId="21" fillId="6" borderId="7" xfId="6" applyNumberFormat="1" applyFont="1" applyFill="1" applyBorder="1" applyAlignment="1" applyProtection="1">
      <alignment vertical="center"/>
    </xf>
    <xf numFmtId="0" fontId="21" fillId="6" borderId="8" xfId="6" applyFont="1" applyFill="1" applyBorder="1" applyAlignment="1" applyProtection="1">
      <alignment vertical="center"/>
    </xf>
    <xf numFmtId="0" fontId="9" fillId="0" borderId="0" xfId="6" quotePrefix="1" applyFont="1" applyFill="1" applyBorder="1" applyAlignment="1" applyProtection="1">
      <alignment vertical="center"/>
    </xf>
    <xf numFmtId="0" fontId="23" fillId="0" borderId="0" xfId="6" applyFont="1" applyFill="1" applyBorder="1" applyAlignment="1" applyProtection="1">
      <alignment vertical="center"/>
    </xf>
    <xf numFmtId="166" fontId="9" fillId="0" borderId="0" xfId="6" applyNumberFormat="1" applyFont="1" applyFill="1" applyBorder="1" applyAlignment="1" applyProtection="1">
      <alignment vertical="center"/>
      <protection hidden="1"/>
    </xf>
    <xf numFmtId="0" fontId="24" fillId="0" borderId="4" xfId="6" applyFont="1" applyBorder="1" applyAlignment="1">
      <alignment horizontal="center" vertical="center" wrapText="1"/>
    </xf>
    <xf numFmtId="0" fontId="24" fillId="0" borderId="4" xfId="6" applyFont="1" applyFill="1" applyBorder="1" applyAlignment="1">
      <alignment horizontal="center" vertical="center" wrapText="1"/>
    </xf>
    <xf numFmtId="0" fontId="8" fillId="0" borderId="4" xfId="6" applyFont="1" applyBorder="1" applyAlignment="1">
      <alignment horizontal="left"/>
    </xf>
    <xf numFmtId="0" fontId="8" fillId="0" borderId="4" xfId="6" applyBorder="1"/>
    <xf numFmtId="165" fontId="8" fillId="0" borderId="4" xfId="6" applyNumberFormat="1" applyBorder="1"/>
    <xf numFmtId="0" fontId="8" fillId="0" borderId="4" xfId="6" applyFont="1" applyFill="1" applyBorder="1"/>
    <xf numFmtId="0" fontId="24" fillId="0" borderId="4" xfId="6" applyFont="1" applyBorder="1" applyAlignment="1">
      <alignment horizontal="center" vertical="center"/>
    </xf>
    <xf numFmtId="2" fontId="8" fillId="0" borderId="4" xfId="6" applyNumberFormat="1" applyBorder="1"/>
    <xf numFmtId="2" fontId="35" fillId="3" borderId="2" xfId="4" applyNumberFormat="1" applyAlignment="1" applyProtection="1">
      <alignment vertical="center"/>
    </xf>
    <xf numFmtId="165" fontId="35" fillId="3" borderId="2" xfId="4" applyNumberFormat="1" applyAlignment="1" applyProtection="1">
      <alignment vertical="center"/>
    </xf>
    <xf numFmtId="165" fontId="36" fillId="2" borderId="1" xfId="3" applyNumberFormat="1" applyAlignment="1" applyProtection="1">
      <alignment vertical="center"/>
      <protection locked="0"/>
    </xf>
    <xf numFmtId="0" fontId="36" fillId="2" borderId="1" xfId="3" applyAlignment="1" applyProtection="1">
      <alignment vertical="center"/>
      <protection locked="0"/>
    </xf>
    <xf numFmtId="0" fontId="35" fillId="3" borderId="2" xfId="4" applyAlignment="1" applyProtection="1">
      <alignment vertical="center"/>
    </xf>
    <xf numFmtId="166" fontId="35" fillId="3" borderId="2" xfId="4" applyNumberFormat="1" applyAlignment="1" applyProtection="1">
      <alignment vertical="center"/>
    </xf>
    <xf numFmtId="0" fontId="28" fillId="0" borderId="4" xfId="6" applyFont="1" applyBorder="1" applyAlignment="1">
      <alignment horizontal="center" vertical="center" wrapText="1"/>
    </xf>
    <xf numFmtId="0" fontId="28" fillId="0" borderId="4" xfId="6" applyFont="1" applyFill="1" applyBorder="1" applyAlignment="1">
      <alignment horizontal="center" vertical="center" wrapText="1"/>
    </xf>
    <xf numFmtId="0" fontId="28" fillId="0" borderId="4" xfId="6" applyFont="1" applyBorder="1" applyAlignment="1">
      <alignment horizontal="center" vertical="center"/>
    </xf>
    <xf numFmtId="0" fontId="13" fillId="0" borderId="0" xfId="6" applyFont="1" applyFill="1" applyBorder="1" applyAlignment="1" applyProtection="1">
      <alignment horizontal="left" vertical="center" wrapText="1"/>
    </xf>
    <xf numFmtId="0" fontId="19" fillId="0" borderId="0" xfId="6" applyFont="1" applyFill="1" applyBorder="1" applyAlignment="1" applyProtection="1">
      <alignment horizontal="center" vertical="center" wrapText="1"/>
    </xf>
    <xf numFmtId="0" fontId="8" fillId="0" borderId="0" xfId="6" applyBorder="1"/>
    <xf numFmtId="165" fontId="35" fillId="3" borderId="2" xfId="4" applyNumberFormat="1" applyAlignment="1" applyProtection="1">
      <alignment vertical="center"/>
      <protection hidden="1"/>
    </xf>
    <xf numFmtId="165" fontId="31" fillId="6" borderId="7" xfId="6" applyNumberFormat="1" applyFont="1" applyFill="1" applyBorder="1" applyAlignment="1" applyProtection="1">
      <alignment vertical="center"/>
    </xf>
    <xf numFmtId="0" fontId="8" fillId="0" borderId="0" xfId="6" applyFont="1" applyAlignment="1">
      <alignment horizontal="center" vertical="center"/>
    </xf>
    <xf numFmtId="0" fontId="8" fillId="0" borderId="9" xfId="6" applyFont="1" applyBorder="1" applyAlignment="1">
      <alignment horizontal="center" vertical="center"/>
    </xf>
    <xf numFmtId="0" fontId="8" fillId="0" borderId="0" xfId="6" applyFont="1" applyBorder="1" applyAlignment="1">
      <alignment horizontal="center" vertical="center"/>
    </xf>
    <xf numFmtId="0" fontId="8" fillId="0" borderId="0" xfId="6" applyAlignment="1">
      <alignment horizontal="center" vertical="center"/>
    </xf>
    <xf numFmtId="165" fontId="8" fillId="0" borderId="0" xfId="6" applyNumberFormat="1" applyFont="1" applyAlignment="1">
      <alignment horizontal="center" vertical="center"/>
    </xf>
    <xf numFmtId="1" fontId="35" fillId="3" borderId="2" xfId="4" applyNumberFormat="1" applyAlignment="1" applyProtection="1">
      <alignment vertical="center"/>
    </xf>
    <xf numFmtId="0" fontId="9" fillId="7" borderId="0" xfId="7" applyFont="1" applyFill="1" applyBorder="1" applyAlignment="1" applyProtection="1">
      <alignment vertical="center"/>
    </xf>
    <xf numFmtId="0" fontId="9" fillId="0" borderId="0" xfId="7" applyFont="1" applyFill="1" applyBorder="1" applyAlignment="1" applyProtection="1">
      <alignment vertical="center"/>
      <protection hidden="1"/>
    </xf>
    <xf numFmtId="0" fontId="10" fillId="7" borderId="0" xfId="7" applyFont="1" applyFill="1" applyBorder="1" applyAlignment="1" applyProtection="1">
      <alignment vertical="center" wrapText="1"/>
    </xf>
    <xf numFmtId="0" fontId="11" fillId="7" borderId="0" xfId="7" applyFont="1" applyFill="1" applyBorder="1" applyAlignment="1" applyProtection="1">
      <alignment vertical="center" wrapText="1"/>
    </xf>
    <xf numFmtId="0" fontId="12" fillId="7" borderId="0" xfId="7" applyFont="1" applyFill="1" applyBorder="1" applyAlignment="1" applyProtection="1">
      <alignment vertical="center" wrapText="1"/>
    </xf>
    <xf numFmtId="0" fontId="12" fillId="0" borderId="0" xfId="7" applyFont="1" applyFill="1" applyBorder="1" applyAlignment="1" applyProtection="1">
      <alignment vertical="center" wrapText="1"/>
      <protection hidden="1"/>
    </xf>
    <xf numFmtId="0" fontId="9" fillId="0" borderId="0" xfId="7" applyFont="1" applyFill="1" applyBorder="1" applyAlignment="1" applyProtection="1">
      <alignment vertical="center"/>
    </xf>
    <xf numFmtId="0" fontId="20" fillId="0" borderId="0" xfId="7" applyFont="1" applyFill="1" applyBorder="1" applyAlignment="1" applyProtection="1">
      <alignment vertical="center"/>
    </xf>
    <xf numFmtId="0" fontId="14" fillId="0" borderId="0" xfId="7" applyFont="1" applyFill="1" applyBorder="1" applyAlignment="1" applyProtection="1">
      <alignment horizontal="left" vertical="center" indent="1"/>
    </xf>
    <xf numFmtId="0" fontId="13" fillId="0" borderId="0" xfId="7" applyFont="1" applyFill="1" applyBorder="1" applyAlignment="1" applyProtection="1">
      <alignment vertical="center"/>
    </xf>
    <xf numFmtId="2" fontId="13" fillId="8" borderId="4" xfId="7" applyNumberFormat="1" applyFont="1" applyFill="1" applyBorder="1" applyAlignment="1" applyProtection="1">
      <alignment vertical="center"/>
    </xf>
    <xf numFmtId="0" fontId="13" fillId="0" borderId="0" xfId="7" applyFont="1" applyFill="1" applyBorder="1" applyAlignment="1" applyProtection="1">
      <alignment horizontal="left" vertical="center" wrapText="1"/>
    </xf>
    <xf numFmtId="165" fontId="13" fillId="8" borderId="4" xfId="7" applyNumberFormat="1" applyFont="1" applyFill="1" applyBorder="1" applyAlignment="1" applyProtection="1">
      <alignment vertical="center"/>
    </xf>
    <xf numFmtId="0" fontId="13" fillId="8" borderId="4" xfId="7" applyFont="1" applyFill="1" applyBorder="1" applyAlignment="1" applyProtection="1">
      <alignment vertical="center"/>
    </xf>
    <xf numFmtId="166" fontId="13" fillId="8" borderId="4" xfId="7" applyNumberFormat="1" applyFont="1" applyFill="1" applyBorder="1" applyAlignment="1" applyProtection="1">
      <alignment vertical="center"/>
    </xf>
    <xf numFmtId="2" fontId="13" fillId="9" borderId="4" xfId="7" applyNumberFormat="1" applyFont="1" applyFill="1" applyBorder="1" applyAlignment="1" applyProtection="1">
      <alignment horizontal="center" vertical="center"/>
    </xf>
    <xf numFmtId="0" fontId="13" fillId="0" borderId="0" xfId="7" applyFont="1" applyFill="1" applyBorder="1" applyAlignment="1" applyProtection="1">
      <alignment horizontal="left" vertical="center" indent="1"/>
    </xf>
    <xf numFmtId="0" fontId="9" fillId="0" borderId="0" xfId="7" applyFont="1" applyFill="1" applyBorder="1" applyAlignment="1" applyProtection="1">
      <alignment horizontal="left" vertical="center" indent="1"/>
    </xf>
    <xf numFmtId="2" fontId="13" fillId="8" borderId="4" xfId="7" applyNumberFormat="1" applyFont="1" applyFill="1" applyBorder="1" applyAlignment="1" applyProtection="1">
      <alignment vertical="center"/>
      <protection hidden="1"/>
    </xf>
    <xf numFmtId="167" fontId="9" fillId="0" borderId="0" xfId="7" applyNumberFormat="1" applyFont="1" applyFill="1" applyBorder="1" applyAlignment="1" applyProtection="1">
      <alignment vertical="center"/>
      <protection hidden="1"/>
    </xf>
    <xf numFmtId="0" fontId="9" fillId="0" borderId="0" xfId="7" applyFont="1" applyFill="1" applyBorder="1" applyAlignment="1" applyProtection="1">
      <alignment horizontal="left" vertical="center"/>
      <protection hidden="1"/>
    </xf>
    <xf numFmtId="0" fontId="9" fillId="0" borderId="0" xfId="7" applyFont="1" applyFill="1" applyBorder="1" applyAlignment="1" applyProtection="1">
      <alignment horizontal="left" vertical="center"/>
    </xf>
    <xf numFmtId="165" fontId="9" fillId="0" borderId="0" xfId="7" applyNumberFormat="1" applyFont="1" applyFill="1" applyBorder="1" applyAlignment="1" applyProtection="1">
      <alignment horizontal="left" vertical="center"/>
      <protection hidden="1"/>
    </xf>
    <xf numFmtId="165" fontId="21" fillId="6" borderId="7" xfId="7" applyNumberFormat="1" applyFont="1" applyFill="1" applyBorder="1" applyAlignment="1" applyProtection="1">
      <alignment vertical="center"/>
    </xf>
    <xf numFmtId="0" fontId="21" fillId="6" borderId="8" xfId="7" applyFont="1" applyFill="1" applyBorder="1" applyAlignment="1" applyProtection="1">
      <alignment vertical="center"/>
    </xf>
    <xf numFmtId="0" fontId="9" fillId="0" borderId="0" xfId="7" quotePrefix="1" applyFont="1" applyFill="1" applyBorder="1" applyAlignment="1" applyProtection="1">
      <alignment vertical="center"/>
    </xf>
    <xf numFmtId="0" fontId="20" fillId="0" borderId="0" xfId="7" applyFont="1" applyFill="1" applyBorder="1" applyAlignment="1" applyProtection="1">
      <alignment horizontal="center" vertical="center" wrapText="1"/>
    </xf>
    <xf numFmtId="165" fontId="21" fillId="0" borderId="0" xfId="7" applyNumberFormat="1" applyFont="1" applyFill="1" applyBorder="1" applyAlignment="1" applyProtection="1">
      <alignment vertical="center"/>
    </xf>
    <xf numFmtId="0" fontId="23" fillId="0" borderId="0" xfId="7" applyFont="1" applyFill="1" applyBorder="1" applyAlignment="1" applyProtection="1">
      <alignment vertical="center"/>
    </xf>
    <xf numFmtId="166" fontId="9" fillId="0" borderId="0" xfId="7" applyNumberFormat="1" applyFont="1" applyFill="1" applyBorder="1" applyAlignment="1" applyProtection="1">
      <alignment vertical="center"/>
      <protection hidden="1"/>
    </xf>
    <xf numFmtId="0" fontId="24" fillId="0" borderId="4" xfId="7" applyFont="1" applyBorder="1" applyAlignment="1">
      <alignment horizontal="center" vertical="center" wrapText="1"/>
    </xf>
    <xf numFmtId="0" fontId="24" fillId="0" borderId="4" xfId="7" applyFont="1" applyFill="1" applyBorder="1" applyAlignment="1">
      <alignment horizontal="center" vertical="center" wrapText="1"/>
    </xf>
    <xf numFmtId="0" fontId="32" fillId="0" borderId="0" xfId="7"/>
    <xf numFmtId="0" fontId="8" fillId="0" borderId="4" xfId="7" applyFont="1" applyBorder="1" applyAlignment="1">
      <alignment horizontal="left"/>
    </xf>
    <xf numFmtId="0" fontId="32" fillId="0" borderId="4" xfId="7" applyBorder="1"/>
    <xf numFmtId="165" fontId="32" fillId="0" borderId="4" xfId="7" applyNumberFormat="1" applyBorder="1"/>
    <xf numFmtId="0" fontId="8" fillId="0" borderId="4" xfId="7" applyFont="1" applyFill="1" applyBorder="1"/>
    <xf numFmtId="0" fontId="8" fillId="0" borderId="0" xfId="7" applyFont="1"/>
    <xf numFmtId="2" fontId="36" fillId="2" borderId="1" xfId="3" applyNumberFormat="1" applyAlignment="1" applyProtection="1">
      <alignment vertical="center"/>
      <protection locked="0"/>
    </xf>
    <xf numFmtId="0" fontId="38" fillId="7" borderId="0" xfId="0" applyFont="1" applyFill="1" applyBorder="1" applyAlignment="1">
      <alignment vertical="center" wrapText="1"/>
    </xf>
    <xf numFmtId="0" fontId="0" fillId="0" borderId="0" xfId="0" applyBorder="1"/>
    <xf numFmtId="0" fontId="2" fillId="0" borderId="0" xfId="0" applyFont="1" applyFill="1" applyBorder="1"/>
    <xf numFmtId="0" fontId="0" fillId="0" borderId="0" xfId="0" applyFill="1" applyBorder="1"/>
    <xf numFmtId="0" fontId="39" fillId="7" borderId="0" xfId="0" applyFont="1" applyFill="1" applyBorder="1" applyAlignment="1">
      <alignment vertical="center" wrapText="1"/>
    </xf>
    <xf numFmtId="0" fontId="0" fillId="7" borderId="0" xfId="0" applyFill="1" applyBorder="1"/>
    <xf numFmtId="0" fontId="41" fillId="0" borderId="0" xfId="0" applyFont="1" applyFill="1" applyBorder="1"/>
    <xf numFmtId="2" fontId="0" fillId="0" borderId="0" xfId="0" applyNumberFormat="1" applyFill="1" applyBorder="1"/>
    <xf numFmtId="0" fontId="0" fillId="0" borderId="0" xfId="0" applyFill="1" applyBorder="1" applyAlignment="1">
      <alignment horizontal="center" vertical="center"/>
    </xf>
    <xf numFmtId="2" fontId="0" fillId="0" borderId="0" xfId="0" applyNumberFormat="1" applyBorder="1"/>
    <xf numFmtId="0" fontId="42" fillId="10" borderId="0" xfId="0" applyFont="1" applyFill="1" applyBorder="1"/>
    <xf numFmtId="0" fontId="7" fillId="10" borderId="0" xfId="0" applyFont="1" applyFill="1" applyBorder="1"/>
    <xf numFmtId="0" fontId="0" fillId="10" borderId="0" xfId="0" applyFill="1" applyBorder="1"/>
    <xf numFmtId="0" fontId="3" fillId="0" borderId="0" xfId="0" applyFont="1" applyFill="1" applyBorder="1"/>
    <xf numFmtId="0" fontId="0" fillId="0" borderId="0" xfId="0" applyFill="1" applyBorder="1" applyAlignment="1">
      <alignment horizontal="right" vertical="center"/>
    </xf>
    <xf numFmtId="0" fontId="0" fillId="0" borderId="0" xfId="0" applyFill="1" applyBorder="1" applyAlignment="1">
      <alignment horizontal="left" vertical="center"/>
    </xf>
    <xf numFmtId="0" fontId="3" fillId="10" borderId="0" xfId="0" applyFont="1" applyFill="1" applyBorder="1"/>
    <xf numFmtId="0" fontId="5" fillId="10" borderId="0" xfId="0" applyFont="1" applyFill="1" applyBorder="1"/>
    <xf numFmtId="0" fontId="43" fillId="10" borderId="0" xfId="0" applyFont="1" applyFill="1" applyBorder="1" applyAlignment="1">
      <alignment horizontal="right" vertical="center"/>
    </xf>
    <xf numFmtId="0" fontId="3" fillId="10" borderId="0" xfId="0" applyFont="1" applyFill="1" applyBorder="1" applyAlignment="1">
      <alignment horizontal="left" vertical="center"/>
    </xf>
    <xf numFmtId="0" fontId="3" fillId="0" borderId="0" xfId="0" applyFont="1" applyBorder="1" applyAlignment="1">
      <alignment horizontal="left" vertical="center"/>
    </xf>
    <xf numFmtId="1" fontId="0" fillId="8" borderId="0" xfId="0" applyNumberFormat="1" applyFill="1" applyBorder="1" applyAlignment="1">
      <alignment horizontal="right" vertical="center"/>
    </xf>
    <xf numFmtId="0" fontId="0" fillId="0" borderId="0" xfId="0" applyBorder="1" applyAlignment="1">
      <alignment horizontal="left" vertical="center"/>
    </xf>
    <xf numFmtId="0" fontId="3" fillId="10" borderId="0" xfId="0" applyFont="1" applyFill="1" applyBorder="1" applyAlignment="1">
      <alignment horizontal="right"/>
    </xf>
    <xf numFmtId="0" fontId="41" fillId="0" borderId="0" xfId="0" applyFont="1" applyFill="1" applyBorder="1" applyAlignment="1">
      <alignment horizontal="left" vertical="center"/>
    </xf>
    <xf numFmtId="0" fontId="0" fillId="0" borderId="0" xfId="0" applyBorder="1" applyAlignment="1">
      <alignment vertical="center" wrapText="1"/>
    </xf>
    <xf numFmtId="165" fontId="0" fillId="8" borderId="0" xfId="0" applyNumberFormat="1" applyFill="1" applyBorder="1" applyAlignment="1">
      <alignment horizontal="right" vertical="center"/>
    </xf>
    <xf numFmtId="0" fontId="5" fillId="10" borderId="0" xfId="0" applyFont="1" applyFill="1" applyBorder="1" applyAlignment="1">
      <alignment horizontal="right" vertical="center"/>
    </xf>
    <xf numFmtId="1" fontId="5" fillId="10" borderId="0" xfId="0" applyNumberFormat="1" applyFont="1" applyFill="1" applyBorder="1" applyAlignment="1">
      <alignment horizontal="right" vertical="center"/>
    </xf>
    <xf numFmtId="0" fontId="5" fillId="10" borderId="0" xfId="0" applyFont="1" applyFill="1" applyBorder="1" applyAlignment="1">
      <alignment horizontal="left" vertical="center"/>
    </xf>
    <xf numFmtId="0" fontId="48" fillId="10" borderId="0" xfId="0" applyFont="1" applyFill="1" applyBorder="1" applyAlignment="1">
      <alignment horizontal="left" vertical="center" wrapText="1"/>
    </xf>
    <xf numFmtId="165" fontId="0" fillId="8" borderId="0" xfId="0" applyNumberFormat="1" applyFill="1" applyBorder="1"/>
    <xf numFmtId="0" fontId="0" fillId="0" borderId="0" xfId="0" applyBorder="1" applyAlignment="1">
      <alignment horizontal="center" vertical="center"/>
    </xf>
    <xf numFmtId="0" fontId="41" fillId="0" borderId="0" xfId="0" applyFont="1" applyBorder="1" applyAlignment="1">
      <alignment horizontal="left" vertical="center"/>
    </xf>
    <xf numFmtId="0" fontId="0" fillId="0" borderId="0" xfId="0" applyBorder="1" applyAlignment="1">
      <alignment vertical="center"/>
    </xf>
    <xf numFmtId="0" fontId="41" fillId="10" borderId="0" xfId="0" applyFont="1" applyFill="1" applyBorder="1" applyAlignment="1">
      <alignment vertical="center" wrapText="1"/>
    </xf>
    <xf numFmtId="1" fontId="50" fillId="8" borderId="0" xfId="0" applyNumberFormat="1" applyFont="1" applyFill="1" applyBorder="1"/>
    <xf numFmtId="0" fontId="52" fillId="0" borderId="0" xfId="0" applyFont="1" applyFill="1" applyBorder="1" applyAlignment="1">
      <alignment horizontal="left" vertical="center"/>
    </xf>
    <xf numFmtId="2" fontId="0" fillId="8" borderId="0" xfId="0" applyNumberFormat="1" applyFill="1" applyBorder="1" applyAlignment="1">
      <alignment horizontal="right" vertical="center"/>
    </xf>
    <xf numFmtId="0" fontId="52" fillId="0" borderId="0" xfId="0" applyFont="1" applyFill="1" applyBorder="1"/>
    <xf numFmtId="2" fontId="0" fillId="0" borderId="0" xfId="0" applyNumberFormat="1" applyFill="1" applyBorder="1" applyAlignment="1">
      <alignment horizontal="right" vertical="center"/>
    </xf>
    <xf numFmtId="0" fontId="53" fillId="10" borderId="0" xfId="0" applyFont="1" applyFill="1" applyBorder="1" applyAlignment="1">
      <alignment horizontal="left" vertical="center"/>
    </xf>
    <xf numFmtId="165" fontId="0" fillId="10" borderId="0" xfId="0" applyNumberFormat="1" applyFill="1" applyBorder="1" applyAlignment="1">
      <alignment horizontal="right" vertical="center"/>
    </xf>
    <xf numFmtId="0" fontId="0" fillId="10" borderId="0" xfId="0" applyFill="1" applyBorder="1" applyAlignment="1">
      <alignment horizontal="left" vertical="center"/>
    </xf>
    <xf numFmtId="0" fontId="0" fillId="10" borderId="0" xfId="0" applyFill="1" applyBorder="1" applyAlignment="1">
      <alignment horizontal="left" vertical="center" wrapText="1"/>
    </xf>
    <xf numFmtId="0" fontId="0" fillId="10" borderId="0" xfId="0" applyFill="1" applyBorder="1" applyAlignment="1">
      <alignment horizontal="right" vertical="center"/>
    </xf>
    <xf numFmtId="0" fontId="3" fillId="10" borderId="0" xfId="0" applyFont="1" applyFill="1" applyBorder="1" applyAlignment="1">
      <alignment horizontal="left" vertical="center" wrapText="1"/>
    </xf>
    <xf numFmtId="0" fontId="3" fillId="10" borderId="0" xfId="0" applyFont="1" applyFill="1" applyBorder="1" applyAlignment="1">
      <alignment horizontal="right" vertical="center"/>
    </xf>
    <xf numFmtId="165" fontId="0" fillId="0" borderId="0" xfId="0" applyNumberFormat="1" applyFill="1" applyBorder="1" applyAlignment="1">
      <alignment horizontal="right" vertical="center"/>
    </xf>
    <xf numFmtId="0" fontId="43" fillId="10" borderId="0" xfId="0" applyFont="1" applyFill="1" applyBorder="1" applyAlignment="1">
      <alignment horizontal="left" vertical="center"/>
    </xf>
    <xf numFmtId="1" fontId="3" fillId="10" borderId="0" xfId="0" applyNumberFormat="1" applyFont="1" applyFill="1" applyBorder="1" applyAlignment="1">
      <alignment horizontal="right" vertical="center"/>
    </xf>
    <xf numFmtId="164" fontId="0" fillId="0" borderId="0" xfId="1" applyFont="1" applyBorder="1"/>
    <xf numFmtId="0" fontId="43" fillId="10" borderId="0" xfId="0" applyFont="1" applyFill="1" applyAlignment="1">
      <alignment horizontal="right" vertical="center"/>
    </xf>
    <xf numFmtId="9" fontId="0" fillId="0" borderId="0" xfId="2" applyFont="1" applyBorder="1"/>
    <xf numFmtId="0" fontId="2" fillId="0" borderId="0" xfId="0" applyFont="1" applyBorder="1"/>
    <xf numFmtId="0" fontId="0" fillId="0" borderId="0" xfId="0" applyBorder="1" applyAlignment="1">
      <alignment horizontal="right" vertical="center"/>
    </xf>
    <xf numFmtId="0" fontId="53" fillId="0" borderId="0" xfId="0" applyFont="1" applyBorder="1" applyAlignment="1">
      <alignment horizontal="left" vertical="center"/>
    </xf>
    <xf numFmtId="165" fontId="0" fillId="0" borderId="0" xfId="0" applyNumberFormat="1" applyBorder="1" applyAlignment="1">
      <alignment horizontal="right" vertical="center"/>
    </xf>
    <xf numFmtId="0" fontId="0" fillId="0" borderId="0" xfId="0" applyFill="1" applyBorder="1" applyAlignment="1">
      <alignment horizontal="left" vertical="center" wrapText="1"/>
    </xf>
    <xf numFmtId="0" fontId="54" fillId="10" borderId="0" xfId="0" applyFont="1" applyFill="1" applyBorder="1" applyAlignment="1">
      <alignment horizontal="left" vertical="center"/>
    </xf>
    <xf numFmtId="165" fontId="4" fillId="7" borderId="4" xfId="0" applyNumberFormat="1" applyFont="1" applyFill="1" applyBorder="1" applyAlignment="1">
      <alignment horizontal="right" vertical="center"/>
    </xf>
    <xf numFmtId="0" fontId="0" fillId="10" borderId="0" xfId="0" applyFill="1" applyBorder="1" applyAlignment="1">
      <alignment vertical="center"/>
    </xf>
    <xf numFmtId="165" fontId="0" fillId="0" borderId="0" xfId="0" applyNumberFormat="1" applyBorder="1" applyAlignment="1">
      <alignment horizontal="center" vertical="center"/>
    </xf>
    <xf numFmtId="2" fontId="12" fillId="5" borderId="4" xfId="0" applyNumberFormat="1" applyFont="1" applyFill="1" applyBorder="1" applyAlignment="1">
      <alignment horizontal="right" vertical="center"/>
    </xf>
    <xf numFmtId="0" fontId="56" fillId="10" borderId="0" xfId="0" applyFont="1" applyFill="1" applyBorder="1" applyAlignment="1">
      <alignment horizontal="left" vertical="center"/>
    </xf>
    <xf numFmtId="0" fontId="52" fillId="10" borderId="0" xfId="0" applyFont="1" applyFill="1" applyBorder="1" applyAlignment="1">
      <alignment horizontal="left" vertical="center"/>
    </xf>
    <xf numFmtId="2" fontId="57" fillId="10" borderId="0" xfId="0" applyNumberFormat="1" applyFont="1" applyFill="1" applyBorder="1" applyAlignment="1">
      <alignment horizontal="right" vertical="center"/>
    </xf>
    <xf numFmtId="0" fontId="56" fillId="10" borderId="0" xfId="0" applyFont="1" applyFill="1" applyBorder="1" applyAlignment="1">
      <alignment horizontal="center" vertical="center"/>
    </xf>
    <xf numFmtId="0" fontId="2" fillId="0" borderId="0" xfId="0" applyFont="1"/>
    <xf numFmtId="0" fontId="3" fillId="10" borderId="0" xfId="0" applyFont="1" applyFill="1" applyBorder="1" applyAlignment="1">
      <alignment wrapText="1"/>
    </xf>
    <xf numFmtId="165" fontId="0" fillId="0" borderId="0" xfId="0" applyNumberFormat="1" applyBorder="1"/>
    <xf numFmtId="0" fontId="5" fillId="0" borderId="0" xfId="0" applyFont="1" applyBorder="1" applyAlignment="1">
      <alignment horizontal="left" vertical="center" wrapText="1"/>
    </xf>
    <xf numFmtId="0" fontId="2" fillId="0" borderId="0" xfId="0" applyFont="1" applyBorder="1" applyAlignment="1">
      <alignment horizontal="center" vertical="center"/>
    </xf>
    <xf numFmtId="0" fontId="50" fillId="10" borderId="0" xfId="0" applyFont="1" applyFill="1" applyBorder="1" applyAlignment="1">
      <alignment horizontal="left" vertical="center"/>
    </xf>
    <xf numFmtId="2" fontId="12" fillId="10" borderId="4" xfId="0" applyNumberFormat="1" applyFont="1" applyFill="1" applyBorder="1" applyAlignment="1">
      <alignment horizontal="right" vertical="center"/>
    </xf>
    <xf numFmtId="0" fontId="5" fillId="10" borderId="0" xfId="0" applyFont="1" applyFill="1" applyBorder="1" applyAlignment="1">
      <alignment wrapText="1"/>
    </xf>
    <xf numFmtId="0" fontId="60" fillId="10" borderId="0" xfId="0" applyFont="1" applyFill="1" applyBorder="1"/>
    <xf numFmtId="0" fontId="2" fillId="0" borderId="0" xfId="0" applyFont="1" applyFill="1" applyBorder="1" applyAlignment="1"/>
    <xf numFmtId="168" fontId="0" fillId="0" borderId="0" xfId="0" applyNumberFormat="1" applyBorder="1"/>
    <xf numFmtId="0" fontId="63" fillId="0" borderId="0" xfId="0" applyFont="1" applyBorder="1" applyAlignment="1">
      <alignment vertical="center" wrapText="1"/>
    </xf>
    <xf numFmtId="0" fontId="3" fillId="0" borderId="0" xfId="0" applyFont="1" applyBorder="1" applyAlignment="1">
      <alignment horizontal="right" vertical="center"/>
    </xf>
    <xf numFmtId="0" fontId="41" fillId="0" borderId="0" xfId="0" applyFont="1" applyFill="1" applyBorder="1" applyAlignment="1">
      <alignment horizontal="right" vertical="center"/>
    </xf>
    <xf numFmtId="0" fontId="41" fillId="0" borderId="0" xfId="0" applyFont="1" applyBorder="1" applyAlignment="1">
      <alignment horizontal="right" vertical="center"/>
    </xf>
    <xf numFmtId="0" fontId="0" fillId="0" borderId="0" xfId="0" applyBorder="1" applyAlignment="1">
      <alignment horizontal="right"/>
    </xf>
    <xf numFmtId="0" fontId="52" fillId="0" borderId="0" xfId="0" applyFont="1" applyFill="1" applyBorder="1" applyAlignment="1">
      <alignment horizontal="right" vertical="center"/>
    </xf>
    <xf numFmtId="166" fontId="0" fillId="8" borderId="0" xfId="0" applyNumberFormat="1" applyFill="1" applyBorder="1" applyAlignment="1">
      <alignment horizontal="right" vertical="center"/>
    </xf>
    <xf numFmtId="0" fontId="53" fillId="0" borderId="0" xfId="0" applyFont="1" applyBorder="1" applyAlignment="1">
      <alignment horizontal="right" vertical="center"/>
    </xf>
    <xf numFmtId="169" fontId="0" fillId="0" borderId="0" xfId="0" applyNumberFormat="1" applyBorder="1" applyAlignment="1">
      <alignment horizontal="right" vertical="center"/>
    </xf>
    <xf numFmtId="0" fontId="37" fillId="7" borderId="0" xfId="0" applyFont="1" applyFill="1" applyBorder="1" applyAlignment="1">
      <alignment vertical="center" wrapText="1"/>
    </xf>
    <xf numFmtId="0" fontId="40" fillId="7" borderId="0" xfId="0" applyFont="1" applyFill="1" applyBorder="1" applyAlignment="1">
      <alignment vertical="center"/>
    </xf>
    <xf numFmtId="2" fontId="36" fillId="2" borderId="1" xfId="3" applyNumberFormat="1" applyAlignment="1" applyProtection="1">
      <alignment horizontal="right" vertical="center"/>
      <protection locked="0"/>
    </xf>
    <xf numFmtId="1" fontId="36" fillId="2" borderId="1" xfId="3" applyNumberFormat="1" applyAlignment="1" applyProtection="1">
      <alignment horizontal="right" vertical="center"/>
      <protection locked="0"/>
    </xf>
    <xf numFmtId="165" fontId="36" fillId="2" borderId="1" xfId="3" applyNumberFormat="1" applyAlignment="1" applyProtection="1">
      <alignment horizontal="right" vertical="center"/>
      <protection locked="0"/>
    </xf>
    <xf numFmtId="0" fontId="36" fillId="2" borderId="1" xfId="3" applyAlignment="1" applyProtection="1">
      <alignment horizontal="right" vertical="center"/>
      <protection locked="0"/>
    </xf>
    <xf numFmtId="1" fontId="35" fillId="3" borderId="2" xfId="4" applyNumberFormat="1" applyAlignment="1" applyProtection="1">
      <alignment horizontal="right" vertical="center"/>
      <protection locked="0"/>
    </xf>
    <xf numFmtId="0" fontId="8" fillId="0" borderId="0" xfId="6"/>
    <xf numFmtId="0" fontId="0" fillId="10" borderId="0" xfId="0" applyFill="1" applyBorder="1" applyAlignment="1">
      <alignment vertical="center" wrapText="1"/>
    </xf>
    <xf numFmtId="0" fontId="35" fillId="3" borderId="0" xfId="4" applyBorder="1"/>
    <xf numFmtId="0" fontId="0" fillId="10" borderId="0" xfId="0" applyFont="1" applyFill="1" applyBorder="1"/>
    <xf numFmtId="2" fontId="9" fillId="0" borderId="0" xfId="6" applyNumberFormat="1" applyFont="1" applyFill="1" applyBorder="1" applyAlignment="1" applyProtection="1">
      <alignment vertical="center"/>
      <protection hidden="1"/>
    </xf>
    <xf numFmtId="0" fontId="0" fillId="10" borderId="0" xfId="0" applyFill="1"/>
    <xf numFmtId="0" fontId="0" fillId="13" borderId="0" xfId="0" applyFill="1"/>
    <xf numFmtId="0" fontId="0" fillId="7" borderId="0" xfId="0" applyFill="1"/>
    <xf numFmtId="0" fontId="4" fillId="7" borderId="0" xfId="0" applyFont="1" applyFill="1" applyBorder="1" applyAlignment="1" applyProtection="1">
      <alignment vertical="center" wrapText="1"/>
    </xf>
    <xf numFmtId="0" fontId="67" fillId="0" borderId="0" xfId="9" applyFont="1" applyProtection="1"/>
    <xf numFmtId="0" fontId="7" fillId="0" borderId="0" xfId="0" applyFont="1" applyFill="1" applyBorder="1" applyAlignment="1" applyProtection="1">
      <alignment vertical="center" wrapText="1"/>
    </xf>
    <xf numFmtId="0" fontId="4" fillId="0" borderId="0" xfId="0" applyFont="1" applyFill="1" applyBorder="1" applyAlignment="1" applyProtection="1">
      <alignment vertical="center" wrapText="1"/>
    </xf>
    <xf numFmtId="0" fontId="0" fillId="0" borderId="0" xfId="0" applyProtection="1"/>
    <xf numFmtId="0" fontId="6" fillId="0" borderId="0" xfId="9" applyFont="1" applyAlignment="1" applyProtection="1">
      <alignment horizontal="left" vertical="center"/>
    </xf>
    <xf numFmtId="0" fontId="70" fillId="0" borderId="0" xfId="10" applyFont="1" applyBorder="1" applyAlignment="1" applyProtection="1">
      <alignment horizontal="center" vertical="center" wrapText="1"/>
    </xf>
    <xf numFmtId="0" fontId="67" fillId="0" borderId="0" xfId="9" applyFont="1" applyAlignment="1" applyProtection="1">
      <alignment vertical="center"/>
    </xf>
    <xf numFmtId="0" fontId="50" fillId="0" borderId="0" xfId="9" applyFont="1" applyAlignment="1" applyProtection="1">
      <alignment horizontal="center" vertical="center" wrapText="1"/>
    </xf>
    <xf numFmtId="0" fontId="73" fillId="0" borderId="0" xfId="11" applyFont="1" applyAlignment="1" applyProtection="1">
      <alignment vertical="center" wrapText="1"/>
    </xf>
    <xf numFmtId="0" fontId="6" fillId="0" borderId="0" xfId="9" applyFont="1" applyAlignment="1" applyProtection="1">
      <alignment horizontal="left" vertical="center" wrapText="1"/>
    </xf>
    <xf numFmtId="3" fontId="73" fillId="0" borderId="0" xfId="11" applyNumberFormat="1" applyFont="1" applyAlignment="1" applyProtection="1">
      <alignment vertical="center" wrapText="1"/>
    </xf>
    <xf numFmtId="0" fontId="73" fillId="0" borderId="0" xfId="11" applyFont="1" applyProtection="1"/>
    <xf numFmtId="0" fontId="5" fillId="0" borderId="0" xfId="9" applyProtection="1"/>
    <xf numFmtId="0" fontId="77" fillId="0" borderId="0" xfId="9" applyFont="1" applyProtection="1"/>
    <xf numFmtId="0" fontId="78" fillId="0" borderId="0" xfId="11" applyFont="1" applyProtection="1"/>
    <xf numFmtId="0" fontId="73" fillId="0" borderId="0" xfId="11" applyFont="1" applyAlignment="1" applyProtection="1">
      <alignment horizontal="center" vertical="center" wrapText="1"/>
    </xf>
    <xf numFmtId="0" fontId="67" fillId="0" borderId="0" xfId="9" applyFont="1" applyAlignment="1" applyProtection="1">
      <alignment horizontal="center" vertical="center"/>
    </xf>
    <xf numFmtId="0" fontId="6" fillId="0" borderId="0" xfId="9" applyFont="1" applyProtection="1"/>
    <xf numFmtId="0" fontId="67" fillId="0" borderId="0" xfId="9" applyFont="1" applyAlignment="1" applyProtection="1">
      <alignment horizontal="left" vertical="center"/>
    </xf>
    <xf numFmtId="0" fontId="5" fillId="0" borderId="0" xfId="9" applyAlignment="1" applyProtection="1">
      <alignment horizontal="left" vertical="center"/>
    </xf>
    <xf numFmtId="0" fontId="5" fillId="0" borderId="0" xfId="9" applyAlignment="1" applyProtection="1">
      <alignment horizontal="center" vertical="center" wrapText="1"/>
    </xf>
    <xf numFmtId="0" fontId="67" fillId="0" borderId="0" xfId="9" applyFont="1" applyAlignment="1" applyProtection="1">
      <alignment horizontal="center" vertical="center" wrapText="1"/>
    </xf>
    <xf numFmtId="0" fontId="5" fillId="0" borderId="0" xfId="9" applyAlignment="1" applyProtection="1">
      <alignment horizontal="center" vertical="center"/>
    </xf>
    <xf numFmtId="0" fontId="81" fillId="0" borderId="0" xfId="11" applyFont="1" applyAlignment="1" applyProtection="1">
      <alignment horizontal="center" vertical="center" wrapText="1"/>
    </xf>
    <xf numFmtId="0" fontId="82" fillId="0" borderId="0" xfId="9" applyFont="1" applyProtection="1"/>
    <xf numFmtId="0" fontId="69" fillId="0" borderId="0" xfId="10" applyFont="1" applyBorder="1" applyAlignment="1" applyProtection="1">
      <alignment vertical="center" wrapText="1"/>
    </xf>
    <xf numFmtId="0" fontId="67" fillId="13" borderId="20" xfId="9" applyFont="1" applyFill="1" applyBorder="1" applyProtection="1"/>
    <xf numFmtId="0" fontId="67" fillId="13" borderId="21" xfId="9" applyFont="1" applyFill="1" applyBorder="1" applyProtection="1"/>
    <xf numFmtId="0" fontId="67" fillId="13" borderId="22" xfId="9" applyFont="1" applyFill="1" applyBorder="1" applyProtection="1"/>
    <xf numFmtId="0" fontId="6" fillId="13" borderId="23" xfId="9" applyFont="1" applyFill="1" applyBorder="1" applyAlignment="1" applyProtection="1">
      <alignment horizontal="left" vertical="center"/>
    </xf>
    <xf numFmtId="0" fontId="6" fillId="13" borderId="0" xfId="9" applyFont="1" applyFill="1" applyBorder="1" applyAlignment="1" applyProtection="1">
      <alignment horizontal="center" vertical="center" wrapText="1"/>
    </xf>
    <xf numFmtId="0" fontId="6" fillId="13" borderId="23" xfId="9" applyFont="1" applyFill="1" applyBorder="1" applyAlignment="1" applyProtection="1">
      <alignment horizontal="center" vertical="center" wrapText="1"/>
    </xf>
    <xf numFmtId="0" fontId="67" fillId="13" borderId="23" xfId="9" applyFont="1" applyFill="1" applyBorder="1" applyProtection="1"/>
    <xf numFmtId="0" fontId="67" fillId="13" borderId="0" xfId="9" applyFont="1" applyFill="1" applyBorder="1" applyProtection="1"/>
    <xf numFmtId="0" fontId="67" fillId="13" borderId="6" xfId="9" applyFont="1" applyFill="1" applyBorder="1" applyProtection="1"/>
    <xf numFmtId="0" fontId="67" fillId="13" borderId="30" xfId="9" applyFont="1" applyFill="1" applyBorder="1" applyProtection="1"/>
    <xf numFmtId="0" fontId="67" fillId="13" borderId="31" xfId="9" applyFont="1" applyFill="1" applyBorder="1" applyProtection="1"/>
    <xf numFmtId="0" fontId="67" fillId="13" borderId="32" xfId="9" applyFont="1" applyFill="1" applyBorder="1" applyProtection="1"/>
    <xf numFmtId="0" fontId="69" fillId="0" borderId="0" xfId="10" applyFont="1" applyBorder="1" applyAlignment="1" applyProtection="1">
      <alignment horizontal="center" vertical="center" wrapText="1"/>
    </xf>
    <xf numFmtId="0" fontId="71" fillId="0" borderId="0" xfId="8" applyFont="1" applyAlignment="1" applyProtection="1">
      <alignment horizontal="center" vertical="center" wrapText="1"/>
    </xf>
    <xf numFmtId="0" fontId="71" fillId="0" borderId="0" xfId="8" applyFont="1" applyProtection="1"/>
    <xf numFmtId="49" fontId="67" fillId="0" borderId="0" xfId="9" applyNumberFormat="1" applyFont="1" applyAlignment="1" applyProtection="1">
      <alignment horizontal="center" vertical="center"/>
    </xf>
    <xf numFmtId="0" fontId="67" fillId="0" borderId="0" xfId="9" applyNumberFormat="1" applyFont="1" applyProtection="1"/>
    <xf numFmtId="0" fontId="71" fillId="0" borderId="0" xfId="8" applyFont="1" applyAlignment="1" applyProtection="1">
      <alignment horizontal="center" vertical="center"/>
    </xf>
    <xf numFmtId="0" fontId="74" fillId="0" borderId="0" xfId="9" applyFont="1" applyAlignment="1" applyProtection="1">
      <alignment horizontal="center" vertical="center" wrapText="1"/>
    </xf>
    <xf numFmtId="0" fontId="67" fillId="0" borderId="0" xfId="9" applyFont="1" applyAlignment="1" applyProtection="1">
      <alignment vertical="center" wrapText="1"/>
    </xf>
    <xf numFmtId="0" fontId="67" fillId="0" borderId="0" xfId="9" applyFont="1" applyAlignment="1" applyProtection="1">
      <alignment horizontal="right" vertical="center" wrapText="1"/>
    </xf>
    <xf numFmtId="3" fontId="67" fillId="0" borderId="0" xfId="9" applyNumberFormat="1" applyFont="1" applyAlignment="1" applyProtection="1">
      <alignment horizontal="center" vertical="center"/>
    </xf>
    <xf numFmtId="0" fontId="50" fillId="0" borderId="0" xfId="9" applyFont="1" applyAlignment="1" applyProtection="1">
      <alignment vertical="center"/>
    </xf>
    <xf numFmtId="0" fontId="50" fillId="0" borderId="0" xfId="9" applyFont="1" applyAlignment="1" applyProtection="1">
      <alignment vertical="center" wrapText="1"/>
    </xf>
    <xf numFmtId="0" fontId="76" fillId="0" borderId="0" xfId="9" applyFont="1" applyProtection="1"/>
    <xf numFmtId="0" fontId="76" fillId="0" borderId="0" xfId="9" applyFont="1" applyAlignment="1" applyProtection="1">
      <alignment vertical="center"/>
    </xf>
    <xf numFmtId="2" fontId="76" fillId="0" borderId="0" xfId="9" applyNumberFormat="1" applyFont="1" applyProtection="1"/>
    <xf numFmtId="0" fontId="67" fillId="0" borderId="0" xfId="9" applyFont="1" applyAlignment="1" applyProtection="1">
      <alignment horizontal="left" vertical="center" wrapText="1"/>
    </xf>
    <xf numFmtId="0" fontId="71" fillId="0" borderId="0" xfId="8" applyFont="1" applyAlignment="1" applyProtection="1">
      <alignment vertical="center" wrapText="1"/>
    </xf>
    <xf numFmtId="1" fontId="67" fillId="0" borderId="0" xfId="9" applyNumberFormat="1" applyFont="1" applyProtection="1"/>
    <xf numFmtId="3" fontId="67" fillId="0" borderId="0" xfId="9" applyNumberFormat="1" applyFont="1" applyProtection="1"/>
    <xf numFmtId="0" fontId="69" fillId="0" borderId="0" xfId="10" applyFont="1" applyBorder="1" applyAlignment="1" applyProtection="1">
      <alignment vertical="center"/>
    </xf>
    <xf numFmtId="165" fontId="67" fillId="0" borderId="0" xfId="9" applyNumberFormat="1" applyFont="1" applyProtection="1"/>
    <xf numFmtId="0" fontId="76" fillId="0" borderId="0" xfId="9" applyFont="1" applyAlignment="1" applyProtection="1">
      <alignment horizontal="center" vertical="center"/>
    </xf>
    <xf numFmtId="0" fontId="83" fillId="0" borderId="0" xfId="9" applyFont="1" applyProtection="1"/>
    <xf numFmtId="0" fontId="7" fillId="7" borderId="0" xfId="0" applyFont="1" applyFill="1" applyBorder="1" applyAlignment="1" applyProtection="1">
      <alignment vertical="center" wrapText="1"/>
    </xf>
    <xf numFmtId="0" fontId="50" fillId="0" borderId="0" xfId="15" applyFont="1" applyProtection="1"/>
    <xf numFmtId="0" fontId="7" fillId="0" borderId="0" xfId="0" applyFont="1" applyFill="1" applyBorder="1" applyAlignment="1" applyProtection="1">
      <alignment horizontal="center" vertical="center" wrapText="1"/>
    </xf>
    <xf numFmtId="0" fontId="50" fillId="0" borderId="0" xfId="15" applyFont="1" applyFill="1" applyProtection="1"/>
    <xf numFmtId="0" fontId="87" fillId="0" borderId="0" xfId="16" applyFont="1" applyBorder="1" applyAlignment="1" applyProtection="1">
      <alignment horizontal="center" vertical="center" wrapText="1"/>
    </xf>
    <xf numFmtId="0" fontId="32" fillId="0" borderId="0" xfId="7" applyProtection="1"/>
    <xf numFmtId="0" fontId="50" fillId="0" borderId="0" xfId="15" applyFont="1" applyAlignment="1" applyProtection="1">
      <alignment vertical="center"/>
    </xf>
    <xf numFmtId="0" fontId="50" fillId="0" borderId="0" xfId="15" applyFont="1" applyAlignment="1" applyProtection="1">
      <alignment horizontal="center" vertical="center" wrapText="1"/>
    </xf>
    <xf numFmtId="0" fontId="88" fillId="0" borderId="0" xfId="11" applyFont="1" applyAlignment="1" applyProtection="1">
      <alignment vertical="center" wrapText="1"/>
    </xf>
    <xf numFmtId="0" fontId="89" fillId="0" borderId="0" xfId="15" applyFont="1" applyProtection="1"/>
    <xf numFmtId="0" fontId="6" fillId="0" borderId="0" xfId="15" applyFont="1" applyAlignment="1" applyProtection="1">
      <alignment vertical="center" wrapText="1"/>
    </xf>
    <xf numFmtId="0" fontId="3" fillId="0" borderId="0" xfId="15" applyFont="1" applyProtection="1"/>
    <xf numFmtId="0" fontId="88" fillId="0" borderId="0" xfId="11" applyFont="1" applyProtection="1"/>
    <xf numFmtId="0" fontId="87" fillId="0" borderId="0" xfId="16" applyFont="1" applyBorder="1" applyAlignment="1" applyProtection="1">
      <alignment vertical="center" wrapText="1"/>
    </xf>
    <xf numFmtId="0" fontId="50" fillId="13" borderId="20" xfId="15" applyFont="1" applyFill="1" applyBorder="1" applyProtection="1"/>
    <xf numFmtId="0" fontId="50" fillId="13" borderId="21" xfId="15" applyFont="1" applyFill="1" applyBorder="1" applyProtection="1"/>
    <xf numFmtId="0" fontId="50" fillId="13" borderId="22" xfId="15" applyFont="1" applyFill="1" applyBorder="1" applyProtection="1"/>
    <xf numFmtId="0" fontId="50" fillId="13" borderId="30" xfId="15" applyFont="1" applyFill="1" applyBorder="1" applyProtection="1"/>
    <xf numFmtId="0" fontId="50" fillId="13" borderId="31" xfId="15" applyFont="1" applyFill="1" applyBorder="1" applyProtection="1"/>
    <xf numFmtId="0" fontId="50" fillId="13" borderId="32" xfId="15" applyFont="1" applyFill="1" applyBorder="1" applyProtection="1"/>
    <xf numFmtId="0" fontId="93" fillId="0" borderId="0" xfId="15" applyFont="1" applyProtection="1"/>
    <xf numFmtId="0" fontId="3" fillId="14" borderId="56" xfId="15" applyFont="1" applyFill="1" applyBorder="1" applyProtection="1"/>
    <xf numFmtId="0" fontId="23" fillId="14" borderId="57" xfId="15" applyFont="1" applyFill="1" applyBorder="1" applyAlignment="1" applyProtection="1">
      <alignment horizontal="right"/>
    </xf>
    <xf numFmtId="2" fontId="23" fillId="14" borderId="58" xfId="15" applyNumberFormat="1" applyFont="1" applyFill="1" applyBorder="1" applyProtection="1"/>
    <xf numFmtId="2" fontId="23" fillId="0" borderId="0" xfId="15" applyNumberFormat="1" applyFont="1" applyFill="1" applyBorder="1" applyProtection="1"/>
    <xf numFmtId="0" fontId="23" fillId="0" borderId="0" xfId="15" applyFont="1" applyBorder="1" applyAlignment="1" applyProtection="1">
      <alignment horizontal="right"/>
    </xf>
    <xf numFmtId="2" fontId="23" fillId="0" borderId="0" xfId="15" applyNumberFormat="1" applyFont="1" applyBorder="1" applyProtection="1"/>
    <xf numFmtId="38" fontId="3" fillId="0" borderId="0" xfId="15" applyNumberFormat="1" applyFont="1" applyProtection="1"/>
    <xf numFmtId="0" fontId="23" fillId="0" borderId="0" xfId="15" applyFont="1" applyProtection="1"/>
    <xf numFmtId="2" fontId="9" fillId="0" borderId="0" xfId="15" applyNumberFormat="1" applyFont="1" applyProtection="1"/>
    <xf numFmtId="0" fontId="3" fillId="0" borderId="0" xfId="15" applyFont="1" applyAlignment="1" applyProtection="1">
      <alignment horizontal="center"/>
    </xf>
    <xf numFmtId="0" fontId="3" fillId="0" borderId="9" xfId="15" applyFont="1" applyBorder="1" applyAlignment="1" applyProtection="1">
      <alignment horizontal="center"/>
    </xf>
    <xf numFmtId="0" fontId="94" fillId="0" borderId="9" xfId="15" applyFont="1" applyBorder="1" applyAlignment="1" applyProtection="1">
      <alignment horizontal="center"/>
    </xf>
    <xf numFmtId="2" fontId="3" fillId="0" borderId="0" xfId="15" applyNumberFormat="1" applyFont="1" applyAlignment="1" applyProtection="1">
      <alignment horizontal="center"/>
    </xf>
    <xf numFmtId="38" fontId="3" fillId="0" borderId="0" xfId="15" applyNumberFormat="1" applyFont="1" applyAlignment="1" applyProtection="1">
      <alignment horizontal="center"/>
    </xf>
    <xf numFmtId="0" fontId="0" fillId="13" borderId="0" xfId="0" applyFill="1" applyProtection="1">
      <protection locked="0"/>
    </xf>
    <xf numFmtId="0" fontId="13" fillId="0" borderId="0" xfId="7" applyFont="1" applyFill="1" applyBorder="1" applyAlignment="1" applyProtection="1">
      <alignment horizontal="left" vertical="center" wrapText="1"/>
    </xf>
    <xf numFmtId="0" fontId="13" fillId="0" borderId="0" xfId="7" applyFont="1" applyFill="1" applyBorder="1" applyAlignment="1" applyProtection="1">
      <alignment horizontal="center" vertical="center"/>
    </xf>
    <xf numFmtId="0" fontId="85" fillId="0" borderId="0" xfId="15"/>
    <xf numFmtId="0" fontId="13" fillId="0" borderId="0" xfId="7" applyFont="1" applyFill="1" applyBorder="1" applyAlignment="1" applyProtection="1">
      <alignment horizontal="left" vertical="center" wrapText="1"/>
    </xf>
    <xf numFmtId="0" fontId="2" fillId="0" borderId="0" xfId="0" applyFont="1" applyAlignment="1">
      <alignment horizontal="left" indent="3"/>
    </xf>
    <xf numFmtId="0" fontId="0" fillId="10" borderId="0" xfId="0" applyFont="1" applyFill="1" applyAlignment="1">
      <alignment vertical="center" wrapText="1"/>
    </xf>
    <xf numFmtId="0" fontId="14" fillId="0" borderId="0" xfId="7" applyFont="1" applyFill="1" applyBorder="1" applyAlignment="1" applyProtection="1">
      <alignment vertical="center"/>
    </xf>
    <xf numFmtId="0" fontId="5" fillId="10" borderId="0" xfId="0" applyFont="1" applyFill="1" applyBorder="1" applyAlignment="1">
      <alignment horizontal="left" vertical="center" wrapText="1"/>
    </xf>
    <xf numFmtId="0" fontId="5" fillId="0" borderId="0" xfId="17"/>
    <xf numFmtId="1" fontId="105" fillId="10" borderId="0" xfId="0" applyNumberFormat="1" applyFont="1" applyFill="1" applyBorder="1" applyAlignment="1">
      <alignment horizontal="right" vertical="center"/>
    </xf>
    <xf numFmtId="0" fontId="106" fillId="0" borderId="0" xfId="0" applyFont="1"/>
    <xf numFmtId="0" fontId="35" fillId="3" borderId="2" xfId="4"/>
    <xf numFmtId="0" fontId="2" fillId="10" borderId="0" xfId="0" applyFont="1" applyFill="1" applyBorder="1" applyAlignment="1">
      <alignment horizontal="left" vertical="center"/>
    </xf>
    <xf numFmtId="0" fontId="110" fillId="10" borderId="0" xfId="0" applyFont="1" applyFill="1" applyBorder="1" applyAlignment="1">
      <alignment horizontal="left" vertical="center"/>
    </xf>
    <xf numFmtId="0" fontId="0" fillId="0" borderId="0" xfId="0" applyBorder="1" applyProtection="1">
      <protection locked="0"/>
    </xf>
    <xf numFmtId="0" fontId="5" fillId="10" borderId="0" xfId="0" applyFont="1" applyFill="1" applyBorder="1" applyAlignment="1">
      <alignment horizontal="left" vertical="center" wrapText="1"/>
    </xf>
    <xf numFmtId="0" fontId="5" fillId="0" borderId="0" xfId="17"/>
    <xf numFmtId="2" fontId="0" fillId="0" borderId="0" xfId="0" applyNumberFormat="1" applyFill="1" applyBorder="1" applyProtection="1">
      <protection locked="0"/>
    </xf>
    <xf numFmtId="0" fontId="5" fillId="0" borderId="0" xfId="17" applyFont="1"/>
    <xf numFmtId="0" fontId="5" fillId="0" borderId="0" xfId="17"/>
    <xf numFmtId="0" fontId="8" fillId="0" borderId="0" xfId="6"/>
    <xf numFmtId="0" fontId="96" fillId="10" borderId="0" xfId="0" applyFont="1" applyFill="1" applyBorder="1" applyAlignment="1">
      <alignment horizontal="left" vertical="center"/>
    </xf>
    <xf numFmtId="0" fontId="111" fillId="10" borderId="0" xfId="0" applyFont="1" applyFill="1" applyBorder="1" applyAlignment="1">
      <alignment horizontal="left" vertical="center"/>
    </xf>
    <xf numFmtId="0" fontId="36" fillId="2" borderId="1" xfId="3" applyProtection="1">
      <protection locked="0"/>
    </xf>
    <xf numFmtId="165" fontId="36" fillId="2" borderId="1" xfId="3" applyNumberFormat="1" applyProtection="1">
      <protection locked="0"/>
    </xf>
    <xf numFmtId="2" fontId="36" fillId="2" borderId="1" xfId="3" applyNumberFormat="1" applyProtection="1">
      <protection locked="0"/>
    </xf>
    <xf numFmtId="0" fontId="112" fillId="10" borderId="0" xfId="0" applyFont="1" applyFill="1" applyBorder="1"/>
    <xf numFmtId="0" fontId="41" fillId="0" borderId="0" xfId="0" applyFont="1" applyFill="1" applyBorder="1" applyProtection="1">
      <protection locked="0"/>
    </xf>
    <xf numFmtId="0" fontId="3" fillId="0" borderId="0" xfId="0" applyFont="1" applyFill="1" applyBorder="1" applyProtection="1">
      <protection locked="0"/>
    </xf>
    <xf numFmtId="0" fontId="63" fillId="0" borderId="0" xfId="0" applyFont="1" applyBorder="1" applyAlignment="1">
      <alignment horizontal="center" vertical="center" wrapText="1"/>
    </xf>
    <xf numFmtId="0" fontId="64" fillId="0" borderId="0" xfId="0" applyFont="1" applyBorder="1" applyAlignment="1">
      <alignment horizontal="center" vertical="center"/>
    </xf>
    <xf numFmtId="165" fontId="0" fillId="0" borderId="0" xfId="0" applyNumberFormat="1" applyFill="1" applyBorder="1"/>
    <xf numFmtId="0" fontId="35" fillId="3" borderId="2" xfId="4" applyAlignment="1" applyProtection="1">
      <alignment horizontal="right" vertical="center"/>
    </xf>
    <xf numFmtId="0" fontId="5" fillId="10" borderId="0" xfId="0" applyFont="1" applyFill="1" applyBorder="1" applyAlignment="1">
      <alignment vertical="center" wrapText="1"/>
    </xf>
    <xf numFmtId="0" fontId="43" fillId="10" borderId="0" xfId="0" applyFont="1" applyFill="1" applyBorder="1" applyAlignment="1">
      <alignment horizontal="right" vertical="center" wrapText="1"/>
    </xf>
    <xf numFmtId="0" fontId="3" fillId="0" borderId="0" xfId="0" applyFont="1" applyFill="1" applyBorder="1" applyAlignment="1">
      <alignment horizontal="left" vertical="center"/>
    </xf>
    <xf numFmtId="165" fontId="0" fillId="0" borderId="0" xfId="0" applyNumberFormat="1" applyBorder="1" applyProtection="1">
      <protection locked="0"/>
    </xf>
    <xf numFmtId="165" fontId="35" fillId="3" borderId="2" xfId="4" applyNumberFormat="1" applyAlignment="1" applyProtection="1">
      <alignment horizontal="right" vertical="center"/>
    </xf>
    <xf numFmtId="0" fontId="3" fillId="10" borderId="0" xfId="0" applyFont="1" applyFill="1" applyAlignment="1">
      <alignment vertical="center"/>
    </xf>
    <xf numFmtId="0" fontId="3" fillId="10" borderId="0" xfId="0" applyFont="1" applyFill="1" applyAlignment="1">
      <alignment horizontal="center" vertical="center" wrapText="1"/>
    </xf>
    <xf numFmtId="0" fontId="9" fillId="13" borderId="0" xfId="6" applyFont="1" applyFill="1" applyBorder="1" applyAlignment="1" applyProtection="1">
      <alignment vertical="center"/>
      <protection hidden="1"/>
    </xf>
    <xf numFmtId="0" fontId="0" fillId="13" borderId="0" xfId="0" applyFont="1" applyFill="1" applyAlignment="1">
      <alignment vertical="center" wrapText="1"/>
    </xf>
    <xf numFmtId="0" fontId="101" fillId="10" borderId="0" xfId="0" applyFont="1" applyFill="1" applyAlignment="1">
      <alignment vertical="center"/>
    </xf>
    <xf numFmtId="0" fontId="96" fillId="10" borderId="0" xfId="0" applyFont="1" applyFill="1"/>
    <xf numFmtId="0" fontId="101" fillId="9" borderId="0" xfId="0" applyFont="1" applyFill="1" applyAlignment="1">
      <alignment vertical="center"/>
    </xf>
    <xf numFmtId="0" fontId="0" fillId="9" borderId="0" xfId="0" applyFill="1"/>
    <xf numFmtId="0" fontId="96" fillId="10" borderId="0" xfId="0" applyFont="1" applyFill="1" applyAlignment="1">
      <alignment horizontal="center" vertical="center" wrapText="1"/>
    </xf>
    <xf numFmtId="0" fontId="7" fillId="10" borderId="0" xfId="0" applyFont="1" applyFill="1" applyAlignment="1"/>
    <xf numFmtId="0" fontId="0" fillId="0" borderId="0" xfId="0" applyFont="1" applyFill="1" applyAlignment="1">
      <alignment vertical="center" wrapText="1"/>
    </xf>
    <xf numFmtId="0" fontId="3" fillId="0" borderId="0" xfId="0" applyFont="1" applyFill="1" applyAlignment="1">
      <alignment vertical="center"/>
    </xf>
    <xf numFmtId="0" fontId="0" fillId="0" borderId="0" xfId="0" applyFill="1"/>
    <xf numFmtId="0" fontId="115" fillId="10" borderId="0" xfId="18" applyFill="1" applyAlignment="1" applyProtection="1">
      <alignment vertical="center"/>
    </xf>
    <xf numFmtId="0" fontId="1" fillId="0" borderId="0" xfId="0" applyFont="1" applyAlignment="1">
      <alignment horizontal="left" vertical="center" wrapText="1"/>
    </xf>
    <xf numFmtId="0" fontId="7" fillId="0" borderId="0" xfId="0" applyFont="1" applyAlignment="1">
      <alignment horizontal="left" vertical="center" wrapText="1"/>
    </xf>
    <xf numFmtId="0" fontId="20" fillId="0" borderId="0" xfId="6" applyFont="1" applyFill="1" applyBorder="1" applyAlignment="1" applyProtection="1">
      <alignment horizontal="center" vertical="center" wrapText="1"/>
    </xf>
    <xf numFmtId="0" fontId="20" fillId="0" borderId="6" xfId="6" applyFont="1" applyFill="1" applyBorder="1" applyAlignment="1" applyProtection="1">
      <alignment horizontal="center" vertical="center" wrapText="1"/>
    </xf>
    <xf numFmtId="0" fontId="13" fillId="0" borderId="0" xfId="6" applyFont="1" applyFill="1" applyBorder="1" applyAlignment="1" applyProtection="1">
      <alignment horizontal="left" vertical="center"/>
    </xf>
    <xf numFmtId="0" fontId="13" fillId="0" borderId="5" xfId="6" applyFont="1" applyFill="1" applyBorder="1" applyAlignment="1" applyProtection="1">
      <alignment horizontal="left" vertical="center"/>
    </xf>
    <xf numFmtId="166" fontId="8" fillId="0" borderId="4" xfId="6" applyNumberFormat="1" applyBorder="1"/>
    <xf numFmtId="0" fontId="9" fillId="0" borderId="4" xfId="6" applyFont="1" applyFill="1" applyBorder="1" applyAlignment="1" applyProtection="1">
      <alignment vertical="center"/>
      <protection hidden="1"/>
    </xf>
    <xf numFmtId="0" fontId="23" fillId="0" borderId="0" xfId="6" applyFont="1" applyFill="1" applyBorder="1" applyAlignment="1" applyProtection="1">
      <alignment vertical="center"/>
      <protection hidden="1"/>
    </xf>
    <xf numFmtId="0" fontId="13" fillId="0" borderId="0" xfId="6" applyFont="1" applyFill="1" applyBorder="1" applyAlignment="1" applyProtection="1">
      <alignment vertical="center" wrapText="1"/>
    </xf>
    <xf numFmtId="0" fontId="36" fillId="2" borderId="1" xfId="3" applyAlignment="1" applyProtection="1">
      <alignment horizontal="left" vertical="center" wrapText="1"/>
      <protection locked="0"/>
    </xf>
    <xf numFmtId="0" fontId="0" fillId="0" borderId="0" xfId="0"/>
    <xf numFmtId="0" fontId="36" fillId="2" borderId="1" xfId="3" applyAlignment="1" applyProtection="1">
      <alignment horizontal="left" vertical="center" wrapText="1"/>
      <protection locked="0"/>
    </xf>
    <xf numFmtId="0" fontId="8" fillId="0" borderId="0" xfId="6"/>
    <xf numFmtId="2" fontId="35" fillId="3" borderId="2" xfId="4" applyNumberFormat="1" applyFont="1" applyAlignment="1" applyProtection="1">
      <alignment vertical="center"/>
      <protection hidden="1"/>
    </xf>
    <xf numFmtId="165" fontId="35" fillId="3" borderId="2" xfId="4" applyNumberFormat="1" applyFont="1" applyAlignment="1" applyProtection="1">
      <alignment vertical="center"/>
    </xf>
    <xf numFmtId="1" fontId="35" fillId="3" borderId="2" xfId="4" applyNumberFormat="1" applyFont="1" applyAlignment="1" applyProtection="1">
      <alignment horizontal="right" vertical="center"/>
    </xf>
    <xf numFmtId="0" fontId="5" fillId="10" borderId="0" xfId="0" applyFont="1" applyFill="1" applyBorder="1" applyAlignment="1">
      <alignment horizontal="right" vertical="center"/>
    </xf>
    <xf numFmtId="0" fontId="1" fillId="0" borderId="0" xfId="19">
      <protection locked="0"/>
    </xf>
    <xf numFmtId="0" fontId="13" fillId="0" borderId="0" xfId="6" applyFont="1" applyFill="1" applyBorder="1" applyAlignment="1" applyProtection="1">
      <alignment horizontal="center" vertical="center" wrapText="1"/>
    </xf>
    <xf numFmtId="0" fontId="13" fillId="0" borderId="0" xfId="6" applyFont="1" applyFill="1" applyBorder="1" applyAlignment="1" applyProtection="1">
      <alignment horizontal="center" vertical="center"/>
    </xf>
    <xf numFmtId="0" fontId="0" fillId="0" borderId="0" xfId="0"/>
    <xf numFmtId="0" fontId="0" fillId="0" borderId="0" xfId="0"/>
    <xf numFmtId="0" fontId="0" fillId="0" borderId="64" xfId="0" applyBorder="1"/>
    <xf numFmtId="0" fontId="8" fillId="0" borderId="4" xfId="7" applyFont="1" applyBorder="1" applyAlignment="1" applyProtection="1">
      <alignment horizontal="left"/>
    </xf>
    <xf numFmtId="0" fontId="32" fillId="0" borderId="4" xfId="7" applyBorder="1" applyProtection="1"/>
    <xf numFmtId="165" fontId="32" fillId="0" borderId="4" xfId="7" applyNumberFormat="1" applyBorder="1" applyProtection="1"/>
    <xf numFmtId="0" fontId="7" fillId="7" borderId="0" xfId="0" applyFont="1" applyFill="1" applyAlignment="1">
      <alignment horizontal="center" vertical="center" wrapText="1"/>
    </xf>
    <xf numFmtId="0" fontId="101" fillId="0" borderId="0" xfId="0" applyFont="1" applyAlignment="1">
      <alignment horizontal="center" vertical="center" wrapText="1"/>
    </xf>
    <xf numFmtId="0" fontId="7" fillId="0" borderId="0" xfId="0" applyFont="1" applyAlignment="1">
      <alignment horizontal="center" vertical="center"/>
    </xf>
    <xf numFmtId="0" fontId="10" fillId="7" borderId="0" xfId="6" applyFont="1" applyFill="1" applyBorder="1" applyAlignment="1" applyProtection="1">
      <alignment horizontal="center" vertical="center" wrapText="1"/>
    </xf>
    <xf numFmtId="0" fontId="13" fillId="0" borderId="0" xfId="6" applyFont="1" applyFill="1" applyBorder="1" applyAlignment="1" applyProtection="1">
      <alignment horizontal="left" vertical="center" wrapText="1"/>
    </xf>
    <xf numFmtId="0" fontId="13" fillId="0" borderId="5" xfId="6" applyFont="1" applyFill="1" applyBorder="1" applyAlignment="1" applyProtection="1">
      <alignment horizontal="left" vertical="center" wrapText="1"/>
    </xf>
    <xf numFmtId="0" fontId="23" fillId="0" borderId="4" xfId="6" applyFont="1" applyFill="1" applyBorder="1" applyAlignment="1" applyProtection="1">
      <alignment horizontal="center" vertical="center" wrapText="1"/>
      <protection hidden="1"/>
    </xf>
    <xf numFmtId="0" fontId="9" fillId="0" borderId="4" xfId="6" applyFont="1" applyFill="1" applyBorder="1" applyAlignment="1" applyProtection="1">
      <alignment horizontal="left" vertical="center" wrapText="1"/>
      <protection hidden="1"/>
    </xf>
    <xf numFmtId="0" fontId="27" fillId="4" borderId="3" xfId="5" applyFont="1" applyAlignment="1" applyProtection="1">
      <alignment horizontal="left" vertical="center" wrapText="1"/>
      <protection locked="0"/>
    </xf>
    <xf numFmtId="0" fontId="36" fillId="2" borderId="1" xfId="3" applyAlignment="1" applyProtection="1">
      <alignment horizontal="left" vertical="center" wrapText="1"/>
      <protection locked="0"/>
    </xf>
    <xf numFmtId="0" fontId="13" fillId="0" borderId="0" xfId="6" applyFont="1" applyFill="1" applyBorder="1" applyAlignment="1" applyProtection="1">
      <alignment horizontal="left" vertical="center"/>
    </xf>
    <xf numFmtId="0" fontId="13" fillId="0" borderId="54" xfId="6" applyFont="1" applyFill="1" applyBorder="1" applyAlignment="1" applyProtection="1">
      <alignment horizontal="left" vertical="center"/>
    </xf>
    <xf numFmtId="0" fontId="13" fillId="0" borderId="36" xfId="6" applyFont="1" applyFill="1" applyBorder="1" applyAlignment="1" applyProtection="1">
      <alignment horizontal="left" vertical="center" wrapText="1"/>
    </xf>
    <xf numFmtId="0" fontId="13" fillId="0" borderId="37" xfId="6" applyFont="1" applyFill="1" applyBorder="1" applyAlignment="1" applyProtection="1">
      <alignment horizontal="left" vertical="center" wrapText="1"/>
    </xf>
    <xf numFmtId="0" fontId="13" fillId="0" borderId="38" xfId="6" applyFont="1" applyFill="1" applyBorder="1" applyAlignment="1" applyProtection="1">
      <alignment horizontal="left" vertical="center" wrapText="1"/>
    </xf>
    <xf numFmtId="0" fontId="13" fillId="0" borderId="39" xfId="6" applyFont="1" applyFill="1" applyBorder="1" applyAlignment="1" applyProtection="1">
      <alignment horizontal="left" vertical="center" wrapText="1"/>
    </xf>
    <xf numFmtId="0" fontId="13" fillId="0" borderId="40" xfId="6" applyFont="1" applyFill="1" applyBorder="1" applyAlignment="1" applyProtection="1">
      <alignment horizontal="left" vertical="center" wrapText="1"/>
    </xf>
    <xf numFmtId="0" fontId="13" fillId="0" borderId="9" xfId="6" applyFont="1" applyFill="1" applyBorder="1" applyAlignment="1" applyProtection="1">
      <alignment horizontal="left" vertical="center" wrapText="1"/>
    </xf>
    <xf numFmtId="0" fontId="13" fillId="0" borderId="41" xfId="6" applyFont="1" applyFill="1" applyBorder="1" applyAlignment="1" applyProtection="1">
      <alignment horizontal="left" vertical="center" wrapText="1"/>
    </xf>
    <xf numFmtId="0" fontId="19" fillId="0" borderId="59" xfId="6" applyFont="1" applyFill="1" applyBorder="1" applyAlignment="1" applyProtection="1">
      <alignment horizontal="center" vertical="center" wrapText="1"/>
    </xf>
    <xf numFmtId="0" fontId="19" fillId="0" borderId="60" xfId="6" applyFont="1" applyFill="1" applyBorder="1" applyAlignment="1" applyProtection="1">
      <alignment horizontal="center" vertical="center" wrapText="1"/>
    </xf>
    <xf numFmtId="0" fontId="19" fillId="0" borderId="61" xfId="6" applyFont="1" applyFill="1" applyBorder="1" applyAlignment="1" applyProtection="1">
      <alignment horizontal="center" vertical="center" wrapText="1"/>
    </xf>
    <xf numFmtId="0" fontId="13" fillId="0" borderId="54" xfId="6" applyFont="1" applyFill="1" applyBorder="1" applyAlignment="1" applyProtection="1">
      <alignment horizontal="left" vertical="center" wrapText="1"/>
    </xf>
    <xf numFmtId="0" fontId="13" fillId="0" borderId="0" xfId="6" applyFont="1" applyFill="1" applyBorder="1" applyAlignment="1" applyProtection="1">
      <alignment horizontal="center" vertical="center" wrapText="1"/>
    </xf>
    <xf numFmtId="0" fontId="20" fillId="0" borderId="0" xfId="6" applyFont="1" applyFill="1" applyBorder="1" applyAlignment="1" applyProtection="1">
      <alignment horizontal="center" vertical="center" wrapText="1"/>
    </xf>
    <xf numFmtId="0" fontId="20" fillId="0" borderId="6" xfId="6" applyFont="1" applyFill="1" applyBorder="1" applyAlignment="1" applyProtection="1">
      <alignment horizontal="center" vertical="center" wrapText="1"/>
    </xf>
    <xf numFmtId="0" fontId="13" fillId="0" borderId="0" xfId="6" applyFont="1" applyFill="1" applyBorder="1" applyAlignment="1" applyProtection="1">
      <alignment horizontal="center" vertical="center"/>
    </xf>
    <xf numFmtId="0" fontId="13" fillId="4" borderId="3" xfId="5" applyFont="1" applyAlignment="1" applyProtection="1">
      <alignment horizontal="left" vertical="center" wrapText="1"/>
      <protection locked="0"/>
    </xf>
    <xf numFmtId="0" fontId="13" fillId="0" borderId="4" xfId="6" applyFont="1" applyFill="1" applyBorder="1" applyAlignment="1" applyProtection="1">
      <alignment horizontal="left" vertical="center" wrapText="1"/>
    </xf>
    <xf numFmtId="0" fontId="19" fillId="0" borderId="4" xfId="6" applyFont="1" applyFill="1" applyBorder="1" applyAlignment="1" applyProtection="1">
      <alignment horizontal="center" vertical="center" wrapText="1"/>
    </xf>
    <xf numFmtId="0" fontId="13" fillId="0" borderId="5" xfId="6" applyFont="1" applyFill="1" applyBorder="1" applyAlignment="1" applyProtection="1">
      <alignment horizontal="left" vertical="center"/>
    </xf>
    <xf numFmtId="0" fontId="13" fillId="0" borderId="51" xfId="6" applyFont="1" applyFill="1" applyBorder="1" applyAlignment="1" applyProtection="1">
      <alignment horizontal="left" vertical="center" wrapText="1"/>
    </xf>
    <xf numFmtId="0" fontId="19" fillId="0" borderId="0" xfId="6" applyFont="1" applyFill="1" applyBorder="1" applyAlignment="1" applyProtection="1">
      <alignment horizontal="center" vertical="center" wrapText="1"/>
    </xf>
    <xf numFmtId="0" fontId="103" fillId="0" borderId="0" xfId="6" applyFont="1" applyFill="1" applyBorder="1" applyAlignment="1" applyProtection="1">
      <alignment horizontal="center" vertical="center" wrapText="1"/>
    </xf>
    <xf numFmtId="0" fontId="13" fillId="0" borderId="0" xfId="7" applyFont="1" applyFill="1" applyBorder="1" applyAlignment="1" applyProtection="1">
      <alignment horizontal="left" vertical="center"/>
    </xf>
    <xf numFmtId="0" fontId="13" fillId="0" borderId="5" xfId="7" applyFont="1" applyFill="1" applyBorder="1" applyAlignment="1" applyProtection="1">
      <alignment horizontal="left" vertical="center"/>
    </xf>
    <xf numFmtId="0" fontId="13" fillId="0" borderId="0" xfId="7" applyFont="1" applyFill="1" applyBorder="1" applyAlignment="1" applyProtection="1">
      <alignment horizontal="left" vertical="center" wrapText="1"/>
    </xf>
    <xf numFmtId="0" fontId="13" fillId="0" borderId="5" xfId="7" applyFont="1" applyFill="1" applyBorder="1" applyAlignment="1" applyProtection="1">
      <alignment horizontal="left" vertical="center" wrapText="1"/>
    </xf>
    <xf numFmtId="0" fontId="13" fillId="0" borderId="0" xfId="7" applyFont="1" applyFill="1" applyBorder="1" applyAlignment="1" applyProtection="1">
      <alignment horizontal="center" vertical="center" wrapText="1"/>
    </xf>
    <xf numFmtId="0" fontId="20" fillId="0" borderId="0" xfId="7" applyFont="1" applyFill="1" applyBorder="1" applyAlignment="1" applyProtection="1">
      <alignment horizontal="center" vertical="center" wrapText="1"/>
    </xf>
    <xf numFmtId="0" fontId="20" fillId="0" borderId="6" xfId="7" applyFont="1" applyFill="1" applyBorder="1" applyAlignment="1" applyProtection="1">
      <alignment horizontal="center" vertical="center" wrapText="1"/>
    </xf>
    <xf numFmtId="0" fontId="19" fillId="0" borderId="0" xfId="7" applyFont="1" applyFill="1" applyBorder="1" applyAlignment="1" applyProtection="1">
      <alignment horizontal="center" vertical="center" wrapText="1"/>
    </xf>
    <xf numFmtId="0" fontId="10" fillId="7" borderId="0" xfId="7" applyFont="1" applyFill="1" applyBorder="1" applyAlignment="1" applyProtection="1">
      <alignment horizontal="center" vertical="center" wrapText="1"/>
    </xf>
    <xf numFmtId="0" fontId="14" fillId="0" borderId="0" xfId="7" applyFont="1" applyFill="1" applyBorder="1" applyAlignment="1" applyProtection="1">
      <alignment horizontal="left" vertical="center" wrapText="1"/>
    </xf>
    <xf numFmtId="0" fontId="36" fillId="2" borderId="10" xfId="3" applyBorder="1" applyAlignment="1" applyProtection="1">
      <alignment horizontal="center" vertical="center" wrapText="1"/>
      <protection locked="0"/>
    </xf>
    <xf numFmtId="0" fontId="36" fillId="2" borderId="11" xfId="3" applyBorder="1" applyAlignment="1" applyProtection="1">
      <alignment horizontal="center" vertical="center" wrapText="1"/>
      <protection locked="0"/>
    </xf>
    <xf numFmtId="0" fontId="36" fillId="2" borderId="12" xfId="3" applyBorder="1" applyAlignment="1" applyProtection="1">
      <alignment horizontal="center" vertical="center" wrapText="1"/>
      <protection locked="0"/>
    </xf>
    <xf numFmtId="0" fontId="103" fillId="0" borderId="0" xfId="7" applyFont="1" applyFill="1" applyBorder="1" applyAlignment="1" applyProtection="1">
      <alignment horizontal="center" vertical="center" wrapText="1"/>
    </xf>
    <xf numFmtId="0" fontId="4" fillId="7" borderId="0" xfId="0" applyFont="1" applyFill="1" applyBorder="1" applyAlignment="1">
      <alignment horizontal="center" vertical="center" wrapText="1"/>
    </xf>
    <xf numFmtId="0" fontId="2" fillId="0" borderId="0" xfId="0" applyFont="1" applyFill="1" applyBorder="1" applyAlignment="1">
      <alignment horizontal="center"/>
    </xf>
    <xf numFmtId="0" fontId="0" fillId="4" borderId="3" xfId="5" applyFont="1" applyAlignment="1" applyProtection="1">
      <alignment horizontal="left" vertical="center" wrapText="1"/>
      <protection locked="0"/>
    </xf>
    <xf numFmtId="0" fontId="5" fillId="10" borderId="0" xfId="0" applyFont="1" applyFill="1" applyBorder="1" applyAlignment="1">
      <alignment horizontal="left" vertical="center" wrapText="1"/>
    </xf>
    <xf numFmtId="0" fontId="5" fillId="0" borderId="0" xfId="17"/>
    <xf numFmtId="0" fontId="62" fillId="0" borderId="0" xfId="0" applyFont="1" applyBorder="1" applyAlignment="1">
      <alignment horizontal="center" vertical="center"/>
    </xf>
    <xf numFmtId="0" fontId="62" fillId="0" borderId="0" xfId="0" applyFont="1" applyBorder="1" applyAlignment="1">
      <alignment horizontal="center" vertical="center" wrapText="1"/>
    </xf>
    <xf numFmtId="0" fontId="2" fillId="0" borderId="0" xfId="0" applyFont="1" applyBorder="1" applyAlignment="1">
      <alignment horizontal="center" vertical="center"/>
    </xf>
    <xf numFmtId="0" fontId="5" fillId="10" borderId="0" xfId="0" applyFont="1" applyFill="1" applyBorder="1" applyAlignment="1">
      <alignment horizontal="right" vertical="center"/>
    </xf>
    <xf numFmtId="0" fontId="63" fillId="0" borderId="0" xfId="0" applyFont="1" applyBorder="1" applyAlignment="1">
      <alignment horizontal="center" vertical="center" wrapText="1"/>
    </xf>
    <xf numFmtId="0" fontId="5" fillId="0" borderId="0" xfId="0" applyFont="1" applyAlignment="1">
      <alignment horizontal="center" vertical="center" wrapText="1"/>
    </xf>
    <xf numFmtId="0" fontId="84" fillId="3" borderId="24" xfId="14" applyBorder="1" applyAlignment="1" applyProtection="1">
      <alignment horizontal="center" vertical="center"/>
    </xf>
    <xf numFmtId="0" fontId="84" fillId="3" borderId="25" xfId="14" applyBorder="1" applyAlignment="1" applyProtection="1">
      <alignment horizontal="center" vertical="center"/>
    </xf>
    <xf numFmtId="0" fontId="84" fillId="3" borderId="52" xfId="14" applyBorder="1" applyAlignment="1" applyProtection="1">
      <alignment horizontal="center" vertical="center"/>
    </xf>
    <xf numFmtId="0" fontId="84" fillId="3" borderId="53" xfId="14" applyBorder="1" applyAlignment="1" applyProtection="1">
      <alignment horizontal="center" vertical="center"/>
    </xf>
    <xf numFmtId="0" fontId="84" fillId="3" borderId="0" xfId="14" applyBorder="1" applyAlignment="1" applyProtection="1">
      <alignment horizontal="center" vertical="center"/>
    </xf>
    <xf numFmtId="0" fontId="84" fillId="3" borderId="54" xfId="14" applyBorder="1" applyAlignment="1" applyProtection="1">
      <alignment horizontal="center" vertical="center"/>
    </xf>
    <xf numFmtId="0" fontId="84" fillId="3" borderId="27" xfId="14" applyBorder="1" applyAlignment="1" applyProtection="1">
      <alignment horizontal="center" vertical="center"/>
    </xf>
    <xf numFmtId="0" fontId="84" fillId="3" borderId="28" xfId="14" applyBorder="1" applyAlignment="1" applyProtection="1">
      <alignment horizontal="center" vertical="center"/>
    </xf>
    <xf numFmtId="0" fontId="84" fillId="3" borderId="55" xfId="14" applyBorder="1" applyAlignment="1" applyProtection="1">
      <alignment horizontal="center" vertical="center"/>
    </xf>
    <xf numFmtId="0" fontId="6" fillId="13" borderId="23" xfId="9" applyFont="1" applyFill="1" applyBorder="1" applyAlignment="1" applyProtection="1">
      <alignment horizontal="left" vertical="center" wrapText="1"/>
    </xf>
    <xf numFmtId="0" fontId="6" fillId="13" borderId="0" xfId="9" applyFont="1" applyFill="1" applyBorder="1" applyAlignment="1" applyProtection="1">
      <alignment horizontal="left" vertical="center" wrapText="1"/>
    </xf>
    <xf numFmtId="0" fontId="6" fillId="13" borderId="54" xfId="9" applyFont="1" applyFill="1" applyBorder="1" applyAlignment="1" applyProtection="1">
      <alignment horizontal="left" vertical="center" wrapText="1"/>
    </xf>
    <xf numFmtId="0" fontId="84" fillId="3" borderId="26" xfId="14" applyBorder="1" applyAlignment="1" applyProtection="1">
      <alignment horizontal="center" vertical="center"/>
    </xf>
    <xf numFmtId="0" fontId="84" fillId="3" borderId="29" xfId="14" applyBorder="1" applyAlignment="1" applyProtection="1">
      <alignment horizontal="center" vertical="center"/>
    </xf>
    <xf numFmtId="0" fontId="6" fillId="0" borderId="0" xfId="9" applyFont="1" applyAlignment="1" applyProtection="1">
      <alignment horizontal="left" vertical="center" wrapText="1"/>
    </xf>
    <xf numFmtId="0" fontId="75" fillId="11" borderId="36" xfId="12" applyBorder="1" applyAlignment="1" applyProtection="1">
      <alignment horizontal="center" vertical="center" wrapText="1"/>
      <protection locked="0"/>
    </xf>
    <xf numFmtId="0" fontId="75" fillId="11" borderId="37" xfId="12" applyBorder="1" applyAlignment="1" applyProtection="1">
      <alignment horizontal="center" vertical="center" wrapText="1"/>
      <protection locked="0"/>
    </xf>
    <xf numFmtId="0" fontId="75" fillId="11" borderId="38" xfId="12" applyBorder="1" applyAlignment="1" applyProtection="1">
      <alignment horizontal="center" vertical="center" wrapText="1"/>
      <protection locked="0"/>
    </xf>
    <xf numFmtId="0" fontId="75" fillId="11" borderId="39" xfId="12" applyBorder="1" applyAlignment="1" applyProtection="1">
      <alignment horizontal="center" vertical="center" wrapText="1"/>
      <protection locked="0"/>
    </xf>
    <xf numFmtId="0" fontId="75" fillId="11" borderId="0" xfId="12" applyBorder="1" applyAlignment="1" applyProtection="1">
      <alignment horizontal="center" vertical="center" wrapText="1"/>
      <protection locked="0"/>
    </xf>
    <xf numFmtId="0" fontId="75" fillId="11" borderId="5" xfId="12" applyBorder="1" applyAlignment="1" applyProtection="1">
      <alignment horizontal="center" vertical="center" wrapText="1"/>
      <protection locked="0"/>
    </xf>
    <xf numFmtId="0" fontId="75" fillId="11" borderId="40" xfId="12" applyBorder="1" applyAlignment="1" applyProtection="1">
      <alignment horizontal="center" vertical="center" wrapText="1"/>
      <protection locked="0"/>
    </xf>
    <xf numFmtId="0" fontId="75" fillId="11" borderId="9" xfId="12" applyBorder="1" applyAlignment="1" applyProtection="1">
      <alignment horizontal="center" vertical="center" wrapText="1"/>
      <protection locked="0"/>
    </xf>
    <xf numFmtId="0" fontId="75" fillId="11" borderId="41" xfId="12" applyBorder="1" applyAlignment="1" applyProtection="1">
      <alignment horizontal="center" vertical="center" wrapText="1"/>
      <protection locked="0"/>
    </xf>
    <xf numFmtId="0" fontId="121" fillId="3" borderId="2" xfId="4" applyFont="1" applyAlignment="1">
      <alignment horizontal="center" vertical="center" wrapText="1"/>
    </xf>
    <xf numFmtId="0" fontId="84" fillId="3" borderId="24" xfId="14" applyFont="1" applyBorder="1" applyAlignment="1" applyProtection="1">
      <alignment horizontal="center" vertical="center" wrapText="1"/>
    </xf>
    <xf numFmtId="0" fontId="84" fillId="3" borderId="25" xfId="14" applyFont="1" applyBorder="1" applyAlignment="1" applyProtection="1">
      <alignment horizontal="center" vertical="center" wrapText="1"/>
    </xf>
    <xf numFmtId="0" fontId="84" fillId="3" borderId="26" xfId="14" applyFont="1" applyBorder="1" applyAlignment="1" applyProtection="1">
      <alignment horizontal="center" vertical="center" wrapText="1"/>
    </xf>
    <xf numFmtId="0" fontId="84" fillId="3" borderId="27" xfId="14" applyFont="1" applyBorder="1" applyAlignment="1" applyProtection="1">
      <alignment horizontal="center" vertical="center" wrapText="1"/>
    </xf>
    <xf numFmtId="0" fontId="84" fillId="3" borderId="28" xfId="14" applyFont="1" applyBorder="1" applyAlignment="1" applyProtection="1">
      <alignment horizontal="center" vertical="center" wrapText="1"/>
    </xf>
    <xf numFmtId="0" fontId="84" fillId="3" borderId="29" xfId="14" applyFont="1" applyBorder="1" applyAlignment="1" applyProtection="1">
      <alignment horizontal="center" vertical="center" wrapText="1"/>
    </xf>
    <xf numFmtId="0" fontId="75" fillId="11" borderId="17" xfId="12" applyBorder="1" applyAlignment="1" applyProtection="1">
      <alignment horizontal="center" vertical="center"/>
      <protection locked="0"/>
    </xf>
    <xf numFmtId="0" fontId="75" fillId="11" borderId="18" xfId="12" applyBorder="1" applyAlignment="1" applyProtection="1">
      <alignment horizontal="center" vertical="center"/>
      <protection locked="0"/>
    </xf>
    <xf numFmtId="0" fontId="75" fillId="11" borderId="19" xfId="12" applyBorder="1" applyAlignment="1" applyProtection="1">
      <alignment horizontal="center" vertical="center"/>
      <protection locked="0"/>
    </xf>
    <xf numFmtId="0" fontId="75" fillId="11" borderId="50" xfId="12" applyBorder="1" applyAlignment="1" applyProtection="1">
      <alignment horizontal="center" vertical="center"/>
      <protection locked="0"/>
    </xf>
    <xf numFmtId="0" fontId="75" fillId="11" borderId="0" xfId="12" applyBorder="1" applyAlignment="1" applyProtection="1">
      <alignment horizontal="center" vertical="center"/>
      <protection locked="0"/>
    </xf>
    <xf numFmtId="0" fontId="75" fillId="11" borderId="51" xfId="12" applyBorder="1" applyAlignment="1" applyProtection="1">
      <alignment horizontal="center" vertical="center"/>
      <protection locked="0"/>
    </xf>
    <xf numFmtId="0" fontId="75" fillId="11" borderId="33" xfId="12" applyBorder="1" applyAlignment="1" applyProtection="1">
      <alignment horizontal="center" vertical="center"/>
      <protection locked="0"/>
    </xf>
    <xf numFmtId="0" fontId="75" fillId="11" borderId="34" xfId="12" applyBorder="1" applyAlignment="1" applyProtection="1">
      <alignment horizontal="center" vertical="center"/>
      <protection locked="0"/>
    </xf>
    <xf numFmtId="0" fontId="75" fillId="11" borderId="35" xfId="12" applyBorder="1" applyAlignment="1" applyProtection="1">
      <alignment horizontal="center" vertical="center"/>
      <protection locked="0"/>
    </xf>
    <xf numFmtId="1" fontId="84" fillId="3" borderId="36" xfId="14" applyNumberFormat="1" applyFont="1" applyBorder="1" applyAlignment="1" applyProtection="1">
      <alignment horizontal="center" vertical="center" wrapText="1"/>
    </xf>
    <xf numFmtId="1" fontId="84" fillId="3" borderId="37" xfId="14" applyNumberFormat="1" applyFont="1" applyBorder="1" applyAlignment="1" applyProtection="1">
      <alignment horizontal="center" vertical="center" wrapText="1"/>
    </xf>
    <xf numFmtId="1" fontId="84" fillId="3" borderId="38" xfId="14" applyNumberFormat="1" applyFont="1" applyBorder="1" applyAlignment="1" applyProtection="1">
      <alignment horizontal="center" vertical="center" wrapText="1"/>
    </xf>
    <xf numFmtId="1" fontId="84" fillId="3" borderId="40" xfId="14" applyNumberFormat="1" applyFont="1" applyBorder="1" applyAlignment="1" applyProtection="1">
      <alignment horizontal="center" vertical="center" wrapText="1"/>
    </xf>
    <xf numFmtId="1" fontId="84" fillId="3" borderId="9" xfId="14" applyNumberFormat="1" applyFont="1" applyBorder="1" applyAlignment="1" applyProtection="1">
      <alignment horizontal="center" vertical="center" wrapText="1"/>
    </xf>
    <xf numFmtId="1" fontId="84" fillId="3" borderId="41" xfId="14" applyNumberFormat="1" applyFont="1" applyBorder="1" applyAlignment="1" applyProtection="1">
      <alignment horizontal="center" vertical="center" wrapText="1"/>
    </xf>
    <xf numFmtId="0" fontId="122" fillId="2" borderId="1" xfId="3" applyFont="1" applyAlignment="1" applyProtection="1">
      <alignment horizontal="center" vertical="center" wrapText="1"/>
      <protection locked="0"/>
    </xf>
    <xf numFmtId="0" fontId="75" fillId="11" borderId="36" xfId="12" applyBorder="1" applyAlignment="1" applyProtection="1">
      <alignment horizontal="center" vertical="center"/>
      <protection locked="0"/>
    </xf>
    <xf numFmtId="0" fontId="75" fillId="11" borderId="37" xfId="12" applyBorder="1" applyAlignment="1" applyProtection="1">
      <alignment horizontal="center" vertical="center"/>
      <protection locked="0"/>
    </xf>
    <xf numFmtId="0" fontId="75" fillId="11" borderId="38" xfId="12" applyBorder="1" applyAlignment="1" applyProtection="1">
      <alignment horizontal="center" vertical="center"/>
      <protection locked="0"/>
    </xf>
    <xf numFmtId="0" fontId="75" fillId="11" borderId="39" xfId="12" applyBorder="1" applyAlignment="1" applyProtection="1">
      <alignment horizontal="center" vertical="center"/>
      <protection locked="0"/>
    </xf>
    <xf numFmtId="0" fontId="75" fillId="11" borderId="5" xfId="12" applyBorder="1" applyAlignment="1" applyProtection="1">
      <alignment horizontal="center" vertical="center"/>
      <protection locked="0"/>
    </xf>
    <xf numFmtId="0" fontId="75" fillId="11" borderId="40" xfId="12" applyBorder="1" applyAlignment="1" applyProtection="1">
      <alignment horizontal="center" vertical="center"/>
      <protection locked="0"/>
    </xf>
    <xf numFmtId="0" fontId="75" fillId="11" borderId="9" xfId="12" applyBorder="1" applyAlignment="1" applyProtection="1">
      <alignment horizontal="center" vertical="center"/>
      <protection locked="0"/>
    </xf>
    <xf numFmtId="0" fontId="75" fillId="11" borderId="41" xfId="12" applyBorder="1" applyAlignment="1" applyProtection="1">
      <alignment horizontal="center" vertical="center"/>
      <protection locked="0"/>
    </xf>
    <xf numFmtId="0" fontId="5" fillId="12" borderId="10" xfId="13" applyFont="1" applyBorder="1" applyAlignment="1" applyProtection="1">
      <alignment horizontal="left" vertical="center" wrapText="1"/>
      <protection locked="0"/>
    </xf>
    <xf numFmtId="0" fontId="5" fillId="12" borderId="11" xfId="13" applyFont="1" applyBorder="1" applyAlignment="1" applyProtection="1">
      <alignment horizontal="left" vertical="center" wrapText="1"/>
      <protection locked="0"/>
    </xf>
    <xf numFmtId="0" fontId="5" fillId="12" borderId="12" xfId="13" applyFont="1" applyBorder="1" applyAlignment="1" applyProtection="1">
      <alignment horizontal="left" vertical="center" wrapText="1"/>
      <protection locked="0"/>
    </xf>
    <xf numFmtId="0" fontId="7" fillId="7" borderId="0" xfId="0" applyFont="1" applyFill="1" applyBorder="1" applyAlignment="1" applyProtection="1">
      <alignment horizontal="center" vertical="center" wrapText="1"/>
    </xf>
    <xf numFmtId="0" fontId="6" fillId="0" borderId="0" xfId="9" applyFont="1" applyAlignment="1" applyProtection="1">
      <alignment horizontal="center" vertical="center" wrapText="1"/>
    </xf>
    <xf numFmtId="0" fontId="6" fillId="0" borderId="5" xfId="9" applyFont="1" applyBorder="1" applyAlignment="1" applyProtection="1">
      <alignment horizontal="center" vertical="center" wrapText="1"/>
    </xf>
    <xf numFmtId="3" fontId="43" fillId="12" borderId="42" xfId="13" applyNumberFormat="1" applyBorder="1" applyAlignment="1" applyProtection="1">
      <alignment horizontal="center" vertical="center" wrapText="1"/>
    </xf>
    <xf numFmtId="3" fontId="43" fillId="12" borderId="43" xfId="13" applyNumberFormat="1" applyBorder="1" applyAlignment="1" applyProtection="1">
      <alignment horizontal="center" vertical="center" wrapText="1"/>
    </xf>
    <xf numFmtId="3" fontId="43" fillId="12" borderId="44" xfId="13" applyNumberFormat="1" applyBorder="1" applyAlignment="1" applyProtection="1">
      <alignment horizontal="center" vertical="center" wrapText="1"/>
    </xf>
    <xf numFmtId="3" fontId="43" fillId="12" borderId="47" xfId="13" applyNumberFormat="1" applyBorder="1" applyAlignment="1" applyProtection="1">
      <alignment horizontal="center" vertical="center" wrapText="1"/>
    </xf>
    <xf numFmtId="3" fontId="43" fillId="12" borderId="48" xfId="13" applyNumberFormat="1" applyBorder="1" applyAlignment="1" applyProtection="1">
      <alignment horizontal="center" vertical="center" wrapText="1"/>
    </xf>
    <xf numFmtId="3" fontId="43" fillId="12" borderId="49" xfId="13" applyNumberFormat="1" applyBorder="1" applyAlignment="1" applyProtection="1">
      <alignment horizontal="center" vertical="center" wrapText="1"/>
    </xf>
    <xf numFmtId="0" fontId="75" fillId="11" borderId="17" xfId="12" applyBorder="1" applyAlignment="1" applyProtection="1">
      <alignment horizontal="center" vertical="center" wrapText="1"/>
      <protection locked="0"/>
    </xf>
    <xf numFmtId="0" fontId="75" fillId="11" borderId="18" xfId="12" applyBorder="1" applyAlignment="1" applyProtection="1">
      <alignment horizontal="center" vertical="center" wrapText="1"/>
      <protection locked="0"/>
    </xf>
    <xf numFmtId="0" fontId="75" fillId="11" borderId="19" xfId="12" applyBorder="1" applyAlignment="1" applyProtection="1">
      <alignment horizontal="center" vertical="center" wrapText="1"/>
      <protection locked="0"/>
    </xf>
    <xf numFmtId="0" fontId="75" fillId="11" borderId="33" xfId="12" applyBorder="1" applyAlignment="1" applyProtection="1">
      <alignment horizontal="center" vertical="center" wrapText="1"/>
      <protection locked="0"/>
    </xf>
    <xf numFmtId="0" fontId="75" fillId="11" borderId="34" xfId="12" applyBorder="1" applyAlignment="1" applyProtection="1">
      <alignment horizontal="center" vertical="center" wrapText="1"/>
      <protection locked="0"/>
    </xf>
    <xf numFmtId="0" fontId="75" fillId="11" borderId="35" xfId="12" applyBorder="1" applyAlignment="1" applyProtection="1">
      <alignment horizontal="center" vertical="center" wrapText="1"/>
      <protection locked="0"/>
    </xf>
    <xf numFmtId="0" fontId="43" fillId="12" borderId="42" xfId="13" applyBorder="1" applyAlignment="1" applyProtection="1">
      <alignment horizontal="center" vertical="center" wrapText="1"/>
    </xf>
    <xf numFmtId="0" fontId="43" fillId="12" borderId="43" xfId="13" applyBorder="1" applyAlignment="1" applyProtection="1">
      <alignment horizontal="center" vertical="center" wrapText="1"/>
    </xf>
    <xf numFmtId="0" fontId="43" fillId="12" borderId="44" xfId="13" applyBorder="1" applyAlignment="1" applyProtection="1">
      <alignment horizontal="center" vertical="center" wrapText="1"/>
    </xf>
    <xf numFmtId="0" fontId="43" fillId="12" borderId="45" xfId="13" applyBorder="1" applyAlignment="1" applyProtection="1">
      <alignment horizontal="center" vertical="center" wrapText="1"/>
    </xf>
    <xf numFmtId="0" fontId="43" fillId="12" borderId="0" xfId="13" applyBorder="1" applyAlignment="1" applyProtection="1">
      <alignment horizontal="center" vertical="center" wrapText="1"/>
    </xf>
    <xf numFmtId="0" fontId="43" fillId="12" borderId="46" xfId="13" applyBorder="1" applyAlignment="1" applyProtection="1">
      <alignment horizontal="center" vertical="center" wrapText="1"/>
    </xf>
    <xf numFmtId="0" fontId="43" fillId="12" borderId="47" xfId="13" applyBorder="1" applyAlignment="1" applyProtection="1">
      <alignment horizontal="center" vertical="center" wrapText="1"/>
    </xf>
    <xf numFmtId="0" fontId="43" fillId="12" borderId="48" xfId="13" applyBorder="1" applyAlignment="1" applyProtection="1">
      <alignment horizontal="center" vertical="center" wrapText="1"/>
    </xf>
    <xf numFmtId="0" fontId="43" fillId="12" borderId="49" xfId="13" applyBorder="1" applyAlignment="1" applyProtection="1">
      <alignment horizontal="center" vertical="center" wrapText="1"/>
    </xf>
    <xf numFmtId="0" fontId="88" fillId="0" borderId="0" xfId="11" applyFont="1" applyAlignment="1" applyProtection="1">
      <alignment horizontal="center" vertical="center" wrapText="1"/>
    </xf>
    <xf numFmtId="0" fontId="6" fillId="0" borderId="0" xfId="15" applyFont="1" applyAlignment="1" applyProtection="1">
      <alignment horizontal="left" vertical="center" wrapText="1"/>
    </xf>
    <xf numFmtId="3" fontId="75" fillId="11" borderId="17" xfId="12" applyNumberFormat="1" applyFont="1" applyBorder="1" applyAlignment="1" applyProtection="1">
      <alignment horizontal="center" vertical="center"/>
      <protection locked="0"/>
    </xf>
    <xf numFmtId="3" fontId="75" fillId="11" borderId="18" xfId="12" applyNumberFormat="1" applyFont="1" applyBorder="1" applyAlignment="1" applyProtection="1">
      <alignment horizontal="center" vertical="center"/>
      <protection locked="0"/>
    </xf>
    <xf numFmtId="3" fontId="75" fillId="11" borderId="19" xfId="12" applyNumberFormat="1" applyFont="1" applyBorder="1" applyAlignment="1" applyProtection="1">
      <alignment horizontal="center" vertical="center"/>
      <protection locked="0"/>
    </xf>
    <xf numFmtId="3" fontId="75" fillId="11" borderId="33" xfId="12" applyNumberFormat="1" applyFont="1" applyBorder="1" applyAlignment="1" applyProtection="1">
      <alignment horizontal="center" vertical="center"/>
      <protection locked="0"/>
    </xf>
    <xf numFmtId="3" fontId="75" fillId="11" borderId="34" xfId="12" applyNumberFormat="1" applyFont="1" applyBorder="1" applyAlignment="1" applyProtection="1">
      <alignment horizontal="center" vertical="center"/>
      <protection locked="0"/>
    </xf>
    <xf numFmtId="3" fontId="75" fillId="11" borderId="35" xfId="12" applyNumberFormat="1" applyFont="1" applyBorder="1" applyAlignment="1" applyProtection="1">
      <alignment horizontal="center" vertical="center"/>
      <protection locked="0"/>
    </xf>
    <xf numFmtId="0" fontId="6" fillId="0" borderId="0" xfId="15" applyFont="1" applyAlignment="1" applyProtection="1">
      <alignment horizontal="left" vertical="center"/>
    </xf>
    <xf numFmtId="0" fontId="6" fillId="0" borderId="0" xfId="15" applyFont="1" applyAlignment="1" applyProtection="1">
      <alignment horizontal="center" vertical="center" wrapText="1"/>
    </xf>
    <xf numFmtId="0" fontId="32" fillId="0" borderId="0" xfId="7" applyProtection="1"/>
    <xf numFmtId="3" fontId="84" fillId="3" borderId="2" xfId="14" applyNumberFormat="1" applyAlignment="1" applyProtection="1">
      <alignment horizontal="center" vertical="center"/>
    </xf>
    <xf numFmtId="0" fontId="6" fillId="13" borderId="23" xfId="15" applyFont="1" applyFill="1" applyBorder="1" applyAlignment="1" applyProtection="1">
      <alignment horizontal="left" vertical="center" wrapText="1"/>
    </xf>
    <xf numFmtId="0" fontId="6" fillId="13" borderId="0" xfId="15" applyFont="1" applyFill="1" applyBorder="1" applyAlignment="1" applyProtection="1">
      <alignment horizontal="left" vertical="center" wrapText="1"/>
    </xf>
    <xf numFmtId="0" fontId="84" fillId="3" borderId="24" xfId="14" applyFont="1" applyBorder="1" applyAlignment="1" applyProtection="1">
      <alignment horizontal="center" vertical="center"/>
    </xf>
    <xf numFmtId="0" fontId="84" fillId="3" borderId="25" xfId="14" applyFont="1" applyBorder="1" applyAlignment="1" applyProtection="1">
      <alignment horizontal="center" vertical="center"/>
    </xf>
    <xf numFmtId="0" fontId="84" fillId="3" borderId="26" xfId="14" applyFont="1" applyBorder="1" applyAlignment="1" applyProtection="1">
      <alignment horizontal="center" vertical="center"/>
    </xf>
    <xf numFmtId="0" fontId="84" fillId="3" borderId="27" xfId="14" applyFont="1" applyBorder="1" applyAlignment="1" applyProtection="1">
      <alignment horizontal="center" vertical="center"/>
    </xf>
    <xf numFmtId="0" fontId="84" fillId="3" borderId="28" xfId="14" applyFont="1" applyBorder="1" applyAlignment="1" applyProtection="1">
      <alignment horizontal="center" vertical="center"/>
    </xf>
    <xf numFmtId="0" fontId="84" fillId="3" borderId="29" xfId="14" applyFont="1" applyBorder="1" applyAlignment="1" applyProtection="1">
      <alignment horizontal="center" vertical="center"/>
    </xf>
    <xf numFmtId="170" fontId="75" fillId="11" borderId="17" xfId="12" applyNumberFormat="1" applyFont="1" applyBorder="1" applyAlignment="1" applyProtection="1">
      <alignment horizontal="center" vertical="center"/>
      <protection locked="0"/>
    </xf>
    <xf numFmtId="170" fontId="75" fillId="11" borderId="18" xfId="12" applyNumberFormat="1" applyFont="1" applyBorder="1" applyAlignment="1" applyProtection="1">
      <alignment horizontal="center" vertical="center"/>
      <protection locked="0"/>
    </xf>
    <xf numFmtId="170" fontId="75" fillId="11" borderId="19" xfId="12" applyNumberFormat="1" applyFont="1" applyBorder="1" applyAlignment="1" applyProtection="1">
      <alignment horizontal="center" vertical="center"/>
      <protection locked="0"/>
    </xf>
    <xf numFmtId="170" fontId="75" fillId="11" borderId="33" xfId="12" applyNumberFormat="1" applyFont="1" applyBorder="1" applyAlignment="1" applyProtection="1">
      <alignment horizontal="center" vertical="center"/>
      <protection locked="0"/>
    </xf>
    <xf numFmtId="170" fontId="75" fillId="11" borderId="34" xfId="12" applyNumberFormat="1" applyFont="1" applyBorder="1" applyAlignment="1" applyProtection="1">
      <alignment horizontal="center" vertical="center"/>
      <protection locked="0"/>
    </xf>
    <xf numFmtId="170" fontId="75" fillId="11" borderId="35" xfId="12" applyNumberFormat="1" applyFont="1" applyBorder="1" applyAlignment="1" applyProtection="1">
      <alignment horizontal="center" vertical="center"/>
      <protection locked="0"/>
    </xf>
    <xf numFmtId="4" fontId="75" fillId="11" borderId="17" xfId="12" applyNumberFormat="1" applyFont="1" applyBorder="1" applyAlignment="1" applyProtection="1">
      <alignment horizontal="center" vertical="center"/>
      <protection locked="0"/>
    </xf>
    <xf numFmtId="4" fontId="75" fillId="11" borderId="18" xfId="12" applyNumberFormat="1" applyFont="1" applyBorder="1" applyAlignment="1" applyProtection="1">
      <alignment horizontal="center" vertical="center"/>
      <protection locked="0"/>
    </xf>
    <xf numFmtId="4" fontId="75" fillId="11" borderId="19" xfId="12" applyNumberFormat="1" applyFont="1" applyBorder="1" applyAlignment="1" applyProtection="1">
      <alignment horizontal="center" vertical="center"/>
      <protection locked="0"/>
    </xf>
    <xf numFmtId="4" fontId="75" fillId="11" borderId="33" xfId="12" applyNumberFormat="1" applyFont="1" applyBorder="1" applyAlignment="1" applyProtection="1">
      <alignment horizontal="center" vertical="center"/>
      <protection locked="0"/>
    </xf>
    <xf numFmtId="4" fontId="75" fillId="11" borderId="34" xfId="12" applyNumberFormat="1" applyFont="1" applyBorder="1" applyAlignment="1" applyProtection="1">
      <alignment horizontal="center" vertical="center"/>
      <protection locked="0"/>
    </xf>
    <xf numFmtId="4" fontId="75" fillId="11" borderId="35" xfId="12" applyNumberFormat="1" applyFont="1" applyBorder="1" applyAlignment="1" applyProtection="1">
      <alignment horizontal="center" vertical="center"/>
      <protection locked="0"/>
    </xf>
    <xf numFmtId="0" fontId="6" fillId="0" borderId="0" xfId="15" applyFont="1" applyAlignment="1" applyProtection="1">
      <alignment horizontal="center" vertical="center"/>
    </xf>
    <xf numFmtId="0" fontId="91" fillId="0" borderId="0" xfId="16" applyFont="1" applyBorder="1" applyAlignment="1" applyProtection="1">
      <alignment horizontal="center" vertical="center" wrapText="1"/>
    </xf>
    <xf numFmtId="3" fontId="75" fillId="11" borderId="13" xfId="12" applyNumberFormat="1" applyFont="1" applyBorder="1" applyAlignment="1" applyProtection="1">
      <alignment horizontal="center" vertical="center"/>
      <protection locked="0"/>
    </xf>
    <xf numFmtId="3" fontId="75" fillId="11" borderId="14" xfId="12" applyNumberFormat="1" applyFont="1" applyBorder="1" applyAlignment="1" applyProtection="1">
      <alignment horizontal="center" vertical="center"/>
      <protection locked="0"/>
    </xf>
    <xf numFmtId="3" fontId="75" fillId="11" borderId="15" xfId="12" applyNumberFormat="1" applyFont="1" applyBorder="1" applyAlignment="1" applyProtection="1">
      <alignment horizontal="center" vertical="center"/>
      <protection locked="0"/>
    </xf>
    <xf numFmtId="0" fontId="8" fillId="0" borderId="0" xfId="6"/>
    <xf numFmtId="0" fontId="36" fillId="2" borderId="1" xfId="3" applyAlignment="1">
      <alignment horizontal="center" vertical="center"/>
      <protection locked="0"/>
    </xf>
    <xf numFmtId="165" fontId="21" fillId="6" borderId="7" xfId="6" applyNumberFormat="1" applyFont="1" applyFill="1" applyBorder="1" applyAlignment="1" applyProtection="1">
      <alignment horizontal="center" vertical="center"/>
    </xf>
    <xf numFmtId="165" fontId="21" fillId="6" borderId="8" xfId="6" applyNumberFormat="1" applyFont="1" applyFill="1" applyBorder="1" applyAlignment="1" applyProtection="1">
      <alignment horizontal="center" vertical="center"/>
    </xf>
    <xf numFmtId="0" fontId="13" fillId="0" borderId="51" xfId="6" applyFont="1" applyFill="1" applyBorder="1" applyAlignment="1" applyProtection="1">
      <alignment horizontal="center" vertical="center" wrapText="1"/>
    </xf>
    <xf numFmtId="0" fontId="36" fillId="2" borderId="62" xfId="3" applyBorder="1" applyAlignment="1">
      <alignment horizontal="center" vertical="center"/>
      <protection locked="0"/>
    </xf>
    <xf numFmtId="0" fontId="36" fillId="2" borderId="63" xfId="3" applyBorder="1" applyAlignment="1">
      <alignment horizontal="center" vertical="center"/>
      <protection locked="0"/>
    </xf>
    <xf numFmtId="0" fontId="0" fillId="0" borderId="0" xfId="0" applyFont="1" applyAlignment="1">
      <alignment horizontal="left" vertical="center" wrapText="1"/>
    </xf>
    <xf numFmtId="0" fontId="1" fillId="0" borderId="0" xfId="0" applyFont="1" applyAlignment="1">
      <alignment horizontal="left" vertical="center" wrapText="1"/>
    </xf>
    <xf numFmtId="0" fontId="7" fillId="0" borderId="0" xfId="0" applyFont="1" applyAlignment="1">
      <alignment horizontal="left" vertical="center" wrapText="1"/>
    </xf>
    <xf numFmtId="0" fontId="0" fillId="10" borderId="0" xfId="0" applyFill="1" applyAlignment="1">
      <alignment horizontal="center" vertical="center"/>
    </xf>
    <xf numFmtId="0" fontId="96" fillId="0" borderId="0" xfId="0" applyFont="1" applyFill="1" applyAlignment="1">
      <alignment horizontal="center" vertical="center"/>
    </xf>
    <xf numFmtId="0" fontId="0" fillId="0" borderId="0" xfId="0"/>
    <xf numFmtId="0" fontId="96" fillId="10" borderId="0" xfId="0" applyFont="1" applyFill="1" applyAlignment="1">
      <alignment horizontal="center" vertical="center" wrapText="1"/>
    </xf>
    <xf numFmtId="0" fontId="96" fillId="10" borderId="0" xfId="0" applyFont="1" applyFill="1" applyAlignment="1">
      <alignment horizontal="center" vertical="center"/>
    </xf>
    <xf numFmtId="0" fontId="116" fillId="10" borderId="0" xfId="0" applyFont="1" applyFill="1" applyAlignment="1">
      <alignment horizontal="center" vertical="center" wrapText="1"/>
    </xf>
    <xf numFmtId="0" fontId="101" fillId="10" borderId="0" xfId="0" applyFont="1" applyFill="1" applyAlignment="1">
      <alignment horizontal="center" vertical="center" wrapText="1"/>
    </xf>
    <xf numFmtId="0" fontId="6" fillId="7" borderId="0" xfId="0" applyFont="1" applyFill="1" applyAlignment="1">
      <alignment horizontal="center" vertical="center" wrapText="1"/>
    </xf>
    <xf numFmtId="0" fontId="7" fillId="10" borderId="0" xfId="0" applyFont="1" applyFill="1" applyAlignment="1">
      <alignment horizontal="center"/>
    </xf>
    <xf numFmtId="0" fontId="3" fillId="10" borderId="0" xfId="0" applyFont="1" applyFill="1" applyAlignment="1">
      <alignment horizontal="justify" vertical="center" wrapText="1"/>
    </xf>
  </cellXfs>
  <cellStyles count="20">
    <cellStyle name="Encabezado 1 2" xfId="10" xr:uid="{00000000-0005-0000-0000-000000000000}"/>
    <cellStyle name="Encabezado 1 3" xfId="16" xr:uid="{00000000-0005-0000-0000-000001000000}"/>
    <cellStyle name="Entrada" xfId="3" builtinId="20" customBuiltin="1"/>
    <cellStyle name="Entrada 2" xfId="12" xr:uid="{00000000-0005-0000-0000-000003000000}"/>
    <cellStyle name="Hipervínculo" xfId="18" builtinId="8"/>
    <cellStyle name="Moneda [0]" xfId="1" builtinId="7"/>
    <cellStyle name="Normal" xfId="0" builtinId="0"/>
    <cellStyle name="Normal 2" xfId="6" xr:uid="{00000000-0005-0000-0000-000007000000}"/>
    <cellStyle name="Normal 3" xfId="7" xr:uid="{00000000-0005-0000-0000-000008000000}"/>
    <cellStyle name="Normal 4" xfId="9" xr:uid="{00000000-0005-0000-0000-000009000000}"/>
    <cellStyle name="Normal 5" xfId="15" xr:uid="{00000000-0005-0000-0000-00000A000000}"/>
    <cellStyle name="Normal_sin_bloqueo" xfId="19" xr:uid="{06247B77-844C-4BDD-BB60-E3A8E755733C}"/>
    <cellStyle name="Notas" xfId="5" builtinId="10" hidden="1"/>
    <cellStyle name="Notas 2" xfId="13" xr:uid="{00000000-0005-0000-0000-00000C000000}"/>
    <cellStyle name="Porcentaje" xfId="2" builtinId="5"/>
    <cellStyle name="Salida" xfId="4" builtinId="21" customBuiltin="1"/>
    <cellStyle name="Salida 2" xfId="14" xr:uid="{00000000-0005-0000-0000-00000F000000}"/>
    <cellStyle name="Texto explicativo 2" xfId="11" xr:uid="{00000000-0005-0000-0000-000010000000}"/>
    <cellStyle name="Textos_1" xfId="17" xr:uid="{00000000-0005-0000-0000-000011000000}"/>
    <cellStyle name="Título" xfId="8" builtinId="15"/>
  </cellStyles>
  <dxfs count="234">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dxf>
    <dxf>
      <font>
        <color theme="9" tint="-0.24994659260841701"/>
      </font>
    </dxf>
    <dxf>
      <font>
        <color rgb="FF9C0006"/>
      </font>
    </dxf>
    <dxf>
      <font>
        <color theme="9" tint="-0.24994659260841701"/>
      </font>
    </dxf>
    <dxf>
      <font>
        <color rgb="FF9C0006"/>
      </font>
    </dxf>
    <dxf>
      <font>
        <color theme="9"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E97519"/>
      <color rgb="FFEA0CDF"/>
      <color rgb="FFFFCC66"/>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Lines="5" dropStyle="combo" dx="16" fmlaLink="$M$172" fmlaRange="$M$170:$N$171"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Style="combo" dx="16" fmlaLink="$K$180" fmlaRange="$K$178:$K$179" sel="1" val="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K$176" fmlaRange="$K$174:$K$175"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Drop" dropStyle="combo" dx="16" fmlaLink="$J$169" fmlaRange="$J$167:$J$168" noThreeD="1"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w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wmf"/><Relationship Id="rId3" Type="http://schemas.openxmlformats.org/officeDocument/2006/relationships/image" Target="../media/image9.wmf"/><Relationship Id="rId7" Type="http://schemas.openxmlformats.org/officeDocument/2006/relationships/image" Target="../media/image13.wmf"/><Relationship Id="rId12" Type="http://schemas.openxmlformats.org/officeDocument/2006/relationships/image" Target="../media/image18.wmf"/><Relationship Id="rId2" Type="http://schemas.openxmlformats.org/officeDocument/2006/relationships/image" Target="../media/image8.png"/><Relationship Id="rId1" Type="http://schemas.openxmlformats.org/officeDocument/2006/relationships/image" Target="../media/image7.jpg"/><Relationship Id="rId6" Type="http://schemas.openxmlformats.org/officeDocument/2006/relationships/image" Target="../media/image12.wmf"/><Relationship Id="rId11" Type="http://schemas.openxmlformats.org/officeDocument/2006/relationships/image" Target="../media/image17.wmf"/><Relationship Id="rId5" Type="http://schemas.openxmlformats.org/officeDocument/2006/relationships/image" Target="../media/image11.wmf"/><Relationship Id="rId10" Type="http://schemas.openxmlformats.org/officeDocument/2006/relationships/image" Target="../media/image16.wmf"/><Relationship Id="rId4" Type="http://schemas.openxmlformats.org/officeDocument/2006/relationships/image" Target="../media/image10.wmf"/><Relationship Id="rId9" Type="http://schemas.openxmlformats.org/officeDocument/2006/relationships/image" Target="../media/image15.emf"/></Relationships>
</file>

<file path=xl/drawings/_rels/drawing7.xml.rels><?xml version="1.0" encoding="UTF-8" standalone="yes"?>
<Relationships xmlns="http://schemas.openxmlformats.org/package/2006/relationships"><Relationship Id="rId8" Type="http://schemas.openxmlformats.org/officeDocument/2006/relationships/image" Target="../media/image17.wmf"/><Relationship Id="rId3" Type="http://schemas.openxmlformats.org/officeDocument/2006/relationships/image" Target="../media/image14.wmf"/><Relationship Id="rId7" Type="http://schemas.openxmlformats.org/officeDocument/2006/relationships/image" Target="../media/image16.wmf"/><Relationship Id="rId2" Type="http://schemas.openxmlformats.org/officeDocument/2006/relationships/image" Target="../media/image10.wmf"/><Relationship Id="rId1" Type="http://schemas.openxmlformats.org/officeDocument/2006/relationships/image" Target="../media/image8.png"/><Relationship Id="rId6" Type="http://schemas.openxmlformats.org/officeDocument/2006/relationships/image" Target="../media/image24.wmf"/><Relationship Id="rId11" Type="http://schemas.openxmlformats.org/officeDocument/2006/relationships/image" Target="../media/image26.png"/><Relationship Id="rId5" Type="http://schemas.openxmlformats.org/officeDocument/2006/relationships/image" Target="../media/image23.wmf"/><Relationship Id="rId10" Type="http://schemas.openxmlformats.org/officeDocument/2006/relationships/image" Target="../media/image25.jpeg"/><Relationship Id="rId4" Type="http://schemas.openxmlformats.org/officeDocument/2006/relationships/image" Target="../media/image15.emf"/><Relationship Id="rId9" Type="http://schemas.openxmlformats.org/officeDocument/2006/relationships/image" Target="../media/image18.wmf"/></Relationships>
</file>

<file path=xl/drawings/_rels/drawing8.xml.rels><?xml version="1.0" encoding="UTF-8" standalone="yes"?>
<Relationships xmlns="http://schemas.openxmlformats.org/package/2006/relationships"><Relationship Id="rId8" Type="http://schemas.openxmlformats.org/officeDocument/2006/relationships/image" Target="../media/image24.wmf"/><Relationship Id="rId3" Type="http://schemas.openxmlformats.org/officeDocument/2006/relationships/image" Target="../media/image14.wmf"/><Relationship Id="rId7" Type="http://schemas.openxmlformats.org/officeDocument/2006/relationships/image" Target="../media/image23.wmf"/><Relationship Id="rId2" Type="http://schemas.openxmlformats.org/officeDocument/2006/relationships/image" Target="../media/image10.wmf"/><Relationship Id="rId1" Type="http://schemas.openxmlformats.org/officeDocument/2006/relationships/image" Target="../media/image8.png"/><Relationship Id="rId6" Type="http://schemas.openxmlformats.org/officeDocument/2006/relationships/image" Target="../media/image29.wmf"/><Relationship Id="rId11" Type="http://schemas.openxmlformats.org/officeDocument/2006/relationships/image" Target="../media/image18.wmf"/><Relationship Id="rId5" Type="http://schemas.openxmlformats.org/officeDocument/2006/relationships/image" Target="../media/image28.jpg"/><Relationship Id="rId10" Type="http://schemas.openxmlformats.org/officeDocument/2006/relationships/image" Target="../media/image17.wmf"/><Relationship Id="rId4" Type="http://schemas.openxmlformats.org/officeDocument/2006/relationships/image" Target="../media/image15.emf"/><Relationship Id="rId9" Type="http://schemas.openxmlformats.org/officeDocument/2006/relationships/image" Target="../media/image16.wmf"/></Relationships>
</file>

<file path=xl/drawings/_rels/drawing9.xml.rels><?xml version="1.0" encoding="UTF-8" standalone="yes"?>
<Relationships xmlns="http://schemas.openxmlformats.org/package/2006/relationships"><Relationship Id="rId8" Type="http://schemas.openxmlformats.org/officeDocument/2006/relationships/image" Target="../media/image30.jpeg"/><Relationship Id="rId3" Type="http://schemas.openxmlformats.org/officeDocument/2006/relationships/image" Target="../media/image11.wmf"/><Relationship Id="rId7" Type="http://schemas.openxmlformats.org/officeDocument/2006/relationships/image" Target="../media/image15.emf"/><Relationship Id="rId2" Type="http://schemas.openxmlformats.org/officeDocument/2006/relationships/image" Target="../media/image10.wmf"/><Relationship Id="rId1" Type="http://schemas.openxmlformats.org/officeDocument/2006/relationships/image" Target="../media/image8.png"/><Relationship Id="rId6" Type="http://schemas.openxmlformats.org/officeDocument/2006/relationships/image" Target="../media/image14.wmf"/><Relationship Id="rId5" Type="http://schemas.openxmlformats.org/officeDocument/2006/relationships/image" Target="../media/image13.wmf"/><Relationship Id="rId4" Type="http://schemas.openxmlformats.org/officeDocument/2006/relationships/image" Target="../media/image12.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1.jp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image" Target="../media/image34.jpeg"/><Relationship Id="rId7" Type="http://schemas.openxmlformats.org/officeDocument/2006/relationships/image" Target="../media/image37.png"/><Relationship Id="rId2" Type="http://schemas.openxmlformats.org/officeDocument/2006/relationships/image" Target="../media/image33.jpeg"/><Relationship Id="rId1" Type="http://schemas.openxmlformats.org/officeDocument/2006/relationships/image" Target="../media/image32.jpeg"/><Relationship Id="rId6" Type="http://schemas.openxmlformats.org/officeDocument/2006/relationships/image" Target="../media/image1.png"/><Relationship Id="rId5" Type="http://schemas.openxmlformats.org/officeDocument/2006/relationships/image" Target="../media/image36.jpeg"/><Relationship Id="rId4" Type="http://schemas.openxmlformats.org/officeDocument/2006/relationships/image" Target="../media/image3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7.jpeg"/><Relationship Id="rId2" Type="http://schemas.openxmlformats.org/officeDocument/2006/relationships/image" Target="../media/image20.jpeg"/><Relationship Id="rId1" Type="http://schemas.openxmlformats.org/officeDocument/2006/relationships/image" Target="../media/image19.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drawing1.xml><?xml version="1.0" encoding="utf-8"?>
<xdr:wsDr xmlns:xdr="http://schemas.openxmlformats.org/drawingml/2006/spreadsheetDrawing" xmlns:a="http://schemas.openxmlformats.org/drawingml/2006/main">
  <xdr:oneCellAnchor>
    <xdr:from>
      <xdr:col>0</xdr:col>
      <xdr:colOff>95249</xdr:colOff>
      <xdr:row>0</xdr:row>
      <xdr:rowOff>142875</xdr:rowOff>
    </xdr:from>
    <xdr:ext cx="1457325" cy="1278926"/>
    <xdr:pic>
      <xdr:nvPicPr>
        <xdr:cNvPr id="14" name="Imagen 13" descr="http://static.wixstatic.com/media/89379b_218ebf2680024d7da2bcbc681ecbccee.png_srz_p_215_190_75_22_0.50_1.20_0.00_png_srz">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49" y="142875"/>
          <a:ext cx="1457325" cy="127892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0</xdr:col>
          <xdr:colOff>276225</xdr:colOff>
          <xdr:row>14</xdr:row>
          <xdr:rowOff>171450</xdr:rowOff>
        </xdr:from>
        <xdr:to>
          <xdr:col>2</xdr:col>
          <xdr:colOff>171450</xdr:colOff>
          <xdr:row>18</xdr:row>
          <xdr:rowOff>9525</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000-00000D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Equivalencia Malla Electrosoldada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14</xdr:row>
          <xdr:rowOff>161925</xdr:rowOff>
        </xdr:from>
        <xdr:to>
          <xdr:col>4</xdr:col>
          <xdr:colOff>523875</xdr:colOff>
          <xdr:row>18</xdr:row>
          <xdr:rowOff>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000-00000E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Equivalencia Barras de Acero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14</xdr:row>
          <xdr:rowOff>161925</xdr:rowOff>
        </xdr:from>
        <xdr:to>
          <xdr:col>7</xdr:col>
          <xdr:colOff>133350</xdr:colOff>
          <xdr:row>18</xdr:row>
          <xdr:rowOff>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000-00000F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Equivalencia Malla en Muros y Pared delgada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33</xdr:row>
          <xdr:rowOff>9525</xdr:rowOff>
        </xdr:from>
        <xdr:to>
          <xdr:col>2</xdr:col>
          <xdr:colOff>161925</xdr:colOff>
          <xdr:row>36</xdr:row>
          <xdr:rowOff>0</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0000-000010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Dosificación Entrepisos Steel Deck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21</xdr:row>
          <xdr:rowOff>19050</xdr:rowOff>
        </xdr:from>
        <xdr:to>
          <xdr:col>2</xdr:col>
          <xdr:colOff>171450</xdr:colOff>
          <xdr:row>24</xdr:row>
          <xdr:rowOff>47625</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0000-00001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Estantería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27</xdr:row>
          <xdr:rowOff>19050</xdr:rowOff>
        </xdr:from>
        <xdr:to>
          <xdr:col>2</xdr:col>
          <xdr:colOff>171450</xdr:colOff>
          <xdr:row>30</xdr:row>
          <xdr:rowOff>47625</xdr:rowOff>
        </xdr:to>
        <xdr:sp macro="" textlink="">
          <xdr:nvSpPr>
            <xdr:cNvPr id="25618" name="Button 18" hidden="1">
              <a:extLst>
                <a:ext uri="{63B3BB69-23CF-44E3-9099-C40C66FF867C}">
                  <a14:compatExt spid="_x0000_s25618"/>
                </a:ext>
                <a:ext uri="{FF2B5EF4-FFF2-40B4-BE49-F238E27FC236}">
                  <a16:creationId xmlns:a16="http://schemas.microsoft.com/office/drawing/2014/main" id="{00000000-0008-0000-0000-00001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Dosificación según PCA 1984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27</xdr:row>
          <xdr:rowOff>19050</xdr:rowOff>
        </xdr:from>
        <xdr:to>
          <xdr:col>4</xdr:col>
          <xdr:colOff>504825</xdr:colOff>
          <xdr:row>30</xdr:row>
          <xdr:rowOff>47625</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000-000013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Dosificación según AASHTO 1993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33</xdr:row>
          <xdr:rowOff>9525</xdr:rowOff>
        </xdr:from>
        <xdr:to>
          <xdr:col>4</xdr:col>
          <xdr:colOff>495300</xdr:colOff>
          <xdr:row>36</xdr:row>
          <xdr:rowOff>9525</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000-000014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Dosificación Concreto Lanzado ACI 506.1-08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352425</xdr:colOff>
          <xdr:row>37</xdr:row>
          <xdr:rowOff>171450</xdr:rowOff>
        </xdr:from>
        <xdr:to>
          <xdr:col>2</xdr:col>
          <xdr:colOff>295275</xdr:colOff>
          <xdr:row>39</xdr:row>
          <xdr:rowOff>19050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000-00001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419" sz="1000" b="1" i="0" u="none" strike="noStrike" baseline="0">
                  <a:solidFill>
                    <a:srgbClr val="FF6600"/>
                  </a:solidFill>
                  <a:latin typeface="Calibri"/>
                  <a:cs typeface="Calibri"/>
                </a:rPr>
                <a:t>Terminos y Condiciones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619125</xdr:colOff>
          <xdr:row>21</xdr:row>
          <xdr:rowOff>38100</xdr:rowOff>
        </xdr:from>
        <xdr:to>
          <xdr:col>4</xdr:col>
          <xdr:colOff>514350</xdr:colOff>
          <xdr:row>24</xdr:row>
          <xdr:rowOff>66675</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0000-000017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Estantería Contigua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38100</xdr:rowOff>
        </xdr:from>
        <xdr:to>
          <xdr:col>7</xdr:col>
          <xdr:colOff>114300</xdr:colOff>
          <xdr:row>24</xdr:row>
          <xdr:rowOff>47625</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000-000018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0" i="0" u="none" strike="noStrike" baseline="0">
                  <a:solidFill>
                    <a:srgbClr val="000000"/>
                  </a:solidFill>
                  <a:latin typeface="Calibri"/>
                  <a:cs typeface="Calibri"/>
                </a:rPr>
                <a:t>Considerando Acción de Montacargas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37</xdr:row>
          <xdr:rowOff>142875</xdr:rowOff>
        </xdr:from>
        <xdr:to>
          <xdr:col>6</xdr:col>
          <xdr:colOff>714375</xdr:colOff>
          <xdr:row>38</xdr:row>
          <xdr:rowOff>152400</xdr:rowOff>
        </xdr:to>
        <xdr:sp macro="" textlink="">
          <xdr:nvSpPr>
            <xdr:cNvPr id="25626" name="Button 26" hidden="1">
              <a:extLst>
                <a:ext uri="{63B3BB69-23CF-44E3-9099-C40C66FF867C}">
                  <a14:compatExt spid="_x0000_s25626"/>
                </a:ext>
                <a:ext uri="{FF2B5EF4-FFF2-40B4-BE49-F238E27FC236}">
                  <a16:creationId xmlns:a16="http://schemas.microsoft.com/office/drawing/2014/main" id="{00000000-0008-0000-0000-00001A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0" i="0" u="none" strike="noStrike" baseline="0">
                  <a:solidFill>
                    <a:srgbClr val="000000"/>
                  </a:solidFill>
                  <a:latin typeface="Calibri"/>
                  <a:cs typeface="Calibri"/>
                </a:rPr>
                <a:t>Regresar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38100</xdr:rowOff>
        </xdr:from>
        <xdr:to>
          <xdr:col>7</xdr:col>
          <xdr:colOff>114300</xdr:colOff>
          <xdr:row>34</xdr:row>
          <xdr:rowOff>0</xdr:rowOff>
        </xdr:to>
        <xdr:sp macro="" textlink="">
          <xdr:nvSpPr>
            <xdr:cNvPr id="25627" name="Button 24" hidden="1">
              <a:extLst>
                <a:ext uri="{63B3BB69-23CF-44E3-9099-C40C66FF867C}">
                  <a14:compatExt spid="_x0000_s25627"/>
                </a:ext>
                <a:ext uri="{FF2B5EF4-FFF2-40B4-BE49-F238E27FC236}">
                  <a16:creationId xmlns:a16="http://schemas.microsoft.com/office/drawing/2014/main" id="{00000000-0008-0000-0000-00001B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Conversión dosificación fibra metálica a dosificación </a:t>
              </a:r>
              <a:r>
                <a:rPr lang="es-419" sz="1400" b="0" i="0" u="none" strike="noStrike" baseline="0">
                  <a:solidFill>
                    <a:srgbClr val="FF6600"/>
                  </a:solidFill>
                  <a:latin typeface="Calibri"/>
                  <a:cs typeface="Calibri"/>
                </a:rPr>
                <a:t>Fibraplas Concrete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370317</xdr:colOff>
      <xdr:row>0</xdr:row>
      <xdr:rowOff>126089</xdr:rowOff>
    </xdr:from>
    <xdr:to>
      <xdr:col>12</xdr:col>
      <xdr:colOff>105917</xdr:colOff>
      <xdr:row>9</xdr:row>
      <xdr:rowOff>135614</xdr:rowOff>
    </xdr:to>
    <xdr:pic>
      <xdr:nvPicPr>
        <xdr:cNvPr id="3" name="Imagen 2" descr="http://static.wixstatic.com/media/89379b_218ebf2680024d7da2bcbc681ecbccee.png_srz_p_215_190_75_22_0.50_1.20_0.00_png_srz">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99400" y="126089"/>
          <a:ext cx="2063934"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1085850</xdr:colOff>
          <xdr:row>10</xdr:row>
          <xdr:rowOff>133350</xdr:rowOff>
        </xdr:from>
        <xdr:to>
          <xdr:col>4</xdr:col>
          <xdr:colOff>647700</xdr:colOff>
          <xdr:row>13</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0</xdr:col>
      <xdr:colOff>0</xdr:colOff>
      <xdr:row>14</xdr:row>
      <xdr:rowOff>57149</xdr:rowOff>
    </xdr:from>
    <xdr:to>
      <xdr:col>12</xdr:col>
      <xdr:colOff>339050</xdr:colOff>
      <xdr:row>32</xdr:row>
      <xdr:rowOff>104774</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867" t="18797" r="16856" b="29348"/>
        <a:stretch/>
      </xdr:blipFill>
      <xdr:spPr>
        <a:xfrm>
          <a:off x="0" y="2857499"/>
          <a:ext cx="10959425" cy="3648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120163</xdr:colOff>
      <xdr:row>0</xdr:row>
      <xdr:rowOff>65475</xdr:rowOff>
    </xdr:from>
    <xdr:to>
      <xdr:col>11</xdr:col>
      <xdr:colOff>575430</xdr:colOff>
      <xdr:row>9</xdr:row>
      <xdr:rowOff>75000</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5963" y="65475"/>
          <a:ext cx="2055467" cy="1809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619125</xdr:colOff>
          <xdr:row>10</xdr:row>
          <xdr:rowOff>180975</xdr:rowOff>
        </xdr:from>
        <xdr:to>
          <xdr:col>4</xdr:col>
          <xdr:colOff>714375</xdr:colOff>
          <xdr:row>13</xdr:row>
          <xdr:rowOff>171450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0</xdr:col>
      <xdr:colOff>268432</xdr:colOff>
      <xdr:row>12</xdr:row>
      <xdr:rowOff>181841</xdr:rowOff>
    </xdr:from>
    <xdr:to>
      <xdr:col>10</xdr:col>
      <xdr:colOff>317512</xdr:colOff>
      <xdr:row>40</xdr:row>
      <xdr:rowOff>129886</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775" r="18389" b="7683"/>
        <a:stretch/>
      </xdr:blipFill>
      <xdr:spPr>
        <a:xfrm>
          <a:off x="268432" y="2571750"/>
          <a:ext cx="9262353" cy="552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120163</xdr:colOff>
      <xdr:row>0</xdr:row>
      <xdr:rowOff>65475</xdr:rowOff>
    </xdr:from>
    <xdr:to>
      <xdr:col>11</xdr:col>
      <xdr:colOff>575430</xdr:colOff>
      <xdr:row>9</xdr:row>
      <xdr:rowOff>75000</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5963" y="65475"/>
          <a:ext cx="2055467" cy="1809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990602</xdr:colOff>
      <xdr:row>15</xdr:row>
      <xdr:rowOff>133352</xdr:rowOff>
    </xdr:from>
    <xdr:to>
      <xdr:col>9</xdr:col>
      <xdr:colOff>257177</xdr:colOff>
      <xdr:row>35</xdr:row>
      <xdr:rowOff>152400</xdr:rowOff>
    </xdr:to>
    <xdr:grpSp>
      <xdr:nvGrpSpPr>
        <xdr:cNvPr id="3" name="Grupo 2">
          <a:extLst>
            <a:ext uri="{FF2B5EF4-FFF2-40B4-BE49-F238E27FC236}">
              <a16:creationId xmlns:a16="http://schemas.microsoft.com/office/drawing/2014/main" id="{00000000-0008-0000-0300-000003000000}"/>
            </a:ext>
          </a:extLst>
        </xdr:cNvPr>
        <xdr:cNvGrpSpPr/>
      </xdr:nvGrpSpPr>
      <xdr:grpSpPr>
        <a:xfrm rot="10800000">
          <a:off x="990602" y="2990852"/>
          <a:ext cx="8124825" cy="3829048"/>
          <a:chOff x="971552" y="2352677"/>
          <a:chExt cx="8143875" cy="4019548"/>
        </a:xfrm>
      </xdr:grpSpPr>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4339" t="25596" r="36170" b="41531"/>
          <a:stretch/>
        </xdr:blipFill>
        <xdr:spPr>
          <a:xfrm rot="16200000">
            <a:off x="5489108" y="2745905"/>
            <a:ext cx="3876674" cy="3375965"/>
          </a:xfrm>
          <a:prstGeom prst="rect">
            <a:avLst/>
          </a:prstGeom>
        </xdr:spPr>
      </xdr:pic>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1621" t="25596" r="58822" b="41531"/>
          <a:stretch/>
        </xdr:blipFill>
        <xdr:spPr>
          <a:xfrm rot="16200000">
            <a:off x="714650" y="2609579"/>
            <a:ext cx="3889769" cy="3375965"/>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2</xdr:col>
          <xdr:colOff>657225</xdr:colOff>
          <xdr:row>10</xdr:row>
          <xdr:rowOff>180975</xdr:rowOff>
        </xdr:from>
        <xdr:to>
          <xdr:col>4</xdr:col>
          <xdr:colOff>428625</xdr:colOff>
          <xdr:row>13</xdr:row>
          <xdr:rowOff>180975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278912</xdr:colOff>
      <xdr:row>1</xdr:row>
      <xdr:rowOff>44309</xdr:rowOff>
    </xdr:from>
    <xdr:to>
      <xdr:col>11</xdr:col>
      <xdr:colOff>408962</xdr:colOff>
      <xdr:row>8</xdr:row>
      <xdr:rowOff>169333</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84737" y="244334"/>
          <a:ext cx="1730250" cy="1525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577272</xdr:colOff>
      <xdr:row>17</xdr:row>
      <xdr:rowOff>41370</xdr:rowOff>
    </xdr:from>
    <xdr:to>
      <xdr:col>8</xdr:col>
      <xdr:colOff>15217</xdr:colOff>
      <xdr:row>25</xdr:row>
      <xdr:rowOff>32710</xdr:rowOff>
    </xdr:to>
    <xdr:pic>
      <xdr:nvPicPr>
        <xdr:cNvPr id="3" name="Imagen 2" descr="strux">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8397" y="2765520"/>
          <a:ext cx="6562645" cy="1591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838200</xdr:colOff>
          <xdr:row>10</xdr:row>
          <xdr:rowOff>142875</xdr:rowOff>
        </xdr:from>
        <xdr:to>
          <xdr:col>4</xdr:col>
          <xdr:colOff>409575</xdr:colOff>
          <xdr:row>13</xdr:row>
          <xdr:rowOff>142875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2630143</xdr:colOff>
      <xdr:row>25</xdr:row>
      <xdr:rowOff>9525</xdr:rowOff>
    </xdr:from>
    <xdr:to>
      <xdr:col>4</xdr:col>
      <xdr:colOff>46521</xdr:colOff>
      <xdr:row>33</xdr:row>
      <xdr:rowOff>76200</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63618" y="5000625"/>
          <a:ext cx="2302703" cy="1657350"/>
        </a:xfrm>
        <a:prstGeom prst="rect">
          <a:avLst/>
        </a:prstGeom>
      </xdr:spPr>
    </xdr:pic>
    <xdr:clientData/>
  </xdr:twoCellAnchor>
  <xdr:twoCellAnchor editAs="oneCell">
    <xdr:from>
      <xdr:col>3</xdr:col>
      <xdr:colOff>47625</xdr:colOff>
      <xdr:row>0</xdr:row>
      <xdr:rowOff>50800</xdr:rowOff>
    </xdr:from>
    <xdr:to>
      <xdr:col>4</xdr:col>
      <xdr:colOff>595811</xdr:colOff>
      <xdr:row>4</xdr:row>
      <xdr:rowOff>200825</xdr:rowOff>
    </xdr:to>
    <xdr:pic>
      <xdr:nvPicPr>
        <xdr:cNvPr id="3" name="Imagen 2" descr="http://static.wixstatic.com/media/89379b_218ebf2680024d7da2bcbc681ecbccee.png_srz_p_215_190_75_22_0.50_1.20_0.00_png_srz">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14925" y="50800"/>
          <a:ext cx="1176836" cy="103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180975</xdr:rowOff>
    </xdr:from>
    <xdr:to>
      <xdr:col>1</xdr:col>
      <xdr:colOff>1619251</xdr:colOff>
      <xdr:row>32</xdr:row>
      <xdr:rowOff>161925</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935" t="19473" r="40246" b="47202"/>
        <a:stretch/>
      </xdr:blipFill>
      <xdr:spPr>
        <a:xfrm>
          <a:off x="0" y="4914900"/>
          <a:ext cx="3200401" cy="1581150"/>
        </a:xfrm>
        <a:prstGeom prst="rect">
          <a:avLst/>
        </a:prstGeom>
      </xdr:spPr>
    </xdr:pic>
    <xdr:clientData/>
  </xdr:twoCellAnchor>
  <xdr:twoCellAnchor editAs="oneCell">
    <xdr:from>
      <xdr:col>1</xdr:col>
      <xdr:colOff>3209924</xdr:colOff>
      <xdr:row>57</xdr:row>
      <xdr:rowOff>85725</xdr:rowOff>
    </xdr:from>
    <xdr:to>
      <xdr:col>4</xdr:col>
      <xdr:colOff>387349</xdr:colOff>
      <xdr:row>63</xdr:row>
      <xdr:rowOff>340969</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0209" t="6424" r="44697" b="37566"/>
        <a:stretch/>
      </xdr:blipFill>
      <xdr:spPr>
        <a:xfrm>
          <a:off x="4791074" y="11287125"/>
          <a:ext cx="2063750" cy="2176119"/>
        </a:xfrm>
        <a:prstGeom prst="rect">
          <a:avLst/>
        </a:prstGeom>
      </xdr:spPr>
    </xdr:pic>
    <xdr:clientData/>
  </xdr:twoCellAnchor>
  <xdr:twoCellAnchor editAs="oneCell">
    <xdr:from>
      <xdr:col>0</xdr:col>
      <xdr:colOff>219074</xdr:colOff>
      <xdr:row>59</xdr:row>
      <xdr:rowOff>1</xdr:rowOff>
    </xdr:from>
    <xdr:to>
      <xdr:col>1</xdr:col>
      <xdr:colOff>1872163</xdr:colOff>
      <xdr:row>63</xdr:row>
      <xdr:rowOff>342902</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2671" t="45370" r="47727" b="31744"/>
        <a:stretch/>
      </xdr:blipFill>
      <xdr:spPr>
        <a:xfrm>
          <a:off x="219074" y="11630026"/>
          <a:ext cx="3234239" cy="1781175"/>
        </a:xfrm>
        <a:prstGeom prst="rect">
          <a:avLst/>
        </a:prstGeom>
      </xdr:spPr>
    </xdr:pic>
    <xdr:clientData/>
  </xdr:twoCellAnchor>
  <xdr:twoCellAnchor editAs="oneCell">
    <xdr:from>
      <xdr:col>0</xdr:col>
      <xdr:colOff>552448</xdr:colOff>
      <xdr:row>89</xdr:row>
      <xdr:rowOff>95249</xdr:rowOff>
    </xdr:from>
    <xdr:to>
      <xdr:col>1</xdr:col>
      <xdr:colOff>201373</xdr:colOff>
      <xdr:row>99</xdr:row>
      <xdr:rowOff>166686</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36459" t="16663" r="56250" b="57842"/>
        <a:stretch/>
      </xdr:blipFill>
      <xdr:spPr>
        <a:xfrm>
          <a:off x="552448" y="18497549"/>
          <a:ext cx="1230075" cy="2024062"/>
        </a:xfrm>
        <a:prstGeom prst="rect">
          <a:avLst/>
        </a:prstGeom>
      </xdr:spPr>
    </xdr:pic>
    <xdr:clientData/>
  </xdr:twoCellAnchor>
  <xdr:twoCellAnchor editAs="oneCell">
    <xdr:from>
      <xdr:col>1</xdr:col>
      <xdr:colOff>1485900</xdr:colOff>
      <xdr:row>89</xdr:row>
      <xdr:rowOff>142874</xdr:rowOff>
    </xdr:from>
    <xdr:to>
      <xdr:col>1</xdr:col>
      <xdr:colOff>2600325</xdr:colOff>
      <xdr:row>99</xdr:row>
      <xdr:rowOff>155921</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6932" t="64241" r="56534" b="11267"/>
        <a:stretch/>
      </xdr:blipFill>
      <xdr:spPr>
        <a:xfrm>
          <a:off x="2171700" y="18545174"/>
          <a:ext cx="1114425" cy="1965672"/>
        </a:xfrm>
        <a:prstGeom prst="rect">
          <a:avLst/>
        </a:prstGeom>
      </xdr:spPr>
    </xdr:pic>
    <xdr:clientData/>
  </xdr:twoCellAnchor>
  <xdr:twoCellAnchor editAs="oneCell">
    <xdr:from>
      <xdr:col>1</xdr:col>
      <xdr:colOff>3264015</xdr:colOff>
      <xdr:row>88</xdr:row>
      <xdr:rowOff>200025</xdr:rowOff>
    </xdr:from>
    <xdr:to>
      <xdr:col>4</xdr:col>
      <xdr:colOff>339725</xdr:colOff>
      <xdr:row>99</xdr:row>
      <xdr:rowOff>75669</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46970" t="2209" r="21401" b="25320"/>
        <a:stretch/>
      </xdr:blipFill>
      <xdr:spPr>
        <a:xfrm>
          <a:off x="3949815" y="18364200"/>
          <a:ext cx="1962035" cy="2119312"/>
        </a:xfrm>
        <a:prstGeom prst="rect">
          <a:avLst/>
        </a:prstGeom>
      </xdr:spPr>
    </xdr:pic>
    <xdr:clientData/>
  </xdr:twoCellAnchor>
  <xdr:twoCellAnchor editAs="oneCell">
    <xdr:from>
      <xdr:col>0</xdr:col>
      <xdr:colOff>158749</xdr:colOff>
      <xdr:row>75</xdr:row>
      <xdr:rowOff>42332</xdr:rowOff>
    </xdr:from>
    <xdr:to>
      <xdr:col>0</xdr:col>
      <xdr:colOff>1375834</xdr:colOff>
      <xdr:row>79</xdr:row>
      <xdr:rowOff>201083</xdr:rowOff>
    </xdr:to>
    <xdr:pic>
      <xdr:nvPicPr>
        <xdr:cNvPr id="13" name="Imagen 12">
          <a:extLst>
            <a:ext uri="{FF2B5EF4-FFF2-40B4-BE49-F238E27FC236}">
              <a16:creationId xmlns:a16="http://schemas.microsoft.com/office/drawing/2014/main" id="{00000000-0008-0000-0500-00000D000000}"/>
            </a:ext>
          </a:extLst>
        </xdr:cNvPr>
        <xdr:cNvPicPr>
          <a:picLocks noChangeAspect="1" noChangeArrowheads="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2713" t="25559" r="74887" b="16606"/>
        <a:stretch/>
      </xdr:blipFill>
      <xdr:spPr bwMode="auto">
        <a:xfrm>
          <a:off x="158749" y="17981082"/>
          <a:ext cx="1217085" cy="1238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46</xdr:row>
          <xdr:rowOff>95250</xdr:rowOff>
        </xdr:from>
        <xdr:to>
          <xdr:col>2</xdr:col>
          <xdr:colOff>361950</xdr:colOff>
          <xdr:row>51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1" i="0" u="none" strike="noStrike" baseline="0">
                  <a:solidFill>
                    <a:srgbClr val="000000"/>
                  </a:solidFill>
                  <a:latin typeface="Calibri"/>
                  <a:cs typeface="Calibri"/>
                </a:rPr>
                <a:t>Buscar espesor de piso h que cumpla con el factor de seguridad global para condiciones de carga interna, carga de esquina y carga de borde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xdr:row>
          <xdr:rowOff>85725</xdr:rowOff>
        </xdr:from>
        <xdr:to>
          <xdr:col>4</xdr:col>
          <xdr:colOff>542925</xdr:colOff>
          <xdr:row>9</xdr:row>
          <xdr:rowOff>47625</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1</xdr:col>
      <xdr:colOff>2997071</xdr:colOff>
      <xdr:row>129</xdr:row>
      <xdr:rowOff>219075</xdr:rowOff>
    </xdr:from>
    <xdr:to>
      <xdr:col>4</xdr:col>
      <xdr:colOff>162622</xdr:colOff>
      <xdr:row>141</xdr:row>
      <xdr:rowOff>32807</xdr:rowOff>
    </xdr:to>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29924" t="6023" r="38636" b="22308"/>
        <a:stretch/>
      </xdr:blipFill>
      <xdr:spPr>
        <a:xfrm>
          <a:off x="4578221" y="26060400"/>
          <a:ext cx="2051876" cy="2209798"/>
        </a:xfrm>
        <a:prstGeom prst="rect">
          <a:avLst/>
        </a:prstGeom>
      </xdr:spPr>
    </xdr:pic>
    <xdr:clientData/>
  </xdr:twoCellAnchor>
  <xdr:twoCellAnchor editAs="oneCell">
    <xdr:from>
      <xdr:col>0</xdr:col>
      <xdr:colOff>1038225</xdr:colOff>
      <xdr:row>130</xdr:row>
      <xdr:rowOff>133349</xdr:rowOff>
    </xdr:from>
    <xdr:to>
      <xdr:col>1</xdr:col>
      <xdr:colOff>596770</xdr:colOff>
      <xdr:row>140</xdr:row>
      <xdr:rowOff>80327</xdr:rowOff>
    </xdr:to>
    <xdr:pic>
      <xdr:nvPicPr>
        <xdr:cNvPr id="17" name="Imagen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37689" t="21682" r="50947" b="38971"/>
        <a:stretch/>
      </xdr:blipFill>
      <xdr:spPr>
        <a:xfrm>
          <a:off x="1038225" y="26212799"/>
          <a:ext cx="1139695" cy="1861503"/>
        </a:xfrm>
        <a:prstGeom prst="rect">
          <a:avLst/>
        </a:prstGeom>
      </xdr:spPr>
    </xdr:pic>
    <xdr:clientData/>
  </xdr:twoCellAnchor>
  <xdr:twoCellAnchor editAs="oneCell">
    <xdr:from>
      <xdr:col>1</xdr:col>
      <xdr:colOff>1227157</xdr:colOff>
      <xdr:row>130</xdr:row>
      <xdr:rowOff>161923</xdr:rowOff>
    </xdr:from>
    <xdr:to>
      <xdr:col>1</xdr:col>
      <xdr:colOff>2196970</xdr:colOff>
      <xdr:row>140</xdr:row>
      <xdr:rowOff>30407</xdr:rowOff>
    </xdr:to>
    <xdr:pic>
      <xdr:nvPicPr>
        <xdr:cNvPr id="18" name="Imagen 17">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37784" t="32372" r="46970" b="8205"/>
        <a:stretch/>
      </xdr:blipFill>
      <xdr:spPr>
        <a:xfrm>
          <a:off x="2808307" y="26241373"/>
          <a:ext cx="969813" cy="17830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361950</xdr:colOff>
          <xdr:row>14</xdr:row>
          <xdr:rowOff>9525</xdr:rowOff>
        </xdr:from>
        <xdr:to>
          <xdr:col>4</xdr:col>
          <xdr:colOff>476250</xdr:colOff>
          <xdr:row>14</xdr:row>
          <xdr:rowOff>219075</xdr:rowOff>
        </xdr:to>
        <xdr:sp macro="" textlink="">
          <xdr:nvSpPr>
            <xdr:cNvPr id="15369" name="Drop Down 9" hidden="1">
              <a:extLst>
                <a:ext uri="{63B3BB69-23CF-44E3-9099-C40C66FF867C}">
                  <a14:compatExt spid="_x0000_s15369"/>
                </a:ext>
                <a:ext uri="{FF2B5EF4-FFF2-40B4-BE49-F238E27FC236}">
                  <a16:creationId xmlns:a16="http://schemas.microsoft.com/office/drawing/2014/main" id="{00000000-0008-0000-05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84667</xdr:colOff>
      <xdr:row>111</xdr:row>
      <xdr:rowOff>10584</xdr:rowOff>
    </xdr:from>
    <xdr:to>
      <xdr:col>0</xdr:col>
      <xdr:colOff>1392626</xdr:colOff>
      <xdr:row>119</xdr:row>
      <xdr:rowOff>161786</xdr:rowOff>
    </xdr:to>
    <xdr:pic>
      <xdr:nvPicPr>
        <xdr:cNvPr id="20" name="Imagen 19">
          <a:extLst>
            <a:ext uri="{FF2B5EF4-FFF2-40B4-BE49-F238E27FC236}">
              <a16:creationId xmlns:a16="http://schemas.microsoft.com/office/drawing/2014/main" id="{00000000-0008-0000-0500-000014000000}"/>
            </a:ext>
          </a:extLst>
        </xdr:cNvPr>
        <xdr:cNvPicPr>
          <a:picLocks noChangeAspect="1" noChangeArrowheads="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31065" t="10108" r="42389"/>
        <a:stretch/>
      </xdr:blipFill>
      <xdr:spPr bwMode="auto">
        <a:xfrm>
          <a:off x="84667" y="26257251"/>
          <a:ext cx="1307959" cy="1685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154376</xdr:colOff>
      <xdr:row>151</xdr:row>
      <xdr:rowOff>206373</xdr:rowOff>
    </xdr:from>
    <xdr:to>
      <xdr:col>0</xdr:col>
      <xdr:colOff>1540793</xdr:colOff>
      <xdr:row>157</xdr:row>
      <xdr:rowOff>111123</xdr:rowOff>
    </xdr:to>
    <xdr:pic>
      <xdr:nvPicPr>
        <xdr:cNvPr id="21" name="Imagen 20">
          <a:extLst>
            <a:ext uri="{FF2B5EF4-FFF2-40B4-BE49-F238E27FC236}">
              <a16:creationId xmlns:a16="http://schemas.microsoft.com/office/drawing/2014/main" id="{00000000-0008-0000-0500-000015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64304" t="6426" r="2335"/>
        <a:stretch/>
      </xdr:blipFill>
      <xdr:spPr bwMode="auto">
        <a:xfrm>
          <a:off x="154376" y="34750373"/>
          <a:ext cx="1386417"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25740</xdr:colOff>
      <xdr:row>0</xdr:row>
      <xdr:rowOff>84666</xdr:rowOff>
    </xdr:from>
    <xdr:to>
      <xdr:col>4</xdr:col>
      <xdr:colOff>549245</xdr:colOff>
      <xdr:row>4</xdr:row>
      <xdr:rowOff>158749</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4565" y="84666"/>
          <a:ext cx="1152155" cy="1017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3209924</xdr:colOff>
      <xdr:row>62</xdr:row>
      <xdr:rowOff>85725</xdr:rowOff>
    </xdr:from>
    <xdr:to>
      <xdr:col>4</xdr:col>
      <xdr:colOff>387349</xdr:colOff>
      <xdr:row>68</xdr:row>
      <xdr:rowOff>340967</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0209" t="6424" r="44697" b="37566"/>
        <a:stretch/>
      </xdr:blipFill>
      <xdr:spPr>
        <a:xfrm>
          <a:off x="4791074" y="13544550"/>
          <a:ext cx="2063750" cy="2179292"/>
        </a:xfrm>
        <a:prstGeom prst="rect">
          <a:avLst/>
        </a:prstGeom>
      </xdr:spPr>
    </xdr:pic>
    <xdr:clientData/>
  </xdr:twoCellAnchor>
  <xdr:twoCellAnchor editAs="oneCell">
    <xdr:from>
      <xdr:col>1</xdr:col>
      <xdr:colOff>3264015</xdr:colOff>
      <xdr:row>94</xdr:row>
      <xdr:rowOff>200025</xdr:rowOff>
    </xdr:from>
    <xdr:to>
      <xdr:col>4</xdr:col>
      <xdr:colOff>339725</xdr:colOff>
      <xdr:row>105</xdr:row>
      <xdr:rowOff>75672</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6970" t="2209" r="21401" b="25320"/>
        <a:stretch/>
      </xdr:blipFill>
      <xdr:spPr>
        <a:xfrm>
          <a:off x="4845165" y="22059900"/>
          <a:ext cx="1962035" cy="2123547"/>
        </a:xfrm>
        <a:prstGeom prst="rect">
          <a:avLst/>
        </a:prstGeom>
      </xdr:spPr>
    </xdr:pic>
    <xdr:clientData/>
  </xdr:twoCellAnchor>
  <xdr:twoCellAnchor editAs="oneCell">
    <xdr:from>
      <xdr:col>0</xdr:col>
      <xdr:colOff>264583</xdr:colOff>
      <xdr:row>80</xdr:row>
      <xdr:rowOff>148165</xdr:rowOff>
    </xdr:from>
    <xdr:to>
      <xdr:col>0</xdr:col>
      <xdr:colOff>1365251</xdr:colOff>
      <xdr:row>84</xdr:row>
      <xdr:rowOff>201084</xdr:rowOff>
    </xdr:to>
    <xdr:pic>
      <xdr:nvPicPr>
        <xdr:cNvPr id="5" name="Imagen 4">
          <a:extLst>
            <a:ext uri="{FF2B5EF4-FFF2-40B4-BE49-F238E27FC236}">
              <a16:creationId xmlns:a16="http://schemas.microsoft.com/office/drawing/2014/main" id="{00000000-0008-0000-0600-000005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964" t="25613" r="74906" b="16606"/>
        <a:stretch/>
      </xdr:blipFill>
      <xdr:spPr bwMode="auto">
        <a:xfrm>
          <a:off x="264583" y="18588565"/>
          <a:ext cx="1100668" cy="1119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78457</xdr:colOff>
      <xdr:row>118</xdr:row>
      <xdr:rowOff>15878</xdr:rowOff>
    </xdr:from>
    <xdr:to>
      <xdr:col>0</xdr:col>
      <xdr:colOff>1386416</xdr:colOff>
      <xdr:row>126</xdr:row>
      <xdr:rowOff>167080</xdr:rowOff>
    </xdr:to>
    <xdr:pic>
      <xdr:nvPicPr>
        <xdr:cNvPr id="6" name="Imagen 5">
          <a:extLst>
            <a:ext uri="{FF2B5EF4-FFF2-40B4-BE49-F238E27FC236}">
              <a16:creationId xmlns:a16="http://schemas.microsoft.com/office/drawing/2014/main" id="{00000000-0008-0000-0600-000006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31065" t="10108" r="42389"/>
        <a:stretch/>
      </xdr:blipFill>
      <xdr:spPr bwMode="auto">
        <a:xfrm>
          <a:off x="78457" y="26733503"/>
          <a:ext cx="1307959" cy="1665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134938</xdr:colOff>
      <xdr:row>63</xdr:row>
      <xdr:rowOff>142876</xdr:rowOff>
    </xdr:from>
    <xdr:to>
      <xdr:col>1</xdr:col>
      <xdr:colOff>2164063</xdr:colOff>
      <xdr:row>68</xdr:row>
      <xdr:rowOff>354285</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0644" t="15659" r="25474" b="26123"/>
        <a:stretch/>
      </xdr:blipFill>
      <xdr:spPr>
        <a:xfrm>
          <a:off x="134938" y="13896976"/>
          <a:ext cx="3610275" cy="1840184"/>
        </a:xfrm>
        <a:prstGeom prst="rect">
          <a:avLst/>
        </a:prstGeom>
      </xdr:spPr>
    </xdr:pic>
    <xdr:clientData/>
  </xdr:twoCellAnchor>
  <xdr:twoCellAnchor editAs="oneCell">
    <xdr:from>
      <xdr:col>0</xdr:col>
      <xdr:colOff>173182</xdr:colOff>
      <xdr:row>95</xdr:row>
      <xdr:rowOff>121228</xdr:rowOff>
    </xdr:from>
    <xdr:to>
      <xdr:col>1</xdr:col>
      <xdr:colOff>1978940</xdr:colOff>
      <xdr:row>105</xdr:row>
      <xdr:rowOff>67753</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3138" t="8902" r="29424" b="35039"/>
        <a:stretch/>
      </xdr:blipFill>
      <xdr:spPr>
        <a:xfrm>
          <a:off x="173182" y="22276378"/>
          <a:ext cx="3386908" cy="189915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400050</xdr:colOff>
          <xdr:row>7</xdr:row>
          <xdr:rowOff>314325</xdr:rowOff>
        </xdr:from>
        <xdr:to>
          <xdr:col>4</xdr:col>
          <xdr:colOff>552450</xdr:colOff>
          <xdr:row>9</xdr:row>
          <xdr:rowOff>76200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6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1</xdr:col>
      <xdr:colOff>3002363</xdr:colOff>
      <xdr:row>137</xdr:row>
      <xdr:rowOff>0</xdr:rowOff>
    </xdr:from>
    <xdr:to>
      <xdr:col>4</xdr:col>
      <xdr:colOff>171089</xdr:colOff>
      <xdr:row>148</xdr:row>
      <xdr:rowOff>120648</xdr:rowOff>
    </xdr:to>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9924" t="6023" r="38636" b="22308"/>
        <a:stretch/>
      </xdr:blipFill>
      <xdr:spPr>
        <a:xfrm>
          <a:off x="4583513" y="30480000"/>
          <a:ext cx="2055051" cy="2216148"/>
        </a:xfrm>
        <a:prstGeom prst="rect">
          <a:avLst/>
        </a:prstGeom>
      </xdr:spPr>
    </xdr:pic>
    <xdr:clientData/>
  </xdr:twoCellAnchor>
  <xdr:twoCellAnchor editAs="oneCell">
    <xdr:from>
      <xdr:col>0</xdr:col>
      <xdr:colOff>542925</xdr:colOff>
      <xdr:row>137</xdr:row>
      <xdr:rowOff>138641</xdr:rowOff>
    </xdr:from>
    <xdr:to>
      <xdr:col>1</xdr:col>
      <xdr:colOff>97237</xdr:colOff>
      <xdr:row>147</xdr:row>
      <xdr:rowOff>96202</xdr:rowOff>
    </xdr:to>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37689" t="21682" r="50947" b="38971"/>
        <a:stretch/>
      </xdr:blipFill>
      <xdr:spPr>
        <a:xfrm>
          <a:off x="542925" y="30618641"/>
          <a:ext cx="1135462" cy="1862561"/>
        </a:xfrm>
        <a:prstGeom prst="rect">
          <a:avLst/>
        </a:prstGeom>
      </xdr:spPr>
    </xdr:pic>
    <xdr:clientData/>
  </xdr:twoCellAnchor>
  <xdr:twoCellAnchor editAs="oneCell">
    <xdr:from>
      <xdr:col>1</xdr:col>
      <xdr:colOff>1232449</xdr:colOff>
      <xdr:row>137</xdr:row>
      <xdr:rowOff>186265</xdr:rowOff>
    </xdr:from>
    <xdr:to>
      <xdr:col>1</xdr:col>
      <xdr:colOff>2202262</xdr:colOff>
      <xdr:row>147</xdr:row>
      <xdr:rowOff>65332</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37784" t="32372" r="46970" b="8205"/>
        <a:stretch/>
      </xdr:blipFill>
      <xdr:spPr>
        <a:xfrm>
          <a:off x="2813599" y="30666265"/>
          <a:ext cx="969813" cy="17840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323850</xdr:colOff>
          <xdr:row>14</xdr:row>
          <xdr:rowOff>0</xdr:rowOff>
        </xdr:from>
        <xdr:to>
          <xdr:col>4</xdr:col>
          <xdr:colOff>542925</xdr:colOff>
          <xdr:row>14</xdr:row>
          <xdr:rowOff>209550</xdr:rowOff>
        </xdr:to>
        <xdr:sp macro="" textlink="">
          <xdr:nvSpPr>
            <xdr:cNvPr id="37890" name="Drop Down 2" hidden="1">
              <a:extLst>
                <a:ext uri="{63B3BB69-23CF-44E3-9099-C40C66FF867C}">
                  <a14:compatExt spid="_x0000_s37890"/>
                </a:ext>
                <a:ext uri="{FF2B5EF4-FFF2-40B4-BE49-F238E27FC236}">
                  <a16:creationId xmlns:a16="http://schemas.microsoft.com/office/drawing/2014/main" id="{00000000-0008-0000-06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52</xdr:row>
          <xdr:rowOff>38100</xdr:rowOff>
        </xdr:from>
        <xdr:to>
          <xdr:col>2</xdr:col>
          <xdr:colOff>371475</xdr:colOff>
          <xdr:row>55</xdr:row>
          <xdr:rowOff>219075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6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1" i="0" u="none" strike="noStrike" baseline="0">
                  <a:solidFill>
                    <a:srgbClr val="000000"/>
                  </a:solidFill>
                  <a:latin typeface="Calibri"/>
                  <a:cs typeface="Calibri"/>
                </a:rPr>
                <a:t>Buscar espesor de piso h que cumpla con el factor de seguridad global para condiciones de carga interna, carga de esquina y carga de borde</a:t>
              </a:r>
            </a:p>
          </xdr:txBody>
        </xdr:sp>
        <xdr:clientData fPrintsWithSheet="0"/>
      </xdr:twoCellAnchor>
    </mc:Choice>
    <mc:Fallback/>
  </mc:AlternateContent>
  <xdr:twoCellAnchor editAs="oneCell">
    <xdr:from>
      <xdr:col>0</xdr:col>
      <xdr:colOff>148166</xdr:colOff>
      <xdr:row>158</xdr:row>
      <xdr:rowOff>222250</xdr:rowOff>
    </xdr:from>
    <xdr:to>
      <xdr:col>0</xdr:col>
      <xdr:colOff>1534583</xdr:colOff>
      <xdr:row>164</xdr:row>
      <xdr:rowOff>127000</xdr:rowOff>
    </xdr:to>
    <xdr:pic>
      <xdr:nvPicPr>
        <xdr:cNvPr id="17" name="Imagen 16">
          <a:extLst>
            <a:ext uri="{FF2B5EF4-FFF2-40B4-BE49-F238E27FC236}">
              <a16:creationId xmlns:a16="http://schemas.microsoft.com/office/drawing/2014/main" id="{00000000-0008-0000-0600-000011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4304" t="6426" r="2335"/>
        <a:stretch/>
      </xdr:blipFill>
      <xdr:spPr bwMode="auto">
        <a:xfrm>
          <a:off x="148166" y="35198050"/>
          <a:ext cx="1386417"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539750</xdr:colOff>
      <xdr:row>24</xdr:row>
      <xdr:rowOff>137583</xdr:rowOff>
    </xdr:from>
    <xdr:to>
      <xdr:col>1</xdr:col>
      <xdr:colOff>1534583</xdr:colOff>
      <xdr:row>34</xdr:row>
      <xdr:rowOff>86373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5970" t="5719" r="9379" b="9318"/>
        <a:stretch/>
      </xdr:blipFill>
      <xdr:spPr>
        <a:xfrm>
          <a:off x="539750" y="5905500"/>
          <a:ext cx="2571750" cy="1938456"/>
        </a:xfrm>
        <a:prstGeom prst="rect">
          <a:avLst/>
        </a:prstGeom>
      </xdr:spPr>
    </xdr:pic>
    <xdr:clientData/>
  </xdr:twoCellAnchor>
  <xdr:twoCellAnchor editAs="oneCell">
    <xdr:from>
      <xdr:col>1</xdr:col>
      <xdr:colOff>2246613</xdr:colOff>
      <xdr:row>25</xdr:row>
      <xdr:rowOff>116415</xdr:rowOff>
    </xdr:from>
    <xdr:to>
      <xdr:col>3</xdr:col>
      <xdr:colOff>364417</xdr:colOff>
      <xdr:row>33</xdr:row>
      <xdr:rowOff>31748</xdr:rowOff>
    </xdr:to>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1"/>
        <a:stretch>
          <a:fillRect/>
        </a:stretch>
      </xdr:blipFill>
      <xdr:spPr>
        <a:xfrm>
          <a:off x="3823530" y="6095998"/>
          <a:ext cx="2382887" cy="1481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25740</xdr:colOff>
      <xdr:row>0</xdr:row>
      <xdr:rowOff>84666</xdr:rowOff>
    </xdr:from>
    <xdr:to>
      <xdr:col>4</xdr:col>
      <xdr:colOff>549245</xdr:colOff>
      <xdr:row>4</xdr:row>
      <xdr:rowOff>158749</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7740" y="84666"/>
          <a:ext cx="1147922" cy="101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3209924</xdr:colOff>
      <xdr:row>58</xdr:row>
      <xdr:rowOff>85725</xdr:rowOff>
    </xdr:from>
    <xdr:to>
      <xdr:col>4</xdr:col>
      <xdr:colOff>387349</xdr:colOff>
      <xdr:row>64</xdr:row>
      <xdr:rowOff>340966</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0209" t="6424" r="44697" b="37566"/>
        <a:stretch/>
      </xdr:blipFill>
      <xdr:spPr>
        <a:xfrm>
          <a:off x="4786841" y="10510308"/>
          <a:ext cx="2066925" cy="2176119"/>
        </a:xfrm>
        <a:prstGeom prst="rect">
          <a:avLst/>
        </a:prstGeom>
      </xdr:spPr>
    </xdr:pic>
    <xdr:clientData/>
  </xdr:twoCellAnchor>
  <xdr:twoCellAnchor editAs="oneCell">
    <xdr:from>
      <xdr:col>1</xdr:col>
      <xdr:colOff>3264015</xdr:colOff>
      <xdr:row>90</xdr:row>
      <xdr:rowOff>200025</xdr:rowOff>
    </xdr:from>
    <xdr:to>
      <xdr:col>4</xdr:col>
      <xdr:colOff>339725</xdr:colOff>
      <xdr:row>101</xdr:row>
      <xdr:rowOff>75672</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6970" t="2209" r="21401" b="25320"/>
        <a:stretch/>
      </xdr:blipFill>
      <xdr:spPr>
        <a:xfrm>
          <a:off x="3949815" y="18849975"/>
          <a:ext cx="1962035" cy="2119314"/>
        </a:xfrm>
        <a:prstGeom prst="rect">
          <a:avLst/>
        </a:prstGeom>
      </xdr:spPr>
    </xdr:pic>
    <xdr:clientData/>
  </xdr:twoCellAnchor>
  <xdr:twoCellAnchor editAs="oneCell">
    <xdr:from>
      <xdr:col>0</xdr:col>
      <xdr:colOff>264583</xdr:colOff>
      <xdr:row>76</xdr:row>
      <xdr:rowOff>148165</xdr:rowOff>
    </xdr:from>
    <xdr:to>
      <xdr:col>0</xdr:col>
      <xdr:colOff>1365251</xdr:colOff>
      <xdr:row>80</xdr:row>
      <xdr:rowOff>201084</xdr:rowOff>
    </xdr:to>
    <xdr:pic>
      <xdr:nvPicPr>
        <xdr:cNvPr id="6" name="Imagen 5">
          <a:extLst>
            <a:ext uri="{FF2B5EF4-FFF2-40B4-BE49-F238E27FC236}">
              <a16:creationId xmlns:a16="http://schemas.microsoft.com/office/drawing/2014/main" id="{00000000-0008-0000-0700-000006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964" t="25613" r="74906" b="16606"/>
        <a:stretch/>
      </xdr:blipFill>
      <xdr:spPr bwMode="auto">
        <a:xfrm>
          <a:off x="264583" y="18711332"/>
          <a:ext cx="1100668" cy="1132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78457</xdr:colOff>
      <xdr:row>114</xdr:row>
      <xdr:rowOff>15878</xdr:rowOff>
    </xdr:from>
    <xdr:to>
      <xdr:col>0</xdr:col>
      <xdr:colOff>1386416</xdr:colOff>
      <xdr:row>122</xdr:row>
      <xdr:rowOff>167080</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31065" t="10108" r="42389"/>
        <a:stretch/>
      </xdr:blipFill>
      <xdr:spPr bwMode="auto">
        <a:xfrm>
          <a:off x="78457" y="26886961"/>
          <a:ext cx="1307959" cy="1685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3141453</xdr:colOff>
      <xdr:row>25</xdr:row>
      <xdr:rowOff>66974</xdr:rowOff>
    </xdr:from>
    <xdr:to>
      <xdr:col>4</xdr:col>
      <xdr:colOff>314795</xdr:colOff>
      <xdr:row>33</xdr:row>
      <xdr:rowOff>66675</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827253" y="4715174"/>
          <a:ext cx="2059667" cy="1390351"/>
        </a:xfrm>
        <a:prstGeom prst="rect">
          <a:avLst/>
        </a:prstGeom>
      </xdr:spPr>
    </xdr:pic>
    <xdr:clientData/>
  </xdr:twoCellAnchor>
  <xdr:twoCellAnchor editAs="oneCell">
    <xdr:from>
      <xdr:col>0</xdr:col>
      <xdr:colOff>273051</xdr:colOff>
      <xdr:row>24</xdr:row>
      <xdr:rowOff>184150</xdr:rowOff>
    </xdr:from>
    <xdr:to>
      <xdr:col>1</xdr:col>
      <xdr:colOff>1733551</xdr:colOff>
      <xdr:row>33</xdr:row>
      <xdr:rowOff>137550</xdr:rowOff>
    </xdr:to>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6610" t="16863" r="39678" b="46800"/>
        <a:stretch/>
      </xdr:blipFill>
      <xdr:spPr>
        <a:xfrm>
          <a:off x="273051" y="4622800"/>
          <a:ext cx="3041650" cy="1553601"/>
        </a:xfrm>
        <a:prstGeom prst="rect">
          <a:avLst/>
        </a:prstGeom>
      </xdr:spPr>
    </xdr:pic>
    <xdr:clientData/>
  </xdr:twoCellAnchor>
  <xdr:twoCellAnchor editAs="oneCell">
    <xdr:from>
      <xdr:col>0</xdr:col>
      <xdr:colOff>134938</xdr:colOff>
      <xdr:row>59</xdr:row>
      <xdr:rowOff>142876</xdr:rowOff>
    </xdr:from>
    <xdr:to>
      <xdr:col>1</xdr:col>
      <xdr:colOff>2164063</xdr:colOff>
      <xdr:row>64</xdr:row>
      <xdr:rowOff>354285</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0644" t="15659" r="25474" b="26123"/>
        <a:stretch/>
      </xdr:blipFill>
      <xdr:spPr>
        <a:xfrm>
          <a:off x="134938" y="11201401"/>
          <a:ext cx="3610275" cy="1840182"/>
        </a:xfrm>
        <a:prstGeom prst="rect">
          <a:avLst/>
        </a:prstGeom>
      </xdr:spPr>
    </xdr:pic>
    <xdr:clientData/>
  </xdr:twoCellAnchor>
  <xdr:twoCellAnchor editAs="oneCell">
    <xdr:from>
      <xdr:col>0</xdr:col>
      <xdr:colOff>173182</xdr:colOff>
      <xdr:row>91</xdr:row>
      <xdr:rowOff>121228</xdr:rowOff>
    </xdr:from>
    <xdr:to>
      <xdr:col>1</xdr:col>
      <xdr:colOff>1978940</xdr:colOff>
      <xdr:row>101</xdr:row>
      <xdr:rowOff>67753</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3138" t="8902" r="29424" b="35039"/>
        <a:stretch/>
      </xdr:blipFill>
      <xdr:spPr>
        <a:xfrm>
          <a:off x="173182" y="19009303"/>
          <a:ext cx="3386908" cy="1899151"/>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400050</xdr:colOff>
          <xdr:row>7</xdr:row>
          <xdr:rowOff>314325</xdr:rowOff>
        </xdr:from>
        <xdr:to>
          <xdr:col>4</xdr:col>
          <xdr:colOff>552450</xdr:colOff>
          <xdr:row>9</xdr:row>
          <xdr:rowOff>76200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700-00000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1</xdr:col>
      <xdr:colOff>3002363</xdr:colOff>
      <xdr:row>133</xdr:row>
      <xdr:rowOff>0</xdr:rowOff>
    </xdr:from>
    <xdr:to>
      <xdr:col>4</xdr:col>
      <xdr:colOff>171089</xdr:colOff>
      <xdr:row>144</xdr:row>
      <xdr:rowOff>120648</xdr:rowOff>
    </xdr:to>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9924" t="6023" r="38636" b="22308"/>
        <a:stretch/>
      </xdr:blipFill>
      <xdr:spPr>
        <a:xfrm>
          <a:off x="4583513" y="27384375"/>
          <a:ext cx="2055051" cy="2216148"/>
        </a:xfrm>
        <a:prstGeom prst="rect">
          <a:avLst/>
        </a:prstGeom>
      </xdr:spPr>
    </xdr:pic>
    <xdr:clientData/>
  </xdr:twoCellAnchor>
  <xdr:twoCellAnchor editAs="oneCell">
    <xdr:from>
      <xdr:col>0</xdr:col>
      <xdr:colOff>542925</xdr:colOff>
      <xdr:row>133</xdr:row>
      <xdr:rowOff>138641</xdr:rowOff>
    </xdr:from>
    <xdr:to>
      <xdr:col>1</xdr:col>
      <xdr:colOff>97237</xdr:colOff>
      <xdr:row>143</xdr:row>
      <xdr:rowOff>96202</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7689" t="21682" r="50947" b="38971"/>
        <a:stretch/>
      </xdr:blipFill>
      <xdr:spPr>
        <a:xfrm>
          <a:off x="542925" y="27523016"/>
          <a:ext cx="1135462" cy="1862561"/>
        </a:xfrm>
        <a:prstGeom prst="rect">
          <a:avLst/>
        </a:prstGeom>
      </xdr:spPr>
    </xdr:pic>
    <xdr:clientData/>
  </xdr:twoCellAnchor>
  <xdr:twoCellAnchor editAs="oneCell">
    <xdr:from>
      <xdr:col>1</xdr:col>
      <xdr:colOff>1232449</xdr:colOff>
      <xdr:row>133</xdr:row>
      <xdr:rowOff>186265</xdr:rowOff>
    </xdr:from>
    <xdr:to>
      <xdr:col>1</xdr:col>
      <xdr:colOff>2202262</xdr:colOff>
      <xdr:row>143</xdr:row>
      <xdr:rowOff>65332</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37784" t="32372" r="46970" b="8205"/>
        <a:stretch/>
      </xdr:blipFill>
      <xdr:spPr>
        <a:xfrm>
          <a:off x="2813599" y="27570640"/>
          <a:ext cx="969813" cy="17840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323850</xdr:colOff>
          <xdr:row>14</xdr:row>
          <xdr:rowOff>0</xdr:rowOff>
        </xdr:from>
        <xdr:to>
          <xdr:col>4</xdr:col>
          <xdr:colOff>542925</xdr:colOff>
          <xdr:row>14</xdr:row>
          <xdr:rowOff>209550</xdr:rowOff>
        </xdr:to>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7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48</xdr:row>
          <xdr:rowOff>38100</xdr:rowOff>
        </xdr:from>
        <xdr:to>
          <xdr:col>2</xdr:col>
          <xdr:colOff>371475</xdr:colOff>
          <xdr:row>51</xdr:row>
          <xdr:rowOff>219075</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7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1" i="0" u="none" strike="noStrike" baseline="0">
                  <a:solidFill>
                    <a:srgbClr val="000000"/>
                  </a:solidFill>
                  <a:latin typeface="Calibri"/>
                  <a:cs typeface="Calibri"/>
                </a:rPr>
                <a:t>Buscar espesor de piso h que cumpla con el factor de seguridad global para condiciones de carga interna, carga de esquina y carga de borde</a:t>
              </a:r>
            </a:p>
          </xdr:txBody>
        </xdr:sp>
        <xdr:clientData fPrintsWithSheet="0"/>
      </xdr:twoCellAnchor>
    </mc:Choice>
    <mc:Fallback/>
  </mc:AlternateContent>
  <xdr:twoCellAnchor editAs="oneCell">
    <xdr:from>
      <xdr:col>0</xdr:col>
      <xdr:colOff>148166</xdr:colOff>
      <xdr:row>154</xdr:row>
      <xdr:rowOff>222250</xdr:rowOff>
    </xdr:from>
    <xdr:to>
      <xdr:col>0</xdr:col>
      <xdr:colOff>1534583</xdr:colOff>
      <xdr:row>160</xdr:row>
      <xdr:rowOff>127000</xdr:rowOff>
    </xdr:to>
    <xdr:pic>
      <xdr:nvPicPr>
        <xdr:cNvPr id="18" name="Imagen 17">
          <a:extLst>
            <a:ext uri="{FF2B5EF4-FFF2-40B4-BE49-F238E27FC236}">
              <a16:creationId xmlns:a16="http://schemas.microsoft.com/office/drawing/2014/main" id="{00000000-0008-0000-0700-000012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4304" t="6426" r="2335"/>
        <a:stretch/>
      </xdr:blipFill>
      <xdr:spPr bwMode="auto">
        <a:xfrm>
          <a:off x="148166" y="35380083"/>
          <a:ext cx="1386417"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182563</xdr:colOff>
      <xdr:row>0</xdr:row>
      <xdr:rowOff>31750</xdr:rowOff>
    </xdr:from>
    <xdr:to>
      <xdr:col>4</xdr:col>
      <xdr:colOff>538661</xdr:colOff>
      <xdr:row>4</xdr:row>
      <xdr:rowOff>31749</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49863" y="31750"/>
          <a:ext cx="984748" cy="866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3209924</xdr:colOff>
      <xdr:row>59</xdr:row>
      <xdr:rowOff>85725</xdr:rowOff>
    </xdr:from>
    <xdr:to>
      <xdr:col>4</xdr:col>
      <xdr:colOff>387349</xdr:colOff>
      <xdr:row>66</xdr:row>
      <xdr:rowOff>23468</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0209" t="6424" r="44697" b="37566"/>
        <a:stretch/>
      </xdr:blipFill>
      <xdr:spPr>
        <a:xfrm>
          <a:off x="3895724" y="10039350"/>
          <a:ext cx="2063750" cy="2176119"/>
        </a:xfrm>
        <a:prstGeom prst="rect">
          <a:avLst/>
        </a:prstGeom>
      </xdr:spPr>
    </xdr:pic>
    <xdr:clientData/>
  </xdr:twoCellAnchor>
  <xdr:twoCellAnchor editAs="oneCell">
    <xdr:from>
      <xdr:col>0</xdr:col>
      <xdr:colOff>219074</xdr:colOff>
      <xdr:row>60</xdr:row>
      <xdr:rowOff>190501</xdr:rowOff>
    </xdr:from>
    <xdr:to>
      <xdr:col>1</xdr:col>
      <xdr:colOff>1872163</xdr:colOff>
      <xdr:row>65</xdr:row>
      <xdr:rowOff>342901</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2671" t="45370" r="47727" b="31744"/>
        <a:stretch/>
      </xdr:blipFill>
      <xdr:spPr>
        <a:xfrm>
          <a:off x="219074" y="10382251"/>
          <a:ext cx="3234239" cy="1781174"/>
        </a:xfrm>
        <a:prstGeom prst="rect">
          <a:avLst/>
        </a:prstGeom>
      </xdr:spPr>
    </xdr:pic>
    <xdr:clientData/>
  </xdr:twoCellAnchor>
  <xdr:twoCellAnchor editAs="oneCell">
    <xdr:from>
      <xdr:col>0</xdr:col>
      <xdr:colOff>552448</xdr:colOff>
      <xdr:row>90</xdr:row>
      <xdr:rowOff>95249</xdr:rowOff>
    </xdr:from>
    <xdr:to>
      <xdr:col>1</xdr:col>
      <xdr:colOff>201373</xdr:colOff>
      <xdr:row>100</xdr:row>
      <xdr:rowOff>166685</xdr:rowOff>
    </xdr:to>
    <xdr:pic>
      <xdr:nvPicPr>
        <xdr:cNvPr id="5" name="Imagen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6459" t="16663" r="56250" b="57842"/>
        <a:stretch/>
      </xdr:blipFill>
      <xdr:spPr>
        <a:xfrm>
          <a:off x="552448" y="18116549"/>
          <a:ext cx="1230075" cy="2024062"/>
        </a:xfrm>
        <a:prstGeom prst="rect">
          <a:avLst/>
        </a:prstGeom>
      </xdr:spPr>
    </xdr:pic>
    <xdr:clientData/>
  </xdr:twoCellAnchor>
  <xdr:twoCellAnchor editAs="oneCell">
    <xdr:from>
      <xdr:col>1</xdr:col>
      <xdr:colOff>1485900</xdr:colOff>
      <xdr:row>90</xdr:row>
      <xdr:rowOff>142874</xdr:rowOff>
    </xdr:from>
    <xdr:to>
      <xdr:col>1</xdr:col>
      <xdr:colOff>2600325</xdr:colOff>
      <xdr:row>100</xdr:row>
      <xdr:rowOff>155920</xdr:rowOff>
    </xdr:to>
    <xdr:pic>
      <xdr:nvPicPr>
        <xdr:cNvPr id="6" name="Imagen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6932" t="64241" r="56534" b="11267"/>
        <a:stretch/>
      </xdr:blipFill>
      <xdr:spPr>
        <a:xfrm>
          <a:off x="2171700" y="18164174"/>
          <a:ext cx="1114425" cy="1965672"/>
        </a:xfrm>
        <a:prstGeom prst="rect">
          <a:avLst/>
        </a:prstGeom>
      </xdr:spPr>
    </xdr:pic>
    <xdr:clientData/>
  </xdr:twoCellAnchor>
  <xdr:twoCellAnchor editAs="oneCell">
    <xdr:from>
      <xdr:col>1</xdr:col>
      <xdr:colOff>3264015</xdr:colOff>
      <xdr:row>89</xdr:row>
      <xdr:rowOff>200025</xdr:rowOff>
    </xdr:from>
    <xdr:to>
      <xdr:col>4</xdr:col>
      <xdr:colOff>339725</xdr:colOff>
      <xdr:row>100</xdr:row>
      <xdr:rowOff>128586</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6970" t="2209" r="21401" b="25320"/>
        <a:stretch/>
      </xdr:blipFill>
      <xdr:spPr>
        <a:xfrm>
          <a:off x="3949815" y="17983200"/>
          <a:ext cx="1962035" cy="2119312"/>
        </a:xfrm>
        <a:prstGeom prst="rect">
          <a:avLst/>
        </a:prstGeom>
      </xdr:spPr>
    </xdr:pic>
    <xdr:clientData/>
  </xdr:twoCellAnchor>
  <xdr:twoCellAnchor editAs="oneCell">
    <xdr:from>
      <xdr:col>1</xdr:col>
      <xdr:colOff>1217828</xdr:colOff>
      <xdr:row>74</xdr:row>
      <xdr:rowOff>31750</xdr:rowOff>
    </xdr:from>
    <xdr:to>
      <xdr:col>1</xdr:col>
      <xdr:colOff>1976438</xdr:colOff>
      <xdr:row>77</xdr:row>
      <xdr:rowOff>123322</xdr:rowOff>
    </xdr:to>
    <xdr:pic>
      <xdr:nvPicPr>
        <xdr:cNvPr id="11" name="Imagen 10">
          <a:extLst>
            <a:ext uri="{FF2B5EF4-FFF2-40B4-BE49-F238E27FC236}">
              <a16:creationId xmlns:a16="http://schemas.microsoft.com/office/drawing/2014/main" id="{00000000-0008-0000-0800-00000B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19133" r="73171" b="16606"/>
        <a:stretch/>
      </xdr:blipFill>
      <xdr:spPr bwMode="auto">
        <a:xfrm>
          <a:off x="1903628" y="14252575"/>
          <a:ext cx="758610" cy="7106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2067145</xdr:colOff>
      <xdr:row>110</xdr:row>
      <xdr:rowOff>47625</xdr:rowOff>
    </xdr:from>
    <xdr:to>
      <xdr:col>1</xdr:col>
      <xdr:colOff>2797204</xdr:colOff>
      <xdr:row>114</xdr:row>
      <xdr:rowOff>171603</xdr:rowOff>
    </xdr:to>
    <xdr:pic>
      <xdr:nvPicPr>
        <xdr:cNvPr id="12" name="Imagen 11">
          <a:extLst>
            <a:ext uri="{FF2B5EF4-FFF2-40B4-BE49-F238E27FC236}">
              <a16:creationId xmlns:a16="http://schemas.microsoft.com/office/drawing/2014/main" id="{00000000-0008-0000-0800-00000C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31065" t="10108" r="42389"/>
        <a:stretch/>
      </xdr:blipFill>
      <xdr:spPr bwMode="auto">
        <a:xfrm>
          <a:off x="2752945" y="22374225"/>
          <a:ext cx="730059" cy="9621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511744</xdr:colOff>
      <xdr:row>24</xdr:row>
      <xdr:rowOff>140190</xdr:rowOff>
    </xdr:from>
    <xdr:to>
      <xdr:col>1</xdr:col>
      <xdr:colOff>2686375</xdr:colOff>
      <xdr:row>32</xdr:row>
      <xdr:rowOff>170651</xdr:rowOff>
    </xdr:to>
    <xdr:pic>
      <xdr:nvPicPr>
        <xdr:cNvPr id="14" name="Imagen 13">
          <a:extLst>
            <a:ext uri="{FF2B5EF4-FFF2-40B4-BE49-F238E27FC236}">
              <a16:creationId xmlns:a16="http://schemas.microsoft.com/office/drawing/2014/main" id="{00000000-0008-0000-0800-00000E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5970" t="5719" r="9379" b="9318"/>
        <a:stretch/>
      </xdr:blipFill>
      <xdr:spPr>
        <a:xfrm>
          <a:off x="2088661" y="5728190"/>
          <a:ext cx="2174631" cy="163912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361950</xdr:colOff>
          <xdr:row>7</xdr:row>
          <xdr:rowOff>114300</xdr:rowOff>
        </xdr:from>
        <xdr:to>
          <xdr:col>4</xdr:col>
          <xdr:colOff>514350</xdr:colOff>
          <xdr:row>9</xdr:row>
          <xdr:rowOff>76200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800-00000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14</xdr:row>
          <xdr:rowOff>28575</xdr:rowOff>
        </xdr:from>
        <xdr:to>
          <xdr:col>4</xdr:col>
          <xdr:colOff>447675</xdr:colOff>
          <xdr:row>14</xdr:row>
          <xdr:rowOff>209550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8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171450</xdr:rowOff>
        </xdr:from>
        <xdr:to>
          <xdr:col>2</xdr:col>
          <xdr:colOff>381000</xdr:colOff>
          <xdr:row>48</xdr:row>
          <xdr:rowOff>114300</xdr:rowOff>
        </xdr:to>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800-00000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200" b="1" i="0" u="none" strike="noStrike" baseline="0">
                  <a:solidFill>
                    <a:srgbClr val="000000"/>
                  </a:solidFill>
                  <a:latin typeface="Calibri"/>
                  <a:cs typeface="Calibri"/>
                </a:rPr>
                <a:t>Buscar espesor de piso h que cumpla con el factor de seguridad global para condiciones de carga interna, carga de esquina y carga de borde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91</xdr:row>
          <xdr:rowOff>38100</xdr:rowOff>
        </xdr:from>
        <xdr:to>
          <xdr:col>7</xdr:col>
          <xdr:colOff>114300</xdr:colOff>
          <xdr:row>95</xdr:row>
          <xdr:rowOff>123825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600" b="1" i="0" u="none" strike="noStrike" baseline="0">
                  <a:solidFill>
                    <a:srgbClr val="000000"/>
                  </a:solidFill>
                  <a:latin typeface="Calibri"/>
                  <a:cs typeface="Calibri"/>
                </a:rPr>
                <a:t>CALCULAR ESPESOR DEL PAVIMENTO RÍGIDO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495300</xdr:colOff>
          <xdr:row>7</xdr:row>
          <xdr:rowOff>66675</xdr:rowOff>
        </xdr:from>
        <xdr:to>
          <xdr:col>6</xdr:col>
          <xdr:colOff>266700</xdr:colOff>
          <xdr:row>9</xdr:row>
          <xdr:rowOff>133350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9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editAs="oneCell">
    <xdr:from>
      <xdr:col>8</xdr:col>
      <xdr:colOff>955314</xdr:colOff>
      <xdr:row>0</xdr:row>
      <xdr:rowOff>129153</xdr:rowOff>
    </xdr:from>
    <xdr:to>
      <xdr:col>10</xdr:col>
      <xdr:colOff>80681</xdr:colOff>
      <xdr:row>6</xdr:row>
      <xdr:rowOff>72648</xdr:rowOff>
    </xdr:to>
    <xdr:pic>
      <xdr:nvPicPr>
        <xdr:cNvPr id="6" name="Imagen 5" descr="http://static.wixstatic.com/media/89379b_218ebf2680024d7da2bcbc681ecbccee.png_srz_p_215_190_75_22_0.50_1.20_0.00_png_srz">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89657" y="129153"/>
          <a:ext cx="1256384" cy="1105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376528</xdr:colOff>
      <xdr:row>0</xdr:row>
      <xdr:rowOff>99994</xdr:rowOff>
    </xdr:from>
    <xdr:to>
      <xdr:col>9</xdr:col>
      <xdr:colOff>567530</xdr:colOff>
      <xdr:row>6</xdr:row>
      <xdr:rowOff>62539</xdr:rowOff>
    </xdr:to>
    <xdr:pic>
      <xdr:nvPicPr>
        <xdr:cNvPr id="3" name="Imagen 2" descr="http://static.wixstatic.com/media/89379b_218ebf2680024d7da2bcbc681ecbccee.png_srz_p_215_190_75_22_0.50_1.20_0.00_png_srz">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06028" y="99994"/>
          <a:ext cx="1257802" cy="1086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590550</xdr:colOff>
          <xdr:row>7</xdr:row>
          <xdr:rowOff>152400</xdr:rowOff>
        </xdr:from>
        <xdr:to>
          <xdr:col>6</xdr:col>
          <xdr:colOff>361950</xdr:colOff>
          <xdr:row>9</xdr:row>
          <xdr:rowOff>190500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68209</xdr:colOff>
      <xdr:row>0</xdr:row>
      <xdr:rowOff>100112</xdr:rowOff>
    </xdr:from>
    <xdr:to>
      <xdr:col>11</xdr:col>
      <xdr:colOff>523475</xdr:colOff>
      <xdr:row>9</xdr:row>
      <xdr:rowOff>109637</xdr:rowOff>
    </xdr:to>
    <xdr:pic>
      <xdr:nvPicPr>
        <xdr:cNvPr id="3" name="Imagen 2" descr="http://static.wixstatic.com/media/89379b_218ebf2680024d7da2bcbc681ecbccee.png_srz_p_215_190_75_22_0.50_1.20_0.00_png_srz">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74009" y="100112"/>
          <a:ext cx="2055467" cy="1809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1181100</xdr:colOff>
          <xdr:row>11</xdr:row>
          <xdr:rowOff>19050</xdr:rowOff>
        </xdr:from>
        <xdr:to>
          <xdr:col>4</xdr:col>
          <xdr:colOff>361950</xdr:colOff>
          <xdr:row>13</xdr:row>
          <xdr:rowOff>57150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B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twoCellAnchor>
    <xdr:from>
      <xdr:col>0</xdr:col>
      <xdr:colOff>1373188</xdr:colOff>
      <xdr:row>13</xdr:row>
      <xdr:rowOff>190500</xdr:rowOff>
    </xdr:from>
    <xdr:to>
      <xdr:col>9</xdr:col>
      <xdr:colOff>95250</xdr:colOff>
      <xdr:row>30</xdr:row>
      <xdr:rowOff>169863</xdr:rowOff>
    </xdr:to>
    <xdr:grpSp>
      <xdr:nvGrpSpPr>
        <xdr:cNvPr id="6" name="Grupo 5">
          <a:extLst>
            <a:ext uri="{FF2B5EF4-FFF2-40B4-BE49-F238E27FC236}">
              <a16:creationId xmlns:a16="http://schemas.microsoft.com/office/drawing/2014/main" id="{00000000-0008-0000-0B00-000006000000}"/>
            </a:ext>
          </a:extLst>
        </xdr:cNvPr>
        <xdr:cNvGrpSpPr/>
      </xdr:nvGrpSpPr>
      <xdr:grpSpPr>
        <a:xfrm>
          <a:off x="1373188" y="2790825"/>
          <a:ext cx="7761287" cy="3379788"/>
          <a:chOff x="1373188" y="2770188"/>
          <a:chExt cx="7596187" cy="3352800"/>
        </a:xfrm>
      </xdr:grpSpPr>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7000" y="2770188"/>
            <a:ext cx="7572375" cy="3352800"/>
          </a:xfrm>
          <a:prstGeom prst="rect">
            <a:avLst/>
          </a:prstGeom>
        </xdr:spPr>
      </xdr:pic>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7588250" y="3024188"/>
            <a:ext cx="1373188" cy="8016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Aplicación de concreto</a:t>
            </a:r>
            <a:r>
              <a:rPr lang="es-CO" sz="1100" baseline="0"/>
              <a:t> lanzado reforzado con fibras</a:t>
            </a:r>
            <a:endParaRPr lang="es-CO" sz="1100"/>
          </a:p>
        </xdr:txBody>
      </xdr:sp>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1373188" y="3111500"/>
            <a:ext cx="1373188" cy="896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Aplicación de concreto</a:t>
            </a:r>
            <a:r>
              <a:rPr lang="es-CO" sz="1100" baseline="0"/>
              <a:t> lanzado sobre malla en acero electrosoldada</a:t>
            </a:r>
            <a:endParaRPr lang="es-CO"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68209</xdr:colOff>
      <xdr:row>0</xdr:row>
      <xdr:rowOff>100112</xdr:rowOff>
    </xdr:from>
    <xdr:to>
      <xdr:col>11</xdr:col>
      <xdr:colOff>523475</xdr:colOff>
      <xdr:row>9</xdr:row>
      <xdr:rowOff>109637</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2629" y="100112"/>
          <a:ext cx="2093566" cy="1861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1181100</xdr:colOff>
          <xdr:row>11</xdr:row>
          <xdr:rowOff>19050</xdr:rowOff>
        </xdr:from>
        <xdr:to>
          <xdr:col>4</xdr:col>
          <xdr:colOff>361950</xdr:colOff>
          <xdr:row>13</xdr:row>
          <xdr:rowOff>57150</xdr:rowOff>
        </xdr:to>
        <xdr:sp macro="" textlink="">
          <xdr:nvSpPr>
            <xdr:cNvPr id="47105" name="Button 3"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0</xdr:col>
      <xdr:colOff>295337</xdr:colOff>
      <xdr:row>18</xdr:row>
      <xdr:rowOff>30924</xdr:rowOff>
    </xdr:from>
    <xdr:to>
      <xdr:col>3</xdr:col>
      <xdr:colOff>710494</xdr:colOff>
      <xdr:row>28</xdr:row>
      <xdr:rowOff>110300</xdr:rowOff>
    </xdr:to>
    <xdr:pic>
      <xdr:nvPicPr>
        <xdr:cNvPr id="3" name="Imagen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337" y="3017692"/>
          <a:ext cx="2803211" cy="2086429"/>
        </a:xfrm>
        <a:prstGeom prst="rect">
          <a:avLst/>
        </a:prstGeom>
      </xdr:spPr>
    </xdr:pic>
    <xdr:clientData/>
  </xdr:twoCellAnchor>
  <xdr:twoCellAnchor editAs="absolute">
    <xdr:from>
      <xdr:col>0</xdr:col>
      <xdr:colOff>223386</xdr:colOff>
      <xdr:row>65</xdr:row>
      <xdr:rowOff>98652</xdr:rowOff>
    </xdr:from>
    <xdr:to>
      <xdr:col>3</xdr:col>
      <xdr:colOff>385916</xdr:colOff>
      <xdr:row>75</xdr:row>
      <xdr:rowOff>33709</xdr:rowOff>
    </xdr:to>
    <xdr:pic>
      <xdr:nvPicPr>
        <xdr:cNvPr id="5" name="Imagen 4" descr="https://encrypted-tbn2.gstatic.com/images?q=tbn:ANd9GcQ7TY6KGDKVHbSvGcmOW5C83Jt_0YgxK_J-go1AwP-XvVte2PO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3386" y="12841741"/>
          <a:ext cx="2550584" cy="1908093"/>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111404</xdr:colOff>
      <xdr:row>52</xdr:row>
      <xdr:rowOff>40823</xdr:rowOff>
    </xdr:from>
    <xdr:to>
      <xdr:col>3</xdr:col>
      <xdr:colOff>495048</xdr:colOff>
      <xdr:row>61</xdr:row>
      <xdr:rowOff>192769</xdr:rowOff>
    </xdr:to>
    <xdr:pic>
      <xdr:nvPicPr>
        <xdr:cNvPr id="6" name="Imagen 5" descr="http://www.tunneltalk.com/images/Fibrecrete-in-the-UK/State-of-the-art-steel-fibre-and-polyfibre-reinforced-segments-line.jpg">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404" y="10218966"/>
          <a:ext cx="2771698" cy="1927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107725</xdr:colOff>
      <xdr:row>52</xdr:row>
      <xdr:rowOff>89579</xdr:rowOff>
    </xdr:from>
    <xdr:to>
      <xdr:col>9</xdr:col>
      <xdr:colOff>714377</xdr:colOff>
      <xdr:row>62</xdr:row>
      <xdr:rowOff>32958</xdr:rowOff>
    </xdr:to>
    <xdr:pic>
      <xdr:nvPicPr>
        <xdr:cNvPr id="10" name="Imagen 9" descr="http://quinimar.pt/images/quinisteel/04.jpg">
          <a:extLst>
            <a:ext uri="{FF2B5EF4-FFF2-40B4-BE49-F238E27FC236}">
              <a16:creationId xmlns:a16="http://schemas.microsoft.com/office/drawing/2014/main" id="{00000000-0008-0000-0D00-00000A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31636" t="3594" r="22909"/>
        <a:stretch/>
      </xdr:blipFill>
      <xdr:spPr bwMode="auto">
        <a:xfrm>
          <a:off x="4781779" y="10267722"/>
          <a:ext cx="2770187" cy="19164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151953</xdr:colOff>
      <xdr:row>36</xdr:row>
      <xdr:rowOff>84734</xdr:rowOff>
    </xdr:from>
    <xdr:to>
      <xdr:col>3</xdr:col>
      <xdr:colOff>681637</xdr:colOff>
      <xdr:row>45</xdr:row>
      <xdr:rowOff>19277</xdr:rowOff>
    </xdr:to>
    <xdr:pic>
      <xdr:nvPicPr>
        <xdr:cNvPr id="9" name="Imagen 8" descr="Portland Cement Concrete (PCC) is a commonly-used pavement types">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1953" y="6888305"/>
          <a:ext cx="2917738" cy="19347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95249</xdr:colOff>
      <xdr:row>0</xdr:row>
      <xdr:rowOff>142875</xdr:rowOff>
    </xdr:from>
    <xdr:to>
      <xdr:col>1</xdr:col>
      <xdr:colOff>790574</xdr:colOff>
      <xdr:row>7</xdr:row>
      <xdr:rowOff>88301</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5249" y="142875"/>
          <a:ext cx="1457325" cy="1278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533400</xdr:colOff>
          <xdr:row>80</xdr:row>
          <xdr:rowOff>95250</xdr:rowOff>
        </xdr:from>
        <xdr:to>
          <xdr:col>7</xdr:col>
          <xdr:colOff>295275</xdr:colOff>
          <xdr:row>82</xdr:row>
          <xdr:rowOff>114300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D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419" sz="1000" b="1" i="0" u="none" strike="noStrike" baseline="0">
                  <a:solidFill>
                    <a:srgbClr val="000000"/>
                  </a:solidFill>
                  <a:latin typeface="Arial CE"/>
                  <a:cs typeface="Arial CE"/>
                </a:rPr>
                <a:t>INGRESAR AL PROGRAMA</a:t>
              </a:r>
            </a:p>
            <a:p>
              <a:pPr algn="ctr" rtl="0">
                <a:defRPr sz="1000"/>
              </a:pPr>
              <a:r>
                <a:rPr lang="es-419" sz="1000" b="0" i="0" u="none" strike="noStrike" baseline="0">
                  <a:solidFill>
                    <a:srgbClr val="000000"/>
                  </a:solidFill>
                  <a:latin typeface="Arial CE"/>
                  <a:cs typeface="Arial CE"/>
                </a:rPr>
                <a:t>(Acepta los términos y condiciones)</a:t>
              </a:r>
            </a:p>
          </xdr:txBody>
        </xdr:sp>
        <xdr:clientData fPrintsWithSheet="0"/>
      </xdr:twoCellAnchor>
    </mc:Choice>
    <mc:Fallback/>
  </mc:AlternateContent>
  <xdr:twoCellAnchor editAs="oneCell">
    <xdr:from>
      <xdr:col>4</xdr:col>
      <xdr:colOff>0</xdr:colOff>
      <xdr:row>40</xdr:row>
      <xdr:rowOff>0</xdr:rowOff>
    </xdr:from>
    <xdr:to>
      <xdr:col>4</xdr:col>
      <xdr:colOff>304800</xdr:colOff>
      <xdr:row>41</xdr:row>
      <xdr:rowOff>114300</xdr:rowOff>
    </xdr:to>
    <xdr:sp macro="" textlink="">
      <xdr:nvSpPr>
        <xdr:cNvPr id="26633" name="AutoShape 9" descr="Resultado de imagen para fiber reinforced shotcrete">
          <a:extLst>
            <a:ext uri="{FF2B5EF4-FFF2-40B4-BE49-F238E27FC236}">
              <a16:creationId xmlns:a16="http://schemas.microsoft.com/office/drawing/2014/main" id="{00000000-0008-0000-0D00-000009680000}"/>
            </a:ext>
          </a:extLst>
        </xdr:cNvPr>
        <xdr:cNvSpPr>
          <a:spLocks noChangeAspect="1" noChangeArrowheads="1"/>
        </xdr:cNvSpPr>
      </xdr:nvSpPr>
      <xdr:spPr bwMode="auto">
        <a:xfrm>
          <a:off x="3152775" y="5248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4</xdr:col>
          <xdr:colOff>409575</xdr:colOff>
          <xdr:row>82</xdr:row>
          <xdr:rowOff>238125</xdr:rowOff>
        </xdr:from>
        <xdr:to>
          <xdr:col>6</xdr:col>
          <xdr:colOff>762000</xdr:colOff>
          <xdr:row>83</xdr:row>
          <xdr:rowOff>190500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D00-00000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419" sz="1000" b="1" i="0" u="none" strike="noStrike" baseline="0">
                  <a:solidFill>
                    <a:srgbClr val="000000"/>
                  </a:solidFill>
                  <a:latin typeface="Arial CE"/>
                  <a:cs typeface="Arial CE"/>
                </a:rPr>
                <a:t>Terminos y Condiciones</a:t>
              </a:r>
            </a:p>
          </xdr:txBody>
        </xdr:sp>
        <xdr:clientData fPrintsWithSheet="0"/>
      </xdr:twoCellAnchor>
    </mc:Choice>
    <mc:Fallback/>
  </mc:AlternateContent>
  <xdr:twoCellAnchor editAs="oneCell">
    <xdr:from>
      <xdr:col>5</xdr:col>
      <xdr:colOff>652486</xdr:colOff>
      <xdr:row>15</xdr:row>
      <xdr:rowOff>85147</xdr:rowOff>
    </xdr:from>
    <xdr:to>
      <xdr:col>9</xdr:col>
      <xdr:colOff>219982</xdr:colOff>
      <xdr:row>32</xdr:row>
      <xdr:rowOff>57763</xdr:rowOff>
    </xdr:to>
    <xdr:pic>
      <xdr:nvPicPr>
        <xdr:cNvPr id="4" name="Imagen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7"/>
        <a:stretch>
          <a:fillRect/>
        </a:stretch>
      </xdr:blipFill>
      <xdr:spPr>
        <a:xfrm>
          <a:off x="4564540" y="2765754"/>
          <a:ext cx="2493031" cy="3047830"/>
        </a:xfrm>
        <a:prstGeom prst="rect">
          <a:avLst/>
        </a:prstGeom>
      </xdr:spPr>
    </xdr:pic>
    <xdr:clientData/>
  </xdr:twoCellAnchor>
  <xdr:twoCellAnchor editAs="oneCell">
    <xdr:from>
      <xdr:col>6</xdr:col>
      <xdr:colOff>13333</xdr:colOff>
      <xdr:row>36</xdr:row>
      <xdr:rowOff>47625</xdr:rowOff>
    </xdr:from>
    <xdr:to>
      <xdr:col>10</xdr:col>
      <xdr:colOff>64024</xdr:colOff>
      <xdr:row>47</xdr:row>
      <xdr:rowOff>82776</xdr:rowOff>
    </xdr:to>
    <xdr:pic>
      <xdr:nvPicPr>
        <xdr:cNvPr id="20" name="Imagen 19">
          <a:extLst>
            <a:ext uri="{FF2B5EF4-FFF2-40B4-BE49-F238E27FC236}">
              <a16:creationId xmlns:a16="http://schemas.microsoft.com/office/drawing/2014/main" id="{00000000-0008-0000-0D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87387" y="6851196"/>
          <a:ext cx="2976226" cy="242320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95249</xdr:colOff>
      <xdr:row>0</xdr:row>
      <xdr:rowOff>142875</xdr:rowOff>
    </xdr:from>
    <xdr:to>
      <xdr:col>1</xdr:col>
      <xdr:colOff>790574</xdr:colOff>
      <xdr:row>7</xdr:row>
      <xdr:rowOff>88301</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49" y="142875"/>
          <a:ext cx="1457325" cy="1278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438150</xdr:colOff>
          <xdr:row>31</xdr:row>
          <xdr:rowOff>85725</xdr:rowOff>
        </xdr:from>
        <xdr:to>
          <xdr:col>4</xdr:col>
          <xdr:colOff>666750</xdr:colOff>
          <xdr:row>34</xdr:row>
          <xdr:rowOff>104775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95249</xdr:colOff>
      <xdr:row>0</xdr:row>
      <xdr:rowOff>142875</xdr:rowOff>
    </xdr:from>
    <xdr:to>
      <xdr:col>1</xdr:col>
      <xdr:colOff>790574</xdr:colOff>
      <xdr:row>7</xdr:row>
      <xdr:rowOff>88301</xdr:rowOff>
    </xdr:to>
    <xdr:pic>
      <xdr:nvPicPr>
        <xdr:cNvPr id="2" name="Imagen 1" descr="http://static.wixstatic.com/media/89379b_218ebf2680024d7da2bcbc681ecbccee.png_srz_p_215_190_75_22_0.50_1.20_0.00_png_srz">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49" y="142875"/>
          <a:ext cx="1457325" cy="1278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438150</xdr:colOff>
          <xdr:row>31</xdr:row>
          <xdr:rowOff>85725</xdr:rowOff>
        </xdr:from>
        <xdr:to>
          <xdr:col>4</xdr:col>
          <xdr:colOff>666750</xdr:colOff>
          <xdr:row>34</xdr:row>
          <xdr:rowOff>104775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F00-000001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419" sz="1400" b="0" i="0" u="none" strike="noStrike" baseline="0">
                  <a:solidFill>
                    <a:srgbClr val="000000"/>
                  </a:solidFill>
                  <a:latin typeface="Calibri"/>
                  <a:cs typeface="Calibri"/>
                </a:rPr>
                <a:t>Regresar al INICIO</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8.vml"/><Relationship Id="rId7" Type="http://schemas.openxmlformats.org/officeDocument/2006/relationships/ctrlProp" Target="../ctrlProps/ctrlProp2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vmlDrawing" Target="../drawings/vmlDrawing9.v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0.vml"/><Relationship Id="rId7" Type="http://schemas.openxmlformats.org/officeDocument/2006/relationships/ctrlProp" Target="../ctrlProps/ctrlProp2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1.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3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3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tabColor rgb="FFFF6600"/>
  </sheetPr>
  <dimension ref="A1:N40"/>
  <sheetViews>
    <sheetView showGridLines="0" showRowColHeaders="0" topLeftCell="A31" zoomScale="175" zoomScaleNormal="175" zoomScaleSheetLayoutView="140" workbookViewId="0">
      <selection activeCell="F36" sqref="F36"/>
    </sheetView>
  </sheetViews>
  <sheetFormatPr baseColWidth="10" defaultColWidth="0" defaultRowHeight="15" customHeight="1" zeroHeight="1"/>
  <cols>
    <col min="1" max="7" width="11.42578125" customWidth="1"/>
    <col min="8" max="8" width="5.42578125" customWidth="1"/>
    <col min="9" max="16384" width="11.42578125" hidden="1"/>
  </cols>
  <sheetData>
    <row r="1" spans="1:14" ht="15" customHeight="1">
      <c r="A1" s="192"/>
      <c r="B1" s="192"/>
      <c r="C1" s="370" t="s">
        <v>628</v>
      </c>
      <c r="D1" s="370"/>
      <c r="E1" s="370"/>
      <c r="F1" s="370"/>
      <c r="G1" s="370"/>
      <c r="H1" s="192"/>
    </row>
    <row r="2" spans="1:14" ht="15" customHeight="1">
      <c r="A2" s="192"/>
      <c r="B2" s="192"/>
      <c r="C2" s="370"/>
      <c r="D2" s="370"/>
      <c r="E2" s="370"/>
      <c r="F2" s="370"/>
      <c r="G2" s="370"/>
      <c r="H2" s="192"/>
    </row>
    <row r="3" spans="1:14" ht="15" customHeight="1">
      <c r="A3" s="192"/>
      <c r="B3" s="192"/>
      <c r="C3" s="370"/>
      <c r="D3" s="370"/>
      <c r="E3" s="370"/>
      <c r="F3" s="370"/>
      <c r="G3" s="370"/>
      <c r="H3" s="192"/>
    </row>
    <row r="4" spans="1:14" ht="15" customHeight="1">
      <c r="A4" s="192"/>
      <c r="B4" s="192"/>
      <c r="C4" s="370"/>
      <c r="D4" s="370"/>
      <c r="E4" s="370"/>
      <c r="F4" s="370"/>
      <c r="G4" s="370"/>
      <c r="H4" s="192"/>
    </row>
    <row r="5" spans="1:14" ht="15" customHeight="1">
      <c r="A5" s="192"/>
      <c r="B5" s="192"/>
      <c r="C5" s="370"/>
      <c r="D5" s="370"/>
      <c r="E5" s="370"/>
      <c r="F5" s="370"/>
      <c r="G5" s="370"/>
      <c r="H5" s="192"/>
      <c r="M5" t="s">
        <v>585</v>
      </c>
      <c r="N5" t="s">
        <v>585</v>
      </c>
    </row>
    <row r="6" spans="1:14" ht="15" customHeight="1">
      <c r="A6" s="192"/>
      <c r="B6" s="192"/>
      <c r="C6" s="370"/>
      <c r="D6" s="370"/>
      <c r="E6" s="370"/>
      <c r="F6" s="370"/>
      <c r="G6" s="370"/>
      <c r="H6" s="192"/>
    </row>
    <row r="7" spans="1:14" ht="15" customHeight="1">
      <c r="A7" s="192"/>
      <c r="B7" s="192"/>
      <c r="C7" s="370"/>
      <c r="D7" s="370"/>
      <c r="E7" s="370"/>
      <c r="F7" s="370"/>
      <c r="G7" s="370"/>
      <c r="H7" s="192"/>
    </row>
    <row r="8" spans="1:14" ht="15" customHeight="1">
      <c r="A8" s="192"/>
      <c r="B8" s="192"/>
      <c r="C8" s="370"/>
      <c r="D8" s="370"/>
      <c r="E8" s="370"/>
      <c r="F8" s="370"/>
      <c r="G8" s="370"/>
      <c r="H8" s="192"/>
    </row>
    <row r="9" spans="1:14" ht="23.25" customHeight="1">
      <c r="A9" s="371" t="s">
        <v>698</v>
      </c>
      <c r="B9" s="371"/>
      <c r="C9" s="371"/>
      <c r="D9" s="371"/>
      <c r="E9" s="371"/>
      <c r="F9" s="371"/>
      <c r="G9" s="371"/>
      <c r="H9" s="371"/>
    </row>
    <row r="10" spans="1:14" ht="15" customHeight="1">
      <c r="C10" s="372" t="s">
        <v>705</v>
      </c>
      <c r="D10" s="372"/>
      <c r="E10" s="372"/>
    </row>
    <row r="11" spans="1:14" ht="15" customHeight="1">
      <c r="C11" s="372"/>
      <c r="D11" s="372"/>
      <c r="E11" s="372"/>
    </row>
    <row r="12" spans="1:14">
      <c r="C12" s="372"/>
      <c r="D12" s="372"/>
      <c r="E12" s="372"/>
    </row>
    <row r="13" spans="1:14"/>
    <row r="14" spans="1:14">
      <c r="A14" s="295" t="s">
        <v>588</v>
      </c>
    </row>
    <row r="15" spans="1:14"/>
    <row r="16" spans="1:14"/>
    <row r="17" spans="1:1"/>
    <row r="18" spans="1:1"/>
    <row r="19" spans="1:1"/>
    <row r="20" spans="1:1">
      <c r="A20" s="295" t="s">
        <v>589</v>
      </c>
    </row>
    <row r="21" spans="1:1"/>
    <row r="22" spans="1:1"/>
    <row r="23" spans="1:1"/>
    <row r="24" spans="1:1"/>
    <row r="25" spans="1:1"/>
    <row r="26" spans="1:1">
      <c r="A26" s="295" t="s">
        <v>590</v>
      </c>
    </row>
    <row r="27" spans="1:1"/>
    <row r="28" spans="1:1"/>
    <row r="29" spans="1:1"/>
    <row r="30" spans="1:1"/>
    <row r="31" spans="1:1"/>
    <row r="32" spans="1:1">
      <c r="A32" s="295" t="s">
        <v>591</v>
      </c>
    </row>
    <row r="33"/>
    <row r="34"/>
    <row r="35"/>
    <row r="36"/>
    <row r="37"/>
    <row r="38"/>
    <row r="39"/>
    <row r="40"/>
  </sheetData>
  <sheetProtection algorithmName="SHA-512" hashValue="kqG2svYymWMT0tGlU477NJ5eVf47Z8lFyM+osCpAxThEGO3IziM9MAZtNZ5/UPbxffKbyipypOBOA4w+nSRO4A==" saltValue="YifBZMr0EldMfqD0t3wtjQ==" spinCount="100000" sheet="1" objects="1" scenarios="1" selectLockedCells="1"/>
  <mergeCells count="3">
    <mergeCell ref="C1:G8"/>
    <mergeCell ref="A9:H9"/>
    <mergeCell ref="C10:E12"/>
  </mergeCells>
  <pageMargins left="0.70866141732283472" right="0.70866141732283472" top="0.74803149606299213" bottom="0.74803149606299213" header="0.31496062992125984" footer="0.31496062992125984"/>
  <pageSetup orientation="portrait" horizontalDpi="4294967293" verticalDpi="4294967293"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13" r:id="rId4" name="Button 13">
              <controlPr defaultSize="0" print="0" autoFill="0" autoPict="0" macro="[0]!Mallas_Select">
                <anchor moveWithCells="1" sizeWithCells="1">
                  <from>
                    <xdr:col>0</xdr:col>
                    <xdr:colOff>276225</xdr:colOff>
                    <xdr:row>14</xdr:row>
                    <xdr:rowOff>171450</xdr:rowOff>
                  </from>
                  <to>
                    <xdr:col>2</xdr:col>
                    <xdr:colOff>171450</xdr:colOff>
                    <xdr:row>18</xdr:row>
                    <xdr:rowOff>9525</xdr:rowOff>
                  </to>
                </anchor>
              </controlPr>
            </control>
          </mc:Choice>
        </mc:AlternateContent>
        <mc:AlternateContent xmlns:mc="http://schemas.openxmlformats.org/markup-compatibility/2006">
          <mc:Choice Requires="x14">
            <control shapeId="25614" r:id="rId5" name="Button 14">
              <controlPr defaultSize="0" print="0" autoFill="0" autoPict="0" macro="[0]!Barras_Select">
                <anchor moveWithCells="1" sizeWithCells="1">
                  <from>
                    <xdr:col>2</xdr:col>
                    <xdr:colOff>628650</xdr:colOff>
                    <xdr:row>14</xdr:row>
                    <xdr:rowOff>161925</xdr:rowOff>
                  </from>
                  <to>
                    <xdr:col>4</xdr:col>
                    <xdr:colOff>523875</xdr:colOff>
                    <xdr:row>18</xdr:row>
                    <xdr:rowOff>0</xdr:rowOff>
                  </to>
                </anchor>
              </controlPr>
            </control>
          </mc:Choice>
        </mc:AlternateContent>
        <mc:AlternateContent xmlns:mc="http://schemas.openxmlformats.org/markup-compatibility/2006">
          <mc:Choice Requires="x14">
            <control shapeId="25615" r:id="rId6" name="Button 15">
              <controlPr defaultSize="0" print="0" autoFill="0" autoPict="0" macro="[0]!Muros_Select">
                <anchor moveWithCells="1" sizeWithCells="1">
                  <from>
                    <xdr:col>5</xdr:col>
                    <xdr:colOff>238125</xdr:colOff>
                    <xdr:row>14</xdr:row>
                    <xdr:rowOff>161925</xdr:rowOff>
                  </from>
                  <to>
                    <xdr:col>7</xdr:col>
                    <xdr:colOff>133350</xdr:colOff>
                    <xdr:row>18</xdr:row>
                    <xdr:rowOff>0</xdr:rowOff>
                  </to>
                </anchor>
              </controlPr>
            </control>
          </mc:Choice>
        </mc:AlternateContent>
        <mc:AlternateContent xmlns:mc="http://schemas.openxmlformats.org/markup-compatibility/2006">
          <mc:Choice Requires="x14">
            <control shapeId="25616" r:id="rId7" name="Button 16">
              <controlPr defaultSize="0" print="0" autoFill="0" autoPict="0" macro="[0]!SteelDeck_Select">
                <anchor moveWithCells="1" sizeWithCells="1">
                  <from>
                    <xdr:col>0</xdr:col>
                    <xdr:colOff>266700</xdr:colOff>
                    <xdr:row>33</xdr:row>
                    <xdr:rowOff>9525</xdr:rowOff>
                  </from>
                  <to>
                    <xdr:col>2</xdr:col>
                    <xdr:colOff>161925</xdr:colOff>
                    <xdr:row>36</xdr:row>
                    <xdr:rowOff>0</xdr:rowOff>
                  </to>
                </anchor>
              </controlPr>
            </control>
          </mc:Choice>
        </mc:AlternateContent>
        <mc:AlternateContent xmlns:mc="http://schemas.openxmlformats.org/markup-compatibility/2006">
          <mc:Choice Requires="x14">
            <control shapeId="25617" r:id="rId8" name="Button 17">
              <controlPr defaultSize="0" print="0" autoFill="0" autoPict="0" macro="[0]!EstanteriaIndividual_Select">
                <anchor moveWithCells="1" sizeWithCells="1">
                  <from>
                    <xdr:col>0</xdr:col>
                    <xdr:colOff>276225</xdr:colOff>
                    <xdr:row>21</xdr:row>
                    <xdr:rowOff>19050</xdr:rowOff>
                  </from>
                  <to>
                    <xdr:col>2</xdr:col>
                    <xdr:colOff>171450</xdr:colOff>
                    <xdr:row>24</xdr:row>
                    <xdr:rowOff>47625</xdr:rowOff>
                  </to>
                </anchor>
              </controlPr>
            </control>
          </mc:Choice>
        </mc:AlternateContent>
        <mc:AlternateContent xmlns:mc="http://schemas.openxmlformats.org/markup-compatibility/2006">
          <mc:Choice Requires="x14">
            <control shapeId="25618" r:id="rId9" name="Button 18">
              <controlPr defaultSize="0" print="0" autoFill="0" autoPict="0" macro="[0]!PCA1984_Select">
                <anchor moveWithCells="1" sizeWithCells="1">
                  <from>
                    <xdr:col>0</xdr:col>
                    <xdr:colOff>276225</xdr:colOff>
                    <xdr:row>27</xdr:row>
                    <xdr:rowOff>19050</xdr:rowOff>
                  </from>
                  <to>
                    <xdr:col>2</xdr:col>
                    <xdr:colOff>171450</xdr:colOff>
                    <xdr:row>30</xdr:row>
                    <xdr:rowOff>47625</xdr:rowOff>
                  </to>
                </anchor>
              </controlPr>
            </control>
          </mc:Choice>
        </mc:AlternateContent>
        <mc:AlternateContent xmlns:mc="http://schemas.openxmlformats.org/markup-compatibility/2006">
          <mc:Choice Requires="x14">
            <control shapeId="25619" r:id="rId10" name="Button 19">
              <controlPr defaultSize="0" print="0" autoFill="0" autoPict="0" macro="[0]!AASHTO1993_Select">
                <anchor moveWithCells="1" sizeWithCells="1">
                  <from>
                    <xdr:col>2</xdr:col>
                    <xdr:colOff>609600</xdr:colOff>
                    <xdr:row>27</xdr:row>
                    <xdr:rowOff>19050</xdr:rowOff>
                  </from>
                  <to>
                    <xdr:col>4</xdr:col>
                    <xdr:colOff>504825</xdr:colOff>
                    <xdr:row>30</xdr:row>
                    <xdr:rowOff>47625</xdr:rowOff>
                  </to>
                </anchor>
              </controlPr>
            </control>
          </mc:Choice>
        </mc:AlternateContent>
        <mc:AlternateContent xmlns:mc="http://schemas.openxmlformats.org/markup-compatibility/2006">
          <mc:Choice Requires="x14">
            <control shapeId="25620" r:id="rId11" name="Button 20">
              <controlPr defaultSize="0" print="0" autoFill="0" autoPict="0" macro="[0]!Lanzado_Select">
                <anchor moveWithCells="1" sizeWithCells="1">
                  <from>
                    <xdr:col>2</xdr:col>
                    <xdr:colOff>600075</xdr:colOff>
                    <xdr:row>33</xdr:row>
                    <xdr:rowOff>9525</xdr:rowOff>
                  </from>
                  <to>
                    <xdr:col>4</xdr:col>
                    <xdr:colOff>495300</xdr:colOff>
                    <xdr:row>36</xdr:row>
                    <xdr:rowOff>9525</xdr:rowOff>
                  </to>
                </anchor>
              </controlPr>
            </control>
          </mc:Choice>
        </mc:AlternateContent>
        <mc:AlternateContent xmlns:mc="http://schemas.openxmlformats.org/markup-compatibility/2006">
          <mc:Choice Requires="x14">
            <control shapeId="25621" r:id="rId12" name="Button 21">
              <controlPr defaultSize="0" print="0" autoFill="0" autoPict="0" macro="[0]!AvisoLegal_Select">
                <anchor moveWithCells="1" sizeWithCells="1">
                  <from>
                    <xdr:col>0</xdr:col>
                    <xdr:colOff>352425</xdr:colOff>
                    <xdr:row>37</xdr:row>
                    <xdr:rowOff>171450</xdr:rowOff>
                  </from>
                  <to>
                    <xdr:col>2</xdr:col>
                    <xdr:colOff>295275</xdr:colOff>
                    <xdr:row>39</xdr:row>
                    <xdr:rowOff>19050</xdr:rowOff>
                  </to>
                </anchor>
              </controlPr>
            </control>
          </mc:Choice>
        </mc:AlternateContent>
        <mc:AlternateContent xmlns:mc="http://schemas.openxmlformats.org/markup-compatibility/2006">
          <mc:Choice Requires="x14">
            <control shapeId="25623" r:id="rId13" name="Button 23">
              <controlPr defaultSize="0" print="0" autoFill="0" autoPict="0" macro="[0]!EstanteriaContigua_Select">
                <anchor moveWithCells="1" sizeWithCells="1">
                  <from>
                    <xdr:col>2</xdr:col>
                    <xdr:colOff>619125</xdr:colOff>
                    <xdr:row>21</xdr:row>
                    <xdr:rowOff>38100</xdr:rowOff>
                  </from>
                  <to>
                    <xdr:col>4</xdr:col>
                    <xdr:colOff>514350</xdr:colOff>
                    <xdr:row>24</xdr:row>
                    <xdr:rowOff>66675</xdr:rowOff>
                  </to>
                </anchor>
              </controlPr>
            </control>
          </mc:Choice>
        </mc:AlternateContent>
        <mc:AlternateContent xmlns:mc="http://schemas.openxmlformats.org/markup-compatibility/2006">
          <mc:Choice Requires="x14">
            <control shapeId="25624" r:id="rId14" name="Button 24">
              <controlPr defaultSize="0" print="0" autoFill="0" autoPict="0" macro="[0]!Montacargas_Select">
                <anchor moveWithCells="1" sizeWithCells="1">
                  <from>
                    <xdr:col>5</xdr:col>
                    <xdr:colOff>219075</xdr:colOff>
                    <xdr:row>21</xdr:row>
                    <xdr:rowOff>38100</xdr:rowOff>
                  </from>
                  <to>
                    <xdr:col>7</xdr:col>
                    <xdr:colOff>114300</xdr:colOff>
                    <xdr:row>24</xdr:row>
                    <xdr:rowOff>47625</xdr:rowOff>
                  </to>
                </anchor>
              </controlPr>
            </control>
          </mc:Choice>
        </mc:AlternateContent>
        <mc:AlternateContent xmlns:mc="http://schemas.openxmlformats.org/markup-compatibility/2006">
          <mc:Choice Requires="x14">
            <control shapeId="25626" r:id="rId15" name="Button 26">
              <controlPr defaultSize="0" print="0" autoFill="0" autoPict="0" macro="[0]!inicio_select">
                <anchor moveWithCells="1" sizeWithCells="1">
                  <from>
                    <xdr:col>4</xdr:col>
                    <xdr:colOff>723900</xdr:colOff>
                    <xdr:row>37</xdr:row>
                    <xdr:rowOff>142875</xdr:rowOff>
                  </from>
                  <to>
                    <xdr:col>6</xdr:col>
                    <xdr:colOff>714375</xdr:colOff>
                    <xdr:row>38</xdr:row>
                    <xdr:rowOff>152400</xdr:rowOff>
                  </to>
                </anchor>
              </controlPr>
            </control>
          </mc:Choice>
        </mc:AlternateContent>
        <mc:AlternateContent xmlns:mc="http://schemas.openxmlformats.org/markup-compatibility/2006">
          <mc:Choice Requires="x14">
            <control shapeId="25627" r:id="rId16" name="Button 24">
              <controlPr defaultSize="0" print="0" autoFill="0" autoPict="0" macro="[0]!DOSIF_select">
                <anchor moveWithCells="1" sizeWithCells="1">
                  <from>
                    <xdr:col>5</xdr:col>
                    <xdr:colOff>219075</xdr:colOff>
                    <xdr:row>27</xdr:row>
                    <xdr:rowOff>38100</xdr:rowOff>
                  </from>
                  <to>
                    <xdr:col>7</xdr:col>
                    <xdr:colOff>114300</xdr:colOff>
                    <xdr:row>34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7030A0"/>
  </sheetPr>
  <dimension ref="A1:Z133"/>
  <sheetViews>
    <sheetView showGridLines="0" showRowColHeaders="0" view="pageBreakPreview" topLeftCell="A10" zoomScale="80" zoomScaleNormal="80" zoomScaleSheetLayoutView="80" workbookViewId="0">
      <selection activeCell="C34" sqref="C34:L34"/>
    </sheetView>
  </sheetViews>
  <sheetFormatPr baseColWidth="10" defaultColWidth="0" defaultRowHeight="15" customHeight="1" zeroHeight="1"/>
  <cols>
    <col min="1" max="1" width="20.7109375" style="2" customWidth="1"/>
    <col min="2" max="3" width="25" style="2" customWidth="1"/>
    <col min="4" max="4" width="12.28515625" style="2" customWidth="1"/>
    <col min="5" max="5" width="13" style="2" customWidth="1"/>
    <col min="6" max="6" width="7.140625" style="2" customWidth="1"/>
    <col min="7" max="8" width="10.7109375" style="2" customWidth="1"/>
    <col min="9" max="9" width="8.5703125" style="2" customWidth="1"/>
    <col min="10" max="10" width="4.7109375" style="2" customWidth="1"/>
    <col min="11" max="12" width="10.7109375" style="2" customWidth="1"/>
    <col min="13" max="13" width="5.85546875" style="2" customWidth="1"/>
    <col min="14" max="15" width="15.7109375" style="2" hidden="1" customWidth="1"/>
    <col min="16" max="16" width="40.7109375" style="2" hidden="1" customWidth="1"/>
    <col min="17" max="24" width="15.7109375" style="2" hidden="1" customWidth="1"/>
    <col min="25" max="26" width="9.140625" style="2" hidden="1" customWidth="1"/>
    <col min="27" max="16384" width="15.7109375" style="2" hidden="1"/>
  </cols>
  <sheetData>
    <row r="1" spans="1:13" ht="15.75" customHeight="1">
      <c r="A1" s="1"/>
      <c r="B1" s="1"/>
      <c r="C1" s="1"/>
      <c r="D1" s="1"/>
      <c r="E1" s="1"/>
      <c r="F1" s="1"/>
      <c r="G1" s="1"/>
      <c r="H1" s="1"/>
      <c r="I1" s="1"/>
      <c r="J1" s="1"/>
      <c r="K1" s="1"/>
      <c r="L1" s="1"/>
      <c r="M1" s="1"/>
    </row>
    <row r="2" spans="1:13" ht="16.149999999999999" customHeight="1">
      <c r="A2" s="373" t="s">
        <v>86</v>
      </c>
      <c r="B2" s="373"/>
      <c r="C2" s="373"/>
      <c r="D2" s="373"/>
      <c r="E2" s="373"/>
      <c r="F2" s="373"/>
      <c r="G2" s="373"/>
      <c r="H2" s="373"/>
      <c r="I2" s="3"/>
      <c r="J2" s="3"/>
      <c r="K2" s="4"/>
      <c r="L2" s="1"/>
      <c r="M2" s="373"/>
    </row>
    <row r="3" spans="1:13" ht="16.149999999999999" customHeight="1">
      <c r="A3" s="373"/>
      <c r="B3" s="373"/>
      <c r="C3" s="373"/>
      <c r="D3" s="373"/>
      <c r="E3" s="373"/>
      <c r="F3" s="373"/>
      <c r="G3" s="373"/>
      <c r="H3" s="373"/>
      <c r="I3" s="3"/>
      <c r="J3" s="3"/>
      <c r="K3" s="4"/>
      <c r="L3" s="1"/>
      <c r="M3" s="373"/>
    </row>
    <row r="4" spans="1:13" ht="16.149999999999999" customHeight="1">
      <c r="A4" s="373"/>
      <c r="B4" s="373"/>
      <c r="C4" s="373"/>
      <c r="D4" s="373"/>
      <c r="E4" s="373"/>
      <c r="F4" s="373"/>
      <c r="G4" s="373"/>
      <c r="H4" s="373"/>
      <c r="I4" s="3"/>
      <c r="J4" s="3"/>
      <c r="K4" s="4"/>
      <c r="L4" s="1"/>
      <c r="M4" s="373"/>
    </row>
    <row r="5" spans="1:13" ht="16.149999999999999" customHeight="1">
      <c r="A5" s="373"/>
      <c r="B5" s="373"/>
      <c r="C5" s="373"/>
      <c r="D5" s="373"/>
      <c r="E5" s="373"/>
      <c r="F5" s="373"/>
      <c r="G5" s="373"/>
      <c r="H5" s="373"/>
      <c r="I5" s="3"/>
      <c r="J5" s="3"/>
      <c r="K5" s="4"/>
      <c r="L5" s="1"/>
      <c r="M5" s="373"/>
    </row>
    <row r="6" spans="1:13" ht="16.149999999999999" customHeight="1">
      <c r="A6" s="373"/>
      <c r="B6" s="373"/>
      <c r="C6" s="373"/>
      <c r="D6" s="373"/>
      <c r="E6" s="373"/>
      <c r="F6" s="373"/>
      <c r="G6" s="373"/>
      <c r="H6" s="373"/>
      <c r="I6" s="3"/>
      <c r="J6" s="3"/>
      <c r="K6" s="4"/>
      <c r="L6" s="5"/>
      <c r="M6" s="373"/>
    </row>
    <row r="7" spans="1:13" ht="16.149999999999999" customHeight="1">
      <c r="A7" s="373"/>
      <c r="B7" s="373"/>
      <c r="C7" s="373"/>
      <c r="D7" s="373"/>
      <c r="E7" s="373"/>
      <c r="F7" s="373"/>
      <c r="G7" s="373"/>
      <c r="H7" s="373"/>
      <c r="I7" s="3"/>
      <c r="J7" s="3"/>
      <c r="K7" s="4"/>
      <c r="L7" s="5"/>
      <c r="M7" s="373"/>
    </row>
    <row r="8" spans="1:13" ht="16.149999999999999" customHeight="1">
      <c r="A8" s="373"/>
      <c r="B8" s="373"/>
      <c r="C8" s="373"/>
      <c r="D8" s="373"/>
      <c r="E8" s="373"/>
      <c r="F8" s="373"/>
      <c r="G8" s="373"/>
      <c r="H8" s="373"/>
      <c r="I8" s="3"/>
      <c r="J8" s="3"/>
      <c r="K8" s="4"/>
      <c r="L8" s="5"/>
      <c r="M8" s="373"/>
    </row>
    <row r="9" spans="1:13" ht="16.149999999999999" customHeight="1">
      <c r="A9" s="373"/>
      <c r="B9" s="373"/>
      <c r="C9" s="373"/>
      <c r="D9" s="373"/>
      <c r="E9" s="373"/>
      <c r="F9" s="373"/>
      <c r="G9" s="373"/>
      <c r="H9" s="373"/>
      <c r="I9" s="3"/>
      <c r="J9" s="3"/>
      <c r="K9" s="4"/>
      <c r="L9" s="5"/>
      <c r="M9" s="373"/>
    </row>
    <row r="10" spans="1:13" ht="16.149999999999999" customHeight="1">
      <c r="A10" s="1"/>
      <c r="B10" s="1"/>
      <c r="C10" s="1"/>
      <c r="D10" s="1"/>
      <c r="E10" s="1"/>
      <c r="F10" s="1"/>
      <c r="G10" s="1"/>
      <c r="H10" s="1"/>
      <c r="I10" s="1"/>
      <c r="J10" s="1"/>
      <c r="K10" s="1"/>
      <c r="L10" s="1"/>
      <c r="M10" s="1"/>
    </row>
    <row r="11" spans="1:13" ht="16.149999999999999" customHeight="1">
      <c r="A11" s="7"/>
      <c r="B11" s="7"/>
      <c r="C11" s="7"/>
      <c r="D11" s="7"/>
      <c r="E11" s="7"/>
      <c r="F11" s="7"/>
      <c r="G11" s="7"/>
      <c r="H11" s="7"/>
      <c r="I11" s="7"/>
      <c r="J11" s="7"/>
      <c r="K11" s="7"/>
      <c r="L11" s="7"/>
    </row>
    <row r="12" spans="1:13" ht="16.149999999999999" customHeight="1">
      <c r="A12" s="7"/>
      <c r="B12" s="7"/>
      <c r="C12" s="7"/>
      <c r="D12" s="7"/>
      <c r="E12" s="7"/>
      <c r="F12" s="7"/>
      <c r="G12" s="7"/>
      <c r="H12" s="7"/>
      <c r="I12" s="7"/>
      <c r="J12" s="7"/>
      <c r="K12" s="7"/>
      <c r="L12" s="7"/>
    </row>
    <row r="13" spans="1:13" ht="16.149999999999999" customHeight="1">
      <c r="A13" s="7"/>
      <c r="B13" s="7"/>
      <c r="C13" s="7"/>
      <c r="D13" s="7"/>
      <c r="E13" s="7"/>
      <c r="F13" s="7"/>
      <c r="G13" s="7"/>
      <c r="H13" s="7"/>
      <c r="I13" s="7"/>
      <c r="J13" s="7"/>
      <c r="K13" s="7"/>
      <c r="L13" s="7"/>
    </row>
    <row r="14" spans="1:13" ht="16.149999999999999" customHeight="1">
      <c r="A14" s="7"/>
      <c r="B14" s="7"/>
      <c r="C14" s="7"/>
      <c r="D14" s="7"/>
      <c r="E14" s="7"/>
      <c r="F14" s="7"/>
      <c r="G14" s="7"/>
      <c r="H14" s="7"/>
      <c r="I14" s="7"/>
      <c r="J14" s="7"/>
      <c r="K14" s="7"/>
      <c r="L14" s="7"/>
    </row>
    <row r="15" spans="1:13" ht="16.149999999999999" customHeight="1">
      <c r="A15" s="7"/>
      <c r="B15" s="7"/>
      <c r="C15" s="7"/>
      <c r="D15" s="7"/>
      <c r="E15" s="7"/>
      <c r="F15" s="7"/>
      <c r="G15" s="7"/>
      <c r="H15" s="7"/>
      <c r="I15" s="7"/>
      <c r="J15" s="7"/>
      <c r="K15" s="7"/>
      <c r="L15" s="7"/>
    </row>
    <row r="16" spans="1:13" ht="16.149999999999999" customHeight="1">
      <c r="A16" s="7"/>
      <c r="B16" s="7"/>
      <c r="C16" s="7"/>
      <c r="D16" s="7"/>
      <c r="E16" s="7"/>
      <c r="F16" s="7"/>
      <c r="G16" s="7"/>
      <c r="H16" s="7"/>
      <c r="I16" s="7"/>
      <c r="J16" s="7"/>
      <c r="K16" s="7"/>
      <c r="L16" s="7"/>
    </row>
    <row r="17" spans="1:12" ht="16.149999999999999" customHeight="1">
      <c r="A17" s="7"/>
      <c r="B17" s="7"/>
      <c r="C17" s="7"/>
      <c r="D17" s="7"/>
      <c r="E17" s="7"/>
      <c r="F17" s="7"/>
      <c r="G17" s="7"/>
      <c r="H17" s="7"/>
      <c r="I17" s="7"/>
      <c r="J17" s="7"/>
      <c r="K17" s="7"/>
      <c r="L17" s="7"/>
    </row>
    <row r="18" spans="1:12" ht="16.149999999999999" customHeight="1">
      <c r="A18" s="7"/>
      <c r="B18" s="7"/>
      <c r="C18" s="7"/>
      <c r="D18" s="7"/>
      <c r="E18" s="7"/>
      <c r="F18" s="7"/>
      <c r="G18" s="7"/>
      <c r="H18" s="7"/>
      <c r="I18" s="7"/>
      <c r="J18" s="7"/>
      <c r="K18" s="7"/>
      <c r="L18" s="7"/>
    </row>
    <row r="19" spans="1:12" ht="16.149999999999999" customHeight="1">
      <c r="A19" s="7"/>
      <c r="B19" s="7"/>
      <c r="C19" s="7"/>
      <c r="D19" s="7"/>
      <c r="E19" s="7"/>
      <c r="F19" s="7"/>
      <c r="G19" s="7"/>
      <c r="H19" s="7"/>
      <c r="I19" s="7"/>
      <c r="J19" s="7"/>
      <c r="K19" s="7"/>
      <c r="L19" s="7"/>
    </row>
    <row r="20" spans="1:12" ht="16.149999999999999" customHeight="1">
      <c r="A20" s="7"/>
      <c r="B20" s="7"/>
      <c r="C20" s="7"/>
      <c r="D20" s="7"/>
      <c r="E20" s="7"/>
      <c r="F20" s="7"/>
      <c r="G20" s="7"/>
      <c r="H20" s="7"/>
      <c r="I20" s="7"/>
      <c r="J20" s="7"/>
      <c r="K20" s="7"/>
      <c r="L20" s="7"/>
    </row>
    <row r="21" spans="1:12" ht="15.75" customHeight="1">
      <c r="A21" s="7"/>
      <c r="B21" s="7"/>
      <c r="C21" s="7"/>
      <c r="D21" s="7"/>
      <c r="E21" s="7"/>
      <c r="F21" s="7"/>
      <c r="G21" s="7"/>
      <c r="H21" s="7"/>
      <c r="I21" s="7"/>
      <c r="J21" s="7"/>
      <c r="K21" s="7"/>
      <c r="L21" s="7"/>
    </row>
    <row r="22" spans="1:12" ht="15.75" customHeight="1">
      <c r="A22" s="7"/>
      <c r="B22" s="7"/>
      <c r="C22" s="7"/>
      <c r="D22" s="7"/>
      <c r="E22" s="7"/>
      <c r="F22" s="7"/>
      <c r="G22" s="7"/>
      <c r="H22" s="7"/>
      <c r="I22" s="7"/>
      <c r="J22" s="7"/>
      <c r="K22" s="7"/>
      <c r="L22" s="7"/>
    </row>
    <row r="23" spans="1:12" ht="15.75" customHeight="1">
      <c r="A23" s="7"/>
      <c r="B23" s="7"/>
      <c r="C23" s="7"/>
      <c r="D23" s="7"/>
      <c r="E23" s="7"/>
      <c r="F23" s="7"/>
      <c r="G23" s="7"/>
      <c r="H23" s="7"/>
      <c r="I23" s="7"/>
      <c r="J23" s="7"/>
      <c r="K23" s="7"/>
      <c r="L23" s="7"/>
    </row>
    <row r="24" spans="1:12" ht="15.75" customHeight="1">
      <c r="A24" s="7"/>
      <c r="B24" s="7"/>
      <c r="C24" s="7"/>
      <c r="D24" s="7"/>
      <c r="E24" s="7"/>
      <c r="F24" s="7"/>
      <c r="G24" s="7"/>
      <c r="H24" s="7"/>
      <c r="I24" s="7"/>
      <c r="J24" s="7"/>
      <c r="K24" s="7"/>
      <c r="L24" s="7"/>
    </row>
    <row r="25" spans="1:12" ht="15.75" customHeight="1">
      <c r="A25" s="7"/>
      <c r="B25" s="7"/>
      <c r="C25" s="7"/>
      <c r="D25" s="7"/>
      <c r="E25" s="7"/>
      <c r="F25" s="7"/>
      <c r="G25" s="7"/>
      <c r="H25" s="7"/>
      <c r="I25" s="7"/>
      <c r="J25" s="7"/>
      <c r="K25" s="7"/>
      <c r="L25" s="7"/>
    </row>
    <row r="26" spans="1:12" ht="15.75" customHeight="1">
      <c r="A26" s="7"/>
      <c r="B26" s="7"/>
      <c r="C26" s="7"/>
      <c r="D26" s="7"/>
      <c r="E26" s="7"/>
      <c r="F26" s="7"/>
      <c r="G26" s="7"/>
      <c r="H26" s="7"/>
      <c r="I26" s="7"/>
      <c r="J26" s="7"/>
      <c r="K26" s="7"/>
      <c r="L26" s="7"/>
    </row>
    <row r="27" spans="1:12" ht="15.75" customHeight="1">
      <c r="A27" s="7"/>
      <c r="B27" s="7"/>
      <c r="C27" s="7"/>
      <c r="D27" s="7"/>
      <c r="E27" s="7"/>
      <c r="F27" s="7"/>
      <c r="G27" s="7"/>
      <c r="H27" s="7"/>
      <c r="I27" s="7"/>
      <c r="J27" s="7"/>
      <c r="K27" s="7"/>
      <c r="L27" s="7"/>
    </row>
    <row r="28" spans="1:12" ht="15.75" customHeight="1">
      <c r="A28" s="7"/>
      <c r="B28" s="7"/>
      <c r="C28" s="7"/>
      <c r="D28" s="7"/>
      <c r="E28" s="7"/>
      <c r="F28" s="7"/>
      <c r="G28" s="7"/>
      <c r="H28" s="7"/>
      <c r="I28" s="7"/>
      <c r="J28" s="7"/>
      <c r="K28" s="7"/>
      <c r="L28" s="7"/>
    </row>
    <row r="29" spans="1:12" ht="15.75" customHeight="1">
      <c r="A29" s="7"/>
      <c r="B29" s="7"/>
      <c r="C29" s="7"/>
      <c r="D29" s="7"/>
      <c r="E29" s="7"/>
      <c r="F29" s="7"/>
      <c r="G29" s="7"/>
      <c r="H29" s="7"/>
      <c r="I29" s="7"/>
      <c r="J29" s="7"/>
      <c r="K29" s="7"/>
      <c r="L29" s="7"/>
    </row>
    <row r="30" spans="1:12" ht="15.75" customHeight="1">
      <c r="A30" s="7"/>
      <c r="B30" s="7"/>
      <c r="C30" s="7"/>
      <c r="D30" s="7"/>
      <c r="E30" s="7"/>
      <c r="F30" s="7"/>
      <c r="G30" s="7"/>
      <c r="H30" s="7"/>
      <c r="I30" s="7"/>
      <c r="J30" s="7"/>
      <c r="K30" s="7"/>
      <c r="L30" s="7"/>
    </row>
    <row r="31" spans="1:12" ht="15.75" customHeight="1">
      <c r="A31" s="7"/>
      <c r="B31" s="7"/>
      <c r="C31" s="7"/>
      <c r="D31" s="7"/>
      <c r="E31" s="7"/>
      <c r="F31" s="7"/>
      <c r="G31" s="7"/>
      <c r="H31" s="7"/>
      <c r="I31" s="7"/>
      <c r="J31" s="7"/>
      <c r="K31" s="7"/>
      <c r="L31" s="7"/>
    </row>
    <row r="32" spans="1:12" ht="15.75" customHeight="1">
      <c r="A32" s="7"/>
      <c r="B32" s="7"/>
      <c r="C32" s="7"/>
      <c r="D32" s="7"/>
      <c r="E32" s="7"/>
      <c r="F32" s="7"/>
      <c r="G32" s="7"/>
      <c r="H32" s="7"/>
      <c r="I32" s="7"/>
      <c r="J32" s="7"/>
      <c r="K32" s="7"/>
      <c r="L32" s="7"/>
    </row>
    <row r="33" spans="1:12" ht="15.75" customHeight="1">
      <c r="A33" s="7"/>
      <c r="B33" s="7"/>
      <c r="C33" s="7"/>
      <c r="D33" s="7"/>
      <c r="E33" s="7"/>
      <c r="F33" s="7"/>
      <c r="G33" s="7"/>
      <c r="H33" s="7"/>
      <c r="I33" s="7"/>
      <c r="J33" s="7"/>
      <c r="K33" s="7"/>
      <c r="L33" s="7"/>
    </row>
    <row r="34" spans="1:12" ht="16.149999999999999" customHeight="1">
      <c r="A34" s="374" t="s">
        <v>0</v>
      </c>
      <c r="B34" s="374"/>
      <c r="C34" s="378"/>
      <c r="D34" s="378"/>
      <c r="E34" s="378"/>
      <c r="F34" s="378"/>
      <c r="G34" s="378"/>
      <c r="H34" s="378"/>
      <c r="I34" s="378"/>
      <c r="J34" s="378"/>
      <c r="K34" s="378"/>
      <c r="L34" s="378"/>
    </row>
    <row r="35" spans="1:12" ht="16.149999999999999" customHeight="1">
      <c r="A35" s="374" t="s">
        <v>644</v>
      </c>
      <c r="B35" s="374"/>
      <c r="C35" s="379" t="s">
        <v>668</v>
      </c>
      <c r="D35" s="379"/>
      <c r="E35" s="379"/>
      <c r="F35" s="379"/>
      <c r="G35" s="379"/>
      <c r="H35" s="379"/>
      <c r="I35" s="379"/>
      <c r="J35" s="379"/>
      <c r="K35" s="379"/>
      <c r="L35" s="379"/>
    </row>
    <row r="36" spans="1:12" ht="16.149999999999999" customHeight="1">
      <c r="A36" s="374" t="s">
        <v>645</v>
      </c>
      <c r="B36" s="374"/>
      <c r="C36" s="379" t="s">
        <v>666</v>
      </c>
      <c r="D36" s="379"/>
      <c r="E36" s="379"/>
      <c r="F36" s="379"/>
      <c r="G36" s="379"/>
      <c r="H36" s="379"/>
      <c r="I36" s="379"/>
      <c r="J36" s="379"/>
      <c r="K36" s="379"/>
      <c r="L36" s="379"/>
    </row>
    <row r="37" spans="1:12" ht="21" customHeight="1">
      <c r="A37" s="374" t="s">
        <v>2</v>
      </c>
      <c r="B37" s="374"/>
      <c r="C37" s="379" t="s">
        <v>83</v>
      </c>
      <c r="D37" s="379"/>
      <c r="E37" s="379"/>
      <c r="F37" s="379"/>
      <c r="G37" s="379"/>
      <c r="H37" s="379"/>
      <c r="I37" s="379"/>
      <c r="J37" s="379"/>
      <c r="K37" s="379"/>
      <c r="L37" s="379"/>
    </row>
    <row r="38" spans="1:12" ht="21" customHeight="1">
      <c r="A38" s="374" t="s">
        <v>671</v>
      </c>
      <c r="B38" s="374"/>
      <c r="C38" s="353">
        <v>2</v>
      </c>
      <c r="D38" s="354"/>
      <c r="E38" s="354"/>
      <c r="F38" s="354"/>
      <c r="G38" s="354"/>
      <c r="H38" s="354"/>
      <c r="I38" s="354"/>
      <c r="J38" s="354"/>
      <c r="K38" s="354"/>
      <c r="L38" s="354"/>
    </row>
    <row r="39" spans="1:12" ht="15.75" customHeight="1">
      <c r="A39" s="7"/>
      <c r="B39" s="7"/>
      <c r="C39" s="7"/>
      <c r="D39" s="8"/>
      <c r="E39" s="7"/>
      <c r="F39" s="9"/>
      <c r="G39" s="9"/>
      <c r="H39" s="9"/>
      <c r="I39" s="9"/>
      <c r="J39" s="9"/>
      <c r="K39" s="9"/>
      <c r="L39" s="9"/>
    </row>
    <row r="40" spans="1:12" ht="16.149999999999999" customHeight="1">
      <c r="A40" s="10" t="s">
        <v>646</v>
      </c>
      <c r="B40" s="7"/>
      <c r="C40" s="7"/>
      <c r="D40" s="31">
        <f ca="1">VLOOKUP(C35,OFFSET(Mallas_U_SI,,,,5),5,0)</f>
        <v>7.5</v>
      </c>
      <c r="E40" s="11" t="s">
        <v>5</v>
      </c>
      <c r="F40" s="7"/>
      <c r="G40" s="7"/>
      <c r="H40" s="7"/>
      <c r="I40" s="7"/>
      <c r="J40" s="7"/>
      <c r="K40" s="7"/>
      <c r="L40" s="7"/>
    </row>
    <row r="41" spans="1:12" ht="16.149999999999999" customHeight="1">
      <c r="A41" s="10" t="s">
        <v>648</v>
      </c>
      <c r="B41" s="7"/>
      <c r="C41" s="7"/>
      <c r="D41" s="31">
        <f ca="1">VLOOKUP(C36,OFFSET(Mallas_U_SI,,,,5),5,0)</f>
        <v>6.5</v>
      </c>
      <c r="E41" s="11" t="s">
        <v>5</v>
      </c>
      <c r="F41" s="7"/>
      <c r="G41" s="374" t="s">
        <v>6</v>
      </c>
      <c r="H41" s="374"/>
      <c r="I41" s="374"/>
      <c r="J41" s="392"/>
      <c r="K41" s="35">
        <v>1000</v>
      </c>
      <c r="L41" s="11" t="s">
        <v>5</v>
      </c>
    </row>
    <row r="42" spans="1:12" ht="16.149999999999999" customHeight="1">
      <c r="A42" s="10" t="s">
        <v>647</v>
      </c>
      <c r="B42" s="7"/>
      <c r="C42" s="7"/>
      <c r="D42" s="32">
        <f ca="1">VLOOKUP(C35,OFFSET(Mallas_U_SI,,,,2),2,0)</f>
        <v>150</v>
      </c>
      <c r="E42" s="11" t="s">
        <v>5</v>
      </c>
      <c r="F42" s="7"/>
      <c r="G42" s="374" t="s">
        <v>8</v>
      </c>
      <c r="H42" s="374"/>
      <c r="I42" s="374"/>
      <c r="J42" s="392"/>
      <c r="K42" s="31">
        <f ca="1">IF(D44&lt;150,PI()*(D40^2/4)/D42*K41,IF(C38=1,PI()*(D40^2/4)/D42*K41,PI()*(D40^2/4)/D42*K41+PI()*(D41^2/4)/D43*K41))</f>
        <v>515.74479396432434</v>
      </c>
      <c r="L42" s="11" t="s">
        <v>9</v>
      </c>
    </row>
    <row r="43" spans="1:12" ht="18.75" customHeight="1">
      <c r="A43" s="10" t="s">
        <v>649</v>
      </c>
      <c r="B43" s="7"/>
      <c r="C43" s="7"/>
      <c r="D43" s="32">
        <f ca="1">VLOOKUP(C36,OFFSET(Mallas_U_SI,,,,2),2,0)</f>
        <v>150</v>
      </c>
      <c r="E43" s="11" t="s">
        <v>5</v>
      </c>
    </row>
    <row r="44" spans="1:12" ht="23.25" customHeight="1">
      <c r="A44" s="10" t="s">
        <v>10</v>
      </c>
      <c r="B44" s="7"/>
      <c r="C44" s="7"/>
      <c r="D44" s="33">
        <v>150</v>
      </c>
      <c r="E44" s="11" t="s">
        <v>5</v>
      </c>
      <c r="F44" s="7"/>
      <c r="G44" s="380" t="s">
        <v>11</v>
      </c>
      <c r="H44" s="380"/>
      <c r="I44" s="380"/>
      <c r="J44" s="381"/>
      <c r="K44" s="36">
        <f ca="1">IF(D44&gt;0,K42/D44/K41*100,"")</f>
        <v>0.3438298626428829</v>
      </c>
      <c r="L44" s="11" t="s">
        <v>12</v>
      </c>
    </row>
    <row r="45" spans="1:12" ht="21.75" customHeight="1">
      <c r="A45" s="10" t="s">
        <v>13</v>
      </c>
      <c r="B45" s="7"/>
      <c r="C45" s="7"/>
      <c r="D45" s="33">
        <v>28</v>
      </c>
      <c r="E45" s="11" t="s">
        <v>14</v>
      </c>
      <c r="F45" s="7"/>
      <c r="G45" s="7"/>
      <c r="H45" s="7"/>
      <c r="I45" s="7"/>
      <c r="J45" s="7"/>
      <c r="K45" s="7"/>
      <c r="L45" s="7"/>
    </row>
    <row r="46" spans="1:12" ht="16.149999999999999" customHeight="1">
      <c r="A46" s="10" t="s">
        <v>15</v>
      </c>
      <c r="B46" s="7"/>
      <c r="C46" s="7"/>
      <c r="D46" s="33">
        <v>420</v>
      </c>
      <c r="E46" s="11" t="s">
        <v>14</v>
      </c>
      <c r="F46" s="7"/>
      <c r="G46" s="382" t="s">
        <v>16</v>
      </c>
      <c r="H46" s="383"/>
      <c r="I46" s="383"/>
      <c r="J46" s="384"/>
      <c r="K46" s="389" t="str">
        <f ca="1">IF(AND(K44&gt;0.1,K44&lt;&gt;""),"O.K.",IF(K44&lt;&gt;"","CAMBIAR TIPO DE MALLA",""))</f>
        <v>O.K.</v>
      </c>
      <c r="L46" s="7"/>
    </row>
    <row r="47" spans="1:12" ht="16.149999999999999" customHeight="1">
      <c r="A47" s="13"/>
      <c r="B47" s="7"/>
      <c r="C47" s="7"/>
      <c r="D47" s="7"/>
      <c r="E47" s="7"/>
      <c r="F47" s="7"/>
      <c r="G47" s="385"/>
      <c r="H47" s="374"/>
      <c r="I47" s="374"/>
      <c r="J47" s="375"/>
      <c r="K47" s="390"/>
      <c r="L47" s="7"/>
    </row>
    <row r="48" spans="1:12" ht="16.149999999999999" customHeight="1">
      <c r="A48" s="13"/>
      <c r="B48" s="7"/>
      <c r="C48" s="7"/>
      <c r="D48" s="7"/>
      <c r="E48" s="7"/>
      <c r="F48" s="7"/>
      <c r="G48" s="386"/>
      <c r="H48" s="387"/>
      <c r="I48" s="387"/>
      <c r="J48" s="388"/>
      <c r="K48" s="391"/>
      <c r="L48" s="7"/>
    </row>
    <row r="49" spans="1:26" ht="16.149999999999999" customHeight="1">
      <c r="A49" s="347" t="s">
        <v>17</v>
      </c>
      <c r="B49" s="347"/>
      <c r="C49" s="348"/>
      <c r="D49" s="36">
        <f ca="1">VLOOKUP(C37,OFFSET(Agregados,,,,2),2,0)</f>
        <v>0.70579692546794215</v>
      </c>
      <c r="E49" s="11"/>
      <c r="F49" s="7"/>
    </row>
    <row r="50" spans="1:26" ht="16.149999999999999" customHeight="1">
      <c r="A50" s="347" t="s">
        <v>697</v>
      </c>
      <c r="B50" s="347"/>
      <c r="C50" s="348"/>
      <c r="D50" s="32">
        <f ca="1">D49*SQRT(D45)</f>
        <v>3.7347262818043303</v>
      </c>
      <c r="E50" s="11" t="s">
        <v>14</v>
      </c>
      <c r="F50" s="7"/>
      <c r="M50" s="15"/>
      <c r="N50" s="15"/>
      <c r="O50" s="15"/>
      <c r="P50" s="15"/>
    </row>
    <row r="51" spans="1:26" ht="32.25" customHeight="1">
      <c r="A51" s="347" t="s">
        <v>18</v>
      </c>
      <c r="B51" s="347"/>
      <c r="C51" s="348"/>
      <c r="D51" s="32">
        <f ca="1">IF(AND(D44&lt;&gt;"",D46&lt;&gt;""),K42*D46/(1.15*K41*D44),"")</f>
        <v>1.2557264548696592</v>
      </c>
      <c r="E51" s="11" t="s">
        <v>694</v>
      </c>
      <c r="F51" s="7"/>
      <c r="M51" s="15"/>
      <c r="N51" s="15"/>
      <c r="O51" s="15"/>
    </row>
    <row r="52" spans="1:26" ht="36" customHeight="1">
      <c r="A52" s="374" t="s">
        <v>19</v>
      </c>
      <c r="B52" s="374"/>
      <c r="C52" s="375"/>
      <c r="D52" s="32">
        <f ca="1">IF(OR(D51="",D51=0,D50=0),"",IF((D51/(1/1.5*D50))*100&lt;=70,(D51/(1/1.5*D50))*100,"NO APLICA"))</f>
        <v>50.434477393467361</v>
      </c>
      <c r="E52" s="11" t="s">
        <v>12</v>
      </c>
      <c r="F52" s="16"/>
      <c r="I52" s="393" t="s">
        <v>650</v>
      </c>
      <c r="J52" s="393"/>
      <c r="K52" s="393"/>
      <c r="L52" s="393"/>
      <c r="M52" s="15"/>
      <c r="N52" s="15"/>
      <c r="O52" s="15"/>
      <c r="P52" s="15"/>
    </row>
    <row r="53" spans="1:26" ht="22.5" customHeight="1" thickBot="1">
      <c r="A53" s="7"/>
      <c r="B53" s="7"/>
      <c r="C53" s="7"/>
      <c r="D53" s="7"/>
      <c r="E53" s="7"/>
      <c r="F53" s="7"/>
      <c r="G53" s="7"/>
      <c r="H53" s="7"/>
      <c r="I53" s="393"/>
      <c r="J53" s="393"/>
      <c r="K53" s="393"/>
      <c r="L53" s="393"/>
      <c r="M53" s="15"/>
      <c r="N53" s="15"/>
      <c r="O53" s="15"/>
      <c r="P53" s="15"/>
    </row>
    <row r="54" spans="1:26" ht="16.149999999999999" customHeight="1" thickBot="1">
      <c r="A54" s="345" t="s">
        <v>21</v>
      </c>
      <c r="B54" s="345"/>
      <c r="C54" s="345"/>
      <c r="D54" s="345"/>
      <c r="E54" s="346"/>
      <c r="F54" s="18">
        <v>7.9999298004974939</v>
      </c>
      <c r="G54" s="19" t="s">
        <v>22</v>
      </c>
      <c r="H54" s="20" t="s">
        <v>23</v>
      </c>
      <c r="I54" s="393"/>
      <c r="J54" s="393"/>
      <c r="K54" s="393"/>
      <c r="L54" s="393"/>
      <c r="M54" s="15"/>
      <c r="N54" s="15"/>
      <c r="O54" s="15"/>
      <c r="P54" s="15"/>
    </row>
    <row r="55" spans="1:26" ht="23.25" customHeight="1">
      <c r="A55" s="393" t="str">
        <f ca="1">IF(AND(D52&lt;30,D52&lt;&gt;""),"(Re,3 &lt; 30%) por lo tanto se especifica dosificación mínima para Re,3 = 30%",IF(D52&lt;&gt;"","(Re,3 &gt; 30%) por lo tanto se especifica dosificación según Re,3 obtenido",""))</f>
        <v>(Re,3 &gt; 30%) por lo tanto se especifica dosificación según Re,3 obtenido</v>
      </c>
      <c r="B55" s="393"/>
      <c r="C55" s="393"/>
      <c r="D55" s="393"/>
      <c r="E55" s="393"/>
      <c r="F55" s="393"/>
      <c r="G55" s="393"/>
      <c r="H55" s="7"/>
      <c r="I55" s="393"/>
      <c r="J55" s="393"/>
      <c r="K55" s="393"/>
      <c r="L55" s="393"/>
      <c r="M55" s="15"/>
      <c r="N55" s="15"/>
      <c r="O55" s="15"/>
      <c r="P55" s="15"/>
    </row>
    <row r="56" spans="1:26" ht="16.149999999999999" hidden="1" customHeight="1">
      <c r="A56" s="7"/>
      <c r="B56" s="7"/>
      <c r="C56" s="7"/>
      <c r="D56" s="7"/>
      <c r="E56" s="7"/>
      <c r="F56" s="7"/>
      <c r="G56" s="7"/>
      <c r="H56" s="7"/>
      <c r="I56" s="7"/>
      <c r="J56" s="352"/>
      <c r="K56" s="352"/>
      <c r="L56" s="352"/>
    </row>
    <row r="57" spans="1:26" ht="16.149999999999999" hidden="1" customHeight="1">
      <c r="A57" s="21"/>
      <c r="B57" s="7"/>
      <c r="C57" s="7"/>
      <c r="D57" s="7"/>
      <c r="E57" s="7"/>
      <c r="F57" s="7"/>
      <c r="G57" s="7"/>
      <c r="H57" s="7"/>
      <c r="I57" s="7"/>
      <c r="J57" s="352"/>
      <c r="K57" s="352"/>
      <c r="L57" s="352"/>
    </row>
    <row r="58" spans="1:26" ht="16.149999999999999" hidden="1" customHeight="1">
      <c r="A58" s="21"/>
      <c r="B58" s="7"/>
      <c r="C58" s="7"/>
      <c r="D58" s="7"/>
      <c r="E58" s="7"/>
      <c r="F58" s="7"/>
      <c r="G58" s="7"/>
      <c r="H58" s="7"/>
      <c r="I58" s="7"/>
      <c r="J58" s="7"/>
      <c r="K58" s="7"/>
      <c r="L58" s="7"/>
    </row>
    <row r="59" spans="1:26" ht="16.149999999999999" hidden="1" customHeight="1">
      <c r="A59" s="21"/>
      <c r="B59" s="7"/>
      <c r="C59" s="7"/>
      <c r="D59" s="7"/>
      <c r="E59" s="7"/>
      <c r="F59" s="7"/>
      <c r="G59" s="7"/>
      <c r="H59" s="7"/>
      <c r="I59" s="7"/>
      <c r="J59" s="7"/>
      <c r="K59" s="7"/>
      <c r="L59" s="7"/>
    </row>
    <row r="60" spans="1:26" ht="16.149999999999999" hidden="1" customHeight="1">
      <c r="A60" s="21"/>
      <c r="B60" s="7"/>
      <c r="C60" s="7"/>
      <c r="D60" s="7"/>
      <c r="E60" s="7"/>
      <c r="F60" s="7"/>
      <c r="G60" s="7"/>
      <c r="H60" s="7"/>
      <c r="I60" s="7"/>
      <c r="J60" s="7"/>
      <c r="K60" s="7"/>
      <c r="L60" s="7"/>
    </row>
    <row r="61" spans="1:26" ht="16.149999999999999" hidden="1" customHeight="1">
      <c r="A61" s="21"/>
      <c r="B61" s="7"/>
      <c r="C61" s="7"/>
      <c r="D61" s="7"/>
      <c r="E61" s="7"/>
      <c r="F61" s="7"/>
      <c r="G61" s="7"/>
      <c r="H61" s="7"/>
      <c r="I61" s="7"/>
      <c r="J61" s="7"/>
      <c r="K61" s="7"/>
      <c r="L61" s="7"/>
    </row>
    <row r="62" spans="1:26" ht="16.149999999999999" hidden="1" customHeight="1">
      <c r="A62" s="21"/>
      <c r="B62" s="7"/>
      <c r="C62" s="7"/>
      <c r="D62" s="7"/>
      <c r="E62" s="7"/>
      <c r="F62" s="7"/>
      <c r="G62" s="7"/>
      <c r="H62" s="7"/>
      <c r="I62" s="7"/>
      <c r="J62" s="7"/>
      <c r="K62" s="7"/>
      <c r="L62" s="7"/>
    </row>
    <row r="63" spans="1:26" ht="16.149999999999999" hidden="1" customHeight="1"/>
    <row r="64" spans="1:26" ht="35.25" hidden="1" customHeight="1">
      <c r="P64" s="37" t="s">
        <v>24</v>
      </c>
      <c r="Q64" s="37" t="s">
        <v>25</v>
      </c>
      <c r="R64" s="37" t="s">
        <v>84</v>
      </c>
      <c r="S64" s="37" t="s">
        <v>85</v>
      </c>
      <c r="T64" s="38" t="s">
        <v>28</v>
      </c>
      <c r="U64" s="38" t="s">
        <v>29</v>
      </c>
      <c r="W64" s="37" t="s">
        <v>2</v>
      </c>
      <c r="X64" s="39" t="s">
        <v>82</v>
      </c>
      <c r="Y64" s="376" t="s">
        <v>640</v>
      </c>
      <c r="Z64" s="376"/>
    </row>
    <row r="65" spans="16:26" ht="16.149999999999999" hidden="1" customHeight="1">
      <c r="P65" s="25" t="s">
        <v>30</v>
      </c>
      <c r="Q65" s="26">
        <v>50</v>
      </c>
      <c r="R65" s="27">
        <v>25.8</v>
      </c>
      <c r="S65" s="27">
        <v>25.8</v>
      </c>
      <c r="T65" s="27">
        <f t="shared" ref="T65:T96" si="0">SQRT(4*R65/PI())</f>
        <v>5.7314553347441519</v>
      </c>
      <c r="U65" s="27">
        <f t="shared" ref="U65:U96" si="1">SQRT(4*S65/PI())</f>
        <v>5.7314553347441519</v>
      </c>
      <c r="W65" s="28" t="s">
        <v>83</v>
      </c>
      <c r="X65" s="349">
        <f>8.5/SQRT(1/0.0068948)</f>
        <v>0.70579692546794215</v>
      </c>
      <c r="Y65" s="377" t="s">
        <v>638</v>
      </c>
      <c r="Z65" s="377"/>
    </row>
    <row r="66" spans="16:26" ht="16.149999999999999" hidden="1" customHeight="1">
      <c r="P66" s="25" t="s">
        <v>31</v>
      </c>
      <c r="Q66" s="26">
        <v>50</v>
      </c>
      <c r="R66" s="27">
        <v>18.7</v>
      </c>
      <c r="S66" s="27">
        <v>18.7</v>
      </c>
      <c r="T66" s="27">
        <f t="shared" si="0"/>
        <v>4.8795060699365402</v>
      </c>
      <c r="U66" s="27">
        <f t="shared" si="1"/>
        <v>4.8795060699365402</v>
      </c>
      <c r="W66" s="28" t="s">
        <v>3</v>
      </c>
      <c r="X66" s="349">
        <v>0.76300000000000001</v>
      </c>
      <c r="Y66" s="377" t="s">
        <v>639</v>
      </c>
      <c r="Z66" s="377"/>
    </row>
    <row r="67" spans="16:26" ht="16.149999999999999" hidden="1" customHeight="1">
      <c r="P67" s="25" t="s">
        <v>32</v>
      </c>
      <c r="Q67" s="26">
        <v>50</v>
      </c>
      <c r="R67" s="27">
        <v>13.3</v>
      </c>
      <c r="S67" s="27">
        <v>13.3</v>
      </c>
      <c r="T67" s="27">
        <f t="shared" si="0"/>
        <v>4.1151046092387089</v>
      </c>
      <c r="U67" s="27">
        <f t="shared" si="1"/>
        <v>4.1151046092387089</v>
      </c>
    </row>
    <row r="68" spans="16:26" ht="16.149999999999999" hidden="1" customHeight="1">
      <c r="P68" s="25" t="s">
        <v>33</v>
      </c>
      <c r="Q68" s="26">
        <v>50</v>
      </c>
      <c r="R68" s="27">
        <v>9.1</v>
      </c>
      <c r="S68" s="27">
        <v>9.1</v>
      </c>
      <c r="T68" s="27">
        <f t="shared" si="0"/>
        <v>3.4038918691829769</v>
      </c>
      <c r="U68" s="27">
        <f t="shared" si="1"/>
        <v>3.4038918691829769</v>
      </c>
    </row>
    <row r="69" spans="16:26" ht="16.149999999999999" hidden="1" customHeight="1">
      <c r="P69" s="25" t="s">
        <v>34</v>
      </c>
      <c r="Q69" s="26">
        <v>50</v>
      </c>
      <c r="R69" s="27">
        <v>5.6</v>
      </c>
      <c r="S69" s="27">
        <v>5.6</v>
      </c>
      <c r="T69" s="27">
        <f t="shared" si="0"/>
        <v>2.6702324712498182</v>
      </c>
      <c r="U69" s="27">
        <f t="shared" si="1"/>
        <v>2.6702324712498182</v>
      </c>
    </row>
    <row r="70" spans="16:26" ht="16.149999999999999" hidden="1" customHeight="1">
      <c r="P70" s="25" t="s">
        <v>35</v>
      </c>
      <c r="Q70" s="26">
        <v>50</v>
      </c>
      <c r="R70" s="27">
        <v>3.2</v>
      </c>
      <c r="S70" s="27">
        <v>3.2</v>
      </c>
      <c r="T70" s="27">
        <f t="shared" si="0"/>
        <v>2.018506017616128</v>
      </c>
      <c r="U70" s="27">
        <f t="shared" si="1"/>
        <v>2.018506017616128</v>
      </c>
    </row>
    <row r="71" spans="16:26" ht="16.149999999999999" hidden="1" customHeight="1">
      <c r="P71" s="25" t="s">
        <v>36</v>
      </c>
      <c r="Q71" s="26">
        <v>50</v>
      </c>
      <c r="R71" s="27">
        <v>2</v>
      </c>
      <c r="S71" s="27">
        <v>2</v>
      </c>
      <c r="T71" s="27">
        <f t="shared" si="0"/>
        <v>1.5957691216057308</v>
      </c>
      <c r="U71" s="27">
        <f t="shared" si="1"/>
        <v>1.5957691216057308</v>
      </c>
    </row>
    <row r="72" spans="16:26" ht="16.149999999999999" hidden="1" customHeight="1">
      <c r="P72" s="25" t="s">
        <v>37</v>
      </c>
      <c r="Q72" s="26">
        <v>76</v>
      </c>
      <c r="R72" s="27">
        <v>13.3</v>
      </c>
      <c r="S72" s="27">
        <v>13.3</v>
      </c>
      <c r="T72" s="27">
        <f t="shared" si="0"/>
        <v>4.1151046092387089</v>
      </c>
      <c r="U72" s="27">
        <f t="shared" si="1"/>
        <v>4.1151046092387089</v>
      </c>
    </row>
    <row r="73" spans="16:26" ht="16.149999999999999" hidden="1" customHeight="1">
      <c r="P73" s="25" t="s">
        <v>38</v>
      </c>
      <c r="Q73" s="26">
        <v>76</v>
      </c>
      <c r="R73" s="27">
        <v>9.1</v>
      </c>
      <c r="S73" s="27">
        <v>9.1</v>
      </c>
      <c r="T73" s="27">
        <f t="shared" si="0"/>
        <v>3.4038918691829769</v>
      </c>
      <c r="U73" s="27">
        <f t="shared" si="1"/>
        <v>3.4038918691829769</v>
      </c>
    </row>
    <row r="74" spans="16:26" ht="16.149999999999999" hidden="1" customHeight="1">
      <c r="P74" s="25" t="s">
        <v>39</v>
      </c>
      <c r="Q74" s="26">
        <v>76</v>
      </c>
      <c r="R74" s="27">
        <v>5.6</v>
      </c>
      <c r="S74" s="27">
        <v>5.6</v>
      </c>
      <c r="T74" s="27">
        <f t="shared" si="0"/>
        <v>2.6702324712498182</v>
      </c>
      <c r="U74" s="27">
        <f t="shared" si="1"/>
        <v>2.6702324712498182</v>
      </c>
    </row>
    <row r="75" spans="16:26" ht="16.149999999999999" hidden="1" customHeight="1">
      <c r="P75" s="25" t="s">
        <v>40</v>
      </c>
      <c r="Q75" s="26">
        <v>76</v>
      </c>
      <c r="R75" s="27">
        <v>3.2</v>
      </c>
      <c r="S75" s="27">
        <v>3.2</v>
      </c>
      <c r="T75" s="27">
        <f t="shared" si="0"/>
        <v>2.018506017616128</v>
      </c>
      <c r="U75" s="27">
        <f t="shared" si="1"/>
        <v>2.018506017616128</v>
      </c>
    </row>
    <row r="76" spans="16:26" ht="16.149999999999999" hidden="1" customHeight="1">
      <c r="P76" s="25" t="s">
        <v>41</v>
      </c>
      <c r="Q76" s="26">
        <v>102</v>
      </c>
      <c r="R76" s="27">
        <v>25.8</v>
      </c>
      <c r="S76" s="27">
        <v>25.8</v>
      </c>
      <c r="T76" s="27">
        <f t="shared" si="0"/>
        <v>5.7314553347441519</v>
      </c>
      <c r="U76" s="27">
        <f t="shared" si="1"/>
        <v>5.7314553347441519</v>
      </c>
    </row>
    <row r="77" spans="16:26" ht="16.149999999999999" hidden="1" customHeight="1">
      <c r="P77" s="25" t="s">
        <v>42</v>
      </c>
      <c r="Q77" s="26">
        <v>102</v>
      </c>
      <c r="R77" s="27">
        <v>18.7</v>
      </c>
      <c r="S77" s="27">
        <v>18.7</v>
      </c>
      <c r="T77" s="27">
        <f t="shared" si="0"/>
        <v>4.8795060699365402</v>
      </c>
      <c r="U77" s="27">
        <f t="shared" si="1"/>
        <v>4.8795060699365402</v>
      </c>
    </row>
    <row r="78" spans="16:26" ht="16.149999999999999" hidden="1" customHeight="1">
      <c r="P78" s="25" t="s">
        <v>43</v>
      </c>
      <c r="Q78" s="26">
        <v>102</v>
      </c>
      <c r="R78" s="27">
        <v>13.3</v>
      </c>
      <c r="S78" s="27">
        <v>13.3</v>
      </c>
      <c r="T78" s="27">
        <f t="shared" si="0"/>
        <v>4.1151046092387089</v>
      </c>
      <c r="U78" s="27">
        <f t="shared" si="1"/>
        <v>4.1151046092387089</v>
      </c>
    </row>
    <row r="79" spans="16:26" ht="16.149999999999999" hidden="1" customHeight="1">
      <c r="P79" s="25" t="s">
        <v>44</v>
      </c>
      <c r="Q79" s="26">
        <v>102</v>
      </c>
      <c r="R79" s="27">
        <v>11.1</v>
      </c>
      <c r="S79" s="27">
        <v>11.1</v>
      </c>
      <c r="T79" s="27">
        <f t="shared" si="0"/>
        <v>3.7593827879800039</v>
      </c>
      <c r="U79" s="27">
        <f t="shared" si="1"/>
        <v>3.7593827879800039</v>
      </c>
    </row>
    <row r="80" spans="16:26" ht="16.149999999999999" hidden="1" customHeight="1">
      <c r="P80" s="25" t="s">
        <v>45</v>
      </c>
      <c r="Q80" s="26">
        <v>102</v>
      </c>
      <c r="R80" s="27">
        <v>9.1</v>
      </c>
      <c r="S80" s="27">
        <v>9.1</v>
      </c>
      <c r="T80" s="27">
        <f t="shared" si="0"/>
        <v>3.4038918691829769</v>
      </c>
      <c r="U80" s="27">
        <f t="shared" si="1"/>
        <v>3.4038918691829769</v>
      </c>
    </row>
    <row r="81" spans="16:21" ht="16.149999999999999" hidden="1" customHeight="1">
      <c r="P81" s="25" t="s">
        <v>46</v>
      </c>
      <c r="Q81" s="26">
        <v>102</v>
      </c>
      <c r="R81" s="27">
        <v>5.6</v>
      </c>
      <c r="S81" s="27">
        <v>5.6</v>
      </c>
      <c r="T81" s="27">
        <f t="shared" si="0"/>
        <v>2.6702324712498182</v>
      </c>
      <c r="U81" s="27">
        <f t="shared" si="1"/>
        <v>2.6702324712498182</v>
      </c>
    </row>
    <row r="82" spans="16:21" ht="16.149999999999999" hidden="1" customHeight="1">
      <c r="P82" s="25" t="s">
        <v>47</v>
      </c>
      <c r="Q82" s="26">
        <v>102</v>
      </c>
      <c r="R82" s="27">
        <v>4.2</v>
      </c>
      <c r="S82" s="27">
        <v>4.2</v>
      </c>
      <c r="T82" s="27">
        <f t="shared" si="0"/>
        <v>2.3124891541124435</v>
      </c>
      <c r="U82" s="27">
        <f t="shared" si="1"/>
        <v>2.3124891541124435</v>
      </c>
    </row>
    <row r="83" spans="16:21" ht="16.149999999999999" hidden="1" customHeight="1">
      <c r="P83" s="25" t="s">
        <v>48</v>
      </c>
      <c r="Q83" s="26">
        <v>102</v>
      </c>
      <c r="R83" s="27">
        <v>3.2</v>
      </c>
      <c r="S83" s="27">
        <v>3.2</v>
      </c>
      <c r="T83" s="27">
        <f t="shared" si="0"/>
        <v>2.018506017616128</v>
      </c>
      <c r="U83" s="27">
        <f t="shared" si="1"/>
        <v>2.018506017616128</v>
      </c>
    </row>
    <row r="84" spans="16:21" ht="16.149999999999999" hidden="1" customHeight="1">
      <c r="P84" s="25" t="s">
        <v>49</v>
      </c>
      <c r="Q84" s="26">
        <v>152</v>
      </c>
      <c r="R84" s="27">
        <v>47.6</v>
      </c>
      <c r="S84" s="27">
        <v>47.6</v>
      </c>
      <c r="T84" s="27">
        <f t="shared" si="0"/>
        <v>7.7849985439557887</v>
      </c>
      <c r="U84" s="27">
        <f t="shared" si="1"/>
        <v>7.7849985439557887</v>
      </c>
    </row>
    <row r="85" spans="16:21" ht="16.149999999999999" hidden="1" customHeight="1">
      <c r="P85" s="25" t="s">
        <v>50</v>
      </c>
      <c r="Q85" s="26">
        <v>152</v>
      </c>
      <c r="R85" s="27">
        <v>40.6</v>
      </c>
      <c r="S85" s="27">
        <v>40.6</v>
      </c>
      <c r="T85" s="27">
        <f t="shared" si="0"/>
        <v>7.1898209655211591</v>
      </c>
      <c r="U85" s="27">
        <f t="shared" si="1"/>
        <v>7.1898209655211591</v>
      </c>
    </row>
    <row r="86" spans="16:21" ht="16.149999999999999" hidden="1" customHeight="1">
      <c r="P86" s="25" t="s">
        <v>51</v>
      </c>
      <c r="Q86" s="26">
        <v>152</v>
      </c>
      <c r="R86" s="27">
        <v>34.9</v>
      </c>
      <c r="S86" s="27">
        <v>34.9</v>
      </c>
      <c r="T86" s="27">
        <f t="shared" si="0"/>
        <v>6.6660378120182591</v>
      </c>
      <c r="U86" s="27">
        <f t="shared" si="1"/>
        <v>6.6660378120182591</v>
      </c>
    </row>
    <row r="87" spans="16:21" ht="16.149999999999999" hidden="1" customHeight="1">
      <c r="P87" s="25" t="s">
        <v>52</v>
      </c>
      <c r="Q87" s="26">
        <v>152</v>
      </c>
      <c r="R87" s="27">
        <v>30.1</v>
      </c>
      <c r="S87" s="27">
        <v>30.1</v>
      </c>
      <c r="T87" s="27">
        <f t="shared" si="0"/>
        <v>6.1906793081638787</v>
      </c>
      <c r="U87" s="27">
        <f t="shared" si="1"/>
        <v>6.1906793081638787</v>
      </c>
    </row>
    <row r="88" spans="16:21" ht="16.149999999999999" hidden="1" customHeight="1">
      <c r="P88" s="25" t="s">
        <v>53</v>
      </c>
      <c r="Q88" s="26">
        <v>152</v>
      </c>
      <c r="R88" s="27">
        <v>25.8</v>
      </c>
      <c r="S88" s="27">
        <v>25.8</v>
      </c>
      <c r="T88" s="27">
        <f t="shared" si="0"/>
        <v>5.7314553347441519</v>
      </c>
      <c r="U88" s="27">
        <f t="shared" si="1"/>
        <v>5.7314553347441519</v>
      </c>
    </row>
    <row r="89" spans="16:21" ht="16.149999999999999" hidden="1" customHeight="1">
      <c r="P89" s="25" t="s">
        <v>54</v>
      </c>
      <c r="Q89" s="26">
        <v>152</v>
      </c>
      <c r="R89" s="27">
        <v>25.8</v>
      </c>
      <c r="S89" s="27">
        <v>18.7</v>
      </c>
      <c r="T89" s="27">
        <f t="shared" si="0"/>
        <v>5.7314553347441519</v>
      </c>
      <c r="U89" s="27">
        <f t="shared" si="1"/>
        <v>4.8795060699365402</v>
      </c>
    </row>
    <row r="90" spans="16:21" ht="16.149999999999999" hidden="1" customHeight="1">
      <c r="P90" s="25" t="s">
        <v>55</v>
      </c>
      <c r="Q90" s="26">
        <v>152</v>
      </c>
      <c r="R90" s="27">
        <v>21.7</v>
      </c>
      <c r="S90" s="27">
        <v>21.7</v>
      </c>
      <c r="T90" s="27">
        <f t="shared" si="0"/>
        <v>5.2563578760157714</v>
      </c>
      <c r="U90" s="27">
        <f t="shared" si="1"/>
        <v>5.2563578760157714</v>
      </c>
    </row>
    <row r="91" spans="16:21" ht="16.149999999999999" hidden="1" customHeight="1">
      <c r="P91" s="25" t="s">
        <v>56</v>
      </c>
      <c r="Q91" s="26">
        <v>152</v>
      </c>
      <c r="R91" s="27">
        <v>18.7</v>
      </c>
      <c r="S91" s="27">
        <v>18.7</v>
      </c>
      <c r="T91" s="27">
        <f t="shared" si="0"/>
        <v>4.8795060699365402</v>
      </c>
      <c r="U91" s="27">
        <f t="shared" si="1"/>
        <v>4.8795060699365402</v>
      </c>
    </row>
    <row r="92" spans="16:21" ht="16.149999999999999" hidden="1" customHeight="1">
      <c r="P92" s="25" t="s">
        <v>57</v>
      </c>
      <c r="Q92" s="26">
        <v>152</v>
      </c>
      <c r="R92" s="27">
        <v>15.9</v>
      </c>
      <c r="S92" s="27">
        <v>15.9</v>
      </c>
      <c r="T92" s="27">
        <f t="shared" si="0"/>
        <v>4.4993898209967416</v>
      </c>
      <c r="U92" s="27">
        <f t="shared" si="1"/>
        <v>4.4993898209967416</v>
      </c>
    </row>
    <row r="93" spans="16:21" ht="16.149999999999999" hidden="1" customHeight="1">
      <c r="P93" s="25" t="s">
        <v>58</v>
      </c>
      <c r="Q93" s="26">
        <v>152</v>
      </c>
      <c r="R93" s="27">
        <v>13.3</v>
      </c>
      <c r="S93" s="27">
        <v>13.3</v>
      </c>
      <c r="T93" s="27">
        <f t="shared" si="0"/>
        <v>4.1151046092387089</v>
      </c>
      <c r="U93" s="27">
        <f t="shared" si="1"/>
        <v>4.1151046092387089</v>
      </c>
    </row>
    <row r="94" spans="16:21" ht="16.149999999999999" hidden="1" customHeight="1">
      <c r="P94" s="25" t="s">
        <v>59</v>
      </c>
      <c r="Q94" s="26">
        <v>152</v>
      </c>
      <c r="R94" s="27">
        <v>11.1</v>
      </c>
      <c r="S94" s="27">
        <v>11.1</v>
      </c>
      <c r="T94" s="27">
        <f t="shared" si="0"/>
        <v>3.7593827879800039</v>
      </c>
      <c r="U94" s="27">
        <f t="shared" si="1"/>
        <v>3.7593827879800039</v>
      </c>
    </row>
    <row r="95" spans="16:21" ht="16.149999999999999" hidden="1" customHeight="1">
      <c r="P95" s="25" t="s">
        <v>60</v>
      </c>
      <c r="Q95" s="26">
        <v>152</v>
      </c>
      <c r="R95" s="27">
        <v>9.1</v>
      </c>
      <c r="S95" s="27">
        <v>9.1</v>
      </c>
      <c r="T95" s="27">
        <f t="shared" si="0"/>
        <v>3.4038918691829769</v>
      </c>
      <c r="U95" s="27">
        <f t="shared" si="1"/>
        <v>3.4038918691829769</v>
      </c>
    </row>
    <row r="96" spans="16:21" ht="16.149999999999999" hidden="1" customHeight="1">
      <c r="P96" s="25" t="s">
        <v>61</v>
      </c>
      <c r="Q96" s="26">
        <v>305</v>
      </c>
      <c r="R96" s="27">
        <v>34.9</v>
      </c>
      <c r="S96" s="27">
        <v>34.9</v>
      </c>
      <c r="T96" s="27">
        <f t="shared" si="0"/>
        <v>6.6660378120182591</v>
      </c>
      <c r="U96" s="27">
        <f t="shared" si="1"/>
        <v>6.6660378120182591</v>
      </c>
    </row>
    <row r="97" spans="16:21" ht="16.149999999999999" hidden="1" customHeight="1">
      <c r="P97" s="28" t="s">
        <v>651</v>
      </c>
      <c r="Q97" s="26">
        <v>150</v>
      </c>
      <c r="R97" s="27">
        <f t="shared" ref="R97:R116" si="2">PI()*T97^2/4</f>
        <v>12.566370614359172</v>
      </c>
      <c r="S97" s="27">
        <f t="shared" ref="S97:S116" si="3">PI()*U97^2/4</f>
        <v>12.566370614359172</v>
      </c>
      <c r="T97" s="27">
        <v>4</v>
      </c>
      <c r="U97" s="27">
        <v>4</v>
      </c>
    </row>
    <row r="98" spans="16:21" ht="16.149999999999999" hidden="1" customHeight="1">
      <c r="P98" s="28" t="s">
        <v>652</v>
      </c>
      <c r="Q98" s="26">
        <v>150</v>
      </c>
      <c r="R98" s="27">
        <f t="shared" si="2"/>
        <v>15.904312808798327</v>
      </c>
      <c r="S98" s="27">
        <f t="shared" si="3"/>
        <v>12.566370614359172</v>
      </c>
      <c r="T98" s="27">
        <v>4.5</v>
      </c>
      <c r="U98" s="27">
        <v>4</v>
      </c>
    </row>
    <row r="99" spans="16:21" ht="16.149999999999999" hidden="1" customHeight="1">
      <c r="P99" s="28" t="s">
        <v>654</v>
      </c>
      <c r="Q99" s="26">
        <v>150</v>
      </c>
      <c r="R99" s="27">
        <f t="shared" si="2"/>
        <v>19.634954084936208</v>
      </c>
      <c r="S99" s="27">
        <f t="shared" si="3"/>
        <v>12.566370614359172</v>
      </c>
      <c r="T99" s="27">
        <v>5</v>
      </c>
      <c r="U99" s="27">
        <v>4</v>
      </c>
    </row>
    <row r="100" spans="16:21" ht="16.149999999999999" hidden="1" customHeight="1">
      <c r="P100" s="28" t="s">
        <v>653</v>
      </c>
      <c r="Q100" s="26">
        <v>150</v>
      </c>
      <c r="R100" s="27">
        <f t="shared" si="2"/>
        <v>23.758294442772812</v>
      </c>
      <c r="S100" s="27">
        <f t="shared" si="3"/>
        <v>12.566370614359172</v>
      </c>
      <c r="T100" s="27">
        <v>5.5</v>
      </c>
      <c r="U100" s="27">
        <v>4</v>
      </c>
    </row>
    <row r="101" spans="16:21" ht="16.149999999999999" hidden="1" customHeight="1">
      <c r="P101" s="28" t="s">
        <v>655</v>
      </c>
      <c r="Q101" s="26">
        <v>150</v>
      </c>
      <c r="R101" s="27">
        <f t="shared" si="2"/>
        <v>33.183072403542191</v>
      </c>
      <c r="S101" s="27">
        <f t="shared" si="3"/>
        <v>12.566370614359172</v>
      </c>
      <c r="T101" s="27">
        <v>6.5</v>
      </c>
      <c r="U101" s="27">
        <v>4</v>
      </c>
    </row>
    <row r="102" spans="16:21" ht="16.149999999999999" hidden="1" customHeight="1">
      <c r="P102" s="28" t="s">
        <v>656</v>
      </c>
      <c r="Q102" s="26">
        <v>150</v>
      </c>
      <c r="R102" s="27">
        <f t="shared" si="2"/>
        <v>38.484510006474963</v>
      </c>
      <c r="S102" s="27">
        <f t="shared" si="3"/>
        <v>19.634954084936208</v>
      </c>
      <c r="T102" s="27">
        <v>7</v>
      </c>
      <c r="U102" s="27">
        <v>5</v>
      </c>
    </row>
    <row r="103" spans="16:21" ht="16.149999999999999" hidden="1" customHeight="1">
      <c r="P103" s="28" t="s">
        <v>657</v>
      </c>
      <c r="Q103" s="26">
        <v>150</v>
      </c>
      <c r="R103" s="27">
        <f t="shared" si="2"/>
        <v>50.26548245743669</v>
      </c>
      <c r="S103" s="27">
        <f t="shared" si="3"/>
        <v>19.634954084936208</v>
      </c>
      <c r="T103" s="27">
        <v>8</v>
      </c>
      <c r="U103" s="27">
        <v>5</v>
      </c>
    </row>
    <row r="104" spans="16:21" ht="16.149999999999999" hidden="1" customHeight="1">
      <c r="P104" s="28" t="s">
        <v>658</v>
      </c>
      <c r="Q104" s="26">
        <v>150</v>
      </c>
      <c r="R104" s="27">
        <f t="shared" si="2"/>
        <v>56.745017305465637</v>
      </c>
      <c r="S104" s="27">
        <f t="shared" si="3"/>
        <v>19.634954084936208</v>
      </c>
      <c r="T104" s="27">
        <v>8.5</v>
      </c>
      <c r="U104" s="27">
        <v>5</v>
      </c>
    </row>
    <row r="105" spans="16:21" ht="16.149999999999999" hidden="1" customHeight="1">
      <c r="P105" s="28" t="s">
        <v>659</v>
      </c>
      <c r="Q105" s="26">
        <v>250</v>
      </c>
      <c r="R105" s="27">
        <f t="shared" si="2"/>
        <v>12.566370614359172</v>
      </c>
      <c r="S105" s="27">
        <f t="shared" si="3"/>
        <v>12.566370614359172</v>
      </c>
      <c r="T105" s="27">
        <v>4</v>
      </c>
      <c r="U105" s="27">
        <v>4</v>
      </c>
    </row>
    <row r="106" spans="16:21" ht="16.149999999999999" hidden="1" customHeight="1">
      <c r="P106" s="28" t="s">
        <v>660</v>
      </c>
      <c r="Q106" s="26">
        <v>200</v>
      </c>
      <c r="R106" s="27">
        <f t="shared" si="2"/>
        <v>12.566370614359172</v>
      </c>
      <c r="S106" s="27">
        <f t="shared" si="3"/>
        <v>12.566370614359172</v>
      </c>
      <c r="T106" s="27">
        <v>4</v>
      </c>
      <c r="U106" s="27">
        <v>4</v>
      </c>
    </row>
    <row r="107" spans="16:21" ht="16.149999999999999" hidden="1" customHeight="1">
      <c r="P107" s="28" t="s">
        <v>661</v>
      </c>
      <c r="Q107" s="26">
        <v>150</v>
      </c>
      <c r="R107" s="27">
        <f t="shared" si="2"/>
        <v>12.566370614359172</v>
      </c>
      <c r="S107" s="27">
        <f t="shared" si="3"/>
        <v>12.566370614359172</v>
      </c>
      <c r="T107" s="27">
        <v>4</v>
      </c>
      <c r="U107" s="27">
        <v>4</v>
      </c>
    </row>
    <row r="108" spans="16:21" ht="16.149999999999999" hidden="1" customHeight="1">
      <c r="P108" s="28" t="s">
        <v>662</v>
      </c>
      <c r="Q108" s="26">
        <v>150</v>
      </c>
      <c r="R108" s="27">
        <f t="shared" si="2"/>
        <v>15.904312808798327</v>
      </c>
      <c r="S108" s="27">
        <f t="shared" si="3"/>
        <v>15.904312808798327</v>
      </c>
      <c r="T108" s="27">
        <v>4.5</v>
      </c>
      <c r="U108" s="27">
        <v>4.5</v>
      </c>
    </row>
    <row r="109" spans="16:21" ht="16.149999999999999" hidden="1" customHeight="1">
      <c r="P109" s="28" t="s">
        <v>663</v>
      </c>
      <c r="Q109" s="26">
        <v>150</v>
      </c>
      <c r="R109" s="27">
        <f t="shared" si="2"/>
        <v>19.634954084936208</v>
      </c>
      <c r="S109" s="27">
        <f t="shared" si="3"/>
        <v>19.634954084936208</v>
      </c>
      <c r="T109" s="27">
        <v>5</v>
      </c>
      <c r="U109" s="27">
        <v>5</v>
      </c>
    </row>
    <row r="110" spans="16:21" ht="16.149999999999999" hidden="1" customHeight="1">
      <c r="P110" s="28" t="s">
        <v>664</v>
      </c>
      <c r="Q110" s="26">
        <v>150</v>
      </c>
      <c r="R110" s="27">
        <f t="shared" si="2"/>
        <v>23.758294442772812</v>
      </c>
      <c r="S110" s="27">
        <f t="shared" si="3"/>
        <v>23.758294442772812</v>
      </c>
      <c r="T110" s="27">
        <v>5.5</v>
      </c>
      <c r="U110" s="27">
        <v>5.5</v>
      </c>
    </row>
    <row r="111" spans="16:21" ht="16.149999999999999" hidden="1" customHeight="1">
      <c r="P111" s="28" t="s">
        <v>665</v>
      </c>
      <c r="Q111" s="26">
        <v>150</v>
      </c>
      <c r="R111" s="27">
        <f t="shared" si="2"/>
        <v>28.274333882308138</v>
      </c>
      <c r="S111" s="27">
        <f t="shared" si="3"/>
        <v>28.274333882308138</v>
      </c>
      <c r="T111" s="27">
        <v>6</v>
      </c>
      <c r="U111" s="27">
        <v>6</v>
      </c>
    </row>
    <row r="112" spans="16:21" ht="16.149999999999999" hidden="1" customHeight="1">
      <c r="P112" s="28" t="s">
        <v>666</v>
      </c>
      <c r="Q112" s="26">
        <v>150</v>
      </c>
      <c r="R112" s="27">
        <f t="shared" si="2"/>
        <v>33.183072403542191</v>
      </c>
      <c r="S112" s="27">
        <f t="shared" si="3"/>
        <v>33.183072403542191</v>
      </c>
      <c r="T112" s="27">
        <v>6.5</v>
      </c>
      <c r="U112" s="27">
        <v>6.5</v>
      </c>
    </row>
    <row r="113" spans="4:21" ht="16.149999999999999" hidden="1" customHeight="1">
      <c r="P113" s="28" t="s">
        <v>667</v>
      </c>
      <c r="Q113" s="26">
        <v>150</v>
      </c>
      <c r="R113" s="27">
        <f t="shared" si="2"/>
        <v>38.484510006474963</v>
      </c>
      <c r="S113" s="27">
        <f t="shared" si="3"/>
        <v>38.484510006474963</v>
      </c>
      <c r="T113" s="27">
        <v>7</v>
      </c>
      <c r="U113" s="27">
        <v>7</v>
      </c>
    </row>
    <row r="114" spans="4:21" ht="16.149999999999999" hidden="1" customHeight="1">
      <c r="P114" s="28" t="s">
        <v>668</v>
      </c>
      <c r="Q114" s="26">
        <v>150</v>
      </c>
      <c r="R114" s="27">
        <f t="shared" si="2"/>
        <v>44.178646691106465</v>
      </c>
      <c r="S114" s="27">
        <f t="shared" si="3"/>
        <v>44.178646691106465</v>
      </c>
      <c r="T114" s="27">
        <v>7.5</v>
      </c>
      <c r="U114" s="27">
        <v>7.5</v>
      </c>
    </row>
    <row r="115" spans="4:21" ht="16.149999999999999" hidden="1" customHeight="1">
      <c r="P115" s="28" t="s">
        <v>669</v>
      </c>
      <c r="Q115" s="26">
        <v>150</v>
      </c>
      <c r="R115" s="27">
        <f t="shared" si="2"/>
        <v>50.26548245743669</v>
      </c>
      <c r="S115" s="27">
        <f t="shared" si="3"/>
        <v>50.26548245743669</v>
      </c>
      <c r="T115" s="27">
        <v>8</v>
      </c>
      <c r="U115" s="27">
        <v>8</v>
      </c>
    </row>
    <row r="116" spans="4:21" ht="16.149999999999999" hidden="1" customHeight="1">
      <c r="P116" s="28" t="s">
        <v>670</v>
      </c>
      <c r="Q116" s="26">
        <v>150</v>
      </c>
      <c r="R116" s="27">
        <f t="shared" si="2"/>
        <v>56.745017305465637</v>
      </c>
      <c r="S116" s="27">
        <f t="shared" si="3"/>
        <v>56.745017305465637</v>
      </c>
      <c r="T116" s="27">
        <v>8.5</v>
      </c>
      <c r="U116" s="27">
        <v>8.5</v>
      </c>
    </row>
    <row r="117" spans="4:21" ht="16.149999999999999" hidden="1" customHeight="1"/>
    <row r="118" spans="4:21" ht="16.149999999999999" hidden="1" customHeight="1">
      <c r="P118" s="350" t="s">
        <v>641</v>
      </c>
      <c r="Q118" s="350">
        <v>40</v>
      </c>
    </row>
    <row r="119" spans="4:21" ht="16.149999999999999" hidden="1" customHeight="1">
      <c r="P119" s="350" t="s">
        <v>642</v>
      </c>
      <c r="Q119" s="350">
        <v>75</v>
      </c>
    </row>
    <row r="120" spans="4:21" ht="16.149999999999999" hidden="1" customHeight="1">
      <c r="P120" s="351" t="s">
        <v>643</v>
      </c>
    </row>
    <row r="121" spans="4:21" ht="16.149999999999999" hidden="1" customHeight="1">
      <c r="D121" s="22"/>
    </row>
    <row r="122" spans="4:21" ht="16.149999999999999" hidden="1" customHeight="1"/>
    <row r="123" spans="4:21" ht="16.149999999999999" hidden="1" customHeight="1"/>
    <row r="124" spans="4:21" ht="16.149999999999999" hidden="1" customHeight="1"/>
    <row r="125" spans="4:21" ht="16.149999999999999" hidden="1" customHeight="1"/>
    <row r="126" spans="4:21" ht="16.149999999999999" hidden="1" customHeight="1">
      <c r="I126" s="22"/>
    </row>
    <row r="127" spans="4:21" ht="16.149999999999999" hidden="1" customHeight="1"/>
    <row r="128" spans="4:21" ht="16.149999999999999" hidden="1" customHeight="1"/>
    <row r="129" ht="16.149999999999999" hidden="1" customHeight="1"/>
    <row r="130" ht="16.149999999999999" hidden="1" customHeight="1"/>
    <row r="131" ht="16.149999999999999" hidden="1" customHeight="1"/>
    <row r="132" ht="16.149999999999999" hidden="1" customHeight="1"/>
    <row r="133" ht="16.149999999999999" hidden="1" customHeight="1"/>
  </sheetData>
  <sheetProtection algorithmName="SHA-512" hashValue="knsE5+W/0VqOlWTioGm/eLo2ootwHQhebY45mKSAu+MJXqVu9G4cxm/nu41k3HcQADQbTsCf5VUp69OEdNdOmQ==" saltValue="NZsTgC1rdxC6oXSm+gJXAg==" spinCount="100000" sheet="1" objects="1" scenarios="1" selectLockedCells="1"/>
  <dataConsolidate/>
  <mergeCells count="22">
    <mergeCell ref="Y66:Z66"/>
    <mergeCell ref="C36:L36"/>
    <mergeCell ref="A36:B36"/>
    <mergeCell ref="G44:J44"/>
    <mergeCell ref="G46:J48"/>
    <mergeCell ref="K46:K48"/>
    <mergeCell ref="G41:J41"/>
    <mergeCell ref="G42:J42"/>
    <mergeCell ref="A55:G55"/>
    <mergeCell ref="I52:L55"/>
    <mergeCell ref="A37:B37"/>
    <mergeCell ref="C37:L37"/>
    <mergeCell ref="A38:B38"/>
    <mergeCell ref="M2:M9"/>
    <mergeCell ref="A52:C52"/>
    <mergeCell ref="Y64:Z64"/>
    <mergeCell ref="Y65:Z65"/>
    <mergeCell ref="A2:H9"/>
    <mergeCell ref="A34:B34"/>
    <mergeCell ref="C34:L34"/>
    <mergeCell ref="A35:B35"/>
    <mergeCell ref="C35:L35"/>
  </mergeCells>
  <conditionalFormatting sqref="K46">
    <cfRule type="containsText" dxfId="233" priority="4" operator="containsText" text="O.K.">
      <formula>NOT(ISERROR(SEARCH("O.K.",K46)))</formula>
    </cfRule>
    <cfRule type="containsText" dxfId="232" priority="5" operator="containsText" text="CAMBIAR TIPO DE MALLA">
      <formula>NOT(ISERROR(SEARCH("CAMBIAR TIPO DE MALLA",K46)))</formula>
    </cfRule>
  </conditionalFormatting>
  <conditionalFormatting sqref="A55">
    <cfRule type="containsText" dxfId="231" priority="2" operator="containsText" text="(Re,3 &gt; 30%) por lo tanto se especifica dosificación según Re,3 obtenido">
      <formula>NOT(ISERROR(SEARCH("(Re,3 &gt; 30%) por lo tanto se especifica dosificación según Re,3 obtenido",A55)))</formula>
    </cfRule>
    <cfRule type="containsText" dxfId="230" priority="3" operator="containsText" text="(Re,3 &lt; 30%) por lo tanto se especifica dosificación mínima para Re,3 = 30%">
      <formula>NOT(ISERROR(SEARCH("(Re,3 &lt; 30%) por lo tanto se especifica dosificación mínima para Re,3 = 30%",A55)))</formula>
    </cfRule>
  </conditionalFormatting>
  <dataValidations disablePrompts="1" count="6">
    <dataValidation type="list" allowBlank="1" showInputMessage="1" showErrorMessage="1" sqref="D37:L37 C37" xr:uid="{00000000-0002-0000-0100-000000000000}">
      <formula1>Agregados</formula1>
    </dataValidation>
    <dataValidation type="list" allowBlank="1" showInputMessage="1" showErrorMessage="1" sqref="C35:L36" xr:uid="{00000000-0002-0000-0100-000001000000}">
      <formula1>Mallas_U_SI</formula1>
    </dataValidation>
    <dataValidation type="decimal" operator="greaterThanOrEqual" allowBlank="1" showInputMessage="1" showErrorMessage="1" error="El espesor mínimo considerado en los cálculos es de 75 mm." sqref="D44" xr:uid="{00000000-0002-0000-0100-000002000000}">
      <formula1>75</formula1>
    </dataValidation>
    <dataValidation type="decimal" allowBlank="1" showInputMessage="1" showErrorMessage="1" error="La resistencia mínima a compresión considerada es de 15 MPa._x000a__x000a_La resistencia máxima a compresión considerada es de 50 MPa." sqref="D45" xr:uid="{00000000-0002-0000-0100-000003000000}">
      <formula1>15</formula1>
      <formula2>50</formula2>
    </dataValidation>
    <dataValidation type="decimal" operator="greaterThanOrEqual" allowBlank="1" showInputMessage="1" showErrorMessage="1" error="El esfuerzo de fluencia mínimo considerado para el acero de refuerzo es de 400 MPa." sqref="D46" xr:uid="{00000000-0002-0000-0100-000004000000}">
      <formula1>400</formula1>
    </dataValidation>
    <dataValidation type="list" allowBlank="1" showInputMessage="1" showErrorMessage="1" sqref="C38" xr:uid="{00000000-0002-0000-0100-000005000000}">
      <formula1>"1,2"</formula1>
    </dataValidation>
  </dataValidations>
  <printOptions horizontalCentered="1"/>
  <pageMargins left="0.70866141732283472" right="0.70866141732283472" top="0.74803149606299213" bottom="0.74803149606299213" header="0.31496062992125984" footer="0.31496062992125984"/>
  <pageSetup scale="54" orientation="portrait"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Menu_Select">
                <anchor moveWithCells="1" sizeWithCells="1">
                  <from>
                    <xdr:col>2</xdr:col>
                    <xdr:colOff>1085850</xdr:colOff>
                    <xdr:row>10</xdr:row>
                    <xdr:rowOff>133350</xdr:rowOff>
                  </from>
                  <to>
                    <xdr:col>4</xdr:col>
                    <xdr:colOff>647700</xdr:colOff>
                    <xdr:row>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FF00"/>
  </sheetPr>
  <dimension ref="A1:T148"/>
  <sheetViews>
    <sheetView showGridLines="0" view="pageBreakPreview" topLeftCell="A7" zoomScale="70" zoomScaleNormal="75" zoomScaleSheetLayoutView="70" workbookViewId="0">
      <selection activeCell="C43" sqref="C43:L43"/>
    </sheetView>
  </sheetViews>
  <sheetFormatPr baseColWidth="10" defaultColWidth="0" defaultRowHeight="0" customHeight="1" zeroHeight="1"/>
  <cols>
    <col min="1" max="1" width="20.7109375" style="2" customWidth="1"/>
    <col min="2" max="3" width="25" style="2" customWidth="1"/>
    <col min="4" max="4" width="12.28515625" style="2" customWidth="1"/>
    <col min="5" max="5" width="13" style="2" customWidth="1"/>
    <col min="6" max="6" width="7.140625" style="2" customWidth="1"/>
    <col min="7" max="8" width="10.7109375" style="2" customWidth="1"/>
    <col min="9" max="9" width="8.5703125" style="2" customWidth="1"/>
    <col min="10" max="10" width="4.7109375" style="2" customWidth="1"/>
    <col min="11" max="12" width="10.7109375" style="2" customWidth="1"/>
    <col min="13" max="13" width="7.140625" style="2" hidden="1" customWidth="1"/>
    <col min="14" max="14" width="15.7109375" style="2" hidden="1" customWidth="1"/>
    <col min="15" max="18" width="9.140625" style="2" hidden="1" customWidth="1"/>
    <col min="19" max="19" width="18.28515625" style="2" hidden="1" customWidth="1"/>
    <col min="20" max="20" width="0" style="2" hidden="1" customWidth="1"/>
    <col min="21" max="16384" width="9.140625" style="2" hidden="1"/>
  </cols>
  <sheetData>
    <row r="1" spans="1:13" ht="16.149999999999999" customHeight="1">
      <c r="A1" s="1"/>
      <c r="B1" s="1"/>
      <c r="C1" s="1"/>
      <c r="D1" s="1"/>
      <c r="E1" s="1"/>
      <c r="F1" s="1"/>
      <c r="G1" s="1"/>
      <c r="H1" s="1"/>
      <c r="I1" s="1"/>
      <c r="J1" s="1"/>
      <c r="K1" s="1"/>
      <c r="L1" s="1"/>
    </row>
    <row r="2" spans="1:13" ht="16.149999999999999" customHeight="1">
      <c r="A2" s="373" t="s">
        <v>103</v>
      </c>
      <c r="B2" s="373"/>
      <c r="C2" s="373"/>
      <c r="D2" s="373"/>
      <c r="E2" s="373"/>
      <c r="F2" s="373"/>
      <c r="G2" s="373"/>
      <c r="H2" s="373"/>
      <c r="I2" s="3"/>
      <c r="J2" s="3"/>
      <c r="K2" s="4"/>
      <c r="L2" s="1"/>
    </row>
    <row r="3" spans="1:13" ht="16.149999999999999" customHeight="1">
      <c r="A3" s="373"/>
      <c r="B3" s="373"/>
      <c r="C3" s="373"/>
      <c r="D3" s="373"/>
      <c r="E3" s="373"/>
      <c r="F3" s="373"/>
      <c r="G3" s="373"/>
      <c r="H3" s="373"/>
      <c r="I3" s="3"/>
      <c r="J3" s="3"/>
      <c r="K3" s="4"/>
      <c r="L3" s="1"/>
    </row>
    <row r="4" spans="1:13" ht="16.149999999999999" customHeight="1">
      <c r="A4" s="373"/>
      <c r="B4" s="373"/>
      <c r="C4" s="373"/>
      <c r="D4" s="373"/>
      <c r="E4" s="373"/>
      <c r="F4" s="373"/>
      <c r="G4" s="373"/>
      <c r="H4" s="373"/>
      <c r="I4" s="3"/>
      <c r="J4" s="3"/>
      <c r="K4" s="4"/>
      <c r="L4" s="1"/>
    </row>
    <row r="5" spans="1:13" ht="16.149999999999999" customHeight="1">
      <c r="A5" s="373"/>
      <c r="B5" s="373"/>
      <c r="C5" s="373"/>
      <c r="D5" s="373"/>
      <c r="E5" s="373"/>
      <c r="F5" s="373"/>
      <c r="G5" s="373"/>
      <c r="H5" s="373"/>
      <c r="I5" s="3"/>
      <c r="J5" s="3" t="s">
        <v>87</v>
      </c>
      <c r="K5" s="4"/>
      <c r="L5" s="1"/>
    </row>
    <row r="6" spans="1:13" ht="16.149999999999999" customHeight="1">
      <c r="A6" s="373"/>
      <c r="B6" s="373"/>
      <c r="C6" s="373"/>
      <c r="D6" s="373"/>
      <c r="E6" s="373"/>
      <c r="F6" s="373"/>
      <c r="G6" s="373"/>
      <c r="H6" s="373"/>
      <c r="I6" s="3"/>
      <c r="J6" s="3" t="s">
        <v>88</v>
      </c>
      <c r="K6" s="4"/>
      <c r="L6" s="5"/>
      <c r="M6" s="6"/>
    </row>
    <row r="7" spans="1:13" ht="16.149999999999999" customHeight="1">
      <c r="A7" s="373"/>
      <c r="B7" s="373"/>
      <c r="C7" s="373"/>
      <c r="D7" s="373"/>
      <c r="E7" s="373"/>
      <c r="F7" s="373"/>
      <c r="G7" s="373"/>
      <c r="H7" s="373"/>
      <c r="I7" s="3"/>
      <c r="J7" s="3" t="s">
        <v>89</v>
      </c>
      <c r="K7" s="4"/>
      <c r="L7" s="5"/>
      <c r="M7" s="6"/>
    </row>
    <row r="8" spans="1:13" ht="16.149999999999999" customHeight="1">
      <c r="A8" s="373"/>
      <c r="B8" s="373"/>
      <c r="C8" s="373"/>
      <c r="D8" s="373"/>
      <c r="E8" s="373"/>
      <c r="F8" s="373"/>
      <c r="G8" s="373"/>
      <c r="H8" s="373"/>
      <c r="I8" s="3"/>
      <c r="J8" s="3" t="s">
        <v>90</v>
      </c>
      <c r="K8" s="4"/>
      <c r="L8" s="5"/>
      <c r="M8" s="6"/>
    </row>
    <row r="9" spans="1:13" ht="16.149999999999999" customHeight="1">
      <c r="A9" s="373"/>
      <c r="B9" s="373"/>
      <c r="C9" s="373"/>
      <c r="D9" s="373"/>
      <c r="E9" s="373"/>
      <c r="F9" s="373"/>
      <c r="G9" s="373"/>
      <c r="H9" s="373"/>
      <c r="I9" s="3"/>
      <c r="J9" s="3"/>
      <c r="K9" s="4"/>
      <c r="L9" s="5"/>
      <c r="M9" s="6"/>
    </row>
    <row r="10" spans="1:13" ht="16.149999999999999" customHeight="1">
      <c r="A10" s="1"/>
      <c r="B10" s="1"/>
      <c r="C10" s="1"/>
      <c r="D10" s="1"/>
      <c r="E10" s="1"/>
      <c r="F10" s="1"/>
      <c r="G10" s="1"/>
      <c r="H10" s="1"/>
      <c r="I10" s="1"/>
      <c r="J10" s="1"/>
      <c r="K10" s="1"/>
      <c r="L10" s="1"/>
    </row>
    <row r="11" spans="1:13" ht="16.149999999999999" customHeight="1">
      <c r="A11" s="7"/>
      <c r="B11" s="7"/>
      <c r="C11" s="7"/>
      <c r="D11" s="7"/>
      <c r="E11" s="7"/>
      <c r="F11" s="7"/>
      <c r="G11" s="7"/>
      <c r="H11" s="7"/>
      <c r="I11" s="7"/>
      <c r="J11" s="7"/>
      <c r="K11" s="7"/>
      <c r="L11" s="7"/>
    </row>
    <row r="12" spans="1:13" ht="16.149999999999999" customHeight="1">
      <c r="A12" s="7"/>
      <c r="B12" s="7"/>
      <c r="C12" s="7"/>
      <c r="D12" s="7"/>
      <c r="E12" s="7"/>
      <c r="F12" s="7"/>
      <c r="G12" s="7"/>
      <c r="H12" s="7"/>
      <c r="I12" s="7"/>
      <c r="J12" s="7"/>
      <c r="K12" s="7"/>
      <c r="L12" s="7"/>
    </row>
    <row r="13" spans="1:13" ht="16.149999999999999" customHeight="1">
      <c r="A13" s="7"/>
      <c r="B13" s="7"/>
      <c r="C13" s="7"/>
      <c r="D13" s="7"/>
      <c r="E13" s="7"/>
      <c r="F13" s="7"/>
      <c r="G13" s="7"/>
      <c r="H13" s="7"/>
      <c r="I13" s="7"/>
      <c r="J13" s="7"/>
      <c r="K13" s="7"/>
      <c r="L13" s="7"/>
    </row>
    <row r="14" spans="1:13" ht="16.149999999999999" customHeight="1">
      <c r="A14" s="7"/>
      <c r="B14" s="7"/>
      <c r="C14" s="7"/>
      <c r="D14" s="7"/>
      <c r="E14" s="7"/>
      <c r="F14" s="7"/>
      <c r="G14" s="7"/>
      <c r="H14" s="7"/>
      <c r="I14" s="7"/>
      <c r="J14" s="7"/>
      <c r="K14" s="7"/>
      <c r="L14" s="7"/>
    </row>
    <row r="15" spans="1:13" ht="16.149999999999999" customHeight="1">
      <c r="A15" s="7"/>
      <c r="B15" s="7"/>
      <c r="C15" s="7"/>
      <c r="D15" s="7"/>
      <c r="E15" s="7"/>
      <c r="F15" s="7"/>
      <c r="G15" s="7"/>
      <c r="H15" s="7"/>
      <c r="I15" s="7"/>
      <c r="J15" s="7"/>
      <c r="K15" s="7"/>
      <c r="L15" s="7"/>
    </row>
    <row r="16" spans="1:13" ht="16.149999999999999" customHeight="1">
      <c r="A16" s="7"/>
      <c r="B16" s="7"/>
      <c r="C16" s="7"/>
      <c r="D16" s="7"/>
      <c r="E16" s="7"/>
      <c r="F16" s="7"/>
      <c r="G16" s="7"/>
      <c r="H16" s="7"/>
      <c r="I16" s="7"/>
      <c r="J16" s="7"/>
      <c r="K16" s="7"/>
      <c r="L16" s="7"/>
    </row>
    <row r="17" spans="1:12" ht="16.149999999999999" customHeight="1">
      <c r="A17" s="7"/>
      <c r="B17" s="7"/>
      <c r="C17" s="7"/>
      <c r="D17" s="7"/>
      <c r="E17" s="7"/>
      <c r="F17" s="7"/>
      <c r="G17" s="7"/>
      <c r="H17" s="7"/>
      <c r="I17" s="7"/>
      <c r="J17" s="7"/>
      <c r="K17" s="7"/>
      <c r="L17" s="7"/>
    </row>
    <row r="18" spans="1:12" ht="16.149999999999999" customHeight="1">
      <c r="A18" s="7"/>
      <c r="B18" s="7"/>
      <c r="C18" s="7"/>
      <c r="D18" s="7"/>
      <c r="E18" s="7"/>
      <c r="F18" s="7"/>
      <c r="G18" s="7"/>
      <c r="H18" s="7"/>
      <c r="I18" s="7"/>
      <c r="J18" s="7"/>
      <c r="K18" s="7"/>
      <c r="L18" s="7"/>
    </row>
    <row r="19" spans="1:12" ht="16.149999999999999" customHeight="1">
      <c r="A19" s="7"/>
      <c r="B19" s="7"/>
      <c r="C19" s="7"/>
      <c r="D19" s="7"/>
      <c r="E19" s="7"/>
      <c r="F19" s="7"/>
      <c r="G19" s="7"/>
      <c r="H19" s="7"/>
      <c r="I19" s="7"/>
      <c r="J19" s="7"/>
      <c r="K19" s="7"/>
      <c r="L19" s="7"/>
    </row>
    <row r="20" spans="1:12" ht="16.149999999999999" customHeight="1">
      <c r="A20" s="7"/>
      <c r="B20" s="7"/>
      <c r="C20" s="7"/>
      <c r="D20" s="7"/>
      <c r="E20" s="7"/>
      <c r="F20" s="7"/>
      <c r="G20" s="7"/>
      <c r="H20" s="7"/>
      <c r="I20" s="7"/>
      <c r="J20" s="7"/>
      <c r="K20" s="7"/>
      <c r="L20" s="7"/>
    </row>
    <row r="21" spans="1:12" ht="16.149999999999999" customHeight="1">
      <c r="A21" s="7"/>
      <c r="B21" s="7"/>
      <c r="C21" s="7"/>
      <c r="D21" s="7"/>
      <c r="E21" s="7"/>
      <c r="F21" s="7"/>
      <c r="G21" s="7"/>
      <c r="H21" s="7"/>
      <c r="I21" s="7"/>
      <c r="J21" s="7"/>
      <c r="K21" s="7"/>
      <c r="L21" s="7"/>
    </row>
    <row r="22" spans="1:12" ht="16.149999999999999" customHeight="1">
      <c r="A22" s="7"/>
      <c r="B22" s="7"/>
      <c r="C22" s="7"/>
      <c r="D22" s="7"/>
      <c r="E22" s="7"/>
      <c r="F22" s="7"/>
      <c r="G22" s="7"/>
      <c r="H22" s="7"/>
      <c r="I22" s="7"/>
      <c r="J22" s="7"/>
      <c r="K22" s="7"/>
      <c r="L22" s="7"/>
    </row>
    <row r="23" spans="1:12" ht="16.149999999999999" customHeight="1">
      <c r="A23" s="7"/>
      <c r="B23" s="7"/>
      <c r="C23" s="7"/>
      <c r="D23" s="7"/>
      <c r="E23" s="7"/>
      <c r="F23" s="7"/>
      <c r="G23" s="7"/>
      <c r="H23" s="7"/>
      <c r="I23" s="7"/>
      <c r="J23" s="7"/>
      <c r="K23" s="7"/>
      <c r="L23" s="7"/>
    </row>
    <row r="24" spans="1:12" ht="16.149999999999999" customHeight="1">
      <c r="A24" s="7"/>
      <c r="B24" s="7"/>
      <c r="C24" s="7"/>
      <c r="D24" s="7"/>
      <c r="E24" s="7"/>
      <c r="F24" s="7"/>
      <c r="G24" s="7"/>
      <c r="H24" s="7"/>
      <c r="I24" s="7"/>
      <c r="J24" s="7"/>
      <c r="K24" s="7"/>
      <c r="L24" s="7"/>
    </row>
    <row r="25" spans="1:12" ht="16.149999999999999" customHeight="1">
      <c r="A25" s="7"/>
      <c r="B25" s="7"/>
      <c r="C25" s="7"/>
      <c r="D25" s="7"/>
      <c r="E25" s="7"/>
      <c r="F25" s="7"/>
      <c r="G25" s="7"/>
      <c r="H25" s="7"/>
      <c r="I25" s="7"/>
      <c r="J25" s="7"/>
      <c r="K25" s="7"/>
      <c r="L25" s="7"/>
    </row>
    <row r="26" spans="1:12" ht="16.149999999999999" customHeight="1">
      <c r="A26" s="7"/>
      <c r="B26" s="7"/>
      <c r="C26" s="7"/>
      <c r="D26" s="7"/>
      <c r="E26" s="7"/>
      <c r="F26" s="7"/>
      <c r="G26" s="7"/>
      <c r="H26" s="7"/>
      <c r="I26" s="7"/>
      <c r="J26" s="7"/>
      <c r="K26" s="7"/>
      <c r="L26" s="7"/>
    </row>
    <row r="27" spans="1:12" ht="16.149999999999999" customHeight="1">
      <c r="A27" s="7"/>
      <c r="B27" s="7"/>
      <c r="C27" s="7"/>
      <c r="D27" s="7"/>
      <c r="E27" s="7"/>
      <c r="F27" s="7"/>
      <c r="G27" s="7"/>
      <c r="H27" s="7"/>
      <c r="I27" s="7"/>
      <c r="J27" s="7"/>
      <c r="K27" s="7"/>
      <c r="L27" s="7"/>
    </row>
    <row r="28" spans="1:12" ht="16.149999999999999" customHeight="1">
      <c r="A28" s="7"/>
      <c r="B28" s="7"/>
      <c r="C28" s="7"/>
      <c r="D28" s="7"/>
      <c r="E28" s="7"/>
      <c r="F28" s="7"/>
      <c r="G28" s="7"/>
      <c r="H28" s="7"/>
      <c r="I28" s="7"/>
      <c r="J28" s="7"/>
      <c r="K28" s="7"/>
      <c r="L28" s="7"/>
    </row>
    <row r="29" spans="1:12" ht="16.149999999999999" customHeight="1">
      <c r="A29" s="7"/>
      <c r="B29" s="7"/>
      <c r="C29" s="7"/>
      <c r="D29" s="7"/>
      <c r="E29" s="7"/>
      <c r="F29" s="7"/>
      <c r="G29" s="7"/>
      <c r="H29" s="7"/>
      <c r="I29" s="7"/>
      <c r="J29" s="7"/>
      <c r="K29" s="7"/>
      <c r="L29" s="7"/>
    </row>
    <row r="30" spans="1:12" ht="15.75" customHeight="1">
      <c r="A30" s="7"/>
      <c r="B30" s="7"/>
      <c r="C30" s="7"/>
      <c r="D30" s="7"/>
      <c r="E30" s="7"/>
      <c r="F30" s="7"/>
      <c r="G30" s="7"/>
      <c r="H30" s="7"/>
      <c r="I30" s="7"/>
      <c r="J30" s="7"/>
      <c r="K30" s="7"/>
      <c r="L30" s="7"/>
    </row>
    <row r="31" spans="1:12" ht="15.75" customHeight="1">
      <c r="A31" s="7"/>
      <c r="B31" s="7"/>
      <c r="C31" s="7"/>
      <c r="D31" s="7"/>
      <c r="E31" s="7"/>
      <c r="F31" s="7"/>
      <c r="G31" s="7"/>
      <c r="H31" s="7"/>
      <c r="I31" s="7"/>
      <c r="J31" s="7"/>
      <c r="K31" s="7"/>
      <c r="L31" s="7"/>
    </row>
    <row r="32" spans="1:12" ht="15.75" customHeight="1">
      <c r="A32" s="7"/>
      <c r="B32" s="7"/>
      <c r="C32" s="7"/>
      <c r="D32" s="7"/>
      <c r="E32" s="7"/>
      <c r="F32" s="7"/>
      <c r="G32" s="7"/>
      <c r="H32" s="7"/>
      <c r="I32" s="7"/>
      <c r="J32" s="7"/>
      <c r="K32" s="7"/>
      <c r="L32" s="7"/>
    </row>
    <row r="33" spans="1:12" ht="15.75" customHeight="1">
      <c r="A33" s="7"/>
      <c r="B33" s="7"/>
      <c r="C33" s="7"/>
      <c r="D33" s="7"/>
      <c r="E33" s="7"/>
      <c r="F33" s="7"/>
      <c r="G33" s="7"/>
      <c r="H33" s="7"/>
      <c r="I33" s="7"/>
      <c r="J33" s="7"/>
      <c r="K33" s="7"/>
      <c r="L33" s="7"/>
    </row>
    <row r="34" spans="1:12" ht="15.75" customHeight="1">
      <c r="A34" s="7"/>
      <c r="B34" s="7"/>
      <c r="C34" s="7"/>
      <c r="D34" s="7"/>
      <c r="E34" s="7"/>
      <c r="F34" s="7"/>
      <c r="G34" s="7"/>
      <c r="H34" s="7"/>
      <c r="I34" s="7"/>
      <c r="J34" s="7"/>
      <c r="K34" s="7"/>
      <c r="L34" s="7"/>
    </row>
    <row r="35" spans="1:12" ht="15.75" customHeight="1">
      <c r="A35" s="7"/>
      <c r="B35" s="7"/>
      <c r="C35" s="7"/>
      <c r="D35" s="7"/>
      <c r="E35" s="7"/>
      <c r="F35" s="7"/>
      <c r="G35" s="7"/>
      <c r="H35" s="7"/>
      <c r="I35" s="7"/>
      <c r="J35" s="7"/>
      <c r="K35" s="7"/>
      <c r="L35" s="7"/>
    </row>
    <row r="36" spans="1:12" ht="15.75" customHeight="1">
      <c r="A36" s="7"/>
      <c r="B36" s="7"/>
      <c r="C36" s="7"/>
      <c r="D36" s="7"/>
      <c r="E36" s="7"/>
      <c r="F36" s="7"/>
      <c r="G36" s="7"/>
      <c r="H36" s="7"/>
      <c r="I36" s="7"/>
      <c r="J36" s="7"/>
      <c r="K36" s="7"/>
      <c r="L36" s="7"/>
    </row>
    <row r="37" spans="1:12" ht="15.75" customHeight="1">
      <c r="A37" s="7"/>
      <c r="B37" s="7"/>
      <c r="C37" s="7"/>
      <c r="D37" s="7"/>
      <c r="E37" s="7"/>
      <c r="F37" s="7"/>
      <c r="G37" s="7"/>
      <c r="H37" s="7"/>
      <c r="I37" s="7"/>
      <c r="J37" s="7"/>
      <c r="K37" s="7"/>
      <c r="L37" s="7"/>
    </row>
    <row r="38" spans="1:12" ht="15.75" customHeight="1">
      <c r="A38" s="7"/>
      <c r="B38" s="7"/>
      <c r="C38" s="7"/>
      <c r="D38" s="7"/>
      <c r="E38" s="7"/>
      <c r="F38" s="7"/>
      <c r="G38" s="7"/>
      <c r="H38" s="7"/>
      <c r="I38" s="7"/>
      <c r="J38" s="7"/>
      <c r="K38" s="7"/>
      <c r="L38" s="7"/>
    </row>
    <row r="39" spans="1:12" ht="15.75" customHeight="1">
      <c r="A39" s="7"/>
      <c r="B39" s="7"/>
      <c r="C39" s="7"/>
      <c r="D39" s="7"/>
      <c r="E39" s="7"/>
      <c r="F39" s="7"/>
      <c r="G39" s="7"/>
      <c r="H39" s="7"/>
      <c r="I39" s="7"/>
      <c r="J39" s="7"/>
      <c r="K39" s="7"/>
      <c r="L39" s="7"/>
    </row>
    <row r="40" spans="1:12" ht="15.75" customHeight="1">
      <c r="A40" s="7"/>
      <c r="B40" s="7"/>
      <c r="C40" s="7"/>
      <c r="D40" s="7"/>
      <c r="E40" s="7"/>
      <c r="F40" s="7"/>
      <c r="G40" s="7"/>
      <c r="H40" s="7"/>
      <c r="I40" s="7"/>
      <c r="J40" s="7"/>
      <c r="K40" s="7"/>
      <c r="L40" s="7"/>
    </row>
    <row r="41" spans="1:12" ht="15.75" customHeight="1">
      <c r="A41" s="7"/>
      <c r="B41" s="7"/>
      <c r="C41" s="7"/>
      <c r="D41" s="7"/>
      <c r="E41" s="7"/>
      <c r="F41" s="7"/>
      <c r="G41" s="7"/>
      <c r="H41" s="7"/>
      <c r="I41" s="7"/>
      <c r="J41" s="7"/>
      <c r="K41" s="7"/>
      <c r="L41" s="7"/>
    </row>
    <row r="42" spans="1:12" ht="15.75" customHeight="1">
      <c r="A42" s="7"/>
      <c r="B42" s="7"/>
      <c r="C42" s="7"/>
      <c r="D42" s="7"/>
      <c r="E42" s="7"/>
      <c r="F42" s="7"/>
      <c r="G42" s="7"/>
      <c r="H42" s="7"/>
      <c r="I42" s="7"/>
      <c r="J42" s="7"/>
      <c r="K42" s="7"/>
      <c r="L42" s="7"/>
    </row>
    <row r="43" spans="1:12" ht="16.149999999999999" customHeight="1">
      <c r="A43" s="374" t="s">
        <v>0</v>
      </c>
      <c r="B43" s="374"/>
      <c r="C43" s="397" t="s">
        <v>702</v>
      </c>
      <c r="D43" s="397"/>
      <c r="E43" s="397"/>
      <c r="F43" s="397"/>
      <c r="G43" s="397"/>
      <c r="H43" s="397"/>
      <c r="I43" s="397"/>
      <c r="J43" s="397"/>
      <c r="K43" s="397"/>
      <c r="L43" s="397"/>
    </row>
    <row r="44" spans="1:12" ht="16.149999999999999" customHeight="1">
      <c r="A44" s="374" t="s">
        <v>672</v>
      </c>
      <c r="B44" s="374"/>
      <c r="C44" s="379" t="s">
        <v>684</v>
      </c>
      <c r="D44" s="379"/>
      <c r="E44" s="379"/>
      <c r="F44" s="379"/>
      <c r="G44" s="379"/>
      <c r="H44" s="379"/>
      <c r="I44" s="379"/>
      <c r="J44" s="379"/>
      <c r="K44" s="379"/>
      <c r="L44" s="379"/>
    </row>
    <row r="45" spans="1:12" ht="16.149999999999999" customHeight="1">
      <c r="A45" s="374" t="s">
        <v>674</v>
      </c>
      <c r="B45" s="401"/>
      <c r="C45" s="379" t="s">
        <v>684</v>
      </c>
      <c r="D45" s="379"/>
      <c r="E45" s="379"/>
      <c r="F45" s="379"/>
      <c r="G45" s="379"/>
      <c r="H45" s="379"/>
      <c r="I45" s="379"/>
      <c r="J45" s="379"/>
      <c r="K45" s="379"/>
      <c r="L45" s="379"/>
    </row>
    <row r="46" spans="1:12" ht="16.149999999999999" customHeight="1">
      <c r="A46" s="374" t="s">
        <v>673</v>
      </c>
      <c r="B46" s="374"/>
      <c r="C46" s="379" t="s">
        <v>686</v>
      </c>
      <c r="D46" s="379"/>
      <c r="E46" s="379"/>
      <c r="F46" s="379"/>
      <c r="G46" s="379"/>
      <c r="H46" s="379"/>
      <c r="I46" s="379"/>
      <c r="J46" s="379"/>
      <c r="K46" s="379"/>
      <c r="L46" s="379"/>
    </row>
    <row r="47" spans="1:12" ht="16.149999999999999" customHeight="1">
      <c r="A47" s="374" t="s">
        <v>675</v>
      </c>
      <c r="B47" s="401"/>
      <c r="C47" s="379" t="s">
        <v>686</v>
      </c>
      <c r="D47" s="379"/>
      <c r="E47" s="379"/>
      <c r="F47" s="379"/>
      <c r="G47" s="379"/>
      <c r="H47" s="379"/>
      <c r="I47" s="379"/>
      <c r="J47" s="379"/>
      <c r="K47" s="379"/>
      <c r="L47" s="379"/>
    </row>
    <row r="48" spans="1:12" ht="16.149999999999999" customHeight="1">
      <c r="A48" s="374" t="s">
        <v>2</v>
      </c>
      <c r="B48" s="374"/>
      <c r="C48" s="379" t="s">
        <v>83</v>
      </c>
      <c r="D48" s="379"/>
      <c r="E48" s="379"/>
      <c r="F48" s="379"/>
      <c r="G48" s="379"/>
      <c r="H48" s="379"/>
      <c r="I48" s="379"/>
      <c r="J48" s="379"/>
      <c r="K48" s="379"/>
      <c r="L48" s="379"/>
    </row>
    <row r="49" spans="1:12" ht="9.9499999999999993" customHeight="1">
      <c r="A49" s="7"/>
      <c r="B49" s="7"/>
      <c r="C49" s="7"/>
      <c r="D49" s="8"/>
      <c r="E49" s="7"/>
      <c r="F49" s="9"/>
      <c r="G49" s="9"/>
      <c r="H49" s="9"/>
      <c r="I49" s="9"/>
      <c r="J49" s="9"/>
      <c r="K49" s="9"/>
      <c r="L49" s="9"/>
    </row>
    <row r="50" spans="1:12" ht="16.149999999999999" customHeight="1">
      <c r="A50" s="374" t="s">
        <v>671</v>
      </c>
      <c r="B50" s="374"/>
      <c r="C50" s="355">
        <v>2</v>
      </c>
      <c r="D50" s="7"/>
      <c r="E50" s="7"/>
      <c r="F50" s="7"/>
      <c r="G50" s="7"/>
      <c r="H50" s="7"/>
      <c r="I50" s="7"/>
      <c r="J50" s="7"/>
      <c r="K50" s="7"/>
      <c r="L50" s="7"/>
    </row>
    <row r="51" spans="1:12" ht="16.149999999999999" customHeight="1">
      <c r="A51" s="356"/>
      <c r="B51" s="356"/>
      <c r="C51" s="356"/>
      <c r="D51" s="7"/>
      <c r="E51" s="7"/>
      <c r="F51" s="7"/>
      <c r="G51" s="7"/>
      <c r="H51" s="7"/>
      <c r="I51" s="7"/>
      <c r="J51" s="7"/>
      <c r="K51" s="7"/>
      <c r="L51" s="7"/>
    </row>
    <row r="52" spans="1:12" ht="16.149999999999999" customHeight="1">
      <c r="A52" s="10" t="s">
        <v>676</v>
      </c>
      <c r="B52" s="7"/>
      <c r="C52" s="7"/>
      <c r="D52" s="31">
        <f ca="1">VLOOKUP(C44,OFFSET(Barras,,,,4),4,0)</f>
        <v>6.35</v>
      </c>
      <c r="E52" s="11" t="s">
        <v>5</v>
      </c>
      <c r="F52" s="7"/>
      <c r="G52" s="11" t="s">
        <v>6</v>
      </c>
      <c r="H52" s="12"/>
      <c r="K52" s="35">
        <v>1000</v>
      </c>
      <c r="L52" s="11" t="s">
        <v>5</v>
      </c>
    </row>
    <row r="53" spans="1:12" ht="16.149999999999999" customHeight="1">
      <c r="A53" s="10" t="s">
        <v>677</v>
      </c>
      <c r="B53" s="7"/>
      <c r="C53" s="7"/>
      <c r="D53" s="31">
        <f ca="1">VLOOKUP(C45,OFFSET(Barras,,,,4),4,0)</f>
        <v>6.35</v>
      </c>
      <c r="E53" s="11" t="s">
        <v>5</v>
      </c>
      <c r="F53" s="7"/>
      <c r="G53" s="356"/>
      <c r="H53" s="356"/>
      <c r="I53" s="356"/>
      <c r="J53" s="356"/>
      <c r="K53" s="356"/>
      <c r="L53" s="356"/>
    </row>
    <row r="54" spans="1:12" ht="16.149999999999999" customHeight="1">
      <c r="A54" s="10" t="s">
        <v>678</v>
      </c>
      <c r="B54" s="7"/>
      <c r="C54" s="7"/>
      <c r="D54" s="31">
        <f ca="1">VLOOKUP(C46,OFFSET(Barras,,,,4),4,0)</f>
        <v>12.7</v>
      </c>
      <c r="E54" s="11" t="s">
        <v>5</v>
      </c>
      <c r="F54" s="7"/>
      <c r="G54" s="356"/>
      <c r="H54" s="356"/>
      <c r="I54" s="356"/>
      <c r="J54" s="356"/>
      <c r="K54" s="356"/>
      <c r="L54" s="356"/>
    </row>
    <row r="55" spans="1:12" ht="16.149999999999999" customHeight="1">
      <c r="A55" s="10" t="s">
        <v>679</v>
      </c>
      <c r="B55" s="7"/>
      <c r="C55" s="7"/>
      <c r="D55" s="31">
        <f ca="1">VLOOKUP(C47,OFFSET(Barras,,,,4),4,0)</f>
        <v>12.7</v>
      </c>
      <c r="E55" s="11" t="s">
        <v>5</v>
      </c>
      <c r="F55" s="7"/>
      <c r="G55" s="356"/>
      <c r="H55" s="356"/>
      <c r="I55" s="356"/>
      <c r="J55" s="356"/>
      <c r="K55" s="356"/>
      <c r="L55" s="356"/>
    </row>
    <row r="56" spans="1:12" ht="16.149999999999999" customHeight="1">
      <c r="A56" s="10" t="s">
        <v>680</v>
      </c>
      <c r="B56" s="7"/>
      <c r="C56" s="7"/>
      <c r="D56" s="33">
        <v>100</v>
      </c>
      <c r="E56" s="11" t="s">
        <v>5</v>
      </c>
      <c r="F56" s="7"/>
      <c r="G56" s="11" t="s">
        <v>8</v>
      </c>
      <c r="H56" s="12"/>
      <c r="K56" s="32">
        <f ca="1">IF(OR(D56="",D57="",D58="",D59=""),"",IF(D60&lt;150,MAX(PI()*(D52^2/4)/D56*K52,PI()*(D53^2/4)/D57*K52),IF(C50=1,MAX(PI()*(D52^2/4)/D56*K52,PI()*(D53^2/4)/D57*K52),MAX(PI()*(D52^2/4)/D56*K52+PI()*(D54^2/4)/D58*K52,PI()*(D53^2/4)/D57*K52+PI()*(D55^2/4)/D59*K52))))</f>
        <v>1583.4608721796803</v>
      </c>
      <c r="L56" s="11" t="s">
        <v>9</v>
      </c>
    </row>
    <row r="57" spans="1:12" ht="16.149999999999999" customHeight="1">
      <c r="A57" s="10" t="s">
        <v>682</v>
      </c>
      <c r="B57" s="7"/>
      <c r="C57" s="7"/>
      <c r="D57" s="33">
        <v>100</v>
      </c>
      <c r="E57" s="11" t="s">
        <v>5</v>
      </c>
      <c r="F57" s="7"/>
      <c r="G57" s="356"/>
      <c r="H57" s="356"/>
      <c r="I57" s="356"/>
      <c r="J57" s="356"/>
      <c r="K57" s="356"/>
      <c r="L57" s="356"/>
    </row>
    <row r="58" spans="1:12" ht="16.149999999999999" customHeight="1">
      <c r="A58" s="10" t="s">
        <v>681</v>
      </c>
      <c r="B58" s="7"/>
      <c r="C58" s="7"/>
      <c r="D58" s="33">
        <v>100</v>
      </c>
      <c r="E58" s="11" t="s">
        <v>5</v>
      </c>
      <c r="F58" s="7"/>
      <c r="G58" s="356"/>
      <c r="H58" s="356"/>
      <c r="I58" s="356"/>
      <c r="J58" s="356"/>
      <c r="K58" s="356"/>
      <c r="L58" s="356"/>
    </row>
    <row r="59" spans="1:12" ht="16.149999999999999" customHeight="1">
      <c r="A59" s="10" t="s">
        <v>683</v>
      </c>
      <c r="B59" s="7"/>
      <c r="C59" s="7"/>
      <c r="D59" s="33">
        <v>100</v>
      </c>
      <c r="E59" s="11" t="s">
        <v>5</v>
      </c>
      <c r="F59" s="7"/>
      <c r="G59" s="356"/>
      <c r="H59" s="356"/>
      <c r="I59" s="356"/>
      <c r="J59" s="356"/>
      <c r="K59" s="356"/>
      <c r="L59" s="356"/>
    </row>
    <row r="60" spans="1:12" ht="18.75" customHeight="1">
      <c r="A60" s="10" t="s">
        <v>10</v>
      </c>
      <c r="B60" s="7"/>
      <c r="C60" s="7"/>
      <c r="D60" s="33">
        <v>150</v>
      </c>
      <c r="E60" s="11" t="s">
        <v>5</v>
      </c>
      <c r="F60" s="7"/>
      <c r="G60" s="11" t="s">
        <v>11</v>
      </c>
      <c r="H60" s="12"/>
      <c r="K60" s="36">
        <f ca="1">IF(AND(K56&lt;&gt;"",D60&lt;&gt;""),K56/D60/K52*100,"")</f>
        <v>1.05564058145312</v>
      </c>
      <c r="L60" s="11" t="s">
        <v>12</v>
      </c>
    </row>
    <row r="61" spans="1:12" ht="23.25" customHeight="1">
      <c r="A61" s="10" t="s">
        <v>13</v>
      </c>
      <c r="B61" s="7"/>
      <c r="C61" s="7"/>
      <c r="D61" s="33">
        <v>25</v>
      </c>
      <c r="E61" s="11" t="s">
        <v>14</v>
      </c>
      <c r="F61" s="7"/>
      <c r="G61" s="7"/>
      <c r="H61" s="7"/>
      <c r="I61" s="7"/>
      <c r="J61" s="7"/>
      <c r="K61" s="7"/>
      <c r="L61" s="7"/>
    </row>
    <row r="62" spans="1:12" ht="21.75" customHeight="1">
      <c r="A62" s="10" t="s">
        <v>15</v>
      </c>
      <c r="B62" s="7"/>
      <c r="C62" s="7"/>
      <c r="D62" s="33">
        <v>420</v>
      </c>
      <c r="E62" s="11" t="s">
        <v>14</v>
      </c>
      <c r="F62" s="7"/>
      <c r="G62" s="398" t="s">
        <v>16</v>
      </c>
      <c r="H62" s="398"/>
      <c r="I62" s="398"/>
      <c r="J62" s="398"/>
      <c r="K62" s="399" t="str">
        <f ca="1">IF(AND(K60&gt;0.1,K60&lt;&gt;""),"O.K.",IF(K60&lt;&gt;"","CAMBIAR TIPO DE REFUERZO",""))</f>
        <v>O.K.</v>
      </c>
      <c r="L62" s="7"/>
    </row>
    <row r="63" spans="1:12" ht="16.149999999999999" customHeight="1">
      <c r="A63" s="13"/>
      <c r="B63" s="7"/>
      <c r="C63" s="7"/>
      <c r="D63" s="7"/>
      <c r="E63" s="7"/>
      <c r="F63" s="7"/>
      <c r="G63" s="398"/>
      <c r="H63" s="398"/>
      <c r="I63" s="398"/>
      <c r="J63" s="398"/>
      <c r="K63" s="399"/>
      <c r="L63" s="7"/>
    </row>
    <row r="64" spans="1:12" ht="16.149999999999999" customHeight="1">
      <c r="A64" s="13"/>
      <c r="B64" s="7"/>
      <c r="C64" s="7"/>
      <c r="D64" s="7"/>
      <c r="E64" s="7"/>
      <c r="F64" s="7"/>
      <c r="G64" s="398"/>
      <c r="H64" s="398"/>
      <c r="I64" s="398"/>
      <c r="J64" s="398"/>
      <c r="K64" s="399"/>
      <c r="L64" s="7"/>
    </row>
    <row r="65" spans="1:20" ht="16.149999999999999" customHeight="1">
      <c r="A65" s="380" t="s">
        <v>17</v>
      </c>
      <c r="B65" s="380"/>
      <c r="C65" s="400"/>
      <c r="D65" s="357">
        <f ca="1">VLOOKUP(C48,OFFSET(Agregados,,,,2),2,0)</f>
        <v>0.70579692546794215</v>
      </c>
      <c r="E65" s="11"/>
      <c r="F65" s="7"/>
    </row>
    <row r="66" spans="1:20" ht="16.149999999999999" customHeight="1">
      <c r="A66" s="380" t="s">
        <v>697</v>
      </c>
      <c r="B66" s="380"/>
      <c r="C66" s="400"/>
      <c r="D66" s="358">
        <f ca="1">D65*SQRT(D61)</f>
        <v>3.5289846273397107</v>
      </c>
      <c r="E66" s="11" t="s">
        <v>14</v>
      </c>
      <c r="F66" s="7"/>
      <c r="N66" s="14"/>
    </row>
    <row r="67" spans="1:20" ht="16.149999999999999" customHeight="1">
      <c r="A67" s="380" t="s">
        <v>18</v>
      </c>
      <c r="B67" s="380"/>
      <c r="C67" s="400"/>
      <c r="D67" s="358">
        <f ca="1">IF(AND(K56&lt;&gt;"",D60&lt;&gt;"",D62&lt;&gt;""),K56*D62/(1.15*K52*D60),"")</f>
        <v>3.8553829931331345</v>
      </c>
      <c r="E67" s="11" t="s">
        <v>694</v>
      </c>
      <c r="F67" s="7"/>
      <c r="M67" s="15"/>
      <c r="N67" s="15"/>
      <c r="O67" s="15"/>
      <c r="P67" s="15"/>
      <c r="Q67" s="15"/>
      <c r="R67" s="15"/>
    </row>
    <row r="68" spans="1:20" ht="32.25" customHeight="1">
      <c r="A68" s="374" t="s">
        <v>19</v>
      </c>
      <c r="B68" s="374"/>
      <c r="C68" s="375"/>
      <c r="D68" s="359" t="str">
        <f ca="1">IF(D67="","",IF((D67/(1/1.5*D66))*100&lt;=70,(D67/(1/1.5*D66))*100,"NO APLICA"))</f>
        <v>NO APLICA</v>
      </c>
      <c r="E68" s="11" t="s">
        <v>12</v>
      </c>
      <c r="F68" s="16"/>
      <c r="I68" s="393" t="s">
        <v>20</v>
      </c>
      <c r="J68" s="393"/>
      <c r="K68" s="393"/>
      <c r="L68" s="393"/>
      <c r="M68" s="15"/>
      <c r="N68" s="17"/>
      <c r="O68" s="15"/>
      <c r="P68" s="15"/>
      <c r="Q68" s="15"/>
      <c r="R68" s="15"/>
    </row>
    <row r="69" spans="1:20" ht="16.149999999999999" customHeight="1" thickBot="1">
      <c r="A69" s="7"/>
      <c r="B69" s="7"/>
      <c r="C69" s="7"/>
      <c r="D69" s="7"/>
      <c r="E69" s="7"/>
      <c r="F69" s="7"/>
      <c r="G69" s="7"/>
      <c r="H69" s="7"/>
      <c r="I69" s="393"/>
      <c r="J69" s="393"/>
      <c r="K69" s="393"/>
      <c r="L69" s="393"/>
      <c r="M69" s="15"/>
      <c r="N69" s="15"/>
      <c r="O69" s="15"/>
      <c r="P69" s="15"/>
      <c r="Q69" s="15"/>
      <c r="R69" s="15"/>
    </row>
    <row r="70" spans="1:20" ht="22.5" customHeight="1" thickBot="1">
      <c r="A70" s="394" t="s">
        <v>21</v>
      </c>
      <c r="B70" s="394"/>
      <c r="C70" s="394"/>
      <c r="D70" s="394"/>
      <c r="E70" s="395"/>
      <c r="F70" s="44"/>
      <c r="G70" s="19" t="s">
        <v>22</v>
      </c>
      <c r="H70" s="20" t="s">
        <v>23</v>
      </c>
      <c r="I70" s="393"/>
      <c r="J70" s="393"/>
      <c r="K70" s="393"/>
      <c r="L70" s="393"/>
      <c r="M70" s="15"/>
      <c r="N70" s="15"/>
      <c r="O70" s="15"/>
      <c r="P70" s="15"/>
      <c r="Q70" s="15"/>
      <c r="R70" s="15"/>
    </row>
    <row r="71" spans="1:20" ht="16.149999999999999" customHeight="1">
      <c r="A71" s="396" t="str">
        <f ca="1">IF(AND(D68&lt;30,D68&lt;&gt;""),"(Re,3 &lt; 30%) por lo tanto se especifica dosificación mínima para Re,3 = 30%",IF(D68&lt;&gt;"","(Re,3 &gt; 30%) por lo tanto se especifica dosificación según Re,3 obtenido",""))</f>
        <v>(Re,3 &gt; 30%) por lo tanto se especifica dosificación según Re,3 obtenido</v>
      </c>
      <c r="B71" s="396"/>
      <c r="C71" s="396"/>
      <c r="D71" s="396"/>
      <c r="E71" s="396"/>
      <c r="F71" s="396"/>
      <c r="G71" s="396"/>
      <c r="H71" s="7"/>
      <c r="I71" s="393"/>
      <c r="J71" s="393"/>
      <c r="K71" s="393"/>
      <c r="L71" s="393"/>
      <c r="M71" s="15"/>
      <c r="N71" s="15"/>
      <c r="O71" s="15"/>
      <c r="P71" s="15"/>
      <c r="Q71" s="15"/>
      <c r="R71" s="15"/>
    </row>
    <row r="72" spans="1:20" ht="16.149999999999999" hidden="1" customHeight="1">
      <c r="A72" s="7"/>
      <c r="B72" s="7"/>
      <c r="C72" s="7"/>
      <c r="D72" s="7"/>
      <c r="E72" s="7"/>
      <c r="F72" s="7"/>
      <c r="G72" s="7"/>
      <c r="H72" s="7"/>
      <c r="I72" s="7"/>
      <c r="J72" s="7"/>
      <c r="K72" s="7"/>
      <c r="L72" s="7"/>
      <c r="M72" s="15"/>
    </row>
    <row r="73" spans="1:20" ht="16.149999999999999" hidden="1" customHeight="1">
      <c r="A73" s="21"/>
      <c r="B73" s="7"/>
      <c r="C73" s="7"/>
      <c r="D73" s="7"/>
      <c r="E73" s="7"/>
      <c r="F73" s="7"/>
      <c r="G73" s="7"/>
      <c r="H73" s="7"/>
      <c r="I73" s="7"/>
      <c r="J73" s="7"/>
      <c r="K73" s="7"/>
      <c r="L73" s="7"/>
    </row>
    <row r="74" spans="1:20" ht="16.149999999999999" hidden="1" customHeight="1">
      <c r="A74" s="21"/>
      <c r="B74" s="7"/>
      <c r="C74" s="7"/>
      <c r="D74" s="7"/>
      <c r="E74" s="7"/>
      <c r="F74" s="7"/>
      <c r="G74" s="7"/>
      <c r="H74" s="7"/>
      <c r="I74" s="7"/>
      <c r="J74" s="7"/>
      <c r="K74" s="7"/>
      <c r="L74" s="7"/>
    </row>
    <row r="75" spans="1:20" ht="16.149999999999999" hidden="1" customHeight="1">
      <c r="A75" s="21"/>
      <c r="B75" s="7"/>
      <c r="C75" s="7"/>
      <c r="D75" s="7"/>
      <c r="E75" s="7"/>
      <c r="F75" s="7"/>
      <c r="G75" s="7"/>
      <c r="H75" s="7"/>
      <c r="I75" s="7"/>
      <c r="J75" s="7"/>
      <c r="K75" s="7"/>
      <c r="L75" s="7"/>
    </row>
    <row r="76" spans="1:20" ht="16.149999999999999" hidden="1" customHeight="1">
      <c r="A76" s="21"/>
      <c r="B76" s="7"/>
      <c r="C76" s="7"/>
      <c r="D76" s="7"/>
      <c r="E76" s="7"/>
      <c r="F76" s="7"/>
      <c r="G76" s="7"/>
      <c r="H76" s="7"/>
      <c r="I76" s="7"/>
      <c r="J76" s="7"/>
      <c r="K76" s="7"/>
      <c r="L76" s="7"/>
    </row>
    <row r="77" spans="1:20" ht="16.149999999999999" hidden="1" customHeight="1"/>
    <row r="78" spans="1:20" ht="16.149999999999999" hidden="1" customHeight="1">
      <c r="N78" s="45" t="s">
        <v>99</v>
      </c>
      <c r="O78" s="45" t="s">
        <v>24</v>
      </c>
      <c r="P78" s="45" t="s">
        <v>100</v>
      </c>
      <c r="Q78" s="45" t="s">
        <v>100</v>
      </c>
      <c r="S78" s="29" t="s">
        <v>2</v>
      </c>
      <c r="T78" s="29" t="s">
        <v>82</v>
      </c>
    </row>
    <row r="79" spans="1:20" ht="16.149999999999999" hidden="1" customHeight="1">
      <c r="N79" s="46"/>
      <c r="O79" s="46"/>
      <c r="P79" s="46" t="s">
        <v>101</v>
      </c>
      <c r="Q79" s="46" t="s">
        <v>102</v>
      </c>
      <c r="S79" s="28" t="s">
        <v>83</v>
      </c>
      <c r="T79" s="30">
        <f>8.5/SQRT(1/0.0068948)</f>
        <v>0.70579692546794215</v>
      </c>
    </row>
    <row r="80" spans="1:20" ht="16.149999999999999" hidden="1" customHeight="1">
      <c r="N80" s="45" t="s">
        <v>684</v>
      </c>
      <c r="O80" s="47">
        <v>2</v>
      </c>
      <c r="P80" s="48">
        <f t="shared" ref="P80:P89" si="0">+O80/8</f>
        <v>0.25</v>
      </c>
      <c r="Q80" s="49">
        <f t="shared" ref="Q80:Q89" si="1">P80*25.4</f>
        <v>6.35</v>
      </c>
      <c r="S80" s="28" t="s">
        <v>3</v>
      </c>
      <c r="T80" s="30">
        <v>0.76300000000000001</v>
      </c>
    </row>
    <row r="81" spans="14:17" ht="16.149999999999999" hidden="1" customHeight="1">
      <c r="N81" s="48" t="s">
        <v>685</v>
      </c>
      <c r="O81" s="48">
        <v>3</v>
      </c>
      <c r="P81" s="48">
        <f t="shared" si="0"/>
        <v>0.375</v>
      </c>
      <c r="Q81" s="49">
        <f t="shared" si="1"/>
        <v>9.5249999999999986</v>
      </c>
    </row>
    <row r="82" spans="14:17" ht="16.149999999999999" hidden="1" customHeight="1">
      <c r="N82" s="48" t="s">
        <v>686</v>
      </c>
      <c r="O82" s="48">
        <v>4</v>
      </c>
      <c r="P82" s="48">
        <f t="shared" si="0"/>
        <v>0.5</v>
      </c>
      <c r="Q82" s="49">
        <f t="shared" si="1"/>
        <v>12.7</v>
      </c>
    </row>
    <row r="83" spans="14:17" ht="16.149999999999999" hidden="1" customHeight="1">
      <c r="N83" s="48" t="s">
        <v>687</v>
      </c>
      <c r="O83" s="48">
        <v>5</v>
      </c>
      <c r="P83" s="48">
        <f t="shared" si="0"/>
        <v>0.625</v>
      </c>
      <c r="Q83" s="49">
        <f t="shared" si="1"/>
        <v>15.875</v>
      </c>
    </row>
    <row r="84" spans="14:17" ht="16.149999999999999" hidden="1" customHeight="1">
      <c r="N84" s="48" t="s">
        <v>688</v>
      </c>
      <c r="O84" s="48">
        <v>6</v>
      </c>
      <c r="P84" s="48">
        <f t="shared" si="0"/>
        <v>0.75</v>
      </c>
      <c r="Q84" s="49">
        <f t="shared" si="1"/>
        <v>19.049999999999997</v>
      </c>
    </row>
    <row r="85" spans="14:17" ht="16.149999999999999" hidden="1" customHeight="1">
      <c r="N85" s="45" t="s">
        <v>689</v>
      </c>
      <c r="O85" s="48">
        <v>7</v>
      </c>
      <c r="P85" s="48">
        <f t="shared" si="0"/>
        <v>0.875</v>
      </c>
      <c r="Q85" s="49">
        <f t="shared" si="1"/>
        <v>22.224999999999998</v>
      </c>
    </row>
    <row r="86" spans="14:17" ht="16.149999999999999" hidden="1" customHeight="1">
      <c r="N86" s="45" t="s">
        <v>690</v>
      </c>
      <c r="O86" s="48">
        <v>8</v>
      </c>
      <c r="P86" s="48">
        <f t="shared" si="0"/>
        <v>1</v>
      </c>
      <c r="Q86" s="49">
        <f t="shared" si="1"/>
        <v>25.4</v>
      </c>
    </row>
    <row r="87" spans="14:17" ht="16.149999999999999" hidden="1" customHeight="1">
      <c r="N87" s="45" t="s">
        <v>691</v>
      </c>
      <c r="O87" s="48">
        <v>9</v>
      </c>
      <c r="P87" s="48">
        <f t="shared" si="0"/>
        <v>1.125</v>
      </c>
      <c r="Q87" s="49">
        <f t="shared" si="1"/>
        <v>28.574999999999999</v>
      </c>
    </row>
    <row r="88" spans="14:17" ht="16.149999999999999" hidden="1" customHeight="1">
      <c r="N88" s="45" t="s">
        <v>692</v>
      </c>
      <c r="O88" s="48">
        <v>10</v>
      </c>
      <c r="P88" s="48">
        <f t="shared" si="0"/>
        <v>1.25</v>
      </c>
      <c r="Q88" s="49">
        <f t="shared" si="1"/>
        <v>31.75</v>
      </c>
    </row>
    <row r="89" spans="14:17" ht="16.149999999999999" hidden="1" customHeight="1">
      <c r="N89" s="45" t="s">
        <v>693</v>
      </c>
      <c r="O89" s="48">
        <v>11</v>
      </c>
      <c r="P89" s="48">
        <f t="shared" si="0"/>
        <v>1.375</v>
      </c>
      <c r="Q89" s="49">
        <f t="shared" si="1"/>
        <v>34.924999999999997</v>
      </c>
    </row>
    <row r="90" spans="14:17" ht="16.149999999999999" hidden="1" customHeight="1">
      <c r="O90" s="48"/>
      <c r="P90" s="48"/>
      <c r="Q90" s="49"/>
    </row>
    <row r="91" spans="14:17" ht="16.149999999999999" hidden="1" customHeight="1">
      <c r="O91" s="48"/>
      <c r="P91" s="48"/>
      <c r="Q91" s="49"/>
    </row>
    <row r="92" spans="14:17" ht="16.149999999999999" hidden="1" customHeight="1">
      <c r="O92" s="48"/>
      <c r="P92" s="48"/>
      <c r="Q92" s="49"/>
    </row>
    <row r="93" spans="14:17" ht="16.149999999999999" hidden="1" customHeight="1">
      <c r="O93" s="48"/>
      <c r="P93" s="48"/>
      <c r="Q93" s="49"/>
    </row>
    <row r="94" spans="14:17" ht="16.149999999999999" hidden="1" customHeight="1">
      <c r="O94" s="48"/>
      <c r="P94" s="48"/>
      <c r="Q94" s="49"/>
    </row>
    <row r="95" spans="14:17" ht="16.149999999999999" hidden="1" customHeight="1">
      <c r="O95" s="48"/>
      <c r="P95" s="48"/>
      <c r="Q95" s="49"/>
    </row>
    <row r="96" spans="14:17" ht="16.149999999999999" hidden="1" customHeight="1">
      <c r="O96" s="48"/>
      <c r="P96" s="48"/>
      <c r="Q96" s="49"/>
    </row>
    <row r="97" ht="16.149999999999999" hidden="1" customHeight="1"/>
    <row r="98" ht="16.149999999999999" hidden="1" customHeight="1"/>
    <row r="99" ht="16.149999999999999" hidden="1" customHeight="1"/>
    <row r="100" ht="16.149999999999999" hidden="1" customHeight="1"/>
    <row r="101" ht="16.149999999999999" hidden="1" customHeight="1"/>
    <row r="102" ht="16.149999999999999" hidden="1" customHeight="1"/>
    <row r="103" ht="16.149999999999999" hidden="1" customHeight="1"/>
    <row r="104" ht="16.149999999999999" hidden="1" customHeight="1"/>
    <row r="105" ht="16.149999999999999" hidden="1" customHeight="1"/>
    <row r="106" ht="16.149999999999999" hidden="1" customHeight="1"/>
    <row r="107" ht="16.149999999999999" hidden="1" customHeight="1"/>
    <row r="108" ht="16.149999999999999" hidden="1" customHeight="1"/>
    <row r="109" ht="16.149999999999999" hidden="1" customHeight="1"/>
    <row r="110" ht="16.149999999999999" hidden="1" customHeight="1"/>
    <row r="111" ht="16.149999999999999" hidden="1" customHeight="1"/>
    <row r="112" ht="16.149999999999999" hidden="1" customHeight="1"/>
    <row r="113" ht="16.149999999999999" hidden="1" customHeight="1"/>
    <row r="114" ht="16.149999999999999" hidden="1" customHeight="1"/>
    <row r="115" ht="16.149999999999999" hidden="1" customHeight="1"/>
    <row r="116" ht="16.149999999999999" hidden="1" customHeight="1"/>
    <row r="117" ht="16.149999999999999" hidden="1" customHeight="1"/>
    <row r="118" ht="16.149999999999999" hidden="1" customHeight="1"/>
    <row r="119" ht="16.149999999999999" hidden="1" customHeight="1"/>
    <row r="120" ht="16.149999999999999" hidden="1" customHeight="1"/>
    <row r="121" ht="16.149999999999999" hidden="1" customHeight="1"/>
    <row r="122" ht="16.149999999999999" hidden="1" customHeight="1"/>
    <row r="123" ht="16.149999999999999" hidden="1" customHeight="1"/>
    <row r="124" ht="16.149999999999999" hidden="1" customHeight="1"/>
    <row r="125" ht="16.149999999999999" hidden="1" customHeight="1"/>
    <row r="126" ht="16.149999999999999" hidden="1" customHeight="1"/>
    <row r="127" ht="16.149999999999999" hidden="1" customHeight="1"/>
    <row r="128" ht="16.149999999999999" hidden="1" customHeight="1"/>
    <row r="129" spans="4:9" ht="16.149999999999999" hidden="1" customHeight="1"/>
    <row r="130" spans="4:9" ht="16.149999999999999" hidden="1" customHeight="1"/>
    <row r="131" spans="4:9" ht="16.149999999999999" hidden="1" customHeight="1"/>
    <row r="132" spans="4:9" ht="16.149999999999999" hidden="1" customHeight="1"/>
    <row r="133" spans="4:9" ht="16.149999999999999" hidden="1" customHeight="1"/>
    <row r="134" spans="4:9" ht="16.149999999999999" hidden="1" customHeight="1"/>
    <row r="135" spans="4:9" ht="16.149999999999999" hidden="1" customHeight="1">
      <c r="D135" s="22"/>
    </row>
    <row r="136" spans="4:9" ht="16.149999999999999" hidden="1" customHeight="1"/>
    <row r="137" spans="4:9" ht="16.149999999999999" hidden="1" customHeight="1"/>
    <row r="138" spans="4:9" ht="16.149999999999999" hidden="1" customHeight="1"/>
    <row r="139" spans="4:9" ht="16.149999999999999" hidden="1" customHeight="1"/>
    <row r="140" spans="4:9" ht="16.149999999999999" hidden="1" customHeight="1">
      <c r="I140" s="22"/>
    </row>
    <row r="141" spans="4:9" ht="16.149999999999999" hidden="1" customHeight="1"/>
    <row r="142" spans="4:9" ht="16.149999999999999" hidden="1" customHeight="1"/>
    <row r="143" spans="4:9" ht="16.149999999999999" hidden="1" customHeight="1"/>
    <row r="144" spans="4:9" ht="16.149999999999999" hidden="1" customHeight="1"/>
    <row r="145" ht="16.149999999999999" hidden="1" customHeight="1"/>
    <row r="146" ht="16.149999999999999" hidden="1" customHeight="1"/>
    <row r="147" ht="16.149999999999999" hidden="1" customHeight="1"/>
    <row r="148" ht="16.149999999999999" hidden="1" customHeight="1"/>
  </sheetData>
  <sheetProtection algorithmName="SHA-512" hashValue="buBBxed1ZXvORQ9XwXrzA51hIR1r+QwpI9LzaSpyJdWia7U84qkBcoprf66PIvyfuy/G2+nZSU/0ayHUZOIrnA==" saltValue="CO0WTErxFjbzwHd2oLgbpg==" spinCount="100000" sheet="1" objects="1" scenarios="1" selectLockedCells="1"/>
  <mergeCells count="23">
    <mergeCell ref="A50:B50"/>
    <mergeCell ref="C45:L45"/>
    <mergeCell ref="A45:B45"/>
    <mergeCell ref="C46:L46"/>
    <mergeCell ref="C47:L47"/>
    <mergeCell ref="A46:B46"/>
    <mergeCell ref="A47:B47"/>
    <mergeCell ref="A68:C68"/>
    <mergeCell ref="I68:L71"/>
    <mergeCell ref="A70:E70"/>
    <mergeCell ref="A71:G71"/>
    <mergeCell ref="A2:H9"/>
    <mergeCell ref="A43:B43"/>
    <mergeCell ref="C43:L43"/>
    <mergeCell ref="A44:B44"/>
    <mergeCell ref="C44:L44"/>
    <mergeCell ref="A48:B48"/>
    <mergeCell ref="C48:L48"/>
    <mergeCell ref="G62:J64"/>
    <mergeCell ref="K62:K64"/>
    <mergeCell ref="A65:C65"/>
    <mergeCell ref="A66:C66"/>
    <mergeCell ref="A67:C67"/>
  </mergeCells>
  <conditionalFormatting sqref="K62">
    <cfRule type="containsText" dxfId="229" priority="3" operator="containsText" text="O.K.">
      <formula>NOT(ISERROR(SEARCH("O.K.",K62)))</formula>
    </cfRule>
    <cfRule type="containsText" dxfId="228" priority="4" operator="containsText" text="CAMBIAR TIPO DE MALLA">
      <formula>NOT(ISERROR(SEARCH("CAMBIAR TIPO DE MALLA",K62)))</formula>
    </cfRule>
  </conditionalFormatting>
  <conditionalFormatting sqref="A71:G71">
    <cfRule type="containsText" dxfId="227" priority="1" operator="containsText" text="(Re,3 &gt; 30%) por lo tanto se especifica dosificación según Re,3 obtenido">
      <formula>NOT(ISERROR(SEARCH("(Re,3 &gt; 30%) por lo tanto se especifica dosificación según Re,3 obtenido",A71)))</formula>
    </cfRule>
    <cfRule type="containsText" dxfId="226" priority="2" operator="containsText" text="(Re,3 &lt; 30%) por lo tanto se especifica dosificación mínima para Re,3 = 30%">
      <formula>NOT(ISERROR(SEARCH("(Re,3 &lt; 30%) por lo tanto se especifica dosificación mínima para Re,3 = 30%",A71)))</formula>
    </cfRule>
  </conditionalFormatting>
  <dataValidations count="7">
    <dataValidation type="list" allowBlank="1" showInputMessage="1" showErrorMessage="1" sqref="C44:L47" xr:uid="{00000000-0002-0000-0200-000000000000}">
      <formula1>Barras</formula1>
    </dataValidation>
    <dataValidation type="list" allowBlank="1" showInputMessage="1" showErrorMessage="1" sqref="C48:L48" xr:uid="{00000000-0002-0000-0200-000001000000}">
      <formula1>Agregados</formula1>
    </dataValidation>
    <dataValidation type="list" allowBlank="1" showInputMessage="1" showErrorMessage="1" sqref="C50" xr:uid="{00000000-0002-0000-0200-000002000000}">
      <formula1>"1,2"</formula1>
    </dataValidation>
    <dataValidation type="decimal" operator="greaterThanOrEqual" allowBlank="1" showInputMessage="1" showErrorMessage="1" error="El esfuerzo de fluencia mínimo considerado para el acero de refuerzo es de 400 MPa." sqref="D62" xr:uid="{00000000-0002-0000-0200-000003000000}">
      <formula1>400</formula1>
    </dataValidation>
    <dataValidation type="decimal" allowBlank="1" showInputMessage="1" showErrorMessage="1" error="La resistencia mínima a compresión considerada es de 15 MPa._x000a__x000a_La resistencia máxima a compresión considerada es de 50 MPa." sqref="D61" xr:uid="{00000000-0002-0000-0200-000004000000}">
      <formula1>15</formula1>
      <formula2>50</formula2>
    </dataValidation>
    <dataValidation type="decimal" operator="greaterThanOrEqual" allowBlank="1" showInputMessage="1" showErrorMessage="1" error="El espesor mínimo considerado en los cálculos es de 75 mm." sqref="D60" xr:uid="{00000000-0002-0000-0200-000005000000}">
      <formula1>75</formula1>
    </dataValidation>
    <dataValidation type="decimal" operator="greaterThanOrEqual" allowBlank="1" showInputMessage="1" showErrorMessage="1" error="La separación mínima entre barras de refuerzo corrugada deber ser igual o superior a 50 mm." sqref="D56:D59" xr:uid="{00000000-0002-0000-0200-000006000000}">
      <formula1>50</formula1>
    </dataValidation>
  </dataValidations>
  <printOptions horizontalCentered="1"/>
  <pageMargins left="0.70866141732283472" right="0.70866141732283472" top="0.74803149606299213" bottom="0.74803149606299213" header="0.31496062992125984" footer="0.31496062992125984"/>
  <pageSetup scale="55" orientation="portrait"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enu_Select">
                <anchor moveWithCells="1" sizeWithCells="1">
                  <from>
                    <xdr:col>2</xdr:col>
                    <xdr:colOff>619125</xdr:colOff>
                    <xdr:row>10</xdr:row>
                    <xdr:rowOff>180975</xdr:rowOff>
                  </from>
                  <to>
                    <xdr:col>4</xdr:col>
                    <xdr:colOff>714375</xdr:colOff>
                    <xdr:row>13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sheetPr>
  <dimension ref="A1:W133"/>
  <sheetViews>
    <sheetView showGridLines="0" showRowColHeaders="0" view="pageBreakPreview" zoomScale="40" zoomScaleNormal="75" zoomScaleSheetLayoutView="40" workbookViewId="0">
      <selection activeCell="C43" sqref="C43:L43"/>
    </sheetView>
  </sheetViews>
  <sheetFormatPr baseColWidth="10" defaultColWidth="0" defaultRowHeight="0" customHeight="1" zeroHeight="1"/>
  <cols>
    <col min="1" max="1" width="20.7109375" style="2" customWidth="1"/>
    <col min="2" max="3" width="25" style="2" customWidth="1"/>
    <col min="4" max="4" width="12.28515625" style="2" customWidth="1"/>
    <col min="5" max="5" width="13" style="2" customWidth="1"/>
    <col min="6" max="6" width="7.140625" style="2" customWidth="1"/>
    <col min="7" max="8" width="10.7109375" style="2" customWidth="1"/>
    <col min="9" max="9" width="8.5703125" style="2" customWidth="1"/>
    <col min="10" max="10" width="4.7109375" style="2" customWidth="1"/>
    <col min="11" max="12" width="10.7109375" style="2" customWidth="1"/>
    <col min="13" max="13" width="7.140625" style="2" hidden="1" customWidth="1"/>
    <col min="14" max="14" width="36.7109375" style="2" hidden="1" customWidth="1"/>
    <col min="15" max="15" width="13.42578125" style="2" hidden="1" customWidth="1"/>
    <col min="16" max="17" width="9.140625" style="2" hidden="1" customWidth="1"/>
    <col min="18" max="18" width="12.140625" style="2" hidden="1" customWidth="1"/>
    <col min="19" max="19" width="14.42578125" style="2" hidden="1" customWidth="1"/>
    <col min="20" max="21" width="9.140625" style="2" hidden="1" customWidth="1"/>
    <col min="22" max="22" width="20.85546875" style="2" hidden="1" customWidth="1"/>
    <col min="23" max="16384" width="9.140625" style="2" hidden="1"/>
  </cols>
  <sheetData>
    <row r="1" spans="1:13" ht="16.149999999999999" customHeight="1">
      <c r="A1" s="1"/>
      <c r="B1" s="1"/>
      <c r="C1" s="1"/>
      <c r="D1" s="1"/>
      <c r="E1" s="1"/>
      <c r="F1" s="1"/>
      <c r="G1" s="1"/>
      <c r="H1" s="1"/>
      <c r="I1" s="1"/>
      <c r="J1" s="1"/>
      <c r="K1" s="1"/>
      <c r="L1" s="1"/>
    </row>
    <row r="2" spans="1:13" ht="16.149999999999999" customHeight="1">
      <c r="A2" s="373" t="s">
        <v>97</v>
      </c>
      <c r="B2" s="373"/>
      <c r="C2" s="373"/>
      <c r="D2" s="373"/>
      <c r="E2" s="373"/>
      <c r="F2" s="373"/>
      <c r="G2" s="373"/>
      <c r="H2" s="373"/>
      <c r="I2" s="3"/>
      <c r="J2" s="3"/>
      <c r="K2" s="4"/>
      <c r="L2" s="1"/>
    </row>
    <row r="3" spans="1:13" ht="16.149999999999999" customHeight="1">
      <c r="A3" s="373"/>
      <c r="B3" s="373"/>
      <c r="C3" s="373"/>
      <c r="D3" s="373"/>
      <c r="E3" s="373"/>
      <c r="F3" s="373"/>
      <c r="G3" s="373"/>
      <c r="H3" s="373"/>
      <c r="I3" s="3"/>
      <c r="J3" s="3"/>
      <c r="K3" s="4"/>
      <c r="L3" s="1"/>
    </row>
    <row r="4" spans="1:13" ht="16.149999999999999" customHeight="1">
      <c r="A4" s="373"/>
      <c r="B4" s="373"/>
      <c r="C4" s="373"/>
      <c r="D4" s="373"/>
      <c r="E4" s="373"/>
      <c r="F4" s="373"/>
      <c r="G4" s="373"/>
      <c r="H4" s="373"/>
      <c r="I4" s="3"/>
      <c r="J4" s="3"/>
      <c r="K4" s="4"/>
      <c r="L4" s="1"/>
    </row>
    <row r="5" spans="1:13" ht="16.149999999999999" customHeight="1">
      <c r="A5" s="373"/>
      <c r="B5" s="373"/>
      <c r="C5" s="373"/>
      <c r="D5" s="373"/>
      <c r="E5" s="373"/>
      <c r="F5" s="373"/>
      <c r="G5" s="373"/>
      <c r="H5" s="373"/>
      <c r="I5" s="3"/>
      <c r="J5" s="3" t="s">
        <v>87</v>
      </c>
      <c r="K5" s="4"/>
      <c r="L5" s="1"/>
    </row>
    <row r="6" spans="1:13" ht="16.149999999999999" customHeight="1">
      <c r="A6" s="373"/>
      <c r="B6" s="373"/>
      <c r="C6" s="373"/>
      <c r="D6" s="373"/>
      <c r="E6" s="373"/>
      <c r="F6" s="373"/>
      <c r="G6" s="373"/>
      <c r="H6" s="373"/>
      <c r="I6" s="3"/>
      <c r="J6" s="3" t="s">
        <v>88</v>
      </c>
      <c r="K6" s="4"/>
      <c r="L6" s="5"/>
      <c r="M6" s="6"/>
    </row>
    <row r="7" spans="1:13" ht="16.149999999999999" customHeight="1">
      <c r="A7" s="373"/>
      <c r="B7" s="373"/>
      <c r="C7" s="373"/>
      <c r="D7" s="373"/>
      <c r="E7" s="373"/>
      <c r="F7" s="373"/>
      <c r="G7" s="373"/>
      <c r="H7" s="373"/>
      <c r="I7" s="3"/>
      <c r="J7" s="3" t="s">
        <v>89</v>
      </c>
      <c r="K7" s="4"/>
      <c r="L7" s="5"/>
      <c r="M7" s="6"/>
    </row>
    <row r="8" spans="1:13" ht="16.149999999999999" customHeight="1">
      <c r="A8" s="373"/>
      <c r="B8" s="373"/>
      <c r="C8" s="373"/>
      <c r="D8" s="373"/>
      <c r="E8" s="373"/>
      <c r="F8" s="373"/>
      <c r="G8" s="373"/>
      <c r="H8" s="373"/>
      <c r="I8" s="3"/>
      <c r="J8" s="3" t="s">
        <v>90</v>
      </c>
      <c r="K8" s="4"/>
      <c r="L8" s="5"/>
      <c r="M8" s="6"/>
    </row>
    <row r="9" spans="1:13" ht="16.149999999999999" customHeight="1">
      <c r="A9" s="373"/>
      <c r="B9" s="373"/>
      <c r="C9" s="373"/>
      <c r="D9" s="373"/>
      <c r="E9" s="373"/>
      <c r="F9" s="373"/>
      <c r="G9" s="373"/>
      <c r="H9" s="373"/>
      <c r="I9" s="3"/>
      <c r="J9" s="3"/>
      <c r="K9" s="4"/>
      <c r="L9" s="5"/>
      <c r="M9" s="6"/>
    </row>
    <row r="10" spans="1:13" ht="16.149999999999999" customHeight="1">
      <c r="A10" s="1"/>
      <c r="B10" s="1"/>
      <c r="C10" s="1"/>
      <c r="D10" s="1"/>
      <c r="E10" s="1"/>
      <c r="F10" s="1"/>
      <c r="G10" s="1"/>
      <c r="H10" s="1"/>
      <c r="I10" s="1"/>
      <c r="J10" s="1"/>
      <c r="K10" s="1"/>
      <c r="L10" s="1"/>
    </row>
    <row r="11" spans="1:13" ht="16.149999999999999" customHeight="1">
      <c r="A11" s="7"/>
      <c r="B11" s="7"/>
      <c r="C11" s="7"/>
      <c r="D11" s="7"/>
      <c r="E11" s="7"/>
      <c r="F11" s="7"/>
      <c r="G11" s="7"/>
      <c r="H11" s="7"/>
      <c r="I11" s="7"/>
      <c r="J11" s="7"/>
      <c r="K11" s="7"/>
      <c r="L11" s="7"/>
    </row>
    <row r="12" spans="1:13" ht="16.149999999999999" customHeight="1">
      <c r="A12" s="7"/>
      <c r="B12" s="7"/>
      <c r="C12" s="7"/>
      <c r="D12" s="7"/>
      <c r="E12" s="7"/>
      <c r="F12" s="7"/>
      <c r="G12" s="7"/>
      <c r="H12" s="7"/>
      <c r="I12" s="7"/>
      <c r="J12" s="7"/>
      <c r="K12" s="7"/>
      <c r="L12" s="7"/>
    </row>
    <row r="13" spans="1:13" ht="16.149999999999999" customHeight="1">
      <c r="A13" s="7"/>
      <c r="B13" s="7"/>
      <c r="C13" s="7"/>
      <c r="D13" s="7"/>
      <c r="E13" s="7"/>
      <c r="F13" s="7"/>
      <c r="G13" s="7"/>
      <c r="H13" s="7"/>
      <c r="I13" s="7"/>
      <c r="J13" s="7"/>
      <c r="K13" s="7"/>
      <c r="L13" s="7"/>
    </row>
    <row r="14" spans="1:13" ht="16.149999999999999" customHeight="1">
      <c r="A14" s="7"/>
      <c r="B14" s="7"/>
      <c r="C14" s="7"/>
      <c r="D14" s="7"/>
      <c r="E14" s="7"/>
      <c r="F14" s="7"/>
      <c r="G14" s="7"/>
      <c r="H14" s="7"/>
      <c r="I14" s="7"/>
      <c r="J14" s="7"/>
      <c r="K14" s="7"/>
      <c r="L14" s="7"/>
    </row>
    <row r="15" spans="1:13" ht="16.149999999999999" customHeight="1">
      <c r="A15" s="7"/>
      <c r="B15" s="7"/>
      <c r="C15" s="7"/>
      <c r="D15" s="7"/>
      <c r="E15" s="7"/>
      <c r="F15" s="7"/>
      <c r="G15" s="7"/>
      <c r="H15" s="7"/>
      <c r="I15" s="7"/>
      <c r="J15" s="7"/>
      <c r="K15" s="7"/>
      <c r="L15" s="7"/>
    </row>
    <row r="16" spans="1:13" ht="16.149999999999999" customHeight="1">
      <c r="A16" s="7"/>
      <c r="B16" s="7"/>
      <c r="C16" s="7"/>
      <c r="D16" s="7"/>
      <c r="E16" s="7"/>
      <c r="F16" s="7"/>
      <c r="G16" s="7"/>
      <c r="H16" s="7"/>
      <c r="I16" s="7"/>
      <c r="J16" s="7"/>
      <c r="K16" s="7"/>
      <c r="L16" s="7"/>
    </row>
    <row r="17" spans="1:12" ht="16.149999999999999" customHeight="1">
      <c r="A17" s="7"/>
      <c r="B17" s="7"/>
      <c r="C17" s="7"/>
      <c r="D17" s="7"/>
      <c r="E17" s="7"/>
      <c r="F17" s="7"/>
      <c r="G17" s="7"/>
      <c r="H17" s="7"/>
      <c r="I17" s="7"/>
      <c r="J17" s="7"/>
      <c r="K17" s="7"/>
      <c r="L17" s="7"/>
    </row>
    <row r="18" spans="1:12" ht="16.149999999999999" customHeight="1">
      <c r="A18" s="7"/>
      <c r="B18" s="7"/>
      <c r="C18" s="7"/>
      <c r="D18" s="7"/>
      <c r="E18" s="7"/>
      <c r="F18" s="7"/>
      <c r="G18" s="7"/>
      <c r="H18" s="7"/>
      <c r="I18" s="7"/>
      <c r="J18" s="7"/>
      <c r="K18" s="7"/>
      <c r="L18" s="7"/>
    </row>
    <row r="19" spans="1:12" ht="16.149999999999999" customHeight="1">
      <c r="A19" s="7"/>
      <c r="B19" s="7"/>
      <c r="C19" s="7"/>
      <c r="D19" s="7"/>
      <c r="E19" s="7"/>
      <c r="F19" s="7"/>
      <c r="G19" s="7"/>
      <c r="H19" s="7"/>
      <c r="I19" s="7"/>
      <c r="J19" s="7"/>
      <c r="K19" s="7"/>
      <c r="L19" s="7"/>
    </row>
    <row r="20" spans="1:12" ht="16.149999999999999" customHeight="1">
      <c r="A20" s="7"/>
      <c r="B20" s="7"/>
      <c r="C20" s="7"/>
      <c r="D20" s="7"/>
      <c r="E20" s="7"/>
      <c r="F20" s="7"/>
      <c r="G20" s="7"/>
      <c r="H20" s="7"/>
      <c r="I20" s="7"/>
      <c r="J20" s="7"/>
      <c r="K20" s="7"/>
      <c r="L20" s="7"/>
    </row>
    <row r="21" spans="1:12" ht="15.75" customHeight="1">
      <c r="A21" s="7"/>
      <c r="B21" s="7"/>
      <c r="C21" s="7"/>
      <c r="D21" s="7"/>
      <c r="E21" s="7"/>
      <c r="F21" s="7"/>
      <c r="G21" s="7"/>
      <c r="H21" s="7"/>
      <c r="I21" s="7"/>
      <c r="J21" s="7"/>
      <c r="K21" s="7"/>
      <c r="L21" s="7"/>
    </row>
    <row r="22" spans="1:12" ht="15.75" customHeight="1">
      <c r="A22" s="7"/>
      <c r="B22" s="7"/>
      <c r="C22" s="7"/>
      <c r="D22" s="7"/>
      <c r="E22" s="7"/>
      <c r="F22" s="7"/>
      <c r="G22" s="7"/>
      <c r="H22" s="7"/>
      <c r="I22" s="7"/>
      <c r="J22" s="7"/>
      <c r="K22" s="7"/>
      <c r="L22" s="7"/>
    </row>
    <row r="23" spans="1:12" ht="15.75" customHeight="1">
      <c r="A23" s="7"/>
      <c r="B23" s="7"/>
      <c r="C23" s="7"/>
      <c r="D23" s="7"/>
      <c r="E23" s="7"/>
      <c r="F23" s="7"/>
      <c r="G23" s="7"/>
      <c r="H23" s="7"/>
      <c r="I23" s="7"/>
      <c r="J23" s="7"/>
      <c r="K23" s="7"/>
      <c r="L23" s="7"/>
    </row>
    <row r="24" spans="1:12" ht="15.75" customHeight="1">
      <c r="A24" s="7"/>
      <c r="B24" s="7"/>
      <c r="C24" s="7"/>
      <c r="D24" s="7"/>
      <c r="E24" s="7"/>
      <c r="F24" s="7"/>
      <c r="G24" s="7"/>
      <c r="H24" s="7"/>
      <c r="I24" s="7"/>
      <c r="J24" s="7"/>
      <c r="K24" s="7"/>
      <c r="L24" s="7"/>
    </row>
    <row r="25" spans="1:12" ht="15.75" customHeight="1">
      <c r="A25" s="7"/>
      <c r="B25" s="7"/>
      <c r="C25" s="7"/>
      <c r="D25" s="7"/>
      <c r="E25" s="7"/>
      <c r="F25" s="7"/>
      <c r="G25" s="7"/>
      <c r="H25" s="7"/>
      <c r="I25" s="7"/>
      <c r="J25" s="7"/>
      <c r="K25" s="7"/>
      <c r="L25" s="7"/>
    </row>
    <row r="26" spans="1:12" ht="15.75" customHeight="1">
      <c r="A26" s="7"/>
      <c r="B26" s="7"/>
      <c r="C26" s="7"/>
      <c r="D26" s="7"/>
      <c r="E26" s="7"/>
      <c r="F26" s="7"/>
      <c r="G26" s="7"/>
      <c r="H26" s="7"/>
      <c r="I26" s="7"/>
      <c r="J26" s="7"/>
      <c r="K26" s="7"/>
      <c r="L26" s="7"/>
    </row>
    <row r="27" spans="1:12" ht="15.75" customHeight="1">
      <c r="A27" s="7"/>
      <c r="B27" s="7"/>
      <c r="C27" s="7"/>
      <c r="D27" s="7"/>
      <c r="E27" s="7"/>
      <c r="F27" s="7"/>
      <c r="G27" s="7"/>
      <c r="H27" s="7"/>
      <c r="I27" s="7"/>
      <c r="J27" s="7"/>
      <c r="K27" s="7"/>
      <c r="L27" s="7"/>
    </row>
    <row r="28" spans="1:12" ht="15.75" customHeight="1">
      <c r="A28" s="7"/>
      <c r="B28" s="7"/>
      <c r="C28" s="7"/>
      <c r="D28" s="7"/>
      <c r="E28" s="7"/>
      <c r="F28" s="7"/>
      <c r="G28" s="7"/>
      <c r="H28" s="7"/>
      <c r="I28" s="7"/>
      <c r="J28" s="7"/>
      <c r="K28" s="7"/>
      <c r="L28" s="7"/>
    </row>
    <row r="29" spans="1:12" ht="15.75" customHeight="1">
      <c r="A29" s="7"/>
      <c r="B29" s="7"/>
      <c r="C29" s="7"/>
      <c r="D29" s="7"/>
      <c r="E29" s="7"/>
      <c r="F29" s="7"/>
      <c r="G29" s="7"/>
      <c r="H29" s="7"/>
      <c r="I29" s="7"/>
      <c r="J29" s="7"/>
      <c r="K29" s="7"/>
      <c r="L29" s="7"/>
    </row>
    <row r="30" spans="1:12" ht="15.75" customHeight="1">
      <c r="A30" s="7"/>
      <c r="B30" s="7"/>
      <c r="C30" s="7"/>
      <c r="D30" s="7"/>
      <c r="E30" s="7"/>
      <c r="F30" s="7"/>
      <c r="G30" s="7"/>
      <c r="H30" s="7"/>
      <c r="I30" s="7"/>
      <c r="J30" s="7"/>
      <c r="K30" s="7"/>
      <c r="L30" s="7"/>
    </row>
    <row r="31" spans="1:12" ht="15.75" customHeight="1">
      <c r="A31" s="7"/>
      <c r="B31" s="7"/>
      <c r="C31" s="7"/>
      <c r="D31" s="7"/>
      <c r="E31" s="7"/>
      <c r="F31" s="7"/>
      <c r="G31" s="7"/>
      <c r="H31" s="7"/>
      <c r="I31" s="7"/>
      <c r="J31" s="7"/>
      <c r="K31" s="7"/>
      <c r="L31" s="7"/>
    </row>
    <row r="32" spans="1:12" ht="15.75" customHeight="1">
      <c r="A32" s="7"/>
      <c r="B32" s="7"/>
      <c r="C32" s="7"/>
      <c r="D32" s="7"/>
      <c r="E32" s="7"/>
      <c r="F32" s="7"/>
      <c r="G32" s="7"/>
      <c r="H32" s="7"/>
      <c r="I32" s="7"/>
      <c r="J32" s="7"/>
      <c r="K32" s="7"/>
      <c r="L32" s="7"/>
    </row>
    <row r="33" spans="1:12" ht="15.75" customHeight="1">
      <c r="A33" s="7"/>
      <c r="B33" s="7"/>
      <c r="C33" s="7"/>
      <c r="D33" s="7"/>
      <c r="E33" s="7"/>
      <c r="F33" s="7"/>
      <c r="G33" s="7"/>
      <c r="H33" s="7"/>
      <c r="I33" s="7"/>
      <c r="J33" s="7"/>
      <c r="K33" s="7"/>
      <c r="L33" s="7"/>
    </row>
    <row r="34" spans="1:12" ht="15.75" customHeight="1">
      <c r="A34" s="7"/>
      <c r="B34" s="7"/>
      <c r="C34" s="7"/>
      <c r="D34" s="7"/>
      <c r="E34" s="7"/>
      <c r="F34" s="7"/>
      <c r="G34" s="7"/>
      <c r="H34" s="7"/>
      <c r="I34" s="7"/>
      <c r="J34" s="7"/>
      <c r="K34" s="7"/>
      <c r="L34" s="7"/>
    </row>
    <row r="35" spans="1:12" ht="15.75" customHeight="1">
      <c r="A35" s="7"/>
      <c r="B35" s="7"/>
      <c r="C35" s="7"/>
      <c r="D35" s="7"/>
      <c r="E35" s="7"/>
      <c r="F35" s="7"/>
      <c r="G35" s="7"/>
      <c r="H35" s="7"/>
      <c r="I35" s="7"/>
      <c r="J35" s="7"/>
      <c r="K35" s="7"/>
      <c r="L35" s="7"/>
    </row>
    <row r="36" spans="1:12" ht="15.75" customHeight="1">
      <c r="A36" s="7"/>
      <c r="B36" s="7"/>
      <c r="C36" s="7"/>
      <c r="D36" s="7"/>
      <c r="E36" s="7"/>
      <c r="F36" s="7"/>
      <c r="G36" s="7"/>
      <c r="H36" s="7"/>
      <c r="I36" s="7"/>
      <c r="J36" s="7"/>
      <c r="K36" s="7"/>
      <c r="L36" s="7"/>
    </row>
    <row r="37" spans="1:12" ht="15.75" customHeight="1">
      <c r="A37" s="403" t="s">
        <v>695</v>
      </c>
      <c r="B37" s="403"/>
      <c r="C37" s="403"/>
      <c r="D37" s="403"/>
      <c r="E37" s="403"/>
      <c r="F37" s="403"/>
      <c r="G37" s="403"/>
      <c r="H37" s="403"/>
      <c r="I37" s="403"/>
      <c r="J37" s="403"/>
      <c r="K37" s="403"/>
      <c r="L37" s="403"/>
    </row>
    <row r="38" spans="1:12" ht="15.75" customHeight="1">
      <c r="A38" s="403"/>
      <c r="B38" s="403"/>
      <c r="C38" s="403"/>
      <c r="D38" s="403"/>
      <c r="E38" s="403"/>
      <c r="F38" s="403"/>
      <c r="G38" s="403"/>
      <c r="H38" s="403"/>
      <c r="I38" s="403"/>
      <c r="J38" s="403"/>
      <c r="K38" s="403"/>
      <c r="L38" s="403"/>
    </row>
    <row r="39" spans="1:12" ht="15.75" customHeight="1">
      <c r="A39" s="403"/>
      <c r="B39" s="403"/>
      <c r="C39" s="403"/>
      <c r="D39" s="403"/>
      <c r="E39" s="403"/>
      <c r="F39" s="403"/>
      <c r="G39" s="403"/>
      <c r="H39" s="403"/>
      <c r="I39" s="403"/>
      <c r="J39" s="403"/>
      <c r="K39" s="403"/>
      <c r="L39" s="403"/>
    </row>
    <row r="40" spans="1:12" ht="17.25" customHeight="1">
      <c r="A40" s="403"/>
      <c r="B40" s="403"/>
      <c r="C40" s="403"/>
      <c r="D40" s="403"/>
      <c r="E40" s="403"/>
      <c r="F40" s="403"/>
      <c r="G40" s="403"/>
      <c r="H40" s="403"/>
      <c r="I40" s="403"/>
      <c r="J40" s="403"/>
      <c r="K40" s="403"/>
      <c r="L40" s="403"/>
    </row>
    <row r="41" spans="1:12" ht="15.75" customHeight="1">
      <c r="A41" s="7"/>
      <c r="B41" s="7"/>
      <c r="C41" s="7"/>
      <c r="D41" s="7"/>
      <c r="E41" s="7"/>
      <c r="F41" s="7"/>
      <c r="G41" s="7"/>
      <c r="H41" s="7"/>
      <c r="I41" s="7"/>
      <c r="J41" s="7"/>
      <c r="K41" s="7"/>
      <c r="L41" s="7"/>
    </row>
    <row r="42" spans="1:12" ht="15.75" customHeight="1">
      <c r="A42" s="7"/>
      <c r="B42" s="7"/>
      <c r="C42" s="7"/>
      <c r="D42" s="7"/>
      <c r="E42" s="7"/>
      <c r="F42" s="7"/>
      <c r="G42" s="7"/>
      <c r="H42" s="7"/>
      <c r="I42" s="7"/>
      <c r="J42" s="7"/>
      <c r="K42" s="7"/>
      <c r="L42" s="7"/>
    </row>
    <row r="43" spans="1:12" ht="16.149999999999999" customHeight="1">
      <c r="A43" s="374" t="s">
        <v>0</v>
      </c>
      <c r="B43" s="374"/>
      <c r="C43" s="378"/>
      <c r="D43" s="378"/>
      <c r="E43" s="378"/>
      <c r="F43" s="378"/>
      <c r="G43" s="378"/>
      <c r="H43" s="378"/>
      <c r="I43" s="378"/>
      <c r="J43" s="378"/>
      <c r="K43" s="378"/>
      <c r="L43" s="378"/>
    </row>
    <row r="44" spans="1:12" ht="16.149999999999999" customHeight="1">
      <c r="A44" s="374" t="s">
        <v>696</v>
      </c>
      <c r="B44" s="374"/>
      <c r="C44" s="379" t="s">
        <v>684</v>
      </c>
      <c r="D44" s="379"/>
      <c r="E44" s="379"/>
      <c r="F44" s="379"/>
      <c r="G44" s="379"/>
      <c r="H44" s="379"/>
      <c r="I44" s="379"/>
      <c r="J44" s="379"/>
      <c r="K44" s="379"/>
      <c r="L44" s="379"/>
    </row>
    <row r="45" spans="1:12" ht="9.9499999999999993" customHeight="1">
      <c r="A45" s="7"/>
      <c r="B45" s="7"/>
      <c r="C45" s="7"/>
      <c r="D45" s="8"/>
      <c r="E45" s="7"/>
      <c r="F45" s="9"/>
      <c r="G45" s="9"/>
      <c r="H45" s="9"/>
      <c r="I45" s="9"/>
      <c r="J45" s="9"/>
      <c r="K45" s="9"/>
      <c r="L45" s="9"/>
    </row>
    <row r="46" spans="1:12" ht="16.149999999999999" customHeight="1">
      <c r="A46" s="7"/>
      <c r="B46" s="7"/>
      <c r="C46" s="7"/>
      <c r="D46" s="7"/>
      <c r="E46" s="7"/>
      <c r="F46" s="7"/>
      <c r="G46" s="7"/>
      <c r="H46" s="7"/>
      <c r="I46" s="7"/>
      <c r="J46" s="7"/>
      <c r="K46" s="7"/>
      <c r="L46" s="7"/>
    </row>
    <row r="47" spans="1:12" ht="16.149999999999999" customHeight="1">
      <c r="A47" s="10" t="s">
        <v>4</v>
      </c>
      <c r="B47" s="7"/>
      <c r="C47" s="7"/>
      <c r="D47" s="31">
        <f ca="1">VLOOKUP(C44,OFFSET(Barras,,,,4),4,0)</f>
        <v>6.35</v>
      </c>
      <c r="E47" s="11" t="s">
        <v>5</v>
      </c>
      <c r="F47" s="7"/>
      <c r="G47" s="11" t="s">
        <v>6</v>
      </c>
      <c r="H47" s="12"/>
      <c r="K47" s="35">
        <v>1000</v>
      </c>
      <c r="L47" s="11" t="s">
        <v>5</v>
      </c>
    </row>
    <row r="48" spans="1:12" ht="16.149999999999999" customHeight="1">
      <c r="A48" s="10" t="s">
        <v>7</v>
      </c>
      <c r="B48" s="7"/>
      <c r="C48" s="7"/>
      <c r="D48" s="33">
        <v>50</v>
      </c>
      <c r="E48" s="11" t="s">
        <v>5</v>
      </c>
      <c r="F48" s="7"/>
      <c r="G48" s="11" t="s">
        <v>8</v>
      </c>
      <c r="H48" s="12"/>
      <c r="K48" s="31">
        <f ca="1">PI()*(D47^2/4)/D48*K47</f>
        <v>633.38434887187213</v>
      </c>
      <c r="L48" s="11" t="s">
        <v>9</v>
      </c>
    </row>
    <row r="49" spans="1:18" ht="18.75" customHeight="1">
      <c r="A49" s="10" t="s">
        <v>98</v>
      </c>
      <c r="B49" s="7"/>
      <c r="C49" s="7"/>
      <c r="D49" s="33">
        <v>250</v>
      </c>
      <c r="E49" s="11" t="s">
        <v>5</v>
      </c>
      <c r="F49" s="7"/>
      <c r="G49" s="11" t="s">
        <v>11</v>
      </c>
      <c r="H49" s="12"/>
      <c r="K49" s="36">
        <f ca="1">IF(D49&lt;&gt;"",K48/D49/K47*100,"")</f>
        <v>0.25335373954874885</v>
      </c>
      <c r="L49" s="11" t="s">
        <v>12</v>
      </c>
    </row>
    <row r="50" spans="1:18" ht="23.25" customHeight="1">
      <c r="A50" s="10" t="s">
        <v>13</v>
      </c>
      <c r="B50" s="7"/>
      <c r="C50" s="7"/>
      <c r="D50" s="33">
        <v>28</v>
      </c>
      <c r="E50" s="11" t="s">
        <v>14</v>
      </c>
      <c r="F50" s="7"/>
      <c r="G50" s="7"/>
      <c r="H50" s="7"/>
      <c r="I50" s="7"/>
      <c r="J50" s="7"/>
      <c r="K50" s="7"/>
      <c r="L50" s="7"/>
    </row>
    <row r="51" spans="1:18" ht="21.75" customHeight="1">
      <c r="A51" s="10" t="s">
        <v>15</v>
      </c>
      <c r="B51" s="7"/>
      <c r="C51" s="7"/>
      <c r="D51" s="33">
        <v>420</v>
      </c>
      <c r="E51" s="11" t="s">
        <v>14</v>
      </c>
      <c r="F51" s="7"/>
      <c r="G51" s="374"/>
      <c r="H51" s="374"/>
      <c r="I51" s="374"/>
      <c r="J51" s="374"/>
      <c r="K51" s="402"/>
      <c r="L51" s="7"/>
    </row>
    <row r="52" spans="1:18" ht="16.149999999999999" customHeight="1">
      <c r="A52" s="10" t="s">
        <v>91</v>
      </c>
      <c r="B52" s="7"/>
      <c r="C52" s="7"/>
      <c r="D52" s="32">
        <f>D49/2</f>
        <v>125</v>
      </c>
      <c r="E52" s="11" t="s">
        <v>5</v>
      </c>
      <c r="F52" s="7"/>
      <c r="G52" s="374"/>
      <c r="H52" s="374"/>
      <c r="I52" s="374"/>
      <c r="J52" s="374"/>
      <c r="K52" s="402"/>
      <c r="L52" s="7"/>
    </row>
    <row r="53" spans="1:18" ht="16.149999999999999" customHeight="1">
      <c r="A53" s="13"/>
      <c r="B53" s="7"/>
      <c r="C53" s="7"/>
      <c r="D53" s="7"/>
      <c r="E53" s="7"/>
      <c r="F53" s="7"/>
      <c r="G53" s="374"/>
      <c r="H53" s="374"/>
      <c r="I53" s="374"/>
      <c r="J53" s="374"/>
      <c r="K53" s="402"/>
      <c r="L53" s="7"/>
    </row>
    <row r="54" spans="1:18" ht="16.149999999999999" customHeight="1">
      <c r="A54" s="380" t="s">
        <v>92</v>
      </c>
      <c r="B54" s="380"/>
      <c r="C54" s="400"/>
      <c r="D54" s="43">
        <f ca="1">IF(AND(D50&lt;&gt;"",D51&lt;&gt;""),K48*D51/(0.85*D50*K47),"")</f>
        <v>11.177370862444802</v>
      </c>
      <c r="E54" s="11" t="s">
        <v>5</v>
      </c>
      <c r="F54" s="7"/>
      <c r="G54" s="40"/>
      <c r="H54" s="40"/>
      <c r="I54" s="40"/>
      <c r="J54" s="40"/>
      <c r="K54" s="41"/>
      <c r="L54" s="7"/>
    </row>
    <row r="55" spans="1:18" ht="16.149999999999999" customHeight="1">
      <c r="A55" s="380" t="s">
        <v>93</v>
      </c>
      <c r="B55" s="380"/>
      <c r="C55" s="400"/>
      <c r="D55" s="43">
        <f ca="1">IF(D54&lt;&gt;"",0.9*K48*D51*(D52-D54/2)/(1000000),"")</f>
        <v>28.589371420458054</v>
      </c>
      <c r="E55" s="11" t="s">
        <v>94</v>
      </c>
      <c r="F55" s="7"/>
    </row>
    <row r="56" spans="1:18" ht="16.149999999999999" customHeight="1">
      <c r="A56" s="380" t="s">
        <v>95</v>
      </c>
      <c r="B56" s="380"/>
      <c r="C56" s="400"/>
      <c r="D56" s="31">
        <f ca="1">IF(AND(D49&lt;&gt;"",D54&lt;&gt;""),D55*1000000*(D49/2)/(K47*D49^3/12),"")</f>
        <v>2.7445796563639733</v>
      </c>
      <c r="E56" s="11" t="s">
        <v>14</v>
      </c>
      <c r="F56" s="7"/>
      <c r="N56" s="14"/>
    </row>
    <row r="57" spans="1:18" ht="32.25" customHeight="1">
      <c r="A57" s="374"/>
      <c r="B57" s="374"/>
      <c r="C57" s="374"/>
      <c r="D57" s="42"/>
      <c r="E57" s="11"/>
      <c r="F57" s="16"/>
      <c r="I57" s="393" t="s">
        <v>96</v>
      </c>
      <c r="J57" s="393"/>
      <c r="K57" s="393"/>
      <c r="L57" s="393"/>
      <c r="M57" s="15"/>
      <c r="N57" s="17"/>
      <c r="O57" s="15"/>
      <c r="P57" s="15"/>
      <c r="Q57" s="15"/>
      <c r="R57" s="15"/>
    </row>
    <row r="58" spans="1:18" ht="16.149999999999999" customHeight="1" thickBot="1">
      <c r="A58" s="7"/>
      <c r="B58" s="7"/>
      <c r="C58" s="7"/>
      <c r="D58" s="7"/>
      <c r="E58" s="7"/>
      <c r="F58" s="7"/>
      <c r="G58" s="7"/>
      <c r="H58" s="7"/>
      <c r="I58" s="393"/>
      <c r="J58" s="393"/>
      <c r="K58" s="393"/>
      <c r="L58" s="393"/>
      <c r="M58" s="15"/>
      <c r="N58" s="15"/>
      <c r="O58" s="15"/>
      <c r="P58" s="15"/>
      <c r="Q58" s="15"/>
      <c r="R58" s="15"/>
    </row>
    <row r="59" spans="1:18" ht="22.5" customHeight="1" thickBot="1">
      <c r="A59" s="394" t="s">
        <v>21</v>
      </c>
      <c r="B59" s="394"/>
      <c r="C59" s="394"/>
      <c r="D59" s="394"/>
      <c r="E59" s="395"/>
      <c r="F59" s="18">
        <v>3.2313284696004585</v>
      </c>
      <c r="G59" s="19" t="s">
        <v>22</v>
      </c>
      <c r="H59" s="20" t="s">
        <v>23</v>
      </c>
      <c r="I59" s="393"/>
      <c r="J59" s="393"/>
      <c r="K59" s="393"/>
      <c r="L59" s="393"/>
      <c r="M59" s="15"/>
      <c r="N59" s="15"/>
      <c r="O59" s="15"/>
      <c r="P59" s="15"/>
      <c r="Q59" s="15"/>
      <c r="R59" s="15"/>
    </row>
    <row r="60" spans="1:18" ht="16.149999999999999" customHeight="1">
      <c r="A60" s="7"/>
      <c r="B60" s="7"/>
      <c r="C60" s="7"/>
      <c r="D60" s="7"/>
      <c r="E60" s="7"/>
      <c r="F60" s="7"/>
      <c r="G60" s="7"/>
      <c r="H60" s="7"/>
      <c r="I60" s="7"/>
      <c r="J60" s="7"/>
      <c r="K60" s="7"/>
      <c r="L60" s="7"/>
      <c r="M60" s="15"/>
    </row>
    <row r="61" spans="1:18" ht="16.149999999999999" customHeight="1">
      <c r="A61" s="21"/>
      <c r="B61" s="7"/>
      <c r="C61" s="7"/>
      <c r="D61" s="7"/>
      <c r="E61" s="7"/>
      <c r="F61" s="7"/>
      <c r="G61" s="7"/>
      <c r="H61" s="7"/>
      <c r="I61" s="7"/>
      <c r="J61" s="7"/>
      <c r="K61" s="7"/>
      <c r="L61" s="7"/>
    </row>
    <row r="62" spans="1:18" ht="16.149999999999999" hidden="1" customHeight="1"/>
    <row r="63" spans="1:18" ht="16.149999999999999" hidden="1" customHeight="1"/>
    <row r="64" spans="1:18" ht="16.149999999999999" hidden="1" customHeight="1"/>
    <row r="65" spans="14:23" ht="24" hidden="1" customHeight="1">
      <c r="N65" s="23" t="s">
        <v>24</v>
      </c>
      <c r="O65" s="23" t="s">
        <v>25</v>
      </c>
      <c r="P65" s="23" t="s">
        <v>26</v>
      </c>
      <c r="Q65" s="23" t="s">
        <v>27</v>
      </c>
      <c r="R65" s="24" t="s">
        <v>28</v>
      </c>
      <c r="S65" s="24" t="s">
        <v>29</v>
      </c>
      <c r="V65" s="29" t="s">
        <v>2</v>
      </c>
      <c r="W65" s="29" t="s">
        <v>82</v>
      </c>
    </row>
    <row r="66" spans="14:23" ht="16.149999999999999" hidden="1" customHeight="1">
      <c r="N66" s="25" t="s">
        <v>30</v>
      </c>
      <c r="O66" s="26">
        <v>50</v>
      </c>
      <c r="P66" s="27">
        <v>25.8</v>
      </c>
      <c r="Q66" s="27">
        <v>25.8</v>
      </c>
      <c r="R66" s="27">
        <f t="shared" ref="R66:R97" si="0">SQRT(4*P66/PI())</f>
        <v>5.7314553347441519</v>
      </c>
      <c r="S66" s="27">
        <f t="shared" ref="S66:S97" si="1">SQRT(4*Q66/PI())</f>
        <v>5.7314553347441519</v>
      </c>
      <c r="V66" s="28" t="s">
        <v>83</v>
      </c>
      <c r="W66" s="30">
        <f>8.5/SQRT(1/0.0068948)</f>
        <v>0.70579692546794215</v>
      </c>
    </row>
    <row r="67" spans="14:23" ht="16.149999999999999" hidden="1" customHeight="1">
      <c r="N67" s="25" t="s">
        <v>31</v>
      </c>
      <c r="O67" s="26">
        <v>50</v>
      </c>
      <c r="P67" s="27">
        <v>18.7</v>
      </c>
      <c r="Q67" s="27">
        <v>18.7</v>
      </c>
      <c r="R67" s="27">
        <f t="shared" si="0"/>
        <v>4.8795060699365402</v>
      </c>
      <c r="S67" s="27">
        <f t="shared" si="1"/>
        <v>4.8795060699365402</v>
      </c>
      <c r="V67" s="28" t="s">
        <v>3</v>
      </c>
      <c r="W67" s="30">
        <f>10/SQRT(1/0.0068948)</f>
        <v>0.83034932407993201</v>
      </c>
    </row>
    <row r="68" spans="14:23" ht="16.149999999999999" hidden="1" customHeight="1">
      <c r="N68" s="25" t="s">
        <v>32</v>
      </c>
      <c r="O68" s="26">
        <v>50</v>
      </c>
      <c r="P68" s="27">
        <v>13.3</v>
      </c>
      <c r="Q68" s="27">
        <v>13.3</v>
      </c>
      <c r="R68" s="27">
        <f t="shared" si="0"/>
        <v>4.1151046092387089</v>
      </c>
      <c r="S68" s="27">
        <f t="shared" si="1"/>
        <v>4.1151046092387089</v>
      </c>
    </row>
    <row r="69" spans="14:23" ht="16.149999999999999" hidden="1" customHeight="1">
      <c r="N69" s="25" t="s">
        <v>33</v>
      </c>
      <c r="O69" s="26">
        <v>50</v>
      </c>
      <c r="P69" s="27">
        <v>9.1</v>
      </c>
      <c r="Q69" s="27">
        <v>9.1</v>
      </c>
      <c r="R69" s="27">
        <f t="shared" si="0"/>
        <v>3.4038918691829769</v>
      </c>
      <c r="S69" s="27">
        <f t="shared" si="1"/>
        <v>3.4038918691829769</v>
      </c>
    </row>
    <row r="70" spans="14:23" ht="16.149999999999999" hidden="1" customHeight="1">
      <c r="N70" s="25" t="s">
        <v>34</v>
      </c>
      <c r="O70" s="26">
        <v>50</v>
      </c>
      <c r="P70" s="27">
        <v>5.6</v>
      </c>
      <c r="Q70" s="27">
        <v>5.6</v>
      </c>
      <c r="R70" s="27">
        <f t="shared" si="0"/>
        <v>2.6702324712498182</v>
      </c>
      <c r="S70" s="27">
        <f t="shared" si="1"/>
        <v>2.6702324712498182</v>
      </c>
    </row>
    <row r="71" spans="14:23" ht="16.149999999999999" hidden="1" customHeight="1">
      <c r="N71" s="25" t="s">
        <v>35</v>
      </c>
      <c r="O71" s="26">
        <v>50</v>
      </c>
      <c r="P71" s="27">
        <v>3.2</v>
      </c>
      <c r="Q71" s="27">
        <v>3.2</v>
      </c>
      <c r="R71" s="27">
        <f t="shared" si="0"/>
        <v>2.018506017616128</v>
      </c>
      <c r="S71" s="27">
        <f t="shared" si="1"/>
        <v>2.018506017616128</v>
      </c>
    </row>
    <row r="72" spans="14:23" ht="16.149999999999999" hidden="1" customHeight="1">
      <c r="N72" s="25" t="s">
        <v>36</v>
      </c>
      <c r="O72" s="26">
        <v>50</v>
      </c>
      <c r="P72" s="27">
        <v>2</v>
      </c>
      <c r="Q72" s="27">
        <v>2</v>
      </c>
      <c r="R72" s="27">
        <f t="shared" si="0"/>
        <v>1.5957691216057308</v>
      </c>
      <c r="S72" s="27">
        <f t="shared" si="1"/>
        <v>1.5957691216057308</v>
      </c>
    </row>
    <row r="73" spans="14:23" ht="16.149999999999999" hidden="1" customHeight="1">
      <c r="N73" s="25" t="s">
        <v>37</v>
      </c>
      <c r="O73" s="26">
        <v>76</v>
      </c>
      <c r="P73" s="27">
        <v>13.3</v>
      </c>
      <c r="Q73" s="27">
        <v>13.3</v>
      </c>
      <c r="R73" s="27">
        <f t="shared" si="0"/>
        <v>4.1151046092387089</v>
      </c>
      <c r="S73" s="27">
        <f t="shared" si="1"/>
        <v>4.1151046092387089</v>
      </c>
    </row>
    <row r="74" spans="14:23" ht="16.149999999999999" hidden="1" customHeight="1">
      <c r="N74" s="25" t="s">
        <v>38</v>
      </c>
      <c r="O74" s="26">
        <v>76</v>
      </c>
      <c r="P74" s="27">
        <v>9.1</v>
      </c>
      <c r="Q74" s="27">
        <v>9.1</v>
      </c>
      <c r="R74" s="27">
        <f t="shared" si="0"/>
        <v>3.4038918691829769</v>
      </c>
      <c r="S74" s="27">
        <f t="shared" si="1"/>
        <v>3.4038918691829769</v>
      </c>
    </row>
    <row r="75" spans="14:23" ht="16.149999999999999" hidden="1" customHeight="1">
      <c r="N75" s="25" t="s">
        <v>39</v>
      </c>
      <c r="O75" s="26">
        <v>76</v>
      </c>
      <c r="P75" s="27">
        <v>5.6</v>
      </c>
      <c r="Q75" s="27">
        <v>5.6</v>
      </c>
      <c r="R75" s="27">
        <f t="shared" si="0"/>
        <v>2.6702324712498182</v>
      </c>
      <c r="S75" s="27">
        <f t="shared" si="1"/>
        <v>2.6702324712498182</v>
      </c>
    </row>
    <row r="76" spans="14:23" ht="16.149999999999999" hidden="1" customHeight="1">
      <c r="N76" s="25" t="s">
        <v>40</v>
      </c>
      <c r="O76" s="26">
        <v>76</v>
      </c>
      <c r="P76" s="27">
        <v>3.2</v>
      </c>
      <c r="Q76" s="27">
        <v>3.2</v>
      </c>
      <c r="R76" s="27">
        <f t="shared" si="0"/>
        <v>2.018506017616128</v>
      </c>
      <c r="S76" s="27">
        <f t="shared" si="1"/>
        <v>2.018506017616128</v>
      </c>
    </row>
    <row r="77" spans="14:23" ht="16.149999999999999" hidden="1" customHeight="1">
      <c r="N77" s="25" t="s">
        <v>41</v>
      </c>
      <c r="O77" s="26">
        <v>102</v>
      </c>
      <c r="P77" s="27">
        <v>25.8</v>
      </c>
      <c r="Q77" s="27">
        <v>25.8</v>
      </c>
      <c r="R77" s="27">
        <f t="shared" si="0"/>
        <v>5.7314553347441519</v>
      </c>
      <c r="S77" s="27">
        <f t="shared" si="1"/>
        <v>5.7314553347441519</v>
      </c>
    </row>
    <row r="78" spans="14:23" ht="16.149999999999999" hidden="1" customHeight="1">
      <c r="N78" s="25" t="s">
        <v>42</v>
      </c>
      <c r="O78" s="26">
        <v>102</v>
      </c>
      <c r="P78" s="27">
        <v>18.7</v>
      </c>
      <c r="Q78" s="27">
        <v>18.7</v>
      </c>
      <c r="R78" s="27">
        <f t="shared" si="0"/>
        <v>4.8795060699365402</v>
      </c>
      <c r="S78" s="27">
        <f t="shared" si="1"/>
        <v>4.8795060699365402</v>
      </c>
    </row>
    <row r="79" spans="14:23" ht="16.149999999999999" hidden="1" customHeight="1">
      <c r="N79" s="25" t="s">
        <v>43</v>
      </c>
      <c r="O79" s="26">
        <v>102</v>
      </c>
      <c r="P79" s="27">
        <v>13.3</v>
      </c>
      <c r="Q79" s="27">
        <v>13.3</v>
      </c>
      <c r="R79" s="27">
        <f t="shared" si="0"/>
        <v>4.1151046092387089</v>
      </c>
      <c r="S79" s="27">
        <f t="shared" si="1"/>
        <v>4.1151046092387089</v>
      </c>
    </row>
    <row r="80" spans="14:23" ht="16.149999999999999" hidden="1" customHeight="1">
      <c r="N80" s="25" t="s">
        <v>44</v>
      </c>
      <c r="O80" s="26">
        <v>102</v>
      </c>
      <c r="P80" s="27">
        <v>11.1</v>
      </c>
      <c r="Q80" s="27">
        <v>11.1</v>
      </c>
      <c r="R80" s="27">
        <f t="shared" si="0"/>
        <v>3.7593827879800039</v>
      </c>
      <c r="S80" s="27">
        <f t="shared" si="1"/>
        <v>3.7593827879800039</v>
      </c>
    </row>
    <row r="81" spans="14:19" ht="16.149999999999999" hidden="1" customHeight="1">
      <c r="N81" s="25" t="s">
        <v>45</v>
      </c>
      <c r="O81" s="26">
        <v>102</v>
      </c>
      <c r="P81" s="27">
        <v>9.1</v>
      </c>
      <c r="Q81" s="27">
        <v>9.1</v>
      </c>
      <c r="R81" s="27">
        <f t="shared" si="0"/>
        <v>3.4038918691829769</v>
      </c>
      <c r="S81" s="27">
        <f t="shared" si="1"/>
        <v>3.4038918691829769</v>
      </c>
    </row>
    <row r="82" spans="14:19" ht="16.149999999999999" hidden="1" customHeight="1">
      <c r="N82" s="25" t="s">
        <v>46</v>
      </c>
      <c r="O82" s="26">
        <v>102</v>
      </c>
      <c r="P82" s="27">
        <v>5.6</v>
      </c>
      <c r="Q82" s="27">
        <v>5.6</v>
      </c>
      <c r="R82" s="27">
        <f t="shared" si="0"/>
        <v>2.6702324712498182</v>
      </c>
      <c r="S82" s="27">
        <f t="shared" si="1"/>
        <v>2.6702324712498182</v>
      </c>
    </row>
    <row r="83" spans="14:19" ht="16.149999999999999" hidden="1" customHeight="1">
      <c r="N83" s="25" t="s">
        <v>47</v>
      </c>
      <c r="O83" s="26">
        <v>102</v>
      </c>
      <c r="P83" s="27">
        <v>4.2</v>
      </c>
      <c r="Q83" s="27">
        <v>4.2</v>
      </c>
      <c r="R83" s="27">
        <f t="shared" si="0"/>
        <v>2.3124891541124435</v>
      </c>
      <c r="S83" s="27">
        <f t="shared" si="1"/>
        <v>2.3124891541124435</v>
      </c>
    </row>
    <row r="84" spans="14:19" ht="16.149999999999999" hidden="1" customHeight="1">
      <c r="N84" s="25" t="s">
        <v>48</v>
      </c>
      <c r="O84" s="26">
        <v>102</v>
      </c>
      <c r="P84" s="27">
        <v>3.2</v>
      </c>
      <c r="Q84" s="27">
        <v>3.2</v>
      </c>
      <c r="R84" s="27">
        <f t="shared" si="0"/>
        <v>2.018506017616128</v>
      </c>
      <c r="S84" s="27">
        <f t="shared" si="1"/>
        <v>2.018506017616128</v>
      </c>
    </row>
    <row r="85" spans="14:19" ht="16.149999999999999" hidden="1" customHeight="1">
      <c r="N85" s="25" t="s">
        <v>49</v>
      </c>
      <c r="O85" s="26">
        <v>152</v>
      </c>
      <c r="P85" s="27">
        <v>47.6</v>
      </c>
      <c r="Q85" s="27">
        <v>47.6</v>
      </c>
      <c r="R85" s="27">
        <f t="shared" si="0"/>
        <v>7.7849985439557887</v>
      </c>
      <c r="S85" s="27">
        <f t="shared" si="1"/>
        <v>7.7849985439557887</v>
      </c>
    </row>
    <row r="86" spans="14:19" ht="16.149999999999999" hidden="1" customHeight="1">
      <c r="N86" s="25" t="s">
        <v>50</v>
      </c>
      <c r="O86" s="26">
        <v>152</v>
      </c>
      <c r="P86" s="27">
        <v>40.6</v>
      </c>
      <c r="Q86" s="27">
        <v>40.6</v>
      </c>
      <c r="R86" s="27">
        <f t="shared" si="0"/>
        <v>7.1898209655211591</v>
      </c>
      <c r="S86" s="27">
        <f t="shared" si="1"/>
        <v>7.1898209655211591</v>
      </c>
    </row>
    <row r="87" spans="14:19" ht="16.149999999999999" hidden="1" customHeight="1">
      <c r="N87" s="25" t="s">
        <v>51</v>
      </c>
      <c r="O87" s="26">
        <v>152</v>
      </c>
      <c r="P87" s="27">
        <v>34.9</v>
      </c>
      <c r="Q87" s="27">
        <v>34.9</v>
      </c>
      <c r="R87" s="27">
        <f t="shared" si="0"/>
        <v>6.6660378120182591</v>
      </c>
      <c r="S87" s="27">
        <f t="shared" si="1"/>
        <v>6.6660378120182591</v>
      </c>
    </row>
    <row r="88" spans="14:19" ht="16.149999999999999" hidden="1" customHeight="1">
      <c r="N88" s="25" t="s">
        <v>52</v>
      </c>
      <c r="O88" s="26">
        <v>152</v>
      </c>
      <c r="P88" s="27">
        <v>30.1</v>
      </c>
      <c r="Q88" s="27">
        <v>30.1</v>
      </c>
      <c r="R88" s="27">
        <f t="shared" si="0"/>
        <v>6.1906793081638787</v>
      </c>
      <c r="S88" s="27">
        <f t="shared" si="1"/>
        <v>6.1906793081638787</v>
      </c>
    </row>
    <row r="89" spans="14:19" ht="16.149999999999999" hidden="1" customHeight="1">
      <c r="N89" s="25" t="s">
        <v>53</v>
      </c>
      <c r="O89" s="26">
        <v>152</v>
      </c>
      <c r="P89" s="27">
        <v>25.8</v>
      </c>
      <c r="Q89" s="27">
        <v>25.8</v>
      </c>
      <c r="R89" s="27">
        <f t="shared" si="0"/>
        <v>5.7314553347441519</v>
      </c>
      <c r="S89" s="27">
        <f t="shared" si="1"/>
        <v>5.7314553347441519</v>
      </c>
    </row>
    <row r="90" spans="14:19" ht="16.149999999999999" hidden="1" customHeight="1">
      <c r="N90" s="25" t="s">
        <v>54</v>
      </c>
      <c r="O90" s="26">
        <v>152</v>
      </c>
      <c r="P90" s="27">
        <v>25.8</v>
      </c>
      <c r="Q90" s="27">
        <v>18.7</v>
      </c>
      <c r="R90" s="27">
        <f t="shared" si="0"/>
        <v>5.7314553347441519</v>
      </c>
      <c r="S90" s="27">
        <f t="shared" si="1"/>
        <v>4.8795060699365402</v>
      </c>
    </row>
    <row r="91" spans="14:19" ht="16.149999999999999" hidden="1" customHeight="1">
      <c r="N91" s="25" t="s">
        <v>55</v>
      </c>
      <c r="O91" s="26">
        <v>152</v>
      </c>
      <c r="P91" s="27">
        <v>21.7</v>
      </c>
      <c r="Q91" s="27">
        <v>21.7</v>
      </c>
      <c r="R91" s="27">
        <f t="shared" si="0"/>
        <v>5.2563578760157714</v>
      </c>
      <c r="S91" s="27">
        <f t="shared" si="1"/>
        <v>5.2563578760157714</v>
      </c>
    </row>
    <row r="92" spans="14:19" ht="16.149999999999999" hidden="1" customHeight="1">
      <c r="N92" s="25" t="s">
        <v>56</v>
      </c>
      <c r="O92" s="26">
        <v>152</v>
      </c>
      <c r="P92" s="27">
        <v>18.7</v>
      </c>
      <c r="Q92" s="27">
        <v>18.7</v>
      </c>
      <c r="R92" s="27">
        <f t="shared" si="0"/>
        <v>4.8795060699365402</v>
      </c>
      <c r="S92" s="27">
        <f t="shared" si="1"/>
        <v>4.8795060699365402</v>
      </c>
    </row>
    <row r="93" spans="14:19" ht="16.149999999999999" hidden="1" customHeight="1">
      <c r="N93" s="25" t="s">
        <v>57</v>
      </c>
      <c r="O93" s="26">
        <v>152</v>
      </c>
      <c r="P93" s="27">
        <v>15.9</v>
      </c>
      <c r="Q93" s="27">
        <v>15.9</v>
      </c>
      <c r="R93" s="27">
        <f t="shared" si="0"/>
        <v>4.4993898209967416</v>
      </c>
      <c r="S93" s="27">
        <f t="shared" si="1"/>
        <v>4.4993898209967416</v>
      </c>
    </row>
    <row r="94" spans="14:19" ht="16.149999999999999" hidden="1" customHeight="1">
      <c r="N94" s="25" t="s">
        <v>58</v>
      </c>
      <c r="O94" s="26">
        <v>152</v>
      </c>
      <c r="P94" s="27">
        <v>13.3</v>
      </c>
      <c r="Q94" s="27">
        <v>13.3</v>
      </c>
      <c r="R94" s="27">
        <f t="shared" si="0"/>
        <v>4.1151046092387089</v>
      </c>
      <c r="S94" s="27">
        <f t="shared" si="1"/>
        <v>4.1151046092387089</v>
      </c>
    </row>
    <row r="95" spans="14:19" ht="16.149999999999999" hidden="1" customHeight="1">
      <c r="N95" s="25" t="s">
        <v>59</v>
      </c>
      <c r="O95" s="26">
        <v>152</v>
      </c>
      <c r="P95" s="27">
        <v>11.1</v>
      </c>
      <c r="Q95" s="27">
        <v>11.1</v>
      </c>
      <c r="R95" s="27">
        <f t="shared" si="0"/>
        <v>3.7593827879800039</v>
      </c>
      <c r="S95" s="27">
        <f t="shared" si="1"/>
        <v>3.7593827879800039</v>
      </c>
    </row>
    <row r="96" spans="14:19" ht="16.149999999999999" hidden="1" customHeight="1">
      <c r="N96" s="25" t="s">
        <v>60</v>
      </c>
      <c r="O96" s="26">
        <v>152</v>
      </c>
      <c r="P96" s="27">
        <v>9.1</v>
      </c>
      <c r="Q96" s="27">
        <v>9.1</v>
      </c>
      <c r="R96" s="27">
        <f t="shared" si="0"/>
        <v>3.4038918691829769</v>
      </c>
      <c r="S96" s="27">
        <f t="shared" si="1"/>
        <v>3.4038918691829769</v>
      </c>
    </row>
    <row r="97" spans="14:19" ht="16.149999999999999" hidden="1" customHeight="1">
      <c r="N97" s="25" t="s">
        <v>61</v>
      </c>
      <c r="O97" s="26">
        <v>305</v>
      </c>
      <c r="P97" s="27">
        <v>34.9</v>
      </c>
      <c r="Q97" s="27">
        <v>34.9</v>
      </c>
      <c r="R97" s="27">
        <f t="shared" si="0"/>
        <v>6.6660378120182591</v>
      </c>
      <c r="S97" s="27">
        <f t="shared" si="1"/>
        <v>6.6660378120182591</v>
      </c>
    </row>
    <row r="98" spans="14:19" ht="16.149999999999999" hidden="1" customHeight="1">
      <c r="N98" s="28" t="s">
        <v>62</v>
      </c>
      <c r="O98" s="26">
        <v>150</v>
      </c>
      <c r="P98" s="27">
        <f t="shared" ref="P98:P117" si="2">PI()*R98^2/4</f>
        <v>12.566370614359172</v>
      </c>
      <c r="Q98" s="27">
        <f t="shared" ref="Q98:Q117" si="3">PI()*S98^2/4</f>
        <v>12.566370614359172</v>
      </c>
      <c r="R98" s="27">
        <v>4</v>
      </c>
      <c r="S98" s="27">
        <v>4</v>
      </c>
    </row>
    <row r="99" spans="14:19" ht="16.149999999999999" hidden="1" customHeight="1">
      <c r="N99" s="28" t="s">
        <v>63</v>
      </c>
      <c r="O99" s="26">
        <v>150</v>
      </c>
      <c r="P99" s="27">
        <f t="shared" si="2"/>
        <v>15.904312808798327</v>
      </c>
      <c r="Q99" s="27">
        <f t="shared" si="3"/>
        <v>12.566370614359172</v>
      </c>
      <c r="R99" s="27">
        <v>4.5</v>
      </c>
      <c r="S99" s="27">
        <v>4</v>
      </c>
    </row>
    <row r="100" spans="14:19" ht="16.149999999999999" hidden="1" customHeight="1">
      <c r="N100" s="28" t="s">
        <v>64</v>
      </c>
      <c r="O100" s="26">
        <v>150</v>
      </c>
      <c r="P100" s="27">
        <f t="shared" si="2"/>
        <v>19.634954084936208</v>
      </c>
      <c r="Q100" s="27">
        <f t="shared" si="3"/>
        <v>12.566370614359172</v>
      </c>
      <c r="R100" s="27">
        <v>5</v>
      </c>
      <c r="S100" s="27">
        <v>4</v>
      </c>
    </row>
    <row r="101" spans="14:19" ht="16.149999999999999" hidden="1" customHeight="1">
      <c r="N101" s="28" t="s">
        <v>65</v>
      </c>
      <c r="O101" s="26">
        <v>150</v>
      </c>
      <c r="P101" s="27">
        <f t="shared" si="2"/>
        <v>23.758294442772812</v>
      </c>
      <c r="Q101" s="27">
        <f t="shared" si="3"/>
        <v>12.566370614359172</v>
      </c>
      <c r="R101" s="27">
        <v>5.5</v>
      </c>
      <c r="S101" s="27">
        <v>4</v>
      </c>
    </row>
    <row r="102" spans="14:19" ht="16.149999999999999" hidden="1" customHeight="1">
      <c r="N102" s="28" t="s">
        <v>66</v>
      </c>
      <c r="O102" s="26">
        <v>150</v>
      </c>
      <c r="P102" s="27">
        <f t="shared" si="2"/>
        <v>33.183072403542191</v>
      </c>
      <c r="Q102" s="27">
        <f t="shared" si="3"/>
        <v>12.566370614359172</v>
      </c>
      <c r="R102" s="27">
        <v>6.5</v>
      </c>
      <c r="S102" s="27">
        <v>4</v>
      </c>
    </row>
    <row r="103" spans="14:19" ht="16.149999999999999" hidden="1" customHeight="1">
      <c r="N103" s="28" t="s">
        <v>67</v>
      </c>
      <c r="O103" s="26">
        <v>150</v>
      </c>
      <c r="P103" s="27">
        <f t="shared" si="2"/>
        <v>38.484510006474963</v>
      </c>
      <c r="Q103" s="27">
        <f t="shared" si="3"/>
        <v>19.634954084936208</v>
      </c>
      <c r="R103" s="27">
        <v>7</v>
      </c>
      <c r="S103" s="27">
        <v>5</v>
      </c>
    </row>
    <row r="104" spans="14:19" ht="16.149999999999999" hidden="1" customHeight="1">
      <c r="N104" s="28" t="s">
        <v>68</v>
      </c>
      <c r="O104" s="26">
        <v>150</v>
      </c>
      <c r="P104" s="27">
        <f t="shared" si="2"/>
        <v>50.26548245743669</v>
      </c>
      <c r="Q104" s="27">
        <f t="shared" si="3"/>
        <v>19.634954084936208</v>
      </c>
      <c r="R104" s="27">
        <v>8</v>
      </c>
      <c r="S104" s="27">
        <v>5</v>
      </c>
    </row>
    <row r="105" spans="14:19" ht="16.149999999999999" hidden="1" customHeight="1">
      <c r="N105" s="28" t="s">
        <v>69</v>
      </c>
      <c r="O105" s="26">
        <v>150</v>
      </c>
      <c r="P105" s="27">
        <f t="shared" si="2"/>
        <v>56.745017305465637</v>
      </c>
      <c r="Q105" s="27">
        <f t="shared" si="3"/>
        <v>19.634954084936208</v>
      </c>
      <c r="R105" s="27">
        <v>8.5</v>
      </c>
      <c r="S105" s="27">
        <v>5</v>
      </c>
    </row>
    <row r="106" spans="14:19" ht="16.149999999999999" hidden="1" customHeight="1">
      <c r="N106" s="28" t="s">
        <v>70</v>
      </c>
      <c r="O106" s="26">
        <v>250</v>
      </c>
      <c r="P106" s="27">
        <f t="shared" si="2"/>
        <v>12.566370614359172</v>
      </c>
      <c r="Q106" s="27">
        <f t="shared" si="3"/>
        <v>12.566370614359172</v>
      </c>
      <c r="R106" s="27">
        <v>4</v>
      </c>
      <c r="S106" s="27">
        <v>4</v>
      </c>
    </row>
    <row r="107" spans="14:19" ht="16.149999999999999" hidden="1" customHeight="1">
      <c r="N107" s="28" t="s">
        <v>71</v>
      </c>
      <c r="O107" s="26">
        <v>200</v>
      </c>
      <c r="P107" s="27">
        <f t="shared" si="2"/>
        <v>12.566370614359172</v>
      </c>
      <c r="Q107" s="27">
        <f t="shared" si="3"/>
        <v>12.566370614359172</v>
      </c>
      <c r="R107" s="27">
        <v>4</v>
      </c>
      <c r="S107" s="27">
        <v>4</v>
      </c>
    </row>
    <row r="108" spans="14:19" ht="16.149999999999999" hidden="1" customHeight="1">
      <c r="N108" s="28" t="s">
        <v>72</v>
      </c>
      <c r="O108" s="26">
        <v>150</v>
      </c>
      <c r="P108" s="27">
        <f t="shared" si="2"/>
        <v>12.566370614359172</v>
      </c>
      <c r="Q108" s="27">
        <f t="shared" si="3"/>
        <v>12.566370614359172</v>
      </c>
      <c r="R108" s="27">
        <v>4</v>
      </c>
      <c r="S108" s="27">
        <v>4</v>
      </c>
    </row>
    <row r="109" spans="14:19" ht="16.149999999999999" hidden="1" customHeight="1">
      <c r="N109" s="28" t="s">
        <v>73</v>
      </c>
      <c r="O109" s="26">
        <v>150</v>
      </c>
      <c r="P109" s="27">
        <f t="shared" si="2"/>
        <v>15.904312808798327</v>
      </c>
      <c r="Q109" s="27">
        <f t="shared" si="3"/>
        <v>15.904312808798327</v>
      </c>
      <c r="R109" s="27">
        <v>4.5</v>
      </c>
      <c r="S109" s="27">
        <v>4.5</v>
      </c>
    </row>
    <row r="110" spans="14:19" ht="16.149999999999999" hidden="1" customHeight="1">
      <c r="N110" s="28" t="s">
        <v>74</v>
      </c>
      <c r="O110" s="26">
        <v>150</v>
      </c>
      <c r="P110" s="27">
        <f t="shared" si="2"/>
        <v>19.634954084936208</v>
      </c>
      <c r="Q110" s="27">
        <f t="shared" si="3"/>
        <v>19.634954084936208</v>
      </c>
      <c r="R110" s="27">
        <v>5</v>
      </c>
      <c r="S110" s="27">
        <v>5</v>
      </c>
    </row>
    <row r="111" spans="14:19" ht="16.149999999999999" hidden="1" customHeight="1">
      <c r="N111" s="28" t="s">
        <v>75</v>
      </c>
      <c r="O111" s="26">
        <v>150</v>
      </c>
      <c r="P111" s="27">
        <f t="shared" si="2"/>
        <v>23.758294442772812</v>
      </c>
      <c r="Q111" s="27">
        <f t="shared" si="3"/>
        <v>23.758294442772812</v>
      </c>
      <c r="R111" s="27">
        <v>5.5</v>
      </c>
      <c r="S111" s="27">
        <v>5.5</v>
      </c>
    </row>
    <row r="112" spans="14:19" ht="16.149999999999999" hidden="1" customHeight="1">
      <c r="N112" s="28" t="s">
        <v>76</v>
      </c>
      <c r="O112" s="26">
        <v>150</v>
      </c>
      <c r="P112" s="27">
        <f t="shared" si="2"/>
        <v>28.274333882308138</v>
      </c>
      <c r="Q112" s="27">
        <f t="shared" si="3"/>
        <v>28.274333882308138</v>
      </c>
      <c r="R112" s="27">
        <v>6</v>
      </c>
      <c r="S112" s="27">
        <v>6</v>
      </c>
    </row>
    <row r="113" spans="4:19" ht="16.149999999999999" hidden="1" customHeight="1">
      <c r="N113" s="28" t="s">
        <v>77</v>
      </c>
      <c r="O113" s="26">
        <v>150</v>
      </c>
      <c r="P113" s="27">
        <f t="shared" si="2"/>
        <v>33.183072403542191</v>
      </c>
      <c r="Q113" s="27">
        <f t="shared" si="3"/>
        <v>33.183072403542191</v>
      </c>
      <c r="R113" s="27">
        <v>6.5</v>
      </c>
      <c r="S113" s="27">
        <v>6.5</v>
      </c>
    </row>
    <row r="114" spans="4:19" ht="16.149999999999999" hidden="1" customHeight="1">
      <c r="N114" s="28" t="s">
        <v>78</v>
      </c>
      <c r="O114" s="26">
        <v>150</v>
      </c>
      <c r="P114" s="27">
        <f t="shared" si="2"/>
        <v>38.484510006474963</v>
      </c>
      <c r="Q114" s="27">
        <f t="shared" si="3"/>
        <v>38.484510006474963</v>
      </c>
      <c r="R114" s="27">
        <v>7</v>
      </c>
      <c r="S114" s="27">
        <v>7</v>
      </c>
    </row>
    <row r="115" spans="4:19" ht="16.149999999999999" hidden="1" customHeight="1">
      <c r="N115" s="28" t="s">
        <v>79</v>
      </c>
      <c r="O115" s="26">
        <v>150</v>
      </c>
      <c r="P115" s="27">
        <f t="shared" si="2"/>
        <v>44.178646691106465</v>
      </c>
      <c r="Q115" s="27">
        <f t="shared" si="3"/>
        <v>44.178646691106465</v>
      </c>
      <c r="R115" s="27">
        <v>7.5</v>
      </c>
      <c r="S115" s="27">
        <v>7.5</v>
      </c>
    </row>
    <row r="116" spans="4:19" ht="16.149999999999999" hidden="1" customHeight="1">
      <c r="N116" s="28" t="s">
        <v>80</v>
      </c>
      <c r="O116" s="26">
        <v>150</v>
      </c>
      <c r="P116" s="27">
        <f t="shared" si="2"/>
        <v>50.26548245743669</v>
      </c>
      <c r="Q116" s="27">
        <f t="shared" si="3"/>
        <v>50.26548245743669</v>
      </c>
      <c r="R116" s="27">
        <v>8</v>
      </c>
      <c r="S116" s="27">
        <v>8</v>
      </c>
    </row>
    <row r="117" spans="4:19" ht="16.149999999999999" hidden="1" customHeight="1">
      <c r="N117" s="28" t="s">
        <v>81</v>
      </c>
      <c r="O117" s="26">
        <v>150</v>
      </c>
      <c r="P117" s="27">
        <f t="shared" si="2"/>
        <v>56.745017305465637</v>
      </c>
      <c r="Q117" s="27">
        <f t="shared" si="3"/>
        <v>56.745017305465637</v>
      </c>
      <c r="R117" s="27">
        <v>8.5</v>
      </c>
      <c r="S117" s="27">
        <v>8.5</v>
      </c>
    </row>
    <row r="118" spans="4:19" ht="16.149999999999999" hidden="1" customHeight="1"/>
    <row r="119" spans="4:19" ht="16.149999999999999" hidden="1" customHeight="1"/>
    <row r="120" spans="4:19" ht="16.149999999999999" hidden="1" customHeight="1">
      <c r="D120" s="22"/>
      <c r="N120" s="45" t="s">
        <v>99</v>
      </c>
      <c r="O120" s="45" t="s">
        <v>24</v>
      </c>
      <c r="P120" s="45" t="s">
        <v>100</v>
      </c>
      <c r="Q120" s="45" t="s">
        <v>100</v>
      </c>
    </row>
    <row r="121" spans="4:19" ht="16.149999999999999" hidden="1" customHeight="1">
      <c r="N121" s="46"/>
      <c r="O121" s="46"/>
      <c r="P121" s="46" t="s">
        <v>101</v>
      </c>
      <c r="Q121" s="46" t="s">
        <v>102</v>
      </c>
    </row>
    <row r="122" spans="4:19" ht="16.149999999999999" hidden="1" customHeight="1">
      <c r="N122" s="45" t="s">
        <v>684</v>
      </c>
      <c r="O122" s="47">
        <v>2</v>
      </c>
      <c r="P122" s="48">
        <f t="shared" ref="P122:P131" si="4">+O122/8</f>
        <v>0.25</v>
      </c>
      <c r="Q122" s="49">
        <f t="shared" ref="Q122:Q131" si="5">P122*25.4</f>
        <v>6.35</v>
      </c>
    </row>
    <row r="123" spans="4:19" ht="16.149999999999999" hidden="1" customHeight="1">
      <c r="N123" s="48" t="s">
        <v>685</v>
      </c>
      <c r="O123" s="48">
        <v>3</v>
      </c>
      <c r="P123" s="48">
        <f t="shared" si="4"/>
        <v>0.375</v>
      </c>
      <c r="Q123" s="49">
        <f t="shared" si="5"/>
        <v>9.5249999999999986</v>
      </c>
    </row>
    <row r="124" spans="4:19" ht="16.149999999999999" hidden="1" customHeight="1">
      <c r="N124" s="48" t="s">
        <v>686</v>
      </c>
      <c r="O124" s="48">
        <v>4</v>
      </c>
      <c r="P124" s="48">
        <f t="shared" si="4"/>
        <v>0.5</v>
      </c>
      <c r="Q124" s="49">
        <f t="shared" si="5"/>
        <v>12.7</v>
      </c>
    </row>
    <row r="125" spans="4:19" ht="16.149999999999999" hidden="1" customHeight="1">
      <c r="I125" s="22"/>
      <c r="N125" s="48" t="s">
        <v>687</v>
      </c>
      <c r="O125" s="48">
        <v>5</v>
      </c>
      <c r="P125" s="48">
        <f t="shared" si="4"/>
        <v>0.625</v>
      </c>
      <c r="Q125" s="49">
        <f t="shared" si="5"/>
        <v>15.875</v>
      </c>
    </row>
    <row r="126" spans="4:19" ht="16.149999999999999" hidden="1" customHeight="1">
      <c r="N126" s="48" t="s">
        <v>688</v>
      </c>
      <c r="O126" s="48">
        <v>6</v>
      </c>
      <c r="P126" s="48">
        <f t="shared" si="4"/>
        <v>0.75</v>
      </c>
      <c r="Q126" s="49">
        <f t="shared" si="5"/>
        <v>19.049999999999997</v>
      </c>
    </row>
    <row r="127" spans="4:19" ht="16.149999999999999" hidden="1" customHeight="1">
      <c r="N127" s="45" t="s">
        <v>689</v>
      </c>
      <c r="O127" s="48">
        <v>7</v>
      </c>
      <c r="P127" s="48">
        <f t="shared" si="4"/>
        <v>0.875</v>
      </c>
      <c r="Q127" s="49">
        <f t="shared" si="5"/>
        <v>22.224999999999998</v>
      </c>
    </row>
    <row r="128" spans="4:19" ht="16.149999999999999" hidden="1" customHeight="1">
      <c r="N128" s="45" t="s">
        <v>690</v>
      </c>
      <c r="O128" s="48">
        <v>8</v>
      </c>
      <c r="P128" s="48">
        <f t="shared" si="4"/>
        <v>1</v>
      </c>
      <c r="Q128" s="49">
        <f t="shared" si="5"/>
        <v>25.4</v>
      </c>
    </row>
    <row r="129" spans="14:17" ht="16.149999999999999" hidden="1" customHeight="1">
      <c r="N129" s="45" t="s">
        <v>691</v>
      </c>
      <c r="O129" s="48">
        <v>9</v>
      </c>
      <c r="P129" s="48">
        <f t="shared" si="4"/>
        <v>1.125</v>
      </c>
      <c r="Q129" s="49">
        <f t="shared" si="5"/>
        <v>28.574999999999999</v>
      </c>
    </row>
    <row r="130" spans="14:17" ht="16.149999999999999" hidden="1" customHeight="1">
      <c r="N130" s="45" t="s">
        <v>692</v>
      </c>
      <c r="O130" s="48">
        <v>10</v>
      </c>
      <c r="P130" s="48">
        <f t="shared" si="4"/>
        <v>1.25</v>
      </c>
      <c r="Q130" s="49">
        <f t="shared" si="5"/>
        <v>31.75</v>
      </c>
    </row>
    <row r="131" spans="14:17" ht="16.149999999999999" hidden="1" customHeight="1">
      <c r="N131" s="45" t="s">
        <v>693</v>
      </c>
      <c r="O131" s="48">
        <v>11</v>
      </c>
      <c r="P131" s="48">
        <f t="shared" si="4"/>
        <v>1.375</v>
      </c>
      <c r="Q131" s="49">
        <f t="shared" si="5"/>
        <v>34.924999999999997</v>
      </c>
    </row>
    <row r="132" spans="14:17" ht="16.149999999999999" hidden="1" customHeight="1"/>
    <row r="133" spans="14:17" ht="16.149999999999999" hidden="1" customHeight="1"/>
  </sheetData>
  <sheetProtection algorithmName="SHA-512" hashValue="jO1BCcujZCGiTnDsy5o6Seq1QL9YXGPuhmeZdiRPjqahkyO2v7OnJtWRbu9BJt7O8gFrUAotoY3L1R62ty9Kdg==" saltValue="bLh8esigTrsSKsKgND//7g==" spinCount="100000" sheet="1" objects="1" scenarios="1" selectLockedCells="1"/>
  <mergeCells count="14">
    <mergeCell ref="A57:C57"/>
    <mergeCell ref="I57:L59"/>
    <mergeCell ref="A59:E59"/>
    <mergeCell ref="A2:H9"/>
    <mergeCell ref="A43:B43"/>
    <mergeCell ref="C43:L43"/>
    <mergeCell ref="A44:B44"/>
    <mergeCell ref="G51:J53"/>
    <mergeCell ref="K51:K53"/>
    <mergeCell ref="A54:C54"/>
    <mergeCell ref="A55:C55"/>
    <mergeCell ref="A56:C56"/>
    <mergeCell ref="C44:L44"/>
    <mergeCell ref="A37:L40"/>
  </mergeCells>
  <conditionalFormatting sqref="K51">
    <cfRule type="containsText" dxfId="225" priority="1" operator="containsText" text="O.K.">
      <formula>NOT(ISERROR(SEARCH("O.K.",K51)))</formula>
    </cfRule>
    <cfRule type="containsText" dxfId="224" priority="2" operator="containsText" text="CAMBIAR TIPO DE MALLA">
      <formula>NOT(ISERROR(SEARCH("CAMBIAR TIPO DE MALLA",K51)))</formula>
    </cfRule>
  </conditionalFormatting>
  <dataValidations count="5">
    <dataValidation type="decimal" operator="greaterThanOrEqual" allowBlank="1" showInputMessage="1" showErrorMessage="1" error="El esfuerzo de fluencia mínimo considerado para el acero de refuerzo es de 400 MPa." sqref="D51" xr:uid="{00000000-0002-0000-0300-000000000000}">
      <formula1>400</formula1>
    </dataValidation>
    <dataValidation type="decimal" allowBlank="1" showInputMessage="1" showErrorMessage="1" error="La resistencia mínima a compresión considerada es de 15 MPa._x000a__x000a_La resistencia máxima a compresión considerada es de 50 MPa." sqref="D50" xr:uid="{00000000-0002-0000-0300-000001000000}">
      <formula1>15</formula1>
      <formula2>50</formula2>
    </dataValidation>
    <dataValidation type="decimal" operator="greaterThanOrEqual" allowBlank="1" showInputMessage="1" showErrorMessage="1" error="El espesor mínimo considerado en los cálculos es de 75 mm." sqref="D49" xr:uid="{00000000-0002-0000-0300-000002000000}">
      <formula1>75</formula1>
    </dataValidation>
    <dataValidation type="list" allowBlank="1" showInputMessage="1" showErrorMessage="1" sqref="C44:L44" xr:uid="{00000000-0002-0000-0300-000003000000}">
      <formula1>Barras</formula1>
    </dataValidation>
    <dataValidation type="decimal" operator="greaterThanOrEqual" allowBlank="1" showInputMessage="1" showErrorMessage="1" error="La separación mínima entre barras de refuerzo es de 50 mm." sqref="D48" xr:uid="{00000000-0002-0000-0300-000004000000}">
      <formula1>50</formula1>
    </dataValidation>
  </dataValidations>
  <printOptions horizontalCentered="1"/>
  <pageMargins left="0.70866141732283472" right="0.70866141732283472" top="0.74803149606299213" bottom="0.74803149606299213" header="0.31496062992125984" footer="0.31496062992125984"/>
  <pageSetup scale="55" orientation="portrait" r:id="rId1"/>
  <headerFooter>
    <oddFooter>&amp;CLA MARCA FIBRAPLAS CONCRETE® SON DE USO EXCLUSIVO DE LA EMPRESA ECOPLAS S.A.S.</oddFooter>
  </headerFooter>
  <rowBreaks count="1" manualBreakCount="1">
    <brk id="6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Menu_Select">
                <anchor moveWithCells="1" sizeWithCells="1">
                  <from>
                    <xdr:col>2</xdr:col>
                    <xdr:colOff>657225</xdr:colOff>
                    <xdr:row>10</xdr:row>
                    <xdr:rowOff>180975</xdr:rowOff>
                  </from>
                  <to>
                    <xdr:col>4</xdr:col>
                    <xdr:colOff>428625</xdr:colOff>
                    <xdr:row>13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CC66"/>
  </sheetPr>
  <dimension ref="A1:Y141"/>
  <sheetViews>
    <sheetView showGridLines="0" view="pageBreakPreview" zoomScale="91" zoomScaleNormal="110" zoomScaleSheetLayoutView="91" workbookViewId="0">
      <selection activeCell="C16" sqref="C16:L16"/>
    </sheetView>
  </sheetViews>
  <sheetFormatPr baseColWidth="10" defaultColWidth="0" defaultRowHeight="0" customHeight="1" zeroHeight="1"/>
  <cols>
    <col min="1" max="1" width="20.7109375" style="52" customWidth="1"/>
    <col min="2" max="2" width="25" style="52" customWidth="1"/>
    <col min="3" max="3" width="21.85546875" style="52" customWidth="1"/>
    <col min="4" max="4" width="18.42578125" style="52" customWidth="1"/>
    <col min="5" max="5" width="13" style="52" customWidth="1"/>
    <col min="6" max="6" width="7.140625" style="52" customWidth="1"/>
    <col min="7" max="7" width="9.85546875" style="52" customWidth="1"/>
    <col min="8" max="8" width="10.7109375" style="52" customWidth="1"/>
    <col min="9" max="9" width="8.5703125" style="52" customWidth="1"/>
    <col min="10" max="10" width="4.7109375" style="52" customWidth="1"/>
    <col min="11" max="12" width="10.7109375" style="52" customWidth="1"/>
    <col min="13" max="13" width="7.140625" style="52" hidden="1" customWidth="1"/>
    <col min="14" max="14" width="15.7109375" style="52" hidden="1" customWidth="1"/>
    <col min="15" max="15" width="37.42578125" style="52" hidden="1" customWidth="1"/>
    <col min="16" max="16" width="13" style="52" hidden="1" customWidth="1"/>
    <col min="17" max="17" width="14.7109375" style="52" hidden="1" customWidth="1"/>
    <col min="18" max="18" width="13.42578125" style="52" hidden="1" customWidth="1"/>
    <col min="19" max="19" width="13" style="52" hidden="1" customWidth="1"/>
    <col min="20" max="20" width="13.85546875" style="52" hidden="1" customWidth="1"/>
    <col min="21" max="22" width="9.140625" style="52" hidden="1" customWidth="1"/>
    <col min="23" max="23" width="17.7109375" style="52" hidden="1" customWidth="1"/>
    <col min="24" max="16384" width="9.140625" style="52" hidden="1"/>
  </cols>
  <sheetData>
    <row r="1" spans="1:13" ht="16.149999999999999" customHeight="1">
      <c r="A1" s="51"/>
      <c r="B1" s="51"/>
      <c r="C1" s="51"/>
      <c r="D1" s="51"/>
      <c r="E1" s="51"/>
      <c r="F1" s="51"/>
      <c r="G1" s="51"/>
      <c r="H1" s="51"/>
      <c r="I1" s="51"/>
      <c r="J1" s="51"/>
      <c r="K1" s="51"/>
      <c r="L1" s="51"/>
    </row>
    <row r="2" spans="1:13" ht="16.149999999999999" customHeight="1">
      <c r="A2" s="412" t="s">
        <v>112</v>
      </c>
      <c r="B2" s="412"/>
      <c r="C2" s="412"/>
      <c r="D2" s="412"/>
      <c r="E2" s="412"/>
      <c r="F2" s="412"/>
      <c r="G2" s="412"/>
      <c r="H2" s="412"/>
      <c r="I2" s="53"/>
      <c r="J2" s="53"/>
      <c r="K2" s="54"/>
      <c r="L2" s="51"/>
    </row>
    <row r="3" spans="1:13" ht="16.149999999999999" customHeight="1">
      <c r="A3" s="412"/>
      <c r="B3" s="412"/>
      <c r="C3" s="412"/>
      <c r="D3" s="412"/>
      <c r="E3" s="412"/>
      <c r="F3" s="412"/>
      <c r="G3" s="412"/>
      <c r="H3" s="412"/>
      <c r="I3" s="53"/>
      <c r="J3" s="53"/>
      <c r="K3" s="54"/>
      <c r="L3" s="51"/>
    </row>
    <row r="4" spans="1:13" ht="16.149999999999999" customHeight="1">
      <c r="A4" s="412"/>
      <c r="B4" s="412"/>
      <c r="C4" s="412"/>
      <c r="D4" s="412"/>
      <c r="E4" s="412"/>
      <c r="F4" s="412"/>
      <c r="G4" s="412"/>
      <c r="H4" s="412"/>
      <c r="I4" s="53"/>
      <c r="J4" s="53"/>
      <c r="K4" s="54"/>
      <c r="L4" s="51"/>
    </row>
    <row r="5" spans="1:13" ht="16.149999999999999" customHeight="1">
      <c r="A5" s="412"/>
      <c r="B5" s="412"/>
      <c r="C5" s="412"/>
      <c r="D5" s="412"/>
      <c r="E5" s="412"/>
      <c r="F5" s="412"/>
      <c r="G5" s="412"/>
      <c r="H5" s="412"/>
      <c r="I5" s="53"/>
      <c r="J5" s="53"/>
      <c r="K5" s="54"/>
      <c r="L5" s="51"/>
    </row>
    <row r="6" spans="1:13" ht="16.149999999999999" customHeight="1">
      <c r="A6" s="412"/>
      <c r="B6" s="412"/>
      <c r="C6" s="412"/>
      <c r="D6" s="412"/>
      <c r="E6" s="412"/>
      <c r="F6" s="412"/>
      <c r="G6" s="412"/>
      <c r="H6" s="412"/>
      <c r="I6" s="53"/>
      <c r="J6" s="53"/>
      <c r="K6" s="54"/>
      <c r="L6" s="55"/>
      <c r="M6" s="56"/>
    </row>
    <row r="7" spans="1:13" ht="16.149999999999999" customHeight="1">
      <c r="A7" s="412"/>
      <c r="B7" s="412"/>
      <c r="C7" s="412"/>
      <c r="D7" s="412"/>
      <c r="E7" s="412"/>
      <c r="F7" s="412"/>
      <c r="G7" s="412"/>
      <c r="H7" s="412"/>
      <c r="I7" s="53"/>
      <c r="J7" s="53"/>
      <c r="K7" s="54"/>
      <c r="L7" s="55"/>
      <c r="M7" s="56"/>
    </row>
    <row r="8" spans="1:13" ht="16.149999999999999" customHeight="1">
      <c r="A8" s="412"/>
      <c r="B8" s="412"/>
      <c r="C8" s="412"/>
      <c r="D8" s="412"/>
      <c r="E8" s="412"/>
      <c r="F8" s="412"/>
      <c r="G8" s="412"/>
      <c r="H8" s="412"/>
      <c r="I8" s="53"/>
      <c r="J8" s="53"/>
      <c r="K8" s="54"/>
      <c r="L8" s="55"/>
      <c r="M8" s="56"/>
    </row>
    <row r="9" spans="1:13" ht="16.149999999999999" customHeight="1">
      <c r="A9" s="412"/>
      <c r="B9" s="412"/>
      <c r="C9" s="412"/>
      <c r="D9" s="412"/>
      <c r="E9" s="412"/>
      <c r="F9" s="412"/>
      <c r="G9" s="412"/>
      <c r="H9" s="412"/>
      <c r="I9" s="53"/>
      <c r="J9" s="53"/>
      <c r="K9" s="54"/>
      <c r="L9" s="55"/>
      <c r="M9" s="56"/>
    </row>
    <row r="10" spans="1:13" ht="16.149999999999999" customHeight="1">
      <c r="A10" s="51"/>
      <c r="B10" s="51"/>
      <c r="C10" s="51"/>
      <c r="D10" s="51"/>
      <c r="E10" s="51"/>
      <c r="F10" s="51"/>
      <c r="G10" s="51"/>
      <c r="H10" s="51"/>
      <c r="I10" s="51"/>
      <c r="J10" s="51"/>
      <c r="K10" s="51"/>
      <c r="L10" s="51"/>
    </row>
    <row r="11" spans="1:13" ht="16.149999999999999" customHeight="1">
      <c r="A11" s="57"/>
      <c r="B11" s="57"/>
      <c r="C11" s="57"/>
      <c r="D11" s="57"/>
      <c r="E11" s="57"/>
      <c r="F11" s="57"/>
      <c r="G11" s="57"/>
      <c r="H11" s="57"/>
      <c r="I11" s="57"/>
      <c r="J11" s="57"/>
      <c r="K11" s="57"/>
      <c r="L11" s="57"/>
    </row>
    <row r="12" spans="1:13" ht="16.149999999999999" customHeight="1">
      <c r="A12" s="57"/>
      <c r="B12" s="57"/>
      <c r="C12" s="57"/>
      <c r="D12" s="57"/>
      <c r="E12" s="57"/>
      <c r="F12" s="57"/>
      <c r="G12" s="57"/>
      <c r="H12" s="57"/>
      <c r="I12" s="57"/>
      <c r="J12" s="57"/>
      <c r="K12" s="57"/>
      <c r="L12" s="57"/>
    </row>
    <row r="13" spans="1:13" ht="16.149999999999999" customHeight="1">
      <c r="A13" s="57"/>
      <c r="B13" s="57"/>
      <c r="C13" s="57"/>
      <c r="D13" s="57"/>
      <c r="E13" s="57"/>
      <c r="F13" s="57"/>
      <c r="G13" s="57"/>
      <c r="H13" s="57"/>
      <c r="I13" s="57"/>
      <c r="J13" s="57"/>
      <c r="K13" s="57"/>
      <c r="L13" s="57"/>
    </row>
    <row r="14" spans="1:13" ht="16.149999999999999" customHeight="1">
      <c r="A14" s="57"/>
      <c r="B14" s="57"/>
      <c r="C14" s="57"/>
      <c r="D14" s="57"/>
      <c r="E14" s="57"/>
      <c r="F14" s="57"/>
      <c r="G14" s="57"/>
      <c r="H14" s="57"/>
      <c r="I14" s="57"/>
      <c r="J14" s="57"/>
      <c r="K14" s="57"/>
      <c r="L14" s="57"/>
    </row>
    <row r="15" spans="1:13" ht="16.149999999999999" customHeight="1">
      <c r="A15" s="57"/>
      <c r="B15" s="57"/>
      <c r="C15" s="57"/>
      <c r="D15" s="57"/>
      <c r="E15" s="57"/>
      <c r="F15" s="57"/>
      <c r="G15" s="57"/>
      <c r="H15" s="57"/>
      <c r="I15" s="57"/>
      <c r="J15" s="57"/>
      <c r="K15" s="57"/>
      <c r="L15" s="57"/>
    </row>
    <row r="16" spans="1:13" ht="25.5" customHeight="1">
      <c r="A16" s="413" t="s">
        <v>0</v>
      </c>
      <c r="B16" s="413"/>
      <c r="C16" s="397"/>
      <c r="D16" s="397"/>
      <c r="E16" s="397"/>
      <c r="F16" s="397"/>
      <c r="G16" s="397"/>
      <c r="H16" s="397"/>
      <c r="I16" s="397"/>
      <c r="J16" s="397"/>
      <c r="K16" s="397"/>
      <c r="L16" s="397"/>
    </row>
    <row r="17" spans="1:12" ht="16.149999999999999" customHeight="1">
      <c r="A17" s="57"/>
      <c r="B17" s="57"/>
      <c r="C17" s="57"/>
      <c r="D17" s="57"/>
      <c r="E17" s="57"/>
      <c r="F17" s="57"/>
      <c r="G17" s="57"/>
      <c r="H17" s="57"/>
      <c r="I17" s="57"/>
      <c r="J17" s="57"/>
      <c r="K17" s="57"/>
      <c r="L17" s="57"/>
    </row>
    <row r="18" spans="1:12" ht="16.149999999999999" customHeight="1">
      <c r="A18" s="57"/>
      <c r="B18" s="57"/>
      <c r="C18" s="57"/>
      <c r="D18" s="57"/>
      <c r="E18" s="57"/>
      <c r="F18" s="57"/>
      <c r="G18" s="57"/>
      <c r="H18" s="57"/>
      <c r="I18" s="57"/>
      <c r="J18" s="57"/>
      <c r="K18" s="57"/>
      <c r="L18" s="57"/>
    </row>
    <row r="19" spans="1:12" ht="16.149999999999999" customHeight="1">
      <c r="A19" s="57"/>
      <c r="B19" s="57"/>
      <c r="C19" s="57"/>
      <c r="D19" s="57"/>
      <c r="E19" s="57"/>
      <c r="F19" s="57"/>
      <c r="G19" s="57"/>
      <c r="H19" s="57"/>
      <c r="I19" s="57"/>
      <c r="J19" s="57"/>
      <c r="K19" s="57"/>
      <c r="L19" s="57"/>
    </row>
    <row r="20" spans="1:12" ht="16.149999999999999" customHeight="1">
      <c r="A20" s="57"/>
      <c r="B20" s="57"/>
      <c r="C20" s="57"/>
      <c r="D20" s="57"/>
      <c r="E20" s="57"/>
      <c r="F20" s="57"/>
      <c r="G20" s="57"/>
      <c r="H20" s="57"/>
      <c r="I20" s="57"/>
      <c r="J20" s="57"/>
      <c r="K20" s="57"/>
      <c r="L20" s="57"/>
    </row>
    <row r="21" spans="1:12" ht="15.75" customHeight="1">
      <c r="A21" s="57"/>
      <c r="B21" s="57"/>
      <c r="C21" s="57"/>
      <c r="D21" s="57"/>
      <c r="E21" s="57"/>
      <c r="F21" s="57"/>
      <c r="G21" s="57"/>
      <c r="H21" s="57"/>
      <c r="I21" s="57"/>
      <c r="J21" s="57"/>
      <c r="K21" s="57"/>
      <c r="L21" s="57"/>
    </row>
    <row r="22" spans="1:12" ht="15.75" customHeight="1">
      <c r="A22" s="57"/>
      <c r="B22" s="57"/>
      <c r="C22" s="57"/>
      <c r="D22" s="57"/>
      <c r="E22" s="57"/>
      <c r="F22" s="57"/>
      <c r="G22" s="57"/>
      <c r="H22" s="57"/>
      <c r="I22" s="57"/>
      <c r="J22" s="57"/>
      <c r="K22" s="57"/>
      <c r="L22" s="57"/>
    </row>
    <row r="23" spans="1:12" ht="15.75" customHeight="1">
      <c r="A23" s="57"/>
      <c r="B23" s="57"/>
      <c r="C23" s="57"/>
      <c r="D23" s="57"/>
      <c r="E23" s="57"/>
      <c r="F23" s="57"/>
      <c r="G23" s="57"/>
      <c r="H23" s="57"/>
      <c r="I23" s="57"/>
      <c r="J23" s="57"/>
      <c r="K23" s="57"/>
      <c r="L23" s="57"/>
    </row>
    <row r="24" spans="1:12" ht="15.75" customHeight="1">
      <c r="A24" s="57"/>
      <c r="B24" s="57"/>
      <c r="C24" s="57"/>
      <c r="D24" s="57"/>
      <c r="E24" s="57"/>
      <c r="F24" s="57"/>
      <c r="G24" s="57"/>
      <c r="H24" s="57"/>
      <c r="I24" s="57"/>
      <c r="J24" s="57"/>
      <c r="K24" s="57"/>
      <c r="L24" s="57"/>
    </row>
    <row r="25" spans="1:12" ht="15.75" customHeight="1">
      <c r="A25" s="57"/>
      <c r="B25" s="57"/>
      <c r="C25" s="57"/>
      <c r="D25" s="57"/>
      <c r="E25" s="57"/>
      <c r="F25" s="57"/>
      <c r="G25" s="57"/>
      <c r="H25" s="57"/>
      <c r="I25" s="57"/>
      <c r="J25" s="57"/>
      <c r="K25" s="57"/>
      <c r="L25" s="57"/>
    </row>
    <row r="26" spans="1:12" ht="15.75" customHeight="1">
      <c r="A26" s="57"/>
      <c r="B26" s="57"/>
      <c r="C26" s="57"/>
      <c r="D26" s="57"/>
      <c r="E26" s="57"/>
      <c r="F26" s="57"/>
      <c r="G26" s="57"/>
      <c r="H26" s="57"/>
      <c r="I26" s="57"/>
      <c r="J26" s="57"/>
      <c r="K26" s="57"/>
      <c r="L26" s="57"/>
    </row>
    <row r="27" spans="1:12" ht="15.75" customHeight="1">
      <c r="A27" s="57"/>
      <c r="B27" s="57"/>
      <c r="C27" s="57"/>
      <c r="D27" s="57"/>
      <c r="E27" s="57"/>
      <c r="F27" s="57"/>
      <c r="G27" s="57"/>
      <c r="H27" s="57"/>
      <c r="I27" s="57"/>
      <c r="J27" s="57"/>
      <c r="K27" s="57"/>
      <c r="L27" s="57"/>
    </row>
    <row r="28" spans="1:12" ht="15.75" customHeight="1">
      <c r="A28" s="58" t="s">
        <v>593</v>
      </c>
      <c r="B28" s="57"/>
      <c r="C28" s="57"/>
      <c r="D28" s="57"/>
      <c r="E28" s="57"/>
      <c r="F28" s="57"/>
      <c r="G28" s="57"/>
      <c r="H28" s="57"/>
      <c r="I28" s="57"/>
      <c r="J28" s="57"/>
      <c r="K28" s="57"/>
      <c r="L28" s="57"/>
    </row>
    <row r="29" spans="1:12" ht="15.75" customHeight="1">
      <c r="A29" s="57"/>
      <c r="B29" s="57"/>
      <c r="C29" s="57"/>
      <c r="D29" s="57"/>
      <c r="E29" s="57"/>
      <c r="F29" s="57"/>
      <c r="G29" s="57"/>
      <c r="H29" s="57"/>
      <c r="I29" s="57"/>
      <c r="J29" s="57"/>
      <c r="K29" s="57"/>
      <c r="L29" s="57"/>
    </row>
    <row r="30" spans="1:12" ht="15.75" customHeight="1">
      <c r="A30" s="59" t="s">
        <v>104</v>
      </c>
      <c r="B30" s="57"/>
      <c r="C30" s="57"/>
      <c r="D30" s="89">
        <v>50.8</v>
      </c>
      <c r="E30" s="60" t="s">
        <v>5</v>
      </c>
      <c r="F30" s="57"/>
      <c r="G30" s="57"/>
      <c r="H30" s="57"/>
      <c r="I30" s="57"/>
      <c r="J30" s="57"/>
      <c r="K30" s="57"/>
      <c r="L30" s="57"/>
    </row>
    <row r="31" spans="1:12" ht="15.75" customHeight="1">
      <c r="A31" s="59"/>
      <c r="B31" s="57"/>
      <c r="C31" s="57"/>
      <c r="D31" s="57"/>
      <c r="E31" s="60"/>
      <c r="F31" s="57"/>
      <c r="G31" s="57"/>
      <c r="H31" s="57"/>
      <c r="I31" s="57"/>
      <c r="J31" s="57"/>
      <c r="K31" s="57"/>
      <c r="L31" s="57"/>
    </row>
    <row r="32" spans="1:12" ht="15.75" customHeight="1">
      <c r="A32" s="59" t="s">
        <v>105</v>
      </c>
      <c r="B32" s="57"/>
      <c r="C32" s="57"/>
      <c r="D32" s="89">
        <v>100.8</v>
      </c>
      <c r="E32" s="60" t="s">
        <v>5</v>
      </c>
      <c r="F32" s="417" t="str">
        <f>IF(AND(D30-50.8=0,D32&gt;=100.8),"O.K.",IF(D32&gt;=126.2,"O.K.","El recubrimiento es menor a 50 mm, considerar un recubrimiento igual o superior a 50 mm"))</f>
        <v>O.K.</v>
      </c>
      <c r="G32" s="417"/>
      <c r="H32" s="417"/>
      <c r="I32" s="417"/>
      <c r="J32" s="417"/>
      <c r="K32" s="57"/>
      <c r="L32" s="57"/>
    </row>
    <row r="33" spans="1:12" ht="15.75" customHeight="1">
      <c r="A33" s="57"/>
      <c r="B33" s="57"/>
      <c r="C33" s="57"/>
      <c r="D33" s="57"/>
      <c r="E33" s="57"/>
      <c r="F33" s="417"/>
      <c r="G33" s="417"/>
      <c r="H33" s="417"/>
      <c r="I33" s="417"/>
      <c r="J33" s="417"/>
      <c r="K33" s="57"/>
      <c r="L33" s="57"/>
    </row>
    <row r="34" spans="1:12" ht="15.75" customHeight="1">
      <c r="A34" s="59" t="s">
        <v>106</v>
      </c>
      <c r="B34" s="57"/>
      <c r="C34" s="57"/>
      <c r="D34" s="31">
        <f>IF(AND(D30&lt;&gt;"",D32&lt;&gt;""),IF(D32&gt;=D30+50,D32-D30,50),"")</f>
        <v>50</v>
      </c>
      <c r="E34" s="60" t="s">
        <v>5</v>
      </c>
      <c r="F34" s="417"/>
      <c r="G34" s="417"/>
      <c r="H34" s="417"/>
      <c r="I34" s="417"/>
      <c r="J34" s="417"/>
      <c r="K34" s="57"/>
      <c r="L34" s="57"/>
    </row>
    <row r="35" spans="1:12" ht="15.75" customHeight="1">
      <c r="A35" s="57"/>
      <c r="B35" s="57"/>
      <c r="C35" s="57"/>
      <c r="D35" s="57"/>
      <c r="E35" s="57"/>
      <c r="F35" s="57"/>
      <c r="G35" s="57"/>
      <c r="H35" s="57"/>
      <c r="I35" s="57"/>
      <c r="J35" s="57"/>
      <c r="K35" s="57"/>
      <c r="L35" s="57"/>
    </row>
    <row r="36" spans="1:12" ht="21.75" customHeight="1">
      <c r="A36" s="59" t="s">
        <v>107</v>
      </c>
      <c r="B36" s="57"/>
      <c r="C36" s="57"/>
      <c r="D36" s="36">
        <f>IF(D34&lt;&gt;"",IF(0.00075*D34*1000&gt;59.868,0.00075*D34*1000,59.868),"")</f>
        <v>59.868000000000002</v>
      </c>
      <c r="E36" s="60" t="s">
        <v>9</v>
      </c>
      <c r="F36" s="57"/>
      <c r="G36" s="57"/>
      <c r="H36" s="57"/>
      <c r="I36" s="57"/>
      <c r="J36" s="57"/>
      <c r="K36" s="57"/>
      <c r="L36" s="57"/>
    </row>
    <row r="37" spans="1:12" ht="21.75" hidden="1" customHeight="1">
      <c r="A37" s="59"/>
      <c r="B37" s="57"/>
      <c r="C37" s="57"/>
      <c r="D37" s="57"/>
      <c r="E37" s="60"/>
      <c r="F37" s="57"/>
      <c r="G37" s="57"/>
      <c r="H37" s="57"/>
      <c r="I37" s="57"/>
      <c r="J37" s="57"/>
      <c r="K37" s="57"/>
      <c r="L37" s="57"/>
    </row>
    <row r="38" spans="1:12" ht="15.75" hidden="1" customHeight="1">
      <c r="A38" s="57"/>
      <c r="B38" s="57"/>
      <c r="C38" s="57"/>
      <c r="D38" s="57"/>
      <c r="E38" s="57"/>
      <c r="F38" s="57"/>
      <c r="G38" s="57"/>
      <c r="H38" s="57"/>
      <c r="I38" s="57"/>
      <c r="J38" s="57"/>
      <c r="K38" s="57"/>
      <c r="L38" s="57"/>
    </row>
    <row r="39" spans="1:12" ht="15.75" hidden="1" customHeight="1">
      <c r="A39" s="58" t="s">
        <v>108</v>
      </c>
      <c r="B39" s="57"/>
      <c r="C39" s="57"/>
      <c r="D39" s="57"/>
      <c r="E39" s="57"/>
      <c r="F39" s="57"/>
      <c r="G39" s="57"/>
      <c r="H39" s="57"/>
      <c r="I39" s="57"/>
      <c r="J39" s="57"/>
      <c r="K39" s="57"/>
      <c r="L39" s="57"/>
    </row>
    <row r="40" spans="1:12" ht="15.75" hidden="1" customHeight="1">
      <c r="A40" s="57"/>
      <c r="B40" s="57"/>
      <c r="C40" s="57"/>
      <c r="D40" s="57"/>
      <c r="E40" s="57"/>
      <c r="F40" s="57"/>
      <c r="G40" s="57"/>
      <c r="H40" s="57"/>
      <c r="I40" s="57"/>
      <c r="J40" s="57"/>
      <c r="K40" s="57"/>
      <c r="L40" s="57"/>
    </row>
    <row r="41" spans="1:12" ht="16.149999999999999" customHeight="1">
      <c r="H41" s="57"/>
    </row>
    <row r="42" spans="1:12" ht="16.149999999999999" hidden="1" customHeight="1">
      <c r="A42" s="406" t="s">
        <v>1</v>
      </c>
      <c r="B42" s="406"/>
      <c r="C42" s="414" t="s">
        <v>586</v>
      </c>
      <c r="D42" s="415"/>
      <c r="E42" s="416"/>
      <c r="F42" s="293"/>
      <c r="H42" s="57"/>
      <c r="I42" s="57"/>
      <c r="J42" s="57"/>
      <c r="K42" s="57"/>
      <c r="L42" s="57"/>
    </row>
    <row r="43" spans="1:12" ht="16.149999999999999" hidden="1" customHeight="1">
      <c r="A43" s="294"/>
      <c r="B43" s="294"/>
      <c r="C43" s="294"/>
      <c r="D43" s="294"/>
      <c r="F43" s="293"/>
      <c r="H43" s="57"/>
      <c r="I43" s="57"/>
      <c r="J43" s="57"/>
      <c r="K43" s="57"/>
      <c r="L43" s="57"/>
    </row>
    <row r="44" spans="1:12" ht="16.149999999999999" hidden="1" customHeight="1">
      <c r="A44" s="62"/>
      <c r="B44" s="62"/>
      <c r="C44" s="62"/>
      <c r="D44" s="62"/>
      <c r="E44" s="62"/>
      <c r="F44" s="62"/>
      <c r="G44" s="291"/>
      <c r="H44" s="62"/>
      <c r="I44" s="62"/>
      <c r="J44" s="62"/>
      <c r="K44" s="62"/>
      <c r="L44" s="62"/>
    </row>
    <row r="45" spans="1:12" ht="16.149999999999999" hidden="1" customHeight="1">
      <c r="A45" s="60" t="s">
        <v>4</v>
      </c>
      <c r="B45" s="57"/>
      <c r="C45" s="57"/>
      <c r="D45" s="61">
        <f ca="1">VLOOKUP(Tipo_malla,OFFSET(Mallas_U_SI,,,,5),5,0)</f>
        <v>4.1151046092387089</v>
      </c>
      <c r="E45" s="60" t="s">
        <v>5</v>
      </c>
      <c r="F45" s="62"/>
      <c r="G45" s="291"/>
      <c r="H45" s="62"/>
      <c r="I45" s="62"/>
      <c r="J45" s="62"/>
      <c r="K45" s="62"/>
      <c r="L45" s="62"/>
    </row>
    <row r="46" spans="1:12" ht="16.149999999999999" hidden="1" customHeight="1">
      <c r="A46" s="60" t="s">
        <v>7</v>
      </c>
      <c r="B46" s="57"/>
      <c r="C46" s="57"/>
      <c r="D46" s="63">
        <f ca="1">VLOOKUP(Tipo_malla,OFFSET(Mallas_U_SI,,,,2),2,0)</f>
        <v>152</v>
      </c>
      <c r="E46" s="60" t="s">
        <v>5</v>
      </c>
      <c r="F46" s="62"/>
      <c r="G46" s="291"/>
      <c r="H46" s="62"/>
      <c r="I46" s="62"/>
      <c r="J46" s="62"/>
      <c r="K46" s="62"/>
      <c r="L46" s="62"/>
    </row>
    <row r="47" spans="1:12" ht="16.149999999999999" customHeight="1">
      <c r="A47" s="297" t="s">
        <v>6</v>
      </c>
      <c r="B47" s="60"/>
      <c r="D47" s="64">
        <v>1000</v>
      </c>
      <c r="E47" s="60" t="s">
        <v>5</v>
      </c>
      <c r="F47" s="62"/>
      <c r="G47" s="291"/>
      <c r="H47" s="57"/>
      <c r="I47" s="62"/>
      <c r="J47" s="62"/>
      <c r="K47" s="62"/>
      <c r="L47" s="62"/>
    </row>
    <row r="48" spans="1:12" ht="16.149999999999999" hidden="1" customHeight="1">
      <c r="A48" s="60" t="s">
        <v>8</v>
      </c>
      <c r="B48" s="60"/>
      <c r="D48" s="65">
        <f ca="1">PI()*(D45^2/4)/D46*D47</f>
        <v>87.500000000000028</v>
      </c>
      <c r="E48" s="60" t="s">
        <v>9</v>
      </c>
      <c r="F48" s="57"/>
      <c r="G48" s="57"/>
      <c r="H48" s="57"/>
      <c r="I48" s="57"/>
      <c r="J48" s="57"/>
      <c r="K48" s="57"/>
      <c r="L48" s="57"/>
    </row>
    <row r="49" spans="1:18" ht="16.149999999999999" hidden="1" customHeight="1">
      <c r="F49" s="57"/>
      <c r="G49" s="57"/>
    </row>
    <row r="50" spans="1:18" ht="16.149999999999999" hidden="1" customHeight="1">
      <c r="A50" s="59" t="s">
        <v>109</v>
      </c>
      <c r="B50" s="57"/>
      <c r="C50" s="57"/>
      <c r="D50" s="66" t="str">
        <f ca="1">IF(D36&lt;&gt;"",IF(D48/D36&gt;=1,"CUMPLE","NO CUMPLE"),"")</f>
        <v>CUMPLE</v>
      </c>
      <c r="E50" s="60" t="str">
        <f ca="1">IF(D50="NO CUMPLE","SELECCIONAR OTRA MALLA","")</f>
        <v/>
      </c>
      <c r="F50" s="57"/>
      <c r="G50" s="57"/>
    </row>
    <row r="51" spans="1:18" ht="16.149999999999999" hidden="1" customHeight="1">
      <c r="F51" s="57"/>
      <c r="G51" s="57"/>
    </row>
    <row r="52" spans="1:18" ht="16.149999999999999" customHeight="1">
      <c r="F52" s="57"/>
      <c r="G52" s="57"/>
    </row>
    <row r="53" spans="1:18" ht="16.149999999999999" customHeight="1">
      <c r="A53" s="58" t="s">
        <v>594</v>
      </c>
      <c r="F53" s="57"/>
      <c r="G53" s="57"/>
    </row>
    <row r="54" spans="1:18" ht="16.149999999999999" customHeight="1">
      <c r="F54" s="57"/>
      <c r="G54" s="57"/>
    </row>
    <row r="55" spans="1:18" ht="23.25" customHeight="1">
      <c r="A55" s="67" t="s">
        <v>13</v>
      </c>
      <c r="B55" s="57"/>
      <c r="C55" s="57"/>
      <c r="D55" s="34">
        <v>15</v>
      </c>
      <c r="E55" s="60" t="s">
        <v>14</v>
      </c>
      <c r="F55" s="57"/>
      <c r="G55" s="57"/>
      <c r="H55" s="57"/>
      <c r="I55" s="57"/>
      <c r="J55" s="57"/>
      <c r="K55" s="57"/>
      <c r="L55" s="57"/>
    </row>
    <row r="56" spans="1:18" ht="21.75" customHeight="1">
      <c r="A56" s="67" t="s">
        <v>15</v>
      </c>
      <c r="B56" s="57"/>
      <c r="C56" s="57"/>
      <c r="D56" s="34">
        <v>485</v>
      </c>
      <c r="E56" s="60" t="s">
        <v>14</v>
      </c>
      <c r="F56" s="57"/>
      <c r="G56" s="57"/>
      <c r="H56" s="406"/>
      <c r="I56" s="406"/>
      <c r="J56" s="406"/>
      <c r="K56" s="411"/>
      <c r="L56" s="57"/>
    </row>
    <row r="57" spans="1:18" ht="16.149999999999999" customHeight="1">
      <c r="A57" s="68"/>
      <c r="B57" s="57"/>
      <c r="C57" s="57"/>
      <c r="D57" s="57"/>
      <c r="E57" s="57"/>
      <c r="F57" s="57"/>
      <c r="G57" s="57"/>
      <c r="H57" s="406"/>
      <c r="I57" s="406"/>
      <c r="J57" s="406"/>
      <c r="K57" s="411"/>
      <c r="L57" s="57"/>
    </row>
    <row r="58" spans="1:18" ht="16.149999999999999" customHeight="1">
      <c r="A58" s="68"/>
      <c r="B58" s="57"/>
      <c r="C58" s="57"/>
      <c r="D58" s="57"/>
      <c r="E58" s="57"/>
      <c r="F58" s="57"/>
      <c r="G58" s="57"/>
      <c r="H58" s="406"/>
      <c r="I58" s="406"/>
      <c r="J58" s="406"/>
      <c r="K58" s="411"/>
      <c r="L58" s="57"/>
    </row>
    <row r="59" spans="1:18" ht="16.149999999999999" hidden="1" customHeight="1">
      <c r="A59" s="404" t="s">
        <v>17</v>
      </c>
      <c r="B59" s="404"/>
      <c r="C59" s="405"/>
      <c r="D59" s="69">
        <v>0.71</v>
      </c>
      <c r="E59" s="60"/>
      <c r="F59" s="57"/>
      <c r="G59" s="57"/>
    </row>
    <row r="60" spans="1:18" ht="16.149999999999999" customHeight="1">
      <c r="A60" s="404" t="s">
        <v>595</v>
      </c>
      <c r="B60" s="404"/>
      <c r="C60" s="405"/>
      <c r="D60" s="63">
        <f>D59*SQRT(D55)</f>
        <v>2.749818175807266</v>
      </c>
      <c r="E60" s="60" t="s">
        <v>14</v>
      </c>
      <c r="F60" s="57"/>
      <c r="G60" s="57"/>
      <c r="N60" s="70"/>
    </row>
    <row r="61" spans="1:18" ht="16.149999999999999" customHeight="1">
      <c r="A61" s="404" t="s">
        <v>18</v>
      </c>
      <c r="B61" s="404"/>
      <c r="C61" s="405"/>
      <c r="D61" s="63">
        <f>IF(AND(D56&lt;&gt;"",D36&lt;&gt;""),D36*D56/(1.15*D47*D34),"")</f>
        <v>0.50497356521739134</v>
      </c>
      <c r="E61" s="60" t="s">
        <v>14</v>
      </c>
      <c r="F61" s="57"/>
      <c r="G61" s="57"/>
      <c r="M61" s="71"/>
      <c r="N61" s="71"/>
      <c r="O61" s="71"/>
      <c r="P61" s="71"/>
      <c r="Q61" s="71"/>
      <c r="R61" s="71"/>
    </row>
    <row r="62" spans="1:18" ht="32.25" customHeight="1">
      <c r="A62" s="406" t="s">
        <v>19</v>
      </c>
      <c r="B62" s="406"/>
      <c r="C62" s="407"/>
      <c r="D62" s="63">
        <f>IF(OR(D60="",D60=0,D61=""),"",(D61/(1/1.5*D60))*100)</f>
        <v>27.545833920590727</v>
      </c>
      <c r="E62" s="60" t="s">
        <v>12</v>
      </c>
      <c r="F62" s="72"/>
      <c r="G62" s="72"/>
      <c r="I62" s="408" t="s">
        <v>20</v>
      </c>
      <c r="J62" s="408"/>
      <c r="K62" s="408"/>
      <c r="L62" s="408"/>
      <c r="M62" s="71"/>
      <c r="N62" s="73"/>
      <c r="O62" s="71"/>
      <c r="P62" s="71"/>
      <c r="Q62" s="71"/>
      <c r="R62" s="71"/>
    </row>
    <row r="63" spans="1:18" ht="16.149999999999999" customHeight="1" thickBot="1">
      <c r="A63" s="57"/>
      <c r="B63" s="57"/>
      <c r="C63" s="57"/>
      <c r="D63" s="57"/>
      <c r="E63" s="57"/>
      <c r="F63" s="57"/>
      <c r="G63" s="57"/>
      <c r="H63" s="57"/>
      <c r="I63" s="408"/>
      <c r="J63" s="408"/>
      <c r="K63" s="408"/>
      <c r="L63" s="408"/>
      <c r="M63" s="71"/>
      <c r="N63" s="71"/>
      <c r="O63" s="71"/>
      <c r="P63" s="71"/>
      <c r="Q63" s="71"/>
      <c r="R63" s="71"/>
    </row>
    <row r="64" spans="1:18" ht="22.5" customHeight="1" thickBot="1">
      <c r="A64" s="409" t="s">
        <v>21</v>
      </c>
      <c r="B64" s="409"/>
      <c r="C64" s="409"/>
      <c r="D64" s="409"/>
      <c r="E64" s="410"/>
      <c r="F64" s="74">
        <v>2.735541801735867</v>
      </c>
      <c r="G64" s="75" t="s">
        <v>22</v>
      </c>
      <c r="H64" s="76" t="s">
        <v>23</v>
      </c>
      <c r="I64" s="408"/>
      <c r="J64" s="408"/>
      <c r="K64" s="408"/>
      <c r="L64" s="408"/>
      <c r="M64" s="71"/>
      <c r="N64" s="71"/>
      <c r="O64" s="71"/>
      <c r="P64" s="71"/>
      <c r="Q64" s="71"/>
      <c r="R64" s="71"/>
    </row>
    <row r="65" spans="1:25" ht="22.5" customHeight="1">
      <c r="A65" s="77"/>
      <c r="B65" s="77"/>
      <c r="C65" s="77"/>
      <c r="D65" s="77"/>
      <c r="E65" s="77"/>
      <c r="F65" s="78"/>
      <c r="G65" s="78"/>
      <c r="H65" s="76"/>
      <c r="I65" s="408"/>
      <c r="J65" s="408"/>
      <c r="K65" s="408"/>
      <c r="L65" s="408"/>
      <c r="M65" s="71"/>
      <c r="N65" s="71"/>
      <c r="O65" s="71"/>
      <c r="P65" s="71"/>
      <c r="Q65" s="71"/>
      <c r="R65" s="71"/>
    </row>
    <row r="66" spans="1:25" ht="22.15" customHeight="1">
      <c r="A66" s="77"/>
      <c r="B66" s="77"/>
      <c r="C66" s="77"/>
      <c r="D66" s="77"/>
      <c r="F66" s="78"/>
      <c r="G66" s="78"/>
      <c r="H66" s="76"/>
      <c r="I66" s="408"/>
      <c r="J66" s="408"/>
      <c r="K66" s="408"/>
      <c r="L66" s="408"/>
      <c r="M66" s="71"/>
      <c r="N66" s="71"/>
      <c r="O66" s="71"/>
      <c r="P66" s="71"/>
      <c r="Q66" s="71"/>
      <c r="R66" s="71"/>
    </row>
    <row r="67" spans="1:25" ht="16.149999999999999" hidden="1" customHeight="1">
      <c r="A67" s="60"/>
      <c r="B67" s="60"/>
      <c r="C67" s="60"/>
      <c r="D67" s="60"/>
      <c r="E67" s="60"/>
      <c r="F67" s="60"/>
      <c r="G67" s="292"/>
      <c r="H67" s="57"/>
      <c r="I67" s="408"/>
      <c r="J67" s="408"/>
      <c r="K67" s="408"/>
      <c r="L67" s="408"/>
      <c r="M67" s="71"/>
      <c r="N67" s="71"/>
      <c r="O67" s="71"/>
      <c r="P67" s="71"/>
      <c r="Q67" s="71"/>
      <c r="R67" s="71"/>
    </row>
    <row r="68" spans="1:25" ht="16.149999999999999" hidden="1" customHeight="1">
      <c r="A68" s="57"/>
      <c r="B68" s="57"/>
      <c r="C68" s="57"/>
      <c r="D68" s="57"/>
      <c r="E68" s="57"/>
      <c r="F68" s="57"/>
      <c r="G68" s="57"/>
      <c r="H68" s="57"/>
      <c r="I68" s="57"/>
      <c r="J68" s="57"/>
      <c r="K68" s="57"/>
      <c r="L68" s="57"/>
      <c r="M68" s="71"/>
    </row>
    <row r="69" spans="1:25" ht="16.149999999999999" hidden="1" customHeight="1">
      <c r="A69" s="79"/>
      <c r="B69" s="57"/>
      <c r="C69" s="57"/>
      <c r="D69" s="57"/>
      <c r="E69" s="57"/>
      <c r="F69" s="57"/>
      <c r="G69" s="57"/>
      <c r="H69" s="57"/>
      <c r="I69" s="57"/>
      <c r="J69" s="57"/>
      <c r="K69" s="57"/>
      <c r="L69" s="57"/>
    </row>
    <row r="70" spans="1:25" ht="16.149999999999999" hidden="1" customHeight="1"/>
    <row r="71" spans="1:25" ht="16.149999999999999" hidden="1" customHeight="1"/>
    <row r="72" spans="1:25" ht="16.149999999999999" hidden="1" customHeight="1"/>
    <row r="73" spans="1:25" ht="16.149999999999999" hidden="1" customHeight="1"/>
    <row r="74" spans="1:25" ht="16.149999999999999" hidden="1" customHeight="1"/>
    <row r="75" spans="1:25" ht="16.149999999999999" hidden="1" customHeight="1"/>
    <row r="76" spans="1:25" ht="28.5" hidden="1" customHeight="1">
      <c r="O76" s="81" t="s">
        <v>24</v>
      </c>
      <c r="P76" s="81" t="s">
        <v>25</v>
      </c>
      <c r="Q76" s="81" t="s">
        <v>26</v>
      </c>
      <c r="R76" s="81" t="s">
        <v>27</v>
      </c>
      <c r="S76" s="82" t="s">
        <v>28</v>
      </c>
      <c r="T76" s="82" t="s">
        <v>29</v>
      </c>
      <c r="Y76" s="83"/>
    </row>
    <row r="77" spans="1:25" ht="16.149999999999999" hidden="1" customHeight="1">
      <c r="O77" s="84" t="s">
        <v>30</v>
      </c>
      <c r="P77" s="85">
        <v>50</v>
      </c>
      <c r="Q77" s="86">
        <v>25.8</v>
      </c>
      <c r="R77" s="86">
        <v>25.8</v>
      </c>
      <c r="S77" s="86">
        <f t="shared" ref="S77:S108" si="0">SQRT(4*Q77/PI())</f>
        <v>5.7314553347441519</v>
      </c>
      <c r="T77" s="86">
        <f t="shared" ref="T77:T108" si="1">SQRT(4*R77/PI())</f>
        <v>5.7314553347441519</v>
      </c>
      <c r="W77" s="88" t="s">
        <v>110</v>
      </c>
      <c r="X77" s="83">
        <f>25.4*2</f>
        <v>50.8</v>
      </c>
      <c r="Y77" s="83"/>
    </row>
    <row r="78" spans="1:25" ht="16.149999999999999" hidden="1" customHeight="1">
      <c r="O78" s="84" t="s">
        <v>31</v>
      </c>
      <c r="P78" s="85">
        <v>50</v>
      </c>
      <c r="Q78" s="86">
        <v>18.7</v>
      </c>
      <c r="R78" s="86">
        <v>18.7</v>
      </c>
      <c r="S78" s="86">
        <f t="shared" si="0"/>
        <v>4.8795060699365402</v>
      </c>
      <c r="T78" s="86">
        <f t="shared" si="1"/>
        <v>4.8795060699365402</v>
      </c>
      <c r="W78" s="88" t="s">
        <v>111</v>
      </c>
      <c r="X78" s="83">
        <f>25.4*3</f>
        <v>76.199999999999989</v>
      </c>
      <c r="Y78" s="83"/>
    </row>
    <row r="79" spans="1:25" ht="16.149999999999999" hidden="1" customHeight="1">
      <c r="O79" s="84" t="s">
        <v>32</v>
      </c>
      <c r="P79" s="85">
        <v>50</v>
      </c>
      <c r="Q79" s="86">
        <v>13.3</v>
      </c>
      <c r="R79" s="86">
        <v>13.3</v>
      </c>
      <c r="S79" s="86">
        <f t="shared" si="0"/>
        <v>4.1151046092387089</v>
      </c>
      <c r="T79" s="86">
        <f t="shared" si="1"/>
        <v>4.1151046092387089</v>
      </c>
    </row>
    <row r="80" spans="1:25" ht="16.149999999999999" hidden="1" customHeight="1">
      <c r="O80" s="84" t="s">
        <v>33</v>
      </c>
      <c r="P80" s="85">
        <v>50</v>
      </c>
      <c r="Q80" s="86">
        <v>9.1</v>
      </c>
      <c r="R80" s="86">
        <v>9.1</v>
      </c>
      <c r="S80" s="86">
        <f t="shared" si="0"/>
        <v>3.4038918691829769</v>
      </c>
      <c r="T80" s="86">
        <f t="shared" si="1"/>
        <v>3.4038918691829769</v>
      </c>
    </row>
    <row r="81" spans="15:20" ht="16.149999999999999" hidden="1" customHeight="1">
      <c r="O81" s="84" t="s">
        <v>34</v>
      </c>
      <c r="P81" s="85">
        <v>50</v>
      </c>
      <c r="Q81" s="86">
        <v>5.6</v>
      </c>
      <c r="R81" s="86">
        <v>5.6</v>
      </c>
      <c r="S81" s="86">
        <f t="shared" si="0"/>
        <v>2.6702324712498182</v>
      </c>
      <c r="T81" s="86">
        <f t="shared" si="1"/>
        <v>2.6702324712498182</v>
      </c>
    </row>
    <row r="82" spans="15:20" ht="16.149999999999999" hidden="1" customHeight="1">
      <c r="O82" s="84" t="s">
        <v>35</v>
      </c>
      <c r="P82" s="85">
        <v>50</v>
      </c>
      <c r="Q82" s="86">
        <v>3.2</v>
      </c>
      <c r="R82" s="86">
        <v>3.2</v>
      </c>
      <c r="S82" s="86">
        <f t="shared" si="0"/>
        <v>2.018506017616128</v>
      </c>
      <c r="T82" s="86">
        <f t="shared" si="1"/>
        <v>2.018506017616128</v>
      </c>
    </row>
    <row r="83" spans="15:20" ht="16.149999999999999" hidden="1" customHeight="1">
      <c r="O83" s="84" t="s">
        <v>36</v>
      </c>
      <c r="P83" s="85">
        <v>50</v>
      </c>
      <c r="Q83" s="86">
        <v>2</v>
      </c>
      <c r="R83" s="86">
        <v>2</v>
      </c>
      <c r="S83" s="86">
        <f t="shared" si="0"/>
        <v>1.5957691216057308</v>
      </c>
      <c r="T83" s="86">
        <f t="shared" si="1"/>
        <v>1.5957691216057308</v>
      </c>
    </row>
    <row r="84" spans="15:20" ht="16.149999999999999" hidden="1" customHeight="1">
      <c r="O84" s="84" t="s">
        <v>37</v>
      </c>
      <c r="P84" s="85">
        <v>76</v>
      </c>
      <c r="Q84" s="86">
        <v>13.3</v>
      </c>
      <c r="R84" s="86">
        <v>13.3</v>
      </c>
      <c r="S84" s="86">
        <f t="shared" si="0"/>
        <v>4.1151046092387089</v>
      </c>
      <c r="T84" s="86">
        <f t="shared" si="1"/>
        <v>4.1151046092387089</v>
      </c>
    </row>
    <row r="85" spans="15:20" ht="16.149999999999999" hidden="1" customHeight="1">
      <c r="O85" s="84" t="s">
        <v>38</v>
      </c>
      <c r="P85" s="85">
        <v>76</v>
      </c>
      <c r="Q85" s="86">
        <v>9.1</v>
      </c>
      <c r="R85" s="86">
        <v>9.1</v>
      </c>
      <c r="S85" s="86">
        <f t="shared" si="0"/>
        <v>3.4038918691829769</v>
      </c>
      <c r="T85" s="86">
        <f t="shared" si="1"/>
        <v>3.4038918691829769</v>
      </c>
    </row>
    <row r="86" spans="15:20" ht="16.149999999999999" hidden="1" customHeight="1">
      <c r="O86" s="84" t="s">
        <v>39</v>
      </c>
      <c r="P86" s="85">
        <v>76</v>
      </c>
      <c r="Q86" s="86">
        <v>5.6</v>
      </c>
      <c r="R86" s="86">
        <v>5.6</v>
      </c>
      <c r="S86" s="86">
        <f t="shared" si="0"/>
        <v>2.6702324712498182</v>
      </c>
      <c r="T86" s="86">
        <f t="shared" si="1"/>
        <v>2.6702324712498182</v>
      </c>
    </row>
    <row r="87" spans="15:20" ht="16.149999999999999" hidden="1" customHeight="1">
      <c r="O87" s="84" t="s">
        <v>40</v>
      </c>
      <c r="P87" s="85">
        <v>76</v>
      </c>
      <c r="Q87" s="86">
        <v>3.2</v>
      </c>
      <c r="R87" s="86">
        <v>3.2</v>
      </c>
      <c r="S87" s="86">
        <f t="shared" si="0"/>
        <v>2.018506017616128</v>
      </c>
      <c r="T87" s="86">
        <f t="shared" si="1"/>
        <v>2.018506017616128</v>
      </c>
    </row>
    <row r="88" spans="15:20" ht="16.149999999999999" hidden="1" customHeight="1">
      <c r="O88" s="84" t="s">
        <v>41</v>
      </c>
      <c r="P88" s="85">
        <v>102</v>
      </c>
      <c r="Q88" s="86">
        <v>25.8</v>
      </c>
      <c r="R88" s="86">
        <v>25.8</v>
      </c>
      <c r="S88" s="86">
        <f t="shared" si="0"/>
        <v>5.7314553347441519</v>
      </c>
      <c r="T88" s="86">
        <f t="shared" si="1"/>
        <v>5.7314553347441519</v>
      </c>
    </row>
    <row r="89" spans="15:20" ht="16.149999999999999" hidden="1" customHeight="1">
      <c r="O89" s="84" t="s">
        <v>42</v>
      </c>
      <c r="P89" s="85">
        <v>102</v>
      </c>
      <c r="Q89" s="86">
        <v>18.7</v>
      </c>
      <c r="R89" s="86">
        <v>18.7</v>
      </c>
      <c r="S89" s="86">
        <f t="shared" si="0"/>
        <v>4.8795060699365402</v>
      </c>
      <c r="T89" s="86">
        <f t="shared" si="1"/>
        <v>4.8795060699365402</v>
      </c>
    </row>
    <row r="90" spans="15:20" ht="16.149999999999999" hidden="1" customHeight="1">
      <c r="O90" s="84" t="s">
        <v>43</v>
      </c>
      <c r="P90" s="85">
        <v>102</v>
      </c>
      <c r="Q90" s="86">
        <v>13.3</v>
      </c>
      <c r="R90" s="86">
        <v>13.3</v>
      </c>
      <c r="S90" s="86">
        <f t="shared" si="0"/>
        <v>4.1151046092387089</v>
      </c>
      <c r="T90" s="86">
        <f t="shared" si="1"/>
        <v>4.1151046092387089</v>
      </c>
    </row>
    <row r="91" spans="15:20" ht="16.149999999999999" hidden="1" customHeight="1">
      <c r="O91" s="84" t="s">
        <v>44</v>
      </c>
      <c r="P91" s="85">
        <v>102</v>
      </c>
      <c r="Q91" s="86">
        <v>11.1</v>
      </c>
      <c r="R91" s="86">
        <v>11.1</v>
      </c>
      <c r="S91" s="86">
        <f t="shared" si="0"/>
        <v>3.7593827879800039</v>
      </c>
      <c r="T91" s="86">
        <f t="shared" si="1"/>
        <v>3.7593827879800039</v>
      </c>
    </row>
    <row r="92" spans="15:20" ht="16.149999999999999" hidden="1" customHeight="1">
      <c r="O92" s="84" t="s">
        <v>45</v>
      </c>
      <c r="P92" s="85">
        <v>102</v>
      </c>
      <c r="Q92" s="86">
        <v>9.1</v>
      </c>
      <c r="R92" s="86">
        <v>9.1</v>
      </c>
      <c r="S92" s="86">
        <f t="shared" si="0"/>
        <v>3.4038918691829769</v>
      </c>
      <c r="T92" s="86">
        <f t="shared" si="1"/>
        <v>3.4038918691829769</v>
      </c>
    </row>
    <row r="93" spans="15:20" ht="16.149999999999999" hidden="1" customHeight="1">
      <c r="O93" s="84" t="s">
        <v>46</v>
      </c>
      <c r="P93" s="85">
        <v>102</v>
      </c>
      <c r="Q93" s="86">
        <v>5.6</v>
      </c>
      <c r="R93" s="86">
        <v>5.6</v>
      </c>
      <c r="S93" s="86">
        <f t="shared" si="0"/>
        <v>2.6702324712498182</v>
      </c>
      <c r="T93" s="86">
        <f t="shared" si="1"/>
        <v>2.6702324712498182</v>
      </c>
    </row>
    <row r="94" spans="15:20" ht="16.149999999999999" hidden="1" customHeight="1">
      <c r="O94" s="84" t="s">
        <v>47</v>
      </c>
      <c r="P94" s="85">
        <v>102</v>
      </c>
      <c r="Q94" s="86">
        <v>4.2</v>
      </c>
      <c r="R94" s="86">
        <v>4.2</v>
      </c>
      <c r="S94" s="86">
        <f t="shared" si="0"/>
        <v>2.3124891541124435</v>
      </c>
      <c r="T94" s="86">
        <f t="shared" si="1"/>
        <v>2.3124891541124435</v>
      </c>
    </row>
    <row r="95" spans="15:20" ht="16.149999999999999" hidden="1" customHeight="1">
      <c r="O95" s="84" t="s">
        <v>48</v>
      </c>
      <c r="P95" s="85">
        <v>102</v>
      </c>
      <c r="Q95" s="86">
        <v>3.2</v>
      </c>
      <c r="R95" s="86">
        <v>3.2</v>
      </c>
      <c r="S95" s="86">
        <f t="shared" si="0"/>
        <v>2.018506017616128</v>
      </c>
      <c r="T95" s="86">
        <f t="shared" si="1"/>
        <v>2.018506017616128</v>
      </c>
    </row>
    <row r="96" spans="15:20" ht="16.149999999999999" hidden="1" customHeight="1">
      <c r="O96" s="84" t="s">
        <v>49</v>
      </c>
      <c r="P96" s="85">
        <v>152</v>
      </c>
      <c r="Q96" s="86">
        <v>47.6</v>
      </c>
      <c r="R96" s="86">
        <v>47.6</v>
      </c>
      <c r="S96" s="86">
        <f t="shared" si="0"/>
        <v>7.7849985439557887</v>
      </c>
      <c r="T96" s="86">
        <f t="shared" si="1"/>
        <v>7.7849985439557887</v>
      </c>
    </row>
    <row r="97" spans="1:20" ht="16.149999999999999" hidden="1" customHeight="1">
      <c r="O97" s="84" t="s">
        <v>50</v>
      </c>
      <c r="P97" s="85">
        <v>152</v>
      </c>
      <c r="Q97" s="86">
        <v>40.6</v>
      </c>
      <c r="R97" s="86">
        <v>40.6</v>
      </c>
      <c r="S97" s="86">
        <f t="shared" si="0"/>
        <v>7.1898209655211591</v>
      </c>
      <c r="T97" s="86">
        <f t="shared" si="1"/>
        <v>7.1898209655211591</v>
      </c>
    </row>
    <row r="98" spans="1:20" ht="16.149999999999999" hidden="1" customHeight="1">
      <c r="O98" s="84" t="s">
        <v>51</v>
      </c>
      <c r="P98" s="85">
        <v>152</v>
      </c>
      <c r="Q98" s="86">
        <v>34.9</v>
      </c>
      <c r="R98" s="86">
        <v>34.9</v>
      </c>
      <c r="S98" s="86">
        <f t="shared" si="0"/>
        <v>6.6660378120182591</v>
      </c>
      <c r="T98" s="86">
        <f t="shared" si="1"/>
        <v>6.6660378120182591</v>
      </c>
    </row>
    <row r="99" spans="1:20" ht="16.149999999999999" hidden="1" customHeight="1">
      <c r="O99" s="84" t="s">
        <v>52</v>
      </c>
      <c r="P99" s="85">
        <v>152</v>
      </c>
      <c r="Q99" s="86">
        <v>30.1</v>
      </c>
      <c r="R99" s="86">
        <v>30.1</v>
      </c>
      <c r="S99" s="86">
        <f t="shared" si="0"/>
        <v>6.1906793081638787</v>
      </c>
      <c r="T99" s="86">
        <f t="shared" si="1"/>
        <v>6.1906793081638787</v>
      </c>
    </row>
    <row r="100" spans="1:20" ht="16.149999999999999" hidden="1" customHeight="1">
      <c r="O100" s="84" t="s">
        <v>53</v>
      </c>
      <c r="P100" s="85">
        <v>152</v>
      </c>
      <c r="Q100" s="86">
        <v>25.8</v>
      </c>
      <c r="R100" s="86">
        <v>25.8</v>
      </c>
      <c r="S100" s="86">
        <f t="shared" si="0"/>
        <v>5.7314553347441519</v>
      </c>
      <c r="T100" s="86">
        <f t="shared" si="1"/>
        <v>5.7314553347441519</v>
      </c>
    </row>
    <row r="101" spans="1:20" ht="16.149999999999999" hidden="1" customHeight="1">
      <c r="O101" s="84" t="s">
        <v>54</v>
      </c>
      <c r="P101" s="85">
        <v>152</v>
      </c>
      <c r="Q101" s="86">
        <v>25.8</v>
      </c>
      <c r="R101" s="86">
        <v>18.7</v>
      </c>
      <c r="S101" s="86">
        <f t="shared" si="0"/>
        <v>5.7314553347441519</v>
      </c>
      <c r="T101" s="86">
        <f t="shared" si="1"/>
        <v>4.8795060699365402</v>
      </c>
    </row>
    <row r="102" spans="1:20" ht="16.149999999999999" hidden="1" customHeight="1">
      <c r="O102" s="84" t="s">
        <v>55</v>
      </c>
      <c r="P102" s="85">
        <v>152</v>
      </c>
      <c r="Q102" s="86">
        <v>21.7</v>
      </c>
      <c r="R102" s="86">
        <v>21.7</v>
      </c>
      <c r="S102" s="86">
        <f t="shared" si="0"/>
        <v>5.2563578760157714</v>
      </c>
      <c r="T102" s="86">
        <f t="shared" si="1"/>
        <v>5.2563578760157714</v>
      </c>
    </row>
    <row r="103" spans="1:20" ht="16.149999999999999" hidden="1" customHeight="1">
      <c r="O103" s="84" t="s">
        <v>56</v>
      </c>
      <c r="P103" s="85">
        <v>152</v>
      </c>
      <c r="Q103" s="86">
        <v>18.7</v>
      </c>
      <c r="R103" s="86">
        <v>18.7</v>
      </c>
      <c r="S103" s="86">
        <f t="shared" si="0"/>
        <v>4.8795060699365402</v>
      </c>
      <c r="T103" s="86">
        <f t="shared" si="1"/>
        <v>4.8795060699365402</v>
      </c>
    </row>
    <row r="104" spans="1:20" ht="16.149999999999999" hidden="1" customHeight="1">
      <c r="O104" s="84" t="s">
        <v>57</v>
      </c>
      <c r="P104" s="85">
        <v>152</v>
      </c>
      <c r="Q104" s="86">
        <v>15.9</v>
      </c>
      <c r="R104" s="86">
        <v>15.9</v>
      </c>
      <c r="S104" s="86">
        <f t="shared" si="0"/>
        <v>4.4993898209967416</v>
      </c>
      <c r="T104" s="86">
        <f t="shared" si="1"/>
        <v>4.4993898209967416</v>
      </c>
    </row>
    <row r="105" spans="1:20" ht="16.149999999999999" hidden="1" customHeight="1">
      <c r="O105" s="84" t="s">
        <v>58</v>
      </c>
      <c r="P105" s="85">
        <v>152</v>
      </c>
      <c r="Q105" s="86">
        <v>13.3</v>
      </c>
      <c r="R105" s="86">
        <v>13.3</v>
      </c>
      <c r="S105" s="86">
        <f t="shared" si="0"/>
        <v>4.1151046092387089</v>
      </c>
      <c r="T105" s="86">
        <f t="shared" si="1"/>
        <v>4.1151046092387089</v>
      </c>
    </row>
    <row r="106" spans="1:20" ht="16.149999999999999" customHeight="1">
      <c r="A106" s="57"/>
      <c r="B106" s="57"/>
      <c r="C106" s="57"/>
      <c r="D106" s="57"/>
      <c r="E106" s="57"/>
      <c r="F106" s="57"/>
      <c r="G106" s="57"/>
      <c r="H106" s="57"/>
      <c r="I106" s="57"/>
      <c r="J106" s="57"/>
      <c r="K106" s="57"/>
      <c r="L106" s="57"/>
      <c r="M106" s="57"/>
      <c r="N106" s="57"/>
      <c r="O106" s="367" t="s">
        <v>59</v>
      </c>
      <c r="P106" s="368">
        <v>152</v>
      </c>
      <c r="Q106" s="369">
        <v>11.1</v>
      </c>
      <c r="R106" s="369">
        <v>11.1</v>
      </c>
      <c r="S106" s="369">
        <f t="shared" si="0"/>
        <v>3.7593827879800039</v>
      </c>
      <c r="T106" s="369">
        <f t="shared" si="1"/>
        <v>3.7593827879800039</v>
      </c>
    </row>
    <row r="107" spans="1:20" ht="16.149999999999999" customHeight="1">
      <c r="A107" s="57"/>
      <c r="B107" s="57"/>
      <c r="C107" s="57"/>
      <c r="D107" s="57"/>
      <c r="E107" s="57"/>
      <c r="F107" s="57"/>
      <c r="G107" s="57"/>
      <c r="H107" s="57"/>
      <c r="I107" s="57"/>
      <c r="J107" s="57"/>
      <c r="K107" s="57"/>
      <c r="L107" s="57"/>
      <c r="M107" s="57"/>
      <c r="N107" s="57"/>
      <c r="O107" s="367" t="s">
        <v>60</v>
      </c>
      <c r="P107" s="368">
        <v>152</v>
      </c>
      <c r="Q107" s="369">
        <v>9.1</v>
      </c>
      <c r="R107" s="369">
        <v>9.1</v>
      </c>
      <c r="S107" s="369">
        <f t="shared" si="0"/>
        <v>3.4038918691829769</v>
      </c>
      <c r="T107" s="369">
        <f t="shared" si="1"/>
        <v>3.4038918691829769</v>
      </c>
    </row>
    <row r="108" spans="1:20" ht="16.149999999999999" customHeight="1">
      <c r="A108" s="57"/>
      <c r="B108" s="57"/>
      <c r="C108" s="57"/>
      <c r="D108" s="57"/>
      <c r="E108" s="57"/>
      <c r="F108" s="57"/>
      <c r="G108" s="57"/>
      <c r="H108" s="57"/>
      <c r="I108" s="57"/>
      <c r="J108" s="57"/>
      <c r="K108" s="57"/>
      <c r="L108" s="57"/>
      <c r="M108" s="57"/>
      <c r="N108" s="57"/>
      <c r="O108" s="367" t="s">
        <v>61</v>
      </c>
      <c r="P108" s="368">
        <v>305</v>
      </c>
      <c r="Q108" s="369">
        <v>34.9</v>
      </c>
      <c r="R108" s="369">
        <v>34.9</v>
      </c>
      <c r="S108" s="369">
        <f t="shared" si="0"/>
        <v>6.6660378120182591</v>
      </c>
      <c r="T108" s="369">
        <f t="shared" si="1"/>
        <v>6.6660378120182591</v>
      </c>
    </row>
    <row r="109" spans="1:20" ht="16.149999999999999" hidden="1" customHeight="1">
      <c r="O109" s="87" t="s">
        <v>62</v>
      </c>
      <c r="P109" s="85">
        <v>150</v>
      </c>
      <c r="Q109" s="86">
        <f t="shared" ref="Q109:Q128" si="2">PI()*S109^2/4</f>
        <v>12.566370614359172</v>
      </c>
      <c r="R109" s="86">
        <f t="shared" ref="R109:R128" si="3">PI()*T109^2/4</f>
        <v>12.566370614359172</v>
      </c>
      <c r="S109" s="86">
        <v>4</v>
      </c>
      <c r="T109" s="86">
        <v>4</v>
      </c>
    </row>
    <row r="110" spans="1:20" ht="16.149999999999999" hidden="1" customHeight="1">
      <c r="O110" s="87" t="s">
        <v>63</v>
      </c>
      <c r="P110" s="85">
        <v>150</v>
      </c>
      <c r="Q110" s="86">
        <f t="shared" si="2"/>
        <v>15.904312808798327</v>
      </c>
      <c r="R110" s="86">
        <f t="shared" si="3"/>
        <v>12.566370614359172</v>
      </c>
      <c r="S110" s="86">
        <v>4.5</v>
      </c>
      <c r="T110" s="86">
        <v>4</v>
      </c>
    </row>
    <row r="111" spans="1:20" ht="16.149999999999999" hidden="1" customHeight="1">
      <c r="O111" s="87" t="s">
        <v>64</v>
      </c>
      <c r="P111" s="85">
        <v>150</v>
      </c>
      <c r="Q111" s="86">
        <f t="shared" si="2"/>
        <v>19.634954084936208</v>
      </c>
      <c r="R111" s="86">
        <f t="shared" si="3"/>
        <v>12.566370614359172</v>
      </c>
      <c r="S111" s="86">
        <v>5</v>
      </c>
      <c r="T111" s="86">
        <v>4</v>
      </c>
    </row>
    <row r="112" spans="1:20" ht="16.149999999999999" hidden="1" customHeight="1">
      <c r="O112" s="87" t="s">
        <v>65</v>
      </c>
      <c r="P112" s="85">
        <v>150</v>
      </c>
      <c r="Q112" s="86">
        <f t="shared" si="2"/>
        <v>23.758294442772812</v>
      </c>
      <c r="R112" s="86">
        <f t="shared" si="3"/>
        <v>12.566370614359172</v>
      </c>
      <c r="S112" s="86">
        <v>5.5</v>
      </c>
      <c r="T112" s="86">
        <v>4</v>
      </c>
    </row>
    <row r="113" spans="4:20" ht="16.149999999999999" hidden="1" customHeight="1">
      <c r="O113" s="87" t="s">
        <v>66</v>
      </c>
      <c r="P113" s="85">
        <v>150</v>
      </c>
      <c r="Q113" s="86">
        <f t="shared" si="2"/>
        <v>33.183072403542191</v>
      </c>
      <c r="R113" s="86">
        <f t="shared" si="3"/>
        <v>12.566370614359172</v>
      </c>
      <c r="S113" s="86">
        <v>6.5</v>
      </c>
      <c r="T113" s="86">
        <v>4</v>
      </c>
    </row>
    <row r="114" spans="4:20" ht="16.149999999999999" hidden="1" customHeight="1">
      <c r="O114" s="87" t="s">
        <v>67</v>
      </c>
      <c r="P114" s="85">
        <v>150</v>
      </c>
      <c r="Q114" s="86">
        <f t="shared" si="2"/>
        <v>38.484510006474963</v>
      </c>
      <c r="R114" s="86">
        <f t="shared" si="3"/>
        <v>19.634954084936208</v>
      </c>
      <c r="S114" s="86">
        <v>7</v>
      </c>
      <c r="T114" s="86">
        <v>5</v>
      </c>
    </row>
    <row r="115" spans="4:20" ht="16.149999999999999" hidden="1" customHeight="1">
      <c r="O115" s="87" t="s">
        <v>68</v>
      </c>
      <c r="P115" s="85">
        <v>150</v>
      </c>
      <c r="Q115" s="86">
        <f t="shared" si="2"/>
        <v>50.26548245743669</v>
      </c>
      <c r="R115" s="86">
        <f t="shared" si="3"/>
        <v>19.634954084936208</v>
      </c>
      <c r="S115" s="86">
        <v>8</v>
      </c>
      <c r="T115" s="86">
        <v>5</v>
      </c>
    </row>
    <row r="116" spans="4:20" ht="16.149999999999999" hidden="1" customHeight="1">
      <c r="O116" s="87" t="s">
        <v>69</v>
      </c>
      <c r="P116" s="85">
        <v>150</v>
      </c>
      <c r="Q116" s="86">
        <f t="shared" si="2"/>
        <v>56.745017305465637</v>
      </c>
      <c r="R116" s="86">
        <f t="shared" si="3"/>
        <v>19.634954084936208</v>
      </c>
      <c r="S116" s="86">
        <v>8.5</v>
      </c>
      <c r="T116" s="86">
        <v>5</v>
      </c>
    </row>
    <row r="117" spans="4:20" ht="16.149999999999999" hidden="1" customHeight="1">
      <c r="O117" s="87" t="s">
        <v>70</v>
      </c>
      <c r="P117" s="85">
        <v>250</v>
      </c>
      <c r="Q117" s="86">
        <f t="shared" si="2"/>
        <v>12.566370614359172</v>
      </c>
      <c r="R117" s="86">
        <f t="shared" si="3"/>
        <v>12.566370614359172</v>
      </c>
      <c r="S117" s="86">
        <v>4</v>
      </c>
      <c r="T117" s="86">
        <v>4</v>
      </c>
    </row>
    <row r="118" spans="4:20" ht="16.149999999999999" hidden="1" customHeight="1">
      <c r="O118" s="87" t="s">
        <v>71</v>
      </c>
      <c r="P118" s="85">
        <v>200</v>
      </c>
      <c r="Q118" s="86">
        <f t="shared" si="2"/>
        <v>12.566370614359172</v>
      </c>
      <c r="R118" s="86">
        <f t="shared" si="3"/>
        <v>12.566370614359172</v>
      </c>
      <c r="S118" s="86">
        <v>4</v>
      </c>
      <c r="T118" s="86">
        <v>4</v>
      </c>
    </row>
    <row r="119" spans="4:20" ht="16.149999999999999" hidden="1" customHeight="1">
      <c r="O119" s="87" t="s">
        <v>72</v>
      </c>
      <c r="P119" s="85">
        <v>150</v>
      </c>
      <c r="Q119" s="86">
        <f t="shared" si="2"/>
        <v>12.566370614359172</v>
      </c>
      <c r="R119" s="86">
        <f t="shared" si="3"/>
        <v>12.566370614359172</v>
      </c>
      <c r="S119" s="86">
        <v>4</v>
      </c>
      <c r="T119" s="86">
        <v>4</v>
      </c>
    </row>
    <row r="120" spans="4:20" ht="16.149999999999999" hidden="1" customHeight="1">
      <c r="O120" s="87" t="s">
        <v>73</v>
      </c>
      <c r="P120" s="85">
        <v>150</v>
      </c>
      <c r="Q120" s="86">
        <f t="shared" si="2"/>
        <v>15.904312808798327</v>
      </c>
      <c r="R120" s="86">
        <f t="shared" si="3"/>
        <v>15.904312808798327</v>
      </c>
      <c r="S120" s="86">
        <v>4.5</v>
      </c>
      <c r="T120" s="86">
        <v>4.5</v>
      </c>
    </row>
    <row r="121" spans="4:20" ht="16.149999999999999" hidden="1" customHeight="1">
      <c r="O121" s="87" t="s">
        <v>74</v>
      </c>
      <c r="P121" s="85">
        <v>150</v>
      </c>
      <c r="Q121" s="86">
        <f t="shared" si="2"/>
        <v>19.634954084936208</v>
      </c>
      <c r="R121" s="86">
        <f t="shared" si="3"/>
        <v>19.634954084936208</v>
      </c>
      <c r="S121" s="86">
        <v>5</v>
      </c>
      <c r="T121" s="86">
        <v>5</v>
      </c>
    </row>
    <row r="122" spans="4:20" ht="16.149999999999999" hidden="1" customHeight="1">
      <c r="O122" s="87" t="s">
        <v>75</v>
      </c>
      <c r="P122" s="85">
        <v>150</v>
      </c>
      <c r="Q122" s="86">
        <f t="shared" si="2"/>
        <v>23.758294442772812</v>
      </c>
      <c r="R122" s="86">
        <f t="shared" si="3"/>
        <v>23.758294442772812</v>
      </c>
      <c r="S122" s="86">
        <v>5.5</v>
      </c>
      <c r="T122" s="86">
        <v>5.5</v>
      </c>
    </row>
    <row r="123" spans="4:20" ht="16.149999999999999" hidden="1" customHeight="1">
      <c r="O123" s="87" t="s">
        <v>76</v>
      </c>
      <c r="P123" s="85">
        <v>150</v>
      </c>
      <c r="Q123" s="86">
        <f t="shared" si="2"/>
        <v>28.274333882308138</v>
      </c>
      <c r="R123" s="86">
        <f t="shared" si="3"/>
        <v>28.274333882308138</v>
      </c>
      <c r="S123" s="86">
        <v>6</v>
      </c>
      <c r="T123" s="86">
        <v>6</v>
      </c>
    </row>
    <row r="124" spans="4:20" ht="16.149999999999999" hidden="1" customHeight="1">
      <c r="O124" s="87" t="s">
        <v>77</v>
      </c>
      <c r="P124" s="85">
        <v>150</v>
      </c>
      <c r="Q124" s="86">
        <f t="shared" si="2"/>
        <v>33.183072403542191</v>
      </c>
      <c r="R124" s="86">
        <f t="shared" si="3"/>
        <v>33.183072403542191</v>
      </c>
      <c r="S124" s="86">
        <v>6.5</v>
      </c>
      <c r="T124" s="86">
        <v>6.5</v>
      </c>
    </row>
    <row r="125" spans="4:20" ht="16.149999999999999" hidden="1" customHeight="1">
      <c r="O125" s="87" t="s">
        <v>78</v>
      </c>
      <c r="P125" s="85">
        <v>150</v>
      </c>
      <c r="Q125" s="86">
        <f t="shared" si="2"/>
        <v>38.484510006474963</v>
      </c>
      <c r="R125" s="86">
        <f t="shared" si="3"/>
        <v>38.484510006474963</v>
      </c>
      <c r="S125" s="86">
        <v>7</v>
      </c>
      <c r="T125" s="86">
        <v>7</v>
      </c>
    </row>
    <row r="126" spans="4:20" ht="16.149999999999999" hidden="1" customHeight="1">
      <c r="O126" s="87" t="s">
        <v>79</v>
      </c>
      <c r="P126" s="85">
        <v>150</v>
      </c>
      <c r="Q126" s="86">
        <f t="shared" si="2"/>
        <v>44.178646691106465</v>
      </c>
      <c r="R126" s="86">
        <f t="shared" si="3"/>
        <v>44.178646691106465</v>
      </c>
      <c r="S126" s="86">
        <v>7.5</v>
      </c>
      <c r="T126" s="86">
        <v>7.5</v>
      </c>
    </row>
    <row r="127" spans="4:20" ht="16.149999999999999" hidden="1" customHeight="1">
      <c r="O127" s="87" t="s">
        <v>80</v>
      </c>
      <c r="P127" s="85">
        <v>150</v>
      </c>
      <c r="Q127" s="86">
        <f t="shared" si="2"/>
        <v>50.26548245743669</v>
      </c>
      <c r="R127" s="86">
        <f t="shared" si="3"/>
        <v>50.26548245743669</v>
      </c>
      <c r="S127" s="86">
        <v>8</v>
      </c>
      <c r="T127" s="86">
        <v>8</v>
      </c>
    </row>
    <row r="128" spans="4:20" ht="16.149999999999999" hidden="1" customHeight="1">
      <c r="D128" s="80"/>
      <c r="O128" s="87" t="s">
        <v>81</v>
      </c>
      <c r="P128" s="85">
        <v>150</v>
      </c>
      <c r="Q128" s="86">
        <f t="shared" si="2"/>
        <v>56.745017305465637</v>
      </c>
      <c r="R128" s="86">
        <f t="shared" si="3"/>
        <v>56.745017305465637</v>
      </c>
      <c r="S128" s="86">
        <v>8.5</v>
      </c>
      <c r="T128" s="86">
        <v>8.5</v>
      </c>
    </row>
    <row r="129" spans="9:9" ht="16.149999999999999" hidden="1" customHeight="1"/>
    <row r="130" spans="9:9" ht="16.149999999999999" hidden="1" customHeight="1"/>
    <row r="131" spans="9:9" ht="16.149999999999999" hidden="1" customHeight="1"/>
    <row r="132" spans="9:9" ht="16.149999999999999" hidden="1" customHeight="1"/>
    <row r="133" spans="9:9" ht="16.149999999999999" hidden="1" customHeight="1">
      <c r="I133" s="80"/>
    </row>
    <row r="134" spans="9:9" ht="16.149999999999999" hidden="1" customHeight="1"/>
    <row r="135" spans="9:9" ht="16.149999999999999" hidden="1" customHeight="1"/>
    <row r="136" spans="9:9" ht="16.149999999999999" hidden="1" customHeight="1"/>
    <row r="137" spans="9:9" ht="16.149999999999999" hidden="1" customHeight="1"/>
    <row r="138" spans="9:9" ht="16.149999999999999" hidden="1" customHeight="1"/>
    <row r="139" spans="9:9" ht="16.149999999999999" hidden="1" customHeight="1"/>
    <row r="140" spans="9:9" ht="16.149999999999999" hidden="1" customHeight="1"/>
    <row r="141" spans="9:9" ht="16.149999999999999" hidden="1" customHeight="1"/>
  </sheetData>
  <sheetProtection algorithmName="SHA-512" hashValue="X7wFoKQXX3ectpyINs25uobv+I05KuaCMK9JFQUSVdWkjEeVTNH+fadfknGZtXuzdoQKDgSAF8rIsmb6YWJ6lA==" saltValue="bxvlo1y9KdxZaDaznslttA==" spinCount="100000" sheet="1" objects="1" scenarios="1" selectLockedCells="1"/>
  <mergeCells count="14">
    <mergeCell ref="H56:J58"/>
    <mergeCell ref="K56:K58"/>
    <mergeCell ref="A2:H9"/>
    <mergeCell ref="A16:B16"/>
    <mergeCell ref="C16:L16"/>
    <mergeCell ref="A42:B42"/>
    <mergeCell ref="C42:E42"/>
    <mergeCell ref="F32:J34"/>
    <mergeCell ref="A59:C59"/>
    <mergeCell ref="A60:C60"/>
    <mergeCell ref="A61:C61"/>
    <mergeCell ref="A62:C62"/>
    <mergeCell ref="I62:L67"/>
    <mergeCell ref="A64:E64"/>
  </mergeCells>
  <conditionalFormatting sqref="K56">
    <cfRule type="containsText" dxfId="223" priority="8" operator="containsText" text="O.K.">
      <formula>NOT(ISERROR(SEARCH("O.K.",K56)))</formula>
    </cfRule>
    <cfRule type="containsText" dxfId="222" priority="9" operator="containsText" text="CAMBIAR TIPO DE MALLA">
      <formula>NOT(ISERROR(SEARCH("CAMBIAR TIPO DE MALLA",K56)))</formula>
    </cfRule>
  </conditionalFormatting>
  <conditionalFormatting sqref="A67:G67">
    <cfRule type="containsText" dxfId="221" priority="6" operator="containsText" text="(Re,3 &gt; 30%) por lo tanto se especifica dosificación según Re,3 obtenido">
      <formula>NOT(ISERROR(SEARCH("(Re,3 &gt; 30%) por lo tanto se especifica dosificación según Re,3 obtenido",A67)))</formula>
    </cfRule>
    <cfRule type="containsText" dxfId="220" priority="7" operator="containsText" text="(Re,3 &lt; 30%) por lo tanto se especifica dosificación mínima para Re,3 = 30%">
      <formula>NOT(ISERROR(SEARCH("(Re,3 &lt; 30%) por lo tanto se especifica dosificación mínima para Re,3 = 30%",A67)))</formula>
    </cfRule>
  </conditionalFormatting>
  <conditionalFormatting sqref="D50">
    <cfRule type="containsText" dxfId="219" priority="4" operator="containsText" text="NO CUMPLE">
      <formula>NOT(ISERROR(SEARCH("NO CUMPLE",D50)))</formula>
    </cfRule>
    <cfRule type="containsText" dxfId="218" priority="5" operator="containsText" text="CUMPLE">
      <formula>NOT(ISERROR(SEARCH("CUMPLE",D50)))</formula>
    </cfRule>
  </conditionalFormatting>
  <dataValidations count="5">
    <dataValidation type="list" allowBlank="1" showInputMessage="1" showErrorMessage="1" sqref="D30" xr:uid="{00000000-0002-0000-0400-000000000000}">
      <formula1>$X$77:$X$78</formula1>
    </dataValidation>
    <dataValidation type="list" allowBlank="1" showInputMessage="1" showErrorMessage="1" sqref="C42" xr:uid="{00000000-0002-0000-0400-000001000000}">
      <formula1>Mallas_U_SI</formula1>
    </dataValidation>
    <dataValidation type="decimal" operator="greaterThanOrEqual" allowBlank="1" showInputMessage="1" showErrorMessage="1" error="El espesor mínimo de recubrimiento es de 50 mm (total slab depth - deck depth ≥ 50 mm)" sqref="D32" xr:uid="{00000000-0002-0000-0400-000002000000}">
      <formula1>100.8</formula1>
    </dataValidation>
    <dataValidation type="decimal" operator="greaterThanOrEqual" allowBlank="1" showInputMessage="1" showErrorMessage="1" error="La resistencia a compresión del concreto debe ser superior o igual a 15 MPa." sqref="D55" xr:uid="{00000000-0002-0000-0400-000003000000}">
      <formula1>15</formula1>
    </dataValidation>
    <dataValidation type="decimal" operator="greaterThanOrEqual" allowBlank="1" showInputMessage="1" showErrorMessage="1" error="El esfuerzo de fluencia para el acero de refuerzo debe ser igual o superior a 400 MPa." sqref="D56" xr:uid="{00000000-0002-0000-0400-000004000000}">
      <formula1>400</formula1>
    </dataValidation>
  </dataValidations>
  <printOptions horizontalCentered="1"/>
  <pageMargins left="0.70866141732283472" right="0.70866141732283472" top="0.74803149606299213" bottom="0.74803149606299213" header="0.31496062992125984" footer="0.31496062992125984"/>
  <pageSetup scale="55" orientation="portrait"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Menu_Select">
                <anchor moveWithCells="1" sizeWithCells="1">
                  <from>
                    <xdr:col>2</xdr:col>
                    <xdr:colOff>838200</xdr:colOff>
                    <xdr:row>10</xdr:row>
                    <xdr:rowOff>142875</xdr:rowOff>
                  </from>
                  <to>
                    <xdr:col>4</xdr:col>
                    <xdr:colOff>409575</xdr:colOff>
                    <xdr:row>13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0070C0"/>
  </sheetPr>
  <dimension ref="A1:N265"/>
  <sheetViews>
    <sheetView showGridLines="0" showRowColHeaders="0" view="pageBreakPreview" zoomScaleNormal="90" zoomScaleSheetLayoutView="100" workbookViewId="0">
      <selection activeCell="D11" sqref="D11"/>
    </sheetView>
  </sheetViews>
  <sheetFormatPr baseColWidth="10" defaultColWidth="0" defaultRowHeight="15" zeroHeight="1"/>
  <cols>
    <col min="1" max="1" width="23.7109375" style="91" customWidth="1"/>
    <col min="2" max="2" width="50.5703125" style="91" customWidth="1"/>
    <col min="3" max="3" width="13.28515625" style="91" customWidth="1"/>
    <col min="4" max="4" width="9.42578125" style="91" customWidth="1"/>
    <col min="5" max="5" width="9.85546875" style="91" customWidth="1"/>
    <col min="6" max="6" width="16.5703125" style="91" hidden="1" customWidth="1"/>
    <col min="7" max="7" width="71.7109375" style="91" hidden="1" customWidth="1"/>
    <col min="8" max="8" width="10.7109375" style="91" hidden="1" customWidth="1"/>
    <col min="9" max="9" width="16.7109375" style="91" hidden="1" customWidth="1"/>
    <col min="10" max="10" width="11.42578125" style="91" hidden="1" customWidth="1"/>
    <col min="11" max="11" width="12.140625" style="91" hidden="1" customWidth="1"/>
    <col min="12" max="16384" width="11.42578125" style="91" hidden="1"/>
  </cols>
  <sheetData>
    <row r="1" spans="1:14" ht="23.25" customHeight="1">
      <c r="A1" s="418" t="s">
        <v>284</v>
      </c>
      <c r="B1" s="418"/>
      <c r="C1" s="418"/>
      <c r="D1" s="178"/>
      <c r="E1" s="90"/>
      <c r="I1" s="92"/>
      <c r="J1" s="93"/>
      <c r="K1" s="93"/>
      <c r="L1" s="93"/>
    </row>
    <row r="2" spans="1:14" ht="10.5" customHeight="1">
      <c r="A2" s="418"/>
      <c r="B2" s="418"/>
      <c r="C2" s="418"/>
      <c r="D2" s="94"/>
      <c r="E2" s="95"/>
      <c r="I2" s="93"/>
      <c r="J2" s="93"/>
      <c r="K2" s="93"/>
      <c r="L2" s="93"/>
    </row>
    <row r="3" spans="1:14" ht="15" customHeight="1">
      <c r="A3" s="418"/>
      <c r="B3" s="418"/>
      <c r="C3" s="418"/>
      <c r="D3" s="94"/>
      <c r="E3" s="95"/>
    </row>
    <row r="4" spans="1:14" ht="21">
      <c r="A4" s="418"/>
      <c r="B4" s="418"/>
      <c r="C4" s="418"/>
      <c r="D4" s="179"/>
      <c r="E4" s="179"/>
      <c r="F4" s="93"/>
      <c r="I4" s="93"/>
      <c r="J4" s="96"/>
      <c r="K4" s="97"/>
      <c r="L4" s="98"/>
    </row>
    <row r="5" spans="1:14" ht="21">
      <c r="A5" s="418"/>
      <c r="B5" s="418"/>
      <c r="C5" s="418"/>
      <c r="D5" s="179"/>
      <c r="E5" s="179"/>
      <c r="F5" s="93"/>
      <c r="I5" s="93"/>
      <c r="J5" s="96"/>
      <c r="K5" s="97"/>
      <c r="L5" s="98"/>
      <c r="M5" s="2"/>
      <c r="N5" s="2"/>
    </row>
    <row r="6" spans="1:14">
      <c r="A6" s="102"/>
      <c r="B6" s="102"/>
      <c r="C6" s="102"/>
      <c r="D6" s="102"/>
      <c r="E6" s="102"/>
      <c r="F6" s="93"/>
    </row>
    <row r="7" spans="1:14" ht="15.75">
      <c r="A7" s="106" t="s">
        <v>283</v>
      </c>
      <c r="B7" s="420"/>
      <c r="C7" s="420"/>
      <c r="D7" s="420"/>
      <c r="E7" s="420"/>
      <c r="F7" s="93"/>
    </row>
    <row r="8" spans="1:14">
      <c r="A8" s="102"/>
      <c r="B8" s="102"/>
      <c r="C8" s="102"/>
      <c r="D8" s="102"/>
      <c r="E8" s="102"/>
      <c r="F8" s="93"/>
    </row>
    <row r="9" spans="1:14" ht="23.25">
      <c r="A9" s="100" t="s">
        <v>113</v>
      </c>
      <c r="B9" s="101"/>
      <c r="C9" s="102"/>
      <c r="D9" s="102"/>
      <c r="E9" s="102"/>
      <c r="F9" s="93"/>
    </row>
    <row r="10" spans="1:14" ht="23.25">
      <c r="A10" s="102"/>
      <c r="B10" s="101"/>
      <c r="C10" s="102"/>
      <c r="D10" s="102"/>
      <c r="E10" s="102"/>
      <c r="F10" s="93"/>
    </row>
    <row r="11" spans="1:14" ht="18.75">
      <c r="A11" s="106"/>
      <c r="B11" s="299" t="s">
        <v>114</v>
      </c>
      <c r="C11" s="108" t="s">
        <v>115</v>
      </c>
      <c r="D11" s="180">
        <v>5.2999999999999999E-2</v>
      </c>
      <c r="E11" s="109" t="s">
        <v>596</v>
      </c>
      <c r="F11" s="93"/>
    </row>
    <row r="12" spans="1:14" ht="15.75">
      <c r="A12" s="102"/>
      <c r="B12" s="106"/>
      <c r="C12" s="113"/>
      <c r="D12" s="106"/>
      <c r="E12" s="106"/>
      <c r="F12" s="93"/>
      <c r="G12" s="93"/>
      <c r="H12" s="114"/>
    </row>
    <row r="13" spans="1:14" ht="18.75">
      <c r="A13" s="100" t="s">
        <v>121</v>
      </c>
      <c r="B13" s="106"/>
      <c r="C13" s="113"/>
      <c r="D13" s="106"/>
      <c r="E13" s="106"/>
      <c r="F13" s="93"/>
      <c r="G13" s="115"/>
      <c r="H13" s="110"/>
    </row>
    <row r="14" spans="1:14" ht="18.75">
      <c r="A14" s="100"/>
      <c r="B14" s="106"/>
      <c r="C14" s="113"/>
      <c r="D14" s="106"/>
      <c r="E14" s="106"/>
      <c r="F14" s="93"/>
      <c r="G14" s="115"/>
      <c r="H14" s="110"/>
    </row>
    <row r="15" spans="1:14" ht="18.75">
      <c r="A15" s="100"/>
      <c r="B15" s="299" t="s">
        <v>597</v>
      </c>
      <c r="C15" s="422"/>
      <c r="D15" s="422"/>
      <c r="E15" s="422"/>
      <c r="F15" s="93"/>
      <c r="G15" s="115"/>
      <c r="H15" s="110"/>
    </row>
    <row r="16" spans="1:14" ht="15.75">
      <c r="A16" s="102"/>
      <c r="B16" s="106"/>
      <c r="C16" s="113"/>
      <c r="D16" s="106"/>
      <c r="E16" s="106"/>
      <c r="F16" s="93"/>
      <c r="H16" s="110"/>
    </row>
    <row r="17" spans="1:8" ht="20.25">
      <c r="A17" s="106"/>
      <c r="B17" s="299" t="s">
        <v>600</v>
      </c>
      <c r="C17" s="117" t="s">
        <v>126</v>
      </c>
      <c r="D17" s="180">
        <v>29</v>
      </c>
      <c r="E17" s="109" t="s">
        <v>14</v>
      </c>
      <c r="F17" s="93"/>
      <c r="H17" s="110"/>
    </row>
    <row r="18" spans="1:8" ht="18.75">
      <c r="A18" s="106"/>
      <c r="B18" s="298"/>
      <c r="C18" s="117"/>
      <c r="D18" s="301"/>
      <c r="E18" s="109"/>
      <c r="F18" s="93"/>
      <c r="H18" s="110"/>
    </row>
    <row r="19" spans="1:8" ht="18.75">
      <c r="A19" s="106"/>
      <c r="B19" s="299" t="s">
        <v>601</v>
      </c>
      <c r="C19" s="170" t="s">
        <v>123</v>
      </c>
      <c r="D19" s="180">
        <v>4.1088807478436262</v>
      </c>
      <c r="E19" s="109" t="s">
        <v>14</v>
      </c>
      <c r="F19" s="93"/>
      <c r="H19" s="110"/>
    </row>
    <row r="20" spans="1:8" ht="24" customHeight="1">
      <c r="A20" s="102"/>
      <c r="B20" s="106"/>
      <c r="C20" s="117"/>
      <c r="D20" s="300"/>
      <c r="E20" s="119"/>
      <c r="F20" s="93"/>
      <c r="H20" s="110"/>
    </row>
    <row r="21" spans="1:8" ht="20.25">
      <c r="A21" s="102"/>
      <c r="B21" s="299" t="s">
        <v>131</v>
      </c>
      <c r="C21" s="108" t="s">
        <v>132</v>
      </c>
      <c r="D21" s="182">
        <v>3.2</v>
      </c>
      <c r="E21" s="109" t="s">
        <v>133</v>
      </c>
      <c r="F21" s="93"/>
      <c r="H21" s="110"/>
    </row>
    <row r="22" spans="1:8" ht="15.75">
      <c r="A22" s="102"/>
      <c r="B22" s="106"/>
      <c r="C22" s="106"/>
      <c r="D22" s="106"/>
      <c r="E22" s="106"/>
      <c r="F22" s="93"/>
      <c r="G22" s="93"/>
      <c r="H22" s="110"/>
    </row>
    <row r="23" spans="1:8" ht="15.75">
      <c r="A23" s="102"/>
      <c r="B23" s="102"/>
      <c r="C23" s="102"/>
      <c r="D23" s="102"/>
      <c r="E23" s="102"/>
      <c r="F23" s="93"/>
      <c r="G23" s="93"/>
      <c r="H23" s="114"/>
    </row>
    <row r="24" spans="1:8" ht="18.75">
      <c r="A24" s="100" t="s">
        <v>140</v>
      </c>
      <c r="B24" s="106"/>
      <c r="C24" s="125"/>
      <c r="D24" s="125"/>
      <c r="E24" s="125"/>
      <c r="F24" s="93"/>
      <c r="G24" s="110"/>
      <c r="H24" s="110"/>
    </row>
    <row r="25" spans="1:8" ht="16.5" customHeight="1">
      <c r="A25" s="102"/>
      <c r="B25" s="102"/>
      <c r="C25" s="102"/>
      <c r="D25" s="102"/>
      <c r="E25" s="102"/>
      <c r="F25" s="93"/>
      <c r="G25" s="110"/>
      <c r="H25" s="110"/>
    </row>
    <row r="26" spans="1:8" ht="15.75">
      <c r="A26" s="102"/>
      <c r="B26" s="102"/>
      <c r="C26" s="102"/>
      <c r="D26" s="102"/>
      <c r="E26" s="102"/>
      <c r="F26" s="93"/>
      <c r="H26" s="123"/>
    </row>
    <row r="27" spans="1:8" ht="15.75">
      <c r="A27" s="102"/>
      <c r="B27" s="102"/>
      <c r="C27" s="102"/>
      <c r="D27" s="102"/>
      <c r="E27" s="102"/>
      <c r="F27" s="93"/>
      <c r="H27" s="110"/>
    </row>
    <row r="28" spans="1:8" ht="15.75">
      <c r="A28" s="102"/>
      <c r="B28" s="102"/>
      <c r="C28" s="102"/>
      <c r="D28" s="102"/>
      <c r="E28" s="102"/>
      <c r="H28" s="114"/>
    </row>
    <row r="29" spans="1:8" ht="15.75">
      <c r="A29" s="102"/>
      <c r="B29" s="102"/>
      <c r="C29" s="102"/>
      <c r="D29" s="102"/>
      <c r="E29" s="102"/>
      <c r="H29" s="110"/>
    </row>
    <row r="30" spans="1:8" ht="15.75">
      <c r="A30" s="102"/>
      <c r="B30" s="102"/>
      <c r="C30" s="102"/>
      <c r="D30" s="102"/>
      <c r="E30" s="102"/>
      <c r="G30" s="93"/>
      <c r="H30" s="114"/>
    </row>
    <row r="31" spans="1:8">
      <c r="A31" s="102"/>
      <c r="B31" s="102"/>
      <c r="C31" s="102"/>
      <c r="D31" s="102"/>
      <c r="E31" s="102"/>
    </row>
    <row r="32" spans="1:8" ht="15.75">
      <c r="A32" s="102"/>
      <c r="B32" s="102"/>
      <c r="C32" s="131"/>
      <c r="D32" s="132"/>
      <c r="E32" s="133"/>
    </row>
    <row r="33" spans="1:8" ht="15.75">
      <c r="A33" s="102"/>
      <c r="B33" s="134"/>
      <c r="C33" s="131"/>
      <c r="D33" s="135"/>
      <c r="E33" s="133"/>
    </row>
    <row r="34" spans="1:8" ht="16.5" customHeight="1">
      <c r="A34" s="102"/>
      <c r="B34" s="136"/>
      <c r="C34" s="137"/>
      <c r="D34" s="137"/>
      <c r="E34" s="109"/>
      <c r="G34" s="187"/>
    </row>
    <row r="35" spans="1:8" ht="18.75">
      <c r="A35" s="102"/>
      <c r="B35" s="119" t="s">
        <v>156</v>
      </c>
      <c r="C35" s="117" t="s">
        <v>157</v>
      </c>
      <c r="D35" s="183">
        <v>100</v>
      </c>
      <c r="E35" s="109" t="s">
        <v>5</v>
      </c>
    </row>
    <row r="36" spans="1:8" ht="18.75">
      <c r="A36" s="102"/>
      <c r="B36" s="119"/>
      <c r="C36" s="117"/>
      <c r="D36" s="106"/>
      <c r="E36" s="106"/>
    </row>
    <row r="37" spans="1:8" ht="18.75">
      <c r="A37" s="102"/>
      <c r="B37" s="119" t="s">
        <v>158</v>
      </c>
      <c r="C37" s="117" t="s">
        <v>159</v>
      </c>
      <c r="D37" s="183">
        <v>100</v>
      </c>
      <c r="E37" s="109" t="s">
        <v>5</v>
      </c>
    </row>
    <row r="38" spans="1:8" ht="15.75">
      <c r="A38" s="102"/>
      <c r="B38" s="106"/>
      <c r="C38" s="106"/>
      <c r="D38"/>
      <c r="E38" s="106"/>
    </row>
    <row r="39" spans="1:8" ht="20.25">
      <c r="A39" s="102"/>
      <c r="B39" s="107" t="s">
        <v>160</v>
      </c>
      <c r="C39" s="108" t="s">
        <v>161</v>
      </c>
      <c r="D39" s="181">
        <v>40</v>
      </c>
      <c r="E39" s="109" t="s">
        <v>150</v>
      </c>
    </row>
    <row r="40" spans="1:8" ht="18.75">
      <c r="A40" s="102"/>
      <c r="B40" s="107"/>
      <c r="C40" s="139"/>
      <c r="D40" s="140"/>
      <c r="E40" s="109"/>
      <c r="H40" s="141"/>
    </row>
    <row r="41" spans="1:8" ht="18.75">
      <c r="A41" s="102"/>
      <c r="B41" s="107" t="s">
        <v>604</v>
      </c>
      <c r="C41" s="142"/>
      <c r="D41" s="182">
        <v>1.3</v>
      </c>
      <c r="E41" s="109"/>
      <c r="H41" s="141"/>
    </row>
    <row r="42" spans="1:8" ht="18.75">
      <c r="A42" s="102"/>
      <c r="B42" s="107"/>
      <c r="C42" s="142"/>
      <c r="D42"/>
      <c r="E42" s="109"/>
      <c r="H42" s="141"/>
    </row>
    <row r="43" spans="1:8" ht="18.75">
      <c r="A43" s="102"/>
      <c r="B43" s="119" t="s">
        <v>605</v>
      </c>
      <c r="C43" s="142"/>
      <c r="D43" s="302">
        <f>FS_parcial*gc</f>
        <v>1.9500000000000002</v>
      </c>
      <c r="E43" s="109"/>
      <c r="H43" s="141"/>
    </row>
    <row r="44" spans="1:8">
      <c r="A44" s="102"/>
      <c r="H44" s="143"/>
    </row>
    <row r="45" spans="1:8" ht="18.75">
      <c r="A45" s="102"/>
      <c r="B45" s="107" t="s">
        <v>592</v>
      </c>
      <c r="C45" s="142" t="s">
        <v>162</v>
      </c>
      <c r="D45" s="181">
        <v>130.20012989197258</v>
      </c>
      <c r="E45" s="133" t="s">
        <v>5</v>
      </c>
      <c r="H45" s="143"/>
    </row>
    <row r="46" spans="1:8">
      <c r="A46" s="102"/>
      <c r="E46" s="133"/>
      <c r="H46" s="143"/>
    </row>
    <row r="47" spans="1:8">
      <c r="A47" s="102"/>
      <c r="E47" s="133"/>
      <c r="H47" s="143"/>
    </row>
    <row r="48" spans="1:8">
      <c r="A48" s="102"/>
      <c r="E48" s="133"/>
      <c r="H48" s="143"/>
    </row>
    <row r="49" spans="1:8">
      <c r="A49" s="102"/>
      <c r="E49" s="133"/>
      <c r="H49" s="143"/>
    </row>
    <row r="50" spans="1:8">
      <c r="A50" s="102"/>
      <c r="E50" s="133"/>
      <c r="H50" s="143"/>
    </row>
    <row r="51" spans="1:8">
      <c r="A51" s="102"/>
      <c r="E51" s="133"/>
      <c r="H51" s="143"/>
    </row>
    <row r="52" spans="1:8" ht="23.25" customHeight="1">
      <c r="A52" s="102"/>
      <c r="B52" s="185"/>
      <c r="C52" s="142"/>
      <c r="D52" s="185"/>
      <c r="E52" s="133"/>
      <c r="H52" s="143"/>
    </row>
    <row r="53" spans="1:8" ht="20.25" customHeight="1">
      <c r="A53" s="102"/>
      <c r="B53" s="107" t="s">
        <v>606</v>
      </c>
      <c r="C53" s="142" t="s">
        <v>162</v>
      </c>
      <c r="D53" s="184">
        <v>88.890822867415039</v>
      </c>
      <c r="E53" s="133" t="s">
        <v>5</v>
      </c>
      <c r="H53" s="143"/>
    </row>
    <row r="54" spans="1:8" ht="18.75">
      <c r="A54" s="102"/>
      <c r="B54" s="107" t="s">
        <v>607</v>
      </c>
      <c r="C54" s="142" t="s">
        <v>162</v>
      </c>
      <c r="D54" s="184">
        <v>90.738761531517369</v>
      </c>
      <c r="E54" s="133" t="s">
        <v>5</v>
      </c>
      <c r="H54" s="143"/>
    </row>
    <row r="55" spans="1:8" ht="18.75">
      <c r="A55" s="102"/>
      <c r="B55" s="107" t="s">
        <v>608</v>
      </c>
      <c r="C55" s="142" t="s">
        <v>162</v>
      </c>
      <c r="D55" s="184">
        <v>130.20012989197258</v>
      </c>
      <c r="E55" s="133" t="s">
        <v>5</v>
      </c>
      <c r="H55" s="143"/>
    </row>
    <row r="56" spans="1:8" ht="24.75" customHeight="1">
      <c r="A56" s="102"/>
      <c r="B56" s="107"/>
      <c r="C56" s="142"/>
      <c r="D56" s="118"/>
      <c r="E56" s="133"/>
      <c r="H56" s="143"/>
    </row>
    <row r="57" spans="1:8" ht="16.5" customHeight="1">
      <c r="A57" s="102"/>
      <c r="B57" s="107"/>
      <c r="C57" s="142"/>
      <c r="D57" s="118"/>
      <c r="E57" s="133"/>
      <c r="H57" s="143"/>
    </row>
    <row r="58" spans="1:8" ht="23.25">
      <c r="A58" s="317" t="s">
        <v>166</v>
      </c>
      <c r="B58" s="102"/>
      <c r="C58" s="102"/>
      <c r="D58" s="102"/>
      <c r="E58" s="102"/>
    </row>
    <row r="59" spans="1:8">
      <c r="A59" s="102"/>
      <c r="B59" s="102"/>
      <c r="C59" s="102"/>
      <c r="D59" s="102"/>
      <c r="E59" s="102"/>
    </row>
    <row r="60" spans="1:8" ht="27" customHeight="1">
      <c r="A60" s="102"/>
      <c r="B60" s="102"/>
      <c r="C60" s="102"/>
      <c r="D60" s="102"/>
      <c r="E60" s="102"/>
    </row>
    <row r="61" spans="1:8" ht="33" customHeight="1">
      <c r="A61" s="102"/>
      <c r="B61" s="102"/>
      <c r="C61" s="102"/>
      <c r="D61" s="102"/>
      <c r="E61" s="102"/>
    </row>
    <row r="62" spans="1:8" ht="30" customHeight="1">
      <c r="A62" s="102"/>
      <c r="B62" s="102"/>
      <c r="C62" s="102"/>
      <c r="D62" s="102"/>
      <c r="E62" s="102"/>
    </row>
    <row r="63" spans="1:8" ht="23.25" customHeight="1">
      <c r="A63" s="102"/>
      <c r="B63" s="102"/>
      <c r="C63" s="102"/>
      <c r="D63" s="102"/>
      <c r="E63" s="102"/>
    </row>
    <row r="64" spans="1:8" ht="29.25" customHeight="1">
      <c r="A64" s="102"/>
      <c r="B64" s="102"/>
      <c r="C64" s="102"/>
      <c r="D64" s="102"/>
      <c r="E64" s="102"/>
    </row>
    <row r="65" spans="1:14" ht="33.75" customHeight="1">
      <c r="A65" s="102"/>
      <c r="B65" s="102"/>
      <c r="C65" s="102"/>
      <c r="D65" s="102"/>
      <c r="E65" s="102"/>
    </row>
    <row r="66" spans="1:14" ht="20.25" customHeight="1">
      <c r="A66" s="102"/>
      <c r="B66" s="106" t="s">
        <v>182</v>
      </c>
      <c r="C66" s="149" t="s">
        <v>183</v>
      </c>
      <c r="D66" s="150">
        <f>gf1_*Q1_</f>
        <v>52</v>
      </c>
      <c r="E66" s="151" t="s">
        <v>150</v>
      </c>
    </row>
    <row r="67" spans="1:14" ht="18.75">
      <c r="A67" s="102"/>
      <c r="B67" s="106" t="s">
        <v>186</v>
      </c>
      <c r="C67" s="149" t="s">
        <v>187</v>
      </c>
      <c r="D67" s="150">
        <f>2*PI()*(Mp+Mn)</f>
        <v>88.469736611453712</v>
      </c>
      <c r="E67" s="133" t="s">
        <v>150</v>
      </c>
    </row>
    <row r="68" spans="1:14" ht="18.75">
      <c r="A68" s="102"/>
      <c r="B68" s="106" t="s">
        <v>188</v>
      </c>
      <c r="C68" s="149" t="s">
        <v>189</v>
      </c>
      <c r="D68" s="150">
        <f>4*PI()*(Mp+Mn)/((1-a/(3*l)))</f>
        <v>182.80831608824593</v>
      </c>
      <c r="E68" s="133" t="s">
        <v>150</v>
      </c>
    </row>
    <row r="69" spans="1:14" ht="18.75">
      <c r="A69" s="102"/>
      <c r="B69" s="106" t="s">
        <v>190</v>
      </c>
      <c r="C69" s="149" t="s">
        <v>191</v>
      </c>
      <c r="D69" s="150">
        <f>IF(a_l&lt;=0.2,Pu_1+(Pu_2-Pu_1)*(a_l/0.2),Pu_2)</f>
        <v>133.89914958366867</v>
      </c>
      <c r="E69" s="133" t="s">
        <v>150</v>
      </c>
    </row>
    <row r="70" spans="1:14" ht="18.75">
      <c r="A70" s="102"/>
      <c r="B70" s="109" t="s">
        <v>192</v>
      </c>
      <c r="C70" s="149" t="s">
        <v>193</v>
      </c>
      <c r="D70" s="153">
        <f>Pu_3/Q1_ult</f>
        <v>2.5749836458397821</v>
      </c>
      <c r="E70" s="154" t="str">
        <f>IF(D70&gt;=1,"O.K","NO CUMPLE")</f>
        <v>O.K</v>
      </c>
    </row>
    <row r="71" spans="1:14" ht="18.75">
      <c r="A71" s="102"/>
      <c r="B71" s="303" t="s">
        <v>602</v>
      </c>
      <c r="C71" s="304" t="s">
        <v>603</v>
      </c>
      <c r="D71" s="153">
        <f>(Pu_3*gc)/(Q1_ult/FS_parcial)</f>
        <v>5.0212181093875756</v>
      </c>
      <c r="E71" s="157"/>
      <c r="N71"/>
    </row>
    <row r="72" spans="1:14">
      <c r="A72" s="102"/>
      <c r="B72" s="133"/>
      <c r="C72" s="155"/>
      <c r="D72" s="156"/>
      <c r="E72" s="157"/>
      <c r="N72"/>
    </row>
    <row r="73" spans="1:14">
      <c r="A73" s="102"/>
      <c r="B73" s="133"/>
      <c r="C73" s="155"/>
      <c r="D73" s="156"/>
      <c r="E73" s="157"/>
      <c r="N73"/>
    </row>
    <row r="74" spans="1:14" ht="18.75">
      <c r="A74" s="100" t="s">
        <v>195</v>
      </c>
      <c r="B74" s="133"/>
      <c r="C74" s="155"/>
      <c r="D74" s="156"/>
      <c r="E74" s="157"/>
      <c r="N74"/>
    </row>
    <row r="75" spans="1:14">
      <c r="A75" s="102"/>
      <c r="B75" s="133"/>
      <c r="C75" s="155"/>
      <c r="D75" s="156"/>
      <c r="E75" s="157"/>
      <c r="N75"/>
    </row>
    <row r="76" spans="1:14">
      <c r="A76" s="102"/>
      <c r="B76" s="133"/>
      <c r="C76" s="155"/>
      <c r="D76" s="156"/>
      <c r="E76" s="157"/>
      <c r="N76"/>
    </row>
    <row r="77" spans="1:14" ht="18.75">
      <c r="A77" s="102"/>
      <c r="B77" s="106" t="s">
        <v>196</v>
      </c>
      <c r="C77" s="133" t="s">
        <v>197</v>
      </c>
      <c r="D77" s="150">
        <f>0.5*k2_*fcd</f>
        <v>5.1271999999999993</v>
      </c>
      <c r="E77" s="133" t="s">
        <v>118</v>
      </c>
      <c r="N77"/>
    </row>
    <row r="78" spans="1:14" ht="31.5">
      <c r="A78" s="102"/>
      <c r="B78" s="159" t="s">
        <v>198</v>
      </c>
      <c r="C78" s="133" t="s">
        <v>199</v>
      </c>
      <c r="D78" s="150">
        <f>2*(AA_1+BB_1)</f>
        <v>400</v>
      </c>
      <c r="E78" s="133" t="s">
        <v>5</v>
      </c>
      <c r="N78"/>
    </row>
    <row r="79" spans="1:14" ht="18.75">
      <c r="A79" s="102"/>
      <c r="B79" s="106" t="s">
        <v>200</v>
      </c>
      <c r="C79" s="133" t="s">
        <v>201</v>
      </c>
      <c r="D79" s="150">
        <f>Q1_ult*1000/(u0_1*d)</f>
        <v>1.3312838741186241</v>
      </c>
      <c r="E79" s="133" t="s">
        <v>118</v>
      </c>
      <c r="N79"/>
    </row>
    <row r="80" spans="1:14" ht="18.75">
      <c r="A80" s="102"/>
      <c r="B80" s="109" t="s">
        <v>202</v>
      </c>
      <c r="C80" s="133" t="s">
        <v>203</v>
      </c>
      <c r="D80" s="153">
        <f>Pp_max1/Q1_ult</f>
        <v>3.8513198422045485</v>
      </c>
      <c r="E80" s="154" t="str">
        <f>IF(vmax&gt;vp_1,"O.K","No Cumple")</f>
        <v>O.K</v>
      </c>
      <c r="N80"/>
    </row>
    <row r="81" spans="1:14" ht="18.75">
      <c r="A81" s="102"/>
      <c r="B81" s="303" t="s">
        <v>602</v>
      </c>
      <c r="C81" s="304" t="s">
        <v>603</v>
      </c>
      <c r="D81" s="153">
        <f>(Pp_max1*gc)/(Q1_ult/FS_parcial)</f>
        <v>7.5100736922988691</v>
      </c>
      <c r="E81" s="154"/>
      <c r="N81"/>
    </row>
    <row r="82" spans="1:14">
      <c r="A82" s="102"/>
      <c r="B82" s="133"/>
      <c r="C82" s="155"/>
      <c r="D82" s="156"/>
      <c r="E82" s="157"/>
      <c r="N82"/>
    </row>
    <row r="83" spans="1:14" ht="18.75">
      <c r="A83" s="102"/>
      <c r="B83" s="102" t="s">
        <v>204</v>
      </c>
      <c r="C83" s="133" t="s">
        <v>205</v>
      </c>
      <c r="D83" s="150">
        <f>2*(AA_1+BB_1+PI()*2*d)</f>
        <v>1627.1073146951737</v>
      </c>
      <c r="E83" s="133" t="s">
        <v>5</v>
      </c>
      <c r="N83"/>
    </row>
    <row r="84" spans="1:14" ht="18.75">
      <c r="A84" s="102"/>
      <c r="B84" s="106" t="s">
        <v>206</v>
      </c>
      <c r="C84" s="133" t="s">
        <v>207</v>
      </c>
      <c r="D84" s="150">
        <f>+Pp_max5</f>
        <v>101.12887353966124</v>
      </c>
      <c r="E84" s="133" t="s">
        <v>150</v>
      </c>
      <c r="N84"/>
    </row>
    <row r="85" spans="1:14" ht="31.5">
      <c r="A85" s="102"/>
      <c r="B85" s="136" t="s">
        <v>208</v>
      </c>
      <c r="C85" s="133" t="s">
        <v>209</v>
      </c>
      <c r="D85" s="153">
        <f>Pp_max5/Q1_ult</f>
        <v>1.9447860296088701</v>
      </c>
      <c r="E85" s="154" t="str">
        <f>IF(D85&gt;=1,"O.K","NO CUMPLE")</f>
        <v>O.K</v>
      </c>
      <c r="N85"/>
    </row>
    <row r="86" spans="1:14" ht="18.75">
      <c r="A86" s="102"/>
      <c r="B86" s="303" t="s">
        <v>602</v>
      </c>
      <c r="C86" s="304" t="s">
        <v>603</v>
      </c>
      <c r="D86" s="153">
        <f>(Pp_max5*gc)/(Q1_ult/FS_parcial)</f>
        <v>3.7923327577372965</v>
      </c>
      <c r="E86" s="154"/>
      <c r="N86"/>
    </row>
    <row r="87" spans="1:14">
      <c r="A87" s="102"/>
      <c r="B87" s="102"/>
      <c r="C87" s="102"/>
      <c r="D87" s="102"/>
      <c r="E87" s="102"/>
      <c r="N87"/>
    </row>
    <row r="88" spans="1:14">
      <c r="A88" s="102"/>
      <c r="B88" s="102"/>
      <c r="C88" s="102"/>
      <c r="D88" s="102"/>
      <c r="E88" s="102"/>
      <c r="N88"/>
    </row>
    <row r="89" spans="1:14" ht="23.25">
      <c r="A89" s="317" t="s">
        <v>210</v>
      </c>
      <c r="B89" s="102"/>
      <c r="C89" s="102"/>
      <c r="D89" s="102"/>
      <c r="E89" s="102"/>
    </row>
    <row r="90" spans="1:14">
      <c r="A90" s="102"/>
      <c r="B90" s="102"/>
      <c r="C90" s="102"/>
      <c r="D90" s="102"/>
      <c r="E90" s="102"/>
    </row>
    <row r="91" spans="1:14" ht="18.75" customHeight="1">
      <c r="A91" s="102"/>
      <c r="B91" s="102"/>
      <c r="C91" s="102"/>
      <c r="D91" s="102"/>
      <c r="E91" s="102"/>
    </row>
    <row r="92" spans="1:14">
      <c r="A92" s="102"/>
      <c r="B92" s="102"/>
      <c r="C92" s="102"/>
      <c r="D92" s="102"/>
      <c r="E92" s="102"/>
    </row>
    <row r="93" spans="1:14">
      <c r="A93" s="102"/>
      <c r="B93" s="102"/>
      <c r="C93" s="102"/>
      <c r="D93" s="102"/>
      <c r="E93" s="102"/>
    </row>
    <row r="94" spans="1:14">
      <c r="A94" s="102"/>
      <c r="B94" s="102"/>
      <c r="C94" s="102"/>
      <c r="D94" s="102"/>
      <c r="E94" s="102"/>
    </row>
    <row r="95" spans="1:14">
      <c r="A95" s="102"/>
      <c r="B95" s="102"/>
      <c r="C95" s="102"/>
      <c r="D95" s="102"/>
      <c r="E95" s="102"/>
    </row>
    <row r="96" spans="1:14">
      <c r="A96" s="102"/>
      <c r="B96" s="102"/>
      <c r="C96" s="102"/>
      <c r="D96" s="102"/>
      <c r="E96" s="102"/>
    </row>
    <row r="97" spans="1:5">
      <c r="A97" s="102"/>
      <c r="B97" s="102"/>
      <c r="C97" s="102"/>
      <c r="D97" s="102"/>
      <c r="E97" s="102"/>
    </row>
    <row r="98" spans="1:5">
      <c r="A98" s="102"/>
      <c r="B98" s="102"/>
      <c r="C98" s="102"/>
      <c r="D98" s="102"/>
      <c r="E98" s="102"/>
    </row>
    <row r="99" spans="1:5">
      <c r="A99" s="102"/>
      <c r="B99" s="102"/>
      <c r="C99" s="102"/>
      <c r="D99" s="102"/>
      <c r="E99" s="102"/>
    </row>
    <row r="100" spans="1:5">
      <c r="A100" s="102"/>
      <c r="B100" s="102"/>
      <c r="C100" s="102"/>
      <c r="D100" s="102"/>
      <c r="E100" s="102"/>
    </row>
    <row r="101" spans="1:5">
      <c r="A101" s="102"/>
      <c r="B101" s="102"/>
      <c r="C101" s="102"/>
    </row>
    <row r="102" spans="1:5" ht="31.5">
      <c r="A102" s="102"/>
      <c r="B102" s="159" t="s">
        <v>226</v>
      </c>
      <c r="C102" s="149" t="s">
        <v>227</v>
      </c>
      <c r="D102" s="150">
        <f>gf1_*Q1_*0.6</f>
        <v>31.2</v>
      </c>
      <c r="E102" s="133" t="s">
        <v>150</v>
      </c>
    </row>
    <row r="103" spans="1:5" ht="18.75">
      <c r="A103" s="102"/>
      <c r="B103" s="106" t="s">
        <v>186</v>
      </c>
      <c r="C103" s="149" t="s">
        <v>228</v>
      </c>
      <c r="D103" s="150">
        <f>(PI()*(Mp+Mn)/2)+2*Mn</f>
        <v>43.787582970505149</v>
      </c>
      <c r="E103" s="133" t="s">
        <v>150</v>
      </c>
    </row>
    <row r="104" spans="1:5" ht="18.75">
      <c r="A104" s="102"/>
      <c r="B104" s="106" t="s">
        <v>188</v>
      </c>
      <c r="C104" s="149" t="s">
        <v>231</v>
      </c>
      <c r="D104" s="150">
        <f>(PI()*(Mp+Mn)+4*Mn)/((1-(2*a)/(3*l)))</f>
        <v>93.583969284277984</v>
      </c>
      <c r="E104" s="133" t="s">
        <v>150</v>
      </c>
    </row>
    <row r="105" spans="1:5" ht="18.75">
      <c r="A105" s="102"/>
      <c r="B105" s="106" t="s">
        <v>190</v>
      </c>
      <c r="C105" s="149" t="s">
        <v>234</v>
      </c>
      <c r="D105" s="150">
        <f>IF(a_l&lt;=0.2,Pu_4+(Pu_5-Pu_4)*(a_l/0.2),Pu_5)</f>
        <v>67.767386471032282</v>
      </c>
      <c r="E105" s="133" t="s">
        <v>150</v>
      </c>
    </row>
    <row r="106" spans="1:5" ht="18.75">
      <c r="A106" s="102"/>
      <c r="B106" s="109" t="s">
        <v>236</v>
      </c>
      <c r="C106" s="149" t="s">
        <v>237</v>
      </c>
      <c r="D106" s="153">
        <f>Pu_6/Q1_ult_jb</f>
        <v>2.172031617661291</v>
      </c>
      <c r="E106" s="154" t="str">
        <f>IF(D106&gt;=1,"O.K","NO CUMPLE")</f>
        <v>O.K</v>
      </c>
    </row>
    <row r="107" spans="1:5" ht="18.75">
      <c r="A107" s="102"/>
      <c r="B107" s="303" t="s">
        <v>602</v>
      </c>
      <c r="C107" s="304" t="s">
        <v>603</v>
      </c>
      <c r="D107" s="153">
        <f>(Pu_6*gc)/(Q1_ult_jb/FS_parcial)</f>
        <v>4.2354616544395176</v>
      </c>
      <c r="E107" s="154"/>
    </row>
    <row r="108" spans="1:5" ht="15.75">
      <c r="A108" s="102"/>
      <c r="B108" s="109"/>
      <c r="C108" s="149"/>
      <c r="D108" s="102"/>
      <c r="E108" s="154"/>
    </row>
    <row r="109" spans="1:5">
      <c r="A109" s="102"/>
      <c r="B109" s="102"/>
      <c r="C109" s="102"/>
      <c r="D109" s="102"/>
      <c r="E109" s="102"/>
    </row>
    <row r="110" spans="1:5" ht="18.75">
      <c r="A110" s="100" t="s">
        <v>195</v>
      </c>
      <c r="B110" s="109"/>
      <c r="C110" s="149"/>
      <c r="D110" s="102"/>
      <c r="E110" s="154"/>
    </row>
    <row r="111" spans="1:5" ht="15.75">
      <c r="A111" s="102"/>
      <c r="B111" s="109"/>
      <c r="C111" s="149"/>
      <c r="D111" s="102"/>
      <c r="E111" s="154"/>
    </row>
    <row r="112" spans="1:5" ht="15.75">
      <c r="A112" s="102"/>
      <c r="B112" s="109"/>
      <c r="C112" s="149"/>
      <c r="D112" s="102"/>
      <c r="E112" s="154"/>
    </row>
    <row r="113" spans="1:12" ht="15.75">
      <c r="A113" s="102"/>
      <c r="B113" s="109"/>
      <c r="C113" s="149"/>
      <c r="D113" s="102"/>
      <c r="E113" s="154"/>
    </row>
    <row r="114" spans="1:12" ht="18.75">
      <c r="A114" s="102"/>
      <c r="B114" s="106" t="s">
        <v>196</v>
      </c>
      <c r="C114" s="133" t="s">
        <v>197</v>
      </c>
      <c r="D114" s="150">
        <f>0.5*k2_*fcd</f>
        <v>5.1271999999999993</v>
      </c>
      <c r="E114" s="133" t="s">
        <v>118</v>
      </c>
    </row>
    <row r="115" spans="1:12" ht="31.5">
      <c r="A115" s="102"/>
      <c r="B115" s="159" t="s">
        <v>214</v>
      </c>
      <c r="C115" s="133" t="s">
        <v>215</v>
      </c>
      <c r="D115" s="150">
        <f>2*(AA_1)+BB_1</f>
        <v>300</v>
      </c>
      <c r="E115" s="133" t="s">
        <v>5</v>
      </c>
    </row>
    <row r="116" spans="1:12" ht="31.5" hidden="1">
      <c r="A116" s="102"/>
      <c r="B116" s="159" t="s">
        <v>216</v>
      </c>
      <c r="C116" s="133" t="s">
        <v>217</v>
      </c>
      <c r="D116" s="150">
        <f>AA_1+2*BB_1</f>
        <v>300</v>
      </c>
      <c r="E116" s="133" t="s">
        <v>5</v>
      </c>
      <c r="J116" s="112"/>
      <c r="K116" s="147"/>
      <c r="L116" s="112"/>
    </row>
    <row r="117" spans="1:12" ht="18.75">
      <c r="A117" s="102"/>
      <c r="B117" s="106" t="s">
        <v>220</v>
      </c>
      <c r="C117" s="133" t="s">
        <v>221</v>
      </c>
      <c r="D117" s="150">
        <f>Q1_ult_jb*1000/(u0_2*d)</f>
        <v>1.0650270992948991</v>
      </c>
      <c r="E117" s="133" t="s">
        <v>118</v>
      </c>
      <c r="J117" s="112"/>
      <c r="K117" s="147"/>
      <c r="L117" s="112"/>
    </row>
    <row r="118" spans="1:12" ht="18.75" hidden="1">
      <c r="A118" s="102"/>
      <c r="B118" s="106" t="s">
        <v>222</v>
      </c>
      <c r="C118" s="133" t="s">
        <v>223</v>
      </c>
      <c r="D118" s="150">
        <f>Q1_ult_jb*1000/(u0_3*d)</f>
        <v>1.0650270992948991</v>
      </c>
      <c r="E118" s="133" t="s">
        <v>118</v>
      </c>
      <c r="J118" s="112"/>
      <c r="K118" s="147"/>
      <c r="L118" s="112"/>
    </row>
    <row r="119" spans="1:12" ht="18.75">
      <c r="A119" s="102"/>
      <c r="B119" s="109" t="s">
        <v>252</v>
      </c>
      <c r="C119" s="133" t="s">
        <v>253</v>
      </c>
      <c r="D119" s="153">
        <f>MIN(Pp_max2,Pp_max3)/Q1_ult_jb</f>
        <v>4.8141498027556864</v>
      </c>
      <c r="E119" s="154" t="str">
        <f>IF(vmax&gt;vp_1,"O.K","No Cumple")</f>
        <v>O.K</v>
      </c>
      <c r="J119" s="112"/>
      <c r="K119" s="147"/>
      <c r="L119" s="112"/>
    </row>
    <row r="120" spans="1:12" ht="18.75">
      <c r="A120" s="102"/>
      <c r="B120" s="303" t="s">
        <v>602</v>
      </c>
      <c r="C120" s="304" t="s">
        <v>603</v>
      </c>
      <c r="D120" s="153">
        <f>(MIN(Pp_max2,Pp_max3)*gc)/(Q1_ult_jb/FS_parcial)</f>
        <v>9.3875921153735877</v>
      </c>
      <c r="E120" s="154"/>
      <c r="J120" s="112"/>
      <c r="K120" s="147"/>
      <c r="L120" s="112"/>
    </row>
    <row r="121" spans="1:12" ht="15.75">
      <c r="A121" s="102"/>
      <c r="B121" s="109"/>
      <c r="C121" s="149"/>
      <c r="D121" s="102"/>
      <c r="E121" s="154"/>
      <c r="J121" s="112"/>
      <c r="K121" s="147"/>
      <c r="L121" s="112"/>
    </row>
    <row r="122" spans="1:12" ht="18.75">
      <c r="A122" s="102"/>
      <c r="B122" s="106" t="s">
        <v>240</v>
      </c>
      <c r="C122" s="133" t="s">
        <v>241</v>
      </c>
      <c r="D122" s="150">
        <f>2*(AA_1)+BB_1+PI()*2*d</f>
        <v>913.55365734758686</v>
      </c>
      <c r="E122" s="133" t="s">
        <v>5</v>
      </c>
      <c r="J122" s="112"/>
      <c r="K122" s="147"/>
      <c r="L122" s="112"/>
    </row>
    <row r="123" spans="1:12" ht="18.75" hidden="1">
      <c r="A123" s="102"/>
      <c r="B123" s="106" t="s">
        <v>242</v>
      </c>
      <c r="C123" s="133" t="s">
        <v>243</v>
      </c>
      <c r="D123" s="150">
        <f>AA_1+2*BB_1+PI()*2*d</f>
        <v>913.55365734758686</v>
      </c>
      <c r="E123" s="133" t="s">
        <v>5</v>
      </c>
      <c r="J123" s="112"/>
      <c r="K123" s="147"/>
      <c r="L123" s="112"/>
    </row>
    <row r="124" spans="1:12" ht="18.75">
      <c r="A124" s="102"/>
      <c r="B124" s="106" t="s">
        <v>246</v>
      </c>
      <c r="C124" s="133" t="s">
        <v>247</v>
      </c>
      <c r="D124" s="150">
        <f>+Pp_max6</f>
        <v>56.779692065306129</v>
      </c>
      <c r="E124" s="133" t="s">
        <v>150</v>
      </c>
      <c r="J124" s="112"/>
      <c r="K124" s="147"/>
      <c r="L124" s="112"/>
    </row>
    <row r="125" spans="1:12" ht="18.75" hidden="1">
      <c r="A125" s="102"/>
      <c r="B125" s="106" t="s">
        <v>248</v>
      </c>
      <c r="C125" s="133" t="s">
        <v>249</v>
      </c>
      <c r="D125" s="150">
        <f>+Pp_max7</f>
        <v>56.779692065306129</v>
      </c>
      <c r="E125" s="112" t="s">
        <v>150</v>
      </c>
      <c r="J125" s="112"/>
      <c r="K125" s="147"/>
      <c r="L125" s="112"/>
    </row>
    <row r="126" spans="1:12" ht="31.5">
      <c r="A126" s="102"/>
      <c r="B126" s="136" t="s">
        <v>254</v>
      </c>
      <c r="C126" s="163" t="s">
        <v>255</v>
      </c>
      <c r="D126" s="153">
        <f>MIN(Pp_max6,Pp_max7)/Q1_ult_jb</f>
        <v>1.8198619251700683</v>
      </c>
      <c r="E126" s="154" t="str">
        <f>IF(D126&gt;=1,"O.K","NO CUMPLE")</f>
        <v>O.K</v>
      </c>
      <c r="J126" s="112"/>
      <c r="K126" s="147"/>
      <c r="L126" s="112"/>
    </row>
    <row r="127" spans="1:12" ht="18.75">
      <c r="A127" s="102"/>
      <c r="B127" s="303" t="s">
        <v>602</v>
      </c>
      <c r="C127" s="304" t="s">
        <v>603</v>
      </c>
      <c r="D127" s="153">
        <f>(MIN(Pp_max6,Pp_max7)*gc)/(Q1_ult_jb/FS_parcial)</f>
        <v>3.5487307540816331</v>
      </c>
      <c r="E127" s="154"/>
      <c r="J127" s="112"/>
      <c r="K127" s="147"/>
      <c r="L127" s="112"/>
    </row>
    <row r="128" spans="1:12" ht="15.75">
      <c r="A128" s="102"/>
      <c r="B128" s="109"/>
      <c r="C128" s="149"/>
      <c r="D128" s="102"/>
      <c r="E128" s="154"/>
      <c r="J128" s="112"/>
      <c r="K128" s="147"/>
      <c r="L128" s="112"/>
    </row>
    <row r="129" spans="1:12" ht="15.75">
      <c r="A129" s="102"/>
      <c r="B129" s="109"/>
      <c r="C129" s="149"/>
      <c r="D129" s="102"/>
      <c r="E129" s="154"/>
      <c r="J129" s="112"/>
      <c r="K129" s="147"/>
      <c r="L129" s="112"/>
    </row>
    <row r="130" spans="1:12" ht="23.25">
      <c r="A130" s="317" t="s">
        <v>256</v>
      </c>
      <c r="B130" s="102"/>
      <c r="C130" s="102"/>
      <c r="D130" s="102"/>
      <c r="E130" s="102"/>
    </row>
    <row r="131" spans="1:12">
      <c r="A131" s="102"/>
      <c r="B131" s="102"/>
      <c r="C131" s="102"/>
      <c r="D131" s="102"/>
      <c r="E131" s="102"/>
    </row>
    <row r="132" spans="1:12">
      <c r="A132" s="102"/>
      <c r="B132" s="102"/>
      <c r="C132" s="102"/>
      <c r="D132" s="102"/>
      <c r="E132" s="102"/>
    </row>
    <row r="133" spans="1:12" ht="15.75">
      <c r="A133" s="106"/>
      <c r="B133" s="102"/>
      <c r="C133" s="102"/>
      <c r="D133" s="102"/>
      <c r="E133" s="102"/>
    </row>
    <row r="134" spans="1:12">
      <c r="A134" s="102"/>
      <c r="B134" s="102"/>
      <c r="C134" s="102"/>
      <c r="D134" s="102"/>
      <c r="E134" s="102"/>
    </row>
    <row r="135" spans="1:12">
      <c r="A135" s="102"/>
      <c r="B135" s="102"/>
      <c r="C135" s="102"/>
      <c r="D135" s="102"/>
      <c r="E135" s="102"/>
    </row>
    <row r="136" spans="1:12">
      <c r="A136" s="102"/>
      <c r="B136" s="102"/>
      <c r="C136" s="102"/>
      <c r="D136" s="102"/>
      <c r="E136" s="102"/>
    </row>
    <row r="137" spans="1:12">
      <c r="A137" s="102"/>
      <c r="B137" s="102"/>
      <c r="C137" s="102"/>
      <c r="D137" s="102"/>
      <c r="E137" s="102"/>
    </row>
    <row r="138" spans="1:12">
      <c r="A138" s="102"/>
      <c r="B138" s="102"/>
      <c r="C138" s="102"/>
      <c r="D138" s="102"/>
      <c r="E138" s="102"/>
    </row>
    <row r="139" spans="1:12">
      <c r="A139" s="102"/>
      <c r="B139" s="102"/>
      <c r="C139" s="102"/>
      <c r="D139" s="102"/>
      <c r="E139" s="102"/>
    </row>
    <row r="140" spans="1:12">
      <c r="A140" s="102"/>
      <c r="B140" s="102"/>
      <c r="C140" s="102"/>
      <c r="D140" s="102"/>
      <c r="E140" s="102"/>
    </row>
    <row r="141" spans="1:12">
      <c r="A141" s="102"/>
      <c r="B141" s="102"/>
      <c r="C141" s="102"/>
      <c r="D141" s="102"/>
      <c r="E141" s="102"/>
    </row>
    <row r="142" spans="1:12">
      <c r="A142" s="102"/>
      <c r="B142" s="102"/>
      <c r="C142" s="102"/>
      <c r="D142" s="102"/>
      <c r="E142" s="102"/>
    </row>
    <row r="143" spans="1:12" ht="31.5">
      <c r="A143" s="102"/>
      <c r="B143" s="159" t="s">
        <v>257</v>
      </c>
      <c r="C143" s="149" t="s">
        <v>258</v>
      </c>
      <c r="D143" s="150">
        <f>gf1_*Q1_*0.6</f>
        <v>31.2</v>
      </c>
      <c r="E143" s="133" t="s">
        <v>150</v>
      </c>
    </row>
    <row r="144" spans="1:12" ht="18.75">
      <c r="A144" s="102"/>
      <c r="B144" s="106" t="s">
        <v>186</v>
      </c>
      <c r="C144" s="149" t="s">
        <v>259</v>
      </c>
      <c r="D144" s="150">
        <f>2*Mn</f>
        <v>21.670148817641721</v>
      </c>
      <c r="E144" s="133" t="s">
        <v>150</v>
      </c>
    </row>
    <row r="145" spans="1:5" ht="18.75">
      <c r="A145" s="102"/>
      <c r="B145" s="106" t="s">
        <v>188</v>
      </c>
      <c r="C145" s="149" t="s">
        <v>260</v>
      </c>
      <c r="D145" s="150">
        <f>4*Mn/((1-a_l))</f>
        <v>47.959328707882037</v>
      </c>
      <c r="E145" s="133" t="s">
        <v>150</v>
      </c>
    </row>
    <row r="146" spans="1:5" ht="18.75">
      <c r="A146" s="102"/>
      <c r="B146" s="106" t="s">
        <v>190</v>
      </c>
      <c r="C146" s="149" t="s">
        <v>261</v>
      </c>
      <c r="D146" s="150">
        <f>IF(a_l&lt;=0.2,Pu_7+(Pu_8-Pu_7)*(a_l/0.2),Pu_8)</f>
        <v>34.329890108619928</v>
      </c>
      <c r="E146" s="133" t="s">
        <v>150</v>
      </c>
    </row>
    <row r="147" spans="1:5" ht="18.75">
      <c r="A147" s="102"/>
      <c r="B147" s="109" t="s">
        <v>262</v>
      </c>
      <c r="C147" s="149" t="s">
        <v>263</v>
      </c>
      <c r="D147" s="164">
        <f>Pu_9/Q1_ult_ep</f>
        <v>1.1003169906608952</v>
      </c>
      <c r="E147" s="154" t="str">
        <f>IF(D147&gt;=1,"O.K","NO CUMPLE")</f>
        <v>O.K</v>
      </c>
    </row>
    <row r="148" spans="1:5" ht="18.75">
      <c r="A148" s="102"/>
      <c r="B148" s="303" t="s">
        <v>602</v>
      </c>
      <c r="C148" s="304" t="s">
        <v>603</v>
      </c>
      <c r="D148" s="153">
        <f>(Pu_9*gc)/(Q1_ult_ep/FS_parcial)</f>
        <v>2.1456181317887455</v>
      </c>
      <c r="E148" s="154"/>
    </row>
    <row r="149" spans="1:5">
      <c r="A149" s="102"/>
      <c r="B149" s="102"/>
      <c r="C149" s="102"/>
      <c r="D149" s="102"/>
      <c r="E149" s="102"/>
    </row>
    <row r="150" spans="1:5">
      <c r="B150" s="102"/>
      <c r="C150" s="102"/>
      <c r="D150" s="102"/>
      <c r="E150" s="102"/>
    </row>
    <row r="151" spans="1:5" ht="18.75">
      <c r="A151" s="100" t="s">
        <v>195</v>
      </c>
      <c r="B151" s="102"/>
      <c r="C151" s="102"/>
      <c r="D151" s="102"/>
      <c r="E151" s="102"/>
    </row>
    <row r="152" spans="1:5" ht="18.75">
      <c r="A152" s="102"/>
      <c r="B152" s="165"/>
      <c r="C152" s="165"/>
      <c r="D152" s="165"/>
      <c r="E152" s="102"/>
    </row>
    <row r="153" spans="1:5" ht="19.5" customHeight="1">
      <c r="A153" s="102"/>
      <c r="B153" s="421"/>
      <c r="C153" s="421"/>
      <c r="D153" s="421"/>
      <c r="E153" s="102"/>
    </row>
    <row r="154" spans="1:5" ht="18.75" customHeight="1">
      <c r="A154" s="102"/>
      <c r="B154" s="421"/>
      <c r="C154" s="421"/>
      <c r="D154" s="421"/>
      <c r="E154" s="102"/>
    </row>
    <row r="155" spans="1:5" ht="18.75">
      <c r="A155" s="102"/>
      <c r="B155" s="106" t="s">
        <v>196</v>
      </c>
      <c r="C155" s="133" t="s">
        <v>197</v>
      </c>
      <c r="D155" s="150">
        <f>0.5*k2_*fcd</f>
        <v>5.1271999999999993</v>
      </c>
      <c r="E155" s="133" t="s">
        <v>118</v>
      </c>
    </row>
    <row r="156" spans="1:5" ht="31.5">
      <c r="A156" s="102"/>
      <c r="B156" s="136" t="s">
        <v>218</v>
      </c>
      <c r="C156" s="133" t="s">
        <v>219</v>
      </c>
      <c r="D156" s="150">
        <f>(AA_1)+BB_1</f>
        <v>200</v>
      </c>
      <c r="E156" s="133" t="s">
        <v>5</v>
      </c>
    </row>
    <row r="157" spans="1:5" ht="18.75">
      <c r="A157" s="102"/>
      <c r="B157" s="136" t="s">
        <v>224</v>
      </c>
      <c r="C157" s="133" t="s">
        <v>225</v>
      </c>
      <c r="D157" s="150">
        <f>Q1_ult_ep*1000/(u0_4*d)</f>
        <v>1.5975406489423489</v>
      </c>
      <c r="E157" s="133" t="s">
        <v>118</v>
      </c>
    </row>
    <row r="158" spans="1:5" ht="18.75">
      <c r="A158" s="100"/>
      <c r="B158" s="109" t="s">
        <v>264</v>
      </c>
      <c r="C158" s="133" t="s">
        <v>265</v>
      </c>
      <c r="D158" s="153">
        <f>Pp_max4/Q1_ult_ep</f>
        <v>3.2094332018371237</v>
      </c>
      <c r="E158" s="154" t="str">
        <f>IF(vmax&gt;vp_1,"O.K","No Cumple")</f>
        <v>O.K</v>
      </c>
    </row>
    <row r="159" spans="1:5" ht="18.75">
      <c r="A159" s="100"/>
      <c r="B159" s="303" t="s">
        <v>602</v>
      </c>
      <c r="C159" s="304" t="s">
        <v>603</v>
      </c>
      <c r="D159" s="153">
        <f>(Pp_max4*gc)/(Q1_ult_ep/FS_parcial)</f>
        <v>6.2583947435823903</v>
      </c>
      <c r="E159" s="154"/>
    </row>
    <row r="160" spans="1:5">
      <c r="A160" s="102"/>
      <c r="B160" s="102"/>
      <c r="C160" s="102"/>
      <c r="D160" s="102"/>
      <c r="E160" s="102"/>
    </row>
    <row r="161" spans="1:13" ht="18.75">
      <c r="A161" s="166"/>
      <c r="B161" s="136" t="s">
        <v>244</v>
      </c>
      <c r="C161" s="133" t="s">
        <v>245</v>
      </c>
      <c r="D161" s="150">
        <f>(AA_1)+BB_1+PI()/2*2*d</f>
        <v>506.77682867379343</v>
      </c>
      <c r="E161" s="133" t="s">
        <v>5</v>
      </c>
    </row>
    <row r="162" spans="1:13" ht="31.5">
      <c r="A162" s="102"/>
      <c r="B162" s="136" t="s">
        <v>250</v>
      </c>
      <c r="C162" s="133" t="s">
        <v>251</v>
      </c>
      <c r="D162" s="150">
        <f>+Pp_max8</f>
        <v>31.497473680390826</v>
      </c>
      <c r="E162" s="133" t="s">
        <v>150</v>
      </c>
    </row>
    <row r="163" spans="1:13" ht="31.5">
      <c r="A163" s="102"/>
      <c r="B163" s="136" t="s">
        <v>266</v>
      </c>
      <c r="C163" s="163" t="s">
        <v>267</v>
      </c>
      <c r="D163" s="153">
        <f>Pp_max8/Q1_ult_ep</f>
        <v>1.0095344128330392</v>
      </c>
      <c r="E163" s="154" t="str">
        <f>IF(D163&gt;=1,"O.K","NO CUMPLE")</f>
        <v>O.K</v>
      </c>
    </row>
    <row r="164" spans="1:13" ht="18.75">
      <c r="A164" s="102"/>
      <c r="B164" s="303" t="s">
        <v>602</v>
      </c>
      <c r="C164" s="304" t="s">
        <v>603</v>
      </c>
      <c r="D164" s="153">
        <f>(Pp_max8*gc)/(Q1_ult_ep/FS_parcial)</f>
        <v>1.9685921050244266</v>
      </c>
      <c r="E164" s="102"/>
    </row>
    <row r="165" spans="1:13"/>
    <row r="166" spans="1:13"/>
    <row r="170" spans="1:13" ht="15.75" hidden="1">
      <c r="F170" s="91" t="s">
        <v>281</v>
      </c>
      <c r="G170" s="99">
        <f>MIN(Pu_3/Q1_ult,Pp_max1/Q1_ult,Pp_max5/Q1_ult)</f>
        <v>1.9447860296088701</v>
      </c>
      <c r="H170" s="96"/>
      <c r="I170" s="97"/>
      <c r="J170" s="98"/>
      <c r="M170" s="305" t="s">
        <v>598</v>
      </c>
    </row>
    <row r="171" spans="1:13" hidden="1">
      <c r="F171" s="91" t="s">
        <v>280</v>
      </c>
      <c r="G171" s="99">
        <f>MIN(Pu_6/Q1_ult_jb,Pp_max2/Q1_ult_jb,Pp_max6/Q1_ult_jb)</f>
        <v>1.8198619251700683</v>
      </c>
      <c r="M171" s="305" t="s">
        <v>599</v>
      </c>
    </row>
    <row r="172" spans="1:13" ht="15.75" hidden="1">
      <c r="F172" s="91" t="s">
        <v>282</v>
      </c>
      <c r="G172" s="97">
        <f>MIN(Pu_9/Q1_ult_ep,Pp_max4/Q1_ult_ep,Pp_max8/Q1_ult_ep)</f>
        <v>1.0095344128330392</v>
      </c>
      <c r="H172" s="96"/>
      <c r="I172" s="97"/>
      <c r="J172" s="98"/>
      <c r="M172" s="305">
        <v>1</v>
      </c>
    </row>
    <row r="173" spans="1:13" ht="15.75" hidden="1">
      <c r="G173" s="93"/>
      <c r="H173" s="103"/>
      <c r="I173" s="104"/>
      <c r="J173" s="105"/>
    </row>
    <row r="174" spans="1:13" ht="18.75" hidden="1">
      <c r="G174" s="91" t="s">
        <v>116</v>
      </c>
      <c r="H174" s="110" t="s">
        <v>117</v>
      </c>
      <c r="I174" s="111">
        <f>1.47*fck-6.6</f>
        <v>36.03</v>
      </c>
      <c r="J174" s="112" t="s">
        <v>118</v>
      </c>
    </row>
    <row r="175" spans="1:13" ht="18.75" hidden="1">
      <c r="G175" s="91" t="s">
        <v>119</v>
      </c>
      <c r="H175" s="110" t="s">
        <v>120</v>
      </c>
      <c r="I175" s="111">
        <f>+fck+8</f>
        <v>37</v>
      </c>
      <c r="J175" s="112" t="s">
        <v>118</v>
      </c>
    </row>
    <row r="176" spans="1:13" ht="18.75" hidden="1">
      <c r="G176" s="91" t="s">
        <v>122</v>
      </c>
      <c r="H176" s="110" t="s">
        <v>123</v>
      </c>
      <c r="I176" s="128">
        <f>fr</f>
        <v>4.1088807478436262</v>
      </c>
      <c r="J176" s="112" t="s">
        <v>118</v>
      </c>
    </row>
    <row r="177" spans="7:10" ht="18.75" hidden="1">
      <c r="G177" s="91" t="s">
        <v>124</v>
      </c>
      <c r="H177" s="110" t="s">
        <v>125</v>
      </c>
      <c r="I177" s="116">
        <f>0.7*fctm</f>
        <v>2.8762165234905384</v>
      </c>
      <c r="J177" s="112" t="s">
        <v>118</v>
      </c>
    </row>
    <row r="178" spans="7:10" ht="18.75" hidden="1">
      <c r="G178" s="91" t="s">
        <v>127</v>
      </c>
      <c r="H178" s="110" t="s">
        <v>128</v>
      </c>
      <c r="I178" s="111">
        <f>22*(fcm/10)^0.3*1000</f>
        <v>32574.90801622803</v>
      </c>
      <c r="J178" s="112" t="s">
        <v>118</v>
      </c>
    </row>
    <row r="179" spans="7:10" ht="18.75" hidden="1">
      <c r="G179" s="93" t="s">
        <v>129</v>
      </c>
      <c r="H179" s="110" t="s">
        <v>130</v>
      </c>
      <c r="I179" s="116">
        <f>MIN(2,(1+(200/h)^0.5))*fctk_0.05</f>
        <v>5.7524330469810767</v>
      </c>
      <c r="J179" s="112" t="s">
        <v>118</v>
      </c>
    </row>
    <row r="180" spans="7:10" ht="15.75" hidden="1">
      <c r="G180" s="93" t="s">
        <v>134</v>
      </c>
      <c r="H180" s="114" t="s">
        <v>135</v>
      </c>
      <c r="I180" s="116">
        <f>0.75*h</f>
        <v>97.650097418979442</v>
      </c>
      <c r="J180" s="112" t="s">
        <v>5</v>
      </c>
    </row>
    <row r="181" spans="7:10" ht="18.75" hidden="1">
      <c r="G181" s="110" t="s">
        <v>136</v>
      </c>
      <c r="H181" s="110" t="s">
        <v>137</v>
      </c>
      <c r="I181" s="121">
        <f>IF(1+(200/d)^0.5&lt;2,1+(200/d)^0.5,2)</f>
        <v>2</v>
      </c>
      <c r="J181" s="122"/>
    </row>
    <row r="182" spans="7:10" ht="18.75" hidden="1">
      <c r="G182" s="91" t="s">
        <v>138</v>
      </c>
      <c r="H182" s="123" t="s">
        <v>139</v>
      </c>
      <c r="I182" s="121">
        <f>0.035*k1_^(3/2)*fck^(1/2)</f>
        <v>0.53310411741047348</v>
      </c>
      <c r="J182" s="124" t="s">
        <v>118</v>
      </c>
    </row>
    <row r="183" spans="7:10" ht="18.75" hidden="1">
      <c r="G183" s="91" t="s">
        <v>141</v>
      </c>
      <c r="H183" s="110" t="s">
        <v>142</v>
      </c>
      <c r="I183" s="126">
        <f>Ecm*h^3/(12*(1-n^2))/1000000</f>
        <v>6241.1550426823542</v>
      </c>
      <c r="J183" s="124" t="s">
        <v>143</v>
      </c>
    </row>
    <row r="184" spans="7:10" ht="15.75" hidden="1">
      <c r="G184" s="91" t="s">
        <v>144</v>
      </c>
      <c r="H184" s="114" t="s">
        <v>145</v>
      </c>
      <c r="I184" s="121">
        <f>(Ecm*h^3/(12*(1-n^2)*k))^0.25</f>
        <v>585.79717836163888</v>
      </c>
      <c r="J184" s="124" t="s">
        <v>5</v>
      </c>
    </row>
    <row r="185" spans="7:10" ht="18.75" hidden="1">
      <c r="G185" s="91" t="s">
        <v>146</v>
      </c>
      <c r="H185" s="110" t="s">
        <v>147</v>
      </c>
      <c r="I185" s="361">
        <v>29.952000000000002</v>
      </c>
      <c r="J185" s="124" t="s">
        <v>12</v>
      </c>
    </row>
    <row r="186" spans="7:10" ht="18.75" hidden="1">
      <c r="G186" s="93" t="s">
        <v>148</v>
      </c>
      <c r="H186" s="114" t="s">
        <v>149</v>
      </c>
      <c r="I186" s="116">
        <f>fctk_fl/gc*(h^2/6)/1000</f>
        <v>10.83507440882086</v>
      </c>
      <c r="J186" s="124" t="s">
        <v>150</v>
      </c>
    </row>
    <row r="187" spans="7:10" ht="18.75" hidden="1">
      <c r="G187" s="93" t="s">
        <v>151</v>
      </c>
      <c r="H187" s="114" t="s">
        <v>152</v>
      </c>
      <c r="I187" s="116">
        <f>fctk_fl/gc*(Re_3/100)*(h^2/6)/1000</f>
        <v>3.2453214869300244</v>
      </c>
      <c r="J187" s="124" t="s">
        <v>150</v>
      </c>
    </row>
    <row r="189" spans="7:10" hidden="1">
      <c r="G189" s="93" t="s">
        <v>153</v>
      </c>
      <c r="H189" s="127" t="s">
        <v>154</v>
      </c>
      <c r="I189" s="128">
        <f>+a/l</f>
        <v>9.6311420469058107E-2</v>
      </c>
      <c r="J189" s="124"/>
    </row>
    <row r="190" spans="7:10" hidden="1">
      <c r="G190" s="93"/>
      <c r="H190" s="129"/>
      <c r="I190" s="130"/>
      <c r="J190" s="105"/>
    </row>
    <row r="191" spans="7:10" hidden="1">
      <c r="G191" s="419" t="s">
        <v>155</v>
      </c>
      <c r="H191" s="419"/>
      <c r="I191" s="419"/>
      <c r="J191" s="419"/>
    </row>
    <row r="196" spans="7:10" ht="15.75" hidden="1">
      <c r="G196" s="93"/>
      <c r="H196" s="96"/>
      <c r="I196" s="138"/>
      <c r="J196" s="112"/>
    </row>
    <row r="199" spans="7:10" hidden="1">
      <c r="G199" s="141"/>
    </row>
    <row r="207" spans="7:10" ht="15.75" hidden="1">
      <c r="G207" s="93"/>
      <c r="H207" s="96"/>
      <c r="I207" s="138"/>
      <c r="J207" s="112"/>
    </row>
    <row r="208" spans="7:10" ht="15.75" hidden="1">
      <c r="G208" s="93"/>
      <c r="H208" s="96"/>
      <c r="I208" s="138"/>
      <c r="J208" s="112"/>
    </row>
    <row r="209" spans="7:11" hidden="1">
      <c r="G209" s="144" t="s">
        <v>167</v>
      </c>
      <c r="I209" s="145"/>
      <c r="J209" s="112"/>
    </row>
    <row r="210" spans="7:11" ht="15.75" hidden="1">
      <c r="G210" s="91" t="s">
        <v>168</v>
      </c>
      <c r="H210" s="146" t="s">
        <v>169</v>
      </c>
      <c r="I210" s="147">
        <v>0.2</v>
      </c>
      <c r="J210" s="112"/>
    </row>
    <row r="211" spans="7:11" ht="30" hidden="1">
      <c r="G211" s="148" t="s">
        <v>170</v>
      </c>
      <c r="H211" s="146" t="s">
        <v>171</v>
      </c>
      <c r="I211" s="145">
        <v>1.05</v>
      </c>
      <c r="J211" s="112"/>
    </row>
    <row r="212" spans="7:11" ht="30" hidden="1">
      <c r="G212" s="148" t="s">
        <v>172</v>
      </c>
      <c r="H212" s="146" t="s">
        <v>173</v>
      </c>
      <c r="I212" s="145">
        <v>1.1499999999999999</v>
      </c>
      <c r="J212" s="112"/>
    </row>
    <row r="213" spans="7:11" ht="18.75" hidden="1">
      <c r="G213" s="148" t="s">
        <v>174</v>
      </c>
      <c r="H213" s="146" t="s">
        <v>175</v>
      </c>
      <c r="I213" s="145">
        <v>1.5</v>
      </c>
      <c r="J213" s="112"/>
    </row>
    <row r="214" spans="7:11" ht="18.75" hidden="1">
      <c r="G214" s="148" t="s">
        <v>176</v>
      </c>
      <c r="H214" s="146" t="s">
        <v>177</v>
      </c>
      <c r="I214" s="147">
        <f>FS_parcial</f>
        <v>1.3</v>
      </c>
    </row>
    <row r="215" spans="7:11" ht="18.75" hidden="1">
      <c r="G215" s="148" t="s">
        <v>178</v>
      </c>
      <c r="H215" s="146" t="s">
        <v>179</v>
      </c>
      <c r="I215" s="147">
        <v>1.5</v>
      </c>
    </row>
    <row r="216" spans="7:11" ht="30" hidden="1">
      <c r="G216" s="148" t="s">
        <v>180</v>
      </c>
      <c r="H216" s="146" t="s">
        <v>181</v>
      </c>
      <c r="I216" s="145">
        <v>1.6</v>
      </c>
    </row>
    <row r="217" spans="7:11" ht="15.75" hidden="1">
      <c r="G217" s="148" t="s">
        <v>184</v>
      </c>
      <c r="H217" s="114" t="s">
        <v>185</v>
      </c>
      <c r="I217" s="152">
        <f>SQRT((AA_1*BB_1)/PI())</f>
        <v>56.418958354775633</v>
      </c>
      <c r="J217" s="112" t="s">
        <v>5</v>
      </c>
    </row>
    <row r="222" spans="7:11" hidden="1">
      <c r="G222" s="158" t="s">
        <v>194</v>
      </c>
      <c r="H222"/>
      <c r="I222"/>
      <c r="J222"/>
      <c r="K222"/>
    </row>
    <row r="223" spans="7:11" hidden="1">
      <c r="G223" s="158"/>
      <c r="H223"/>
      <c r="I223"/>
      <c r="J223"/>
      <c r="K223"/>
    </row>
    <row r="224" spans="7:11" hidden="1">
      <c r="G224" s="158"/>
      <c r="H224"/>
      <c r="I224"/>
      <c r="J224"/>
      <c r="K224"/>
    </row>
    <row r="225" spans="7:11" hidden="1">
      <c r="G225" s="158"/>
      <c r="H225"/>
      <c r="I225"/>
      <c r="J225"/>
      <c r="K225"/>
    </row>
    <row r="226" spans="7:11" hidden="1">
      <c r="G226" s="158"/>
      <c r="H226"/>
      <c r="I226"/>
      <c r="J226"/>
      <c r="K226"/>
    </row>
    <row r="227" spans="7:11" hidden="1">
      <c r="G227" s="158"/>
      <c r="H227"/>
      <c r="I227"/>
      <c r="J227"/>
      <c r="K227"/>
    </row>
    <row r="228" spans="7:11" hidden="1">
      <c r="G228" s="158"/>
      <c r="H228"/>
      <c r="I228"/>
      <c r="J228"/>
      <c r="K228"/>
    </row>
    <row r="229" spans="7:11" hidden="1">
      <c r="G229" s="158"/>
      <c r="H229"/>
      <c r="I229"/>
      <c r="J229"/>
      <c r="K229"/>
    </row>
    <row r="230" spans="7:11" hidden="1">
      <c r="G230" s="158"/>
      <c r="H230"/>
      <c r="I230"/>
      <c r="J230"/>
      <c r="K230"/>
    </row>
    <row r="231" spans="7:11" hidden="1">
      <c r="G231" s="158"/>
      <c r="H231"/>
      <c r="I231"/>
      <c r="J231"/>
      <c r="K231"/>
    </row>
    <row r="232" spans="7:11" hidden="1">
      <c r="G232" s="158"/>
      <c r="H232"/>
      <c r="I232"/>
      <c r="J232"/>
      <c r="K232"/>
    </row>
    <row r="233" spans="7:11" hidden="1">
      <c r="G233" s="158"/>
      <c r="H233"/>
      <c r="I233"/>
      <c r="J233"/>
      <c r="K233"/>
    </row>
    <row r="234" spans="7:11" hidden="1">
      <c r="G234" s="158"/>
      <c r="H234"/>
      <c r="I234"/>
      <c r="J234"/>
      <c r="K234"/>
    </row>
    <row r="235" spans="7:11" hidden="1">
      <c r="G235" s="158"/>
      <c r="H235"/>
      <c r="I235"/>
      <c r="J235"/>
      <c r="K235"/>
    </row>
    <row r="236" spans="7:11" hidden="1">
      <c r="G236" s="158"/>
      <c r="H236"/>
      <c r="I236"/>
      <c r="J236"/>
      <c r="K236"/>
    </row>
    <row r="237" spans="7:11" hidden="1">
      <c r="G237" s="158"/>
      <c r="H237"/>
      <c r="I237"/>
      <c r="J237"/>
      <c r="K237"/>
    </row>
    <row r="238" spans="7:11" hidden="1">
      <c r="G238" s="158"/>
      <c r="H238"/>
      <c r="I238"/>
      <c r="J238"/>
      <c r="K238"/>
    </row>
    <row r="240" spans="7:11" ht="18.75" hidden="1">
      <c r="G240" s="91" t="s">
        <v>211</v>
      </c>
      <c r="H240" s="110" t="s">
        <v>212</v>
      </c>
      <c r="I240" s="160">
        <f>fck/gc</f>
        <v>19.333333333333332</v>
      </c>
      <c r="J240" s="112" t="s">
        <v>118</v>
      </c>
    </row>
    <row r="241" spans="7:11" ht="20.25" hidden="1">
      <c r="H241" s="161" t="s">
        <v>213</v>
      </c>
      <c r="I241" s="91">
        <f>0.6*(1-fck/250)</f>
        <v>0.53039999999999998</v>
      </c>
      <c r="J241" s="112"/>
      <c r="K241" s="162"/>
    </row>
    <row r="242" spans="7:11" ht="18" hidden="1">
      <c r="G242" s="91" t="s">
        <v>196</v>
      </c>
      <c r="H242" s="112" t="s">
        <v>197</v>
      </c>
      <c r="I242" s="160">
        <f>0.5*k2_*fcd</f>
        <v>5.1271999999999993</v>
      </c>
      <c r="J242" s="112" t="s">
        <v>118</v>
      </c>
    </row>
    <row r="243" spans="7:11" ht="18" hidden="1">
      <c r="G243" s="91" t="s">
        <v>198</v>
      </c>
      <c r="H243" s="112" t="s">
        <v>199</v>
      </c>
      <c r="I243" s="147">
        <f>2*(AA_1+BB_1)</f>
        <v>400</v>
      </c>
      <c r="J243" s="112" t="s">
        <v>5</v>
      </c>
    </row>
    <row r="244" spans="7:11" ht="18" hidden="1">
      <c r="G244" s="91" t="s">
        <v>214</v>
      </c>
      <c r="H244" s="112" t="s">
        <v>215</v>
      </c>
      <c r="I244" s="147">
        <f>2*(AA_1)+BB_1</f>
        <v>300</v>
      </c>
      <c r="J244" s="112" t="s">
        <v>5</v>
      </c>
      <c r="K244" s="162"/>
    </row>
    <row r="245" spans="7:11" ht="18" hidden="1">
      <c r="G245" s="91" t="s">
        <v>216</v>
      </c>
      <c r="H245" s="112" t="s">
        <v>217</v>
      </c>
      <c r="I245" s="147">
        <f>AA_1+2*BB_1</f>
        <v>300</v>
      </c>
      <c r="J245" s="112" t="s">
        <v>5</v>
      </c>
    </row>
    <row r="246" spans="7:11" ht="18" hidden="1">
      <c r="G246" s="91" t="s">
        <v>218</v>
      </c>
      <c r="H246" s="112" t="s">
        <v>219</v>
      </c>
      <c r="I246" s="147">
        <f>(AA_1)+BB_1</f>
        <v>200</v>
      </c>
      <c r="J246" s="112" t="s">
        <v>5</v>
      </c>
    </row>
    <row r="247" spans="7:11" ht="18" hidden="1">
      <c r="G247" s="93" t="s">
        <v>200</v>
      </c>
      <c r="H247" s="112" t="s">
        <v>201</v>
      </c>
      <c r="I247" s="99">
        <f>Q1_ult*1000/(u0_1*d)</f>
        <v>1.3312838741186241</v>
      </c>
      <c r="J247" s="112" t="s">
        <v>118</v>
      </c>
      <c r="K247" s="91" t="str">
        <f>IF(vmax&gt;vp_1,"O.K","No Cumple")</f>
        <v>O.K</v>
      </c>
    </row>
    <row r="248" spans="7:11" ht="18" hidden="1">
      <c r="G248" s="93" t="s">
        <v>220</v>
      </c>
      <c r="H248" s="112" t="s">
        <v>221</v>
      </c>
      <c r="I248" s="99">
        <f>Q1_ult_jb*1000/(u0_2*d)</f>
        <v>1.0650270992948991</v>
      </c>
      <c r="J248" s="112" t="s">
        <v>118</v>
      </c>
      <c r="K248" s="91" t="str">
        <f>IF(vmax&gt;vp_2,"O.K","No Cumple")</f>
        <v>O.K</v>
      </c>
    </row>
    <row r="249" spans="7:11" ht="18" hidden="1">
      <c r="G249" s="93" t="s">
        <v>222</v>
      </c>
      <c r="H249" s="112" t="s">
        <v>223</v>
      </c>
      <c r="I249" s="99">
        <f>Q1_ult_jb*1000/(u0_3*d)</f>
        <v>1.0650270992948991</v>
      </c>
      <c r="J249" s="112" t="s">
        <v>118</v>
      </c>
      <c r="K249" s="91" t="str">
        <f>IF(vmax&gt;vp_3,"O.K","No Cumple")</f>
        <v>O.K</v>
      </c>
    </row>
    <row r="250" spans="7:11" ht="18" hidden="1">
      <c r="G250" s="93" t="s">
        <v>224</v>
      </c>
      <c r="H250" s="112" t="s">
        <v>225</v>
      </c>
      <c r="I250" s="99">
        <f>Q1_ult_ep*1000/(u0_4*d)</f>
        <v>1.5975406489423489</v>
      </c>
      <c r="J250" s="112" t="s">
        <v>118</v>
      </c>
      <c r="K250" s="91" t="str">
        <f>IF(vmax&gt;vp_4,"O.K","No Cumple")</f>
        <v>O.K</v>
      </c>
    </row>
    <row r="253" spans="7:11" ht="18" hidden="1">
      <c r="G253" s="91" t="s">
        <v>229</v>
      </c>
      <c r="H253" s="112" t="s">
        <v>230</v>
      </c>
      <c r="I253" s="147">
        <f>vmax*u0_1*d/1000</f>
        <v>200.26863179463652</v>
      </c>
      <c r="J253" s="112" t="s">
        <v>150</v>
      </c>
    </row>
    <row r="254" spans="7:11" ht="18" hidden="1">
      <c r="G254" s="91" t="s">
        <v>232</v>
      </c>
      <c r="H254" s="112" t="s">
        <v>233</v>
      </c>
      <c r="I254" s="147">
        <f>vmax*u0_2*d/1000</f>
        <v>150.2014738459774</v>
      </c>
      <c r="J254" s="112" t="s">
        <v>150</v>
      </c>
    </row>
    <row r="255" spans="7:11" ht="18" hidden="1">
      <c r="G255" s="91" t="s">
        <v>232</v>
      </c>
      <c r="H255" s="112" t="s">
        <v>235</v>
      </c>
      <c r="I255" s="147">
        <f>vmax*u0_3*d/1000</f>
        <v>150.2014738459774</v>
      </c>
      <c r="J255" s="112" t="s">
        <v>150</v>
      </c>
    </row>
    <row r="256" spans="7:11" ht="18" hidden="1">
      <c r="G256" s="91" t="s">
        <v>238</v>
      </c>
      <c r="H256" s="112" t="s">
        <v>239</v>
      </c>
      <c r="I256" s="147">
        <f>vmax*u0_4*d/1000</f>
        <v>100.13431589731826</v>
      </c>
      <c r="J256" s="112" t="s">
        <v>150</v>
      </c>
    </row>
    <row r="257" spans="7:10" ht="18" hidden="1">
      <c r="G257" s="91" t="s">
        <v>204</v>
      </c>
      <c r="H257" s="112" t="s">
        <v>205</v>
      </c>
      <c r="I257" s="147">
        <f>2*(AA_1+BB_1+PI()*2*d)</f>
        <v>1627.1073146951737</v>
      </c>
      <c r="J257" s="112" t="s">
        <v>5</v>
      </c>
    </row>
    <row r="258" spans="7:10" ht="18" hidden="1">
      <c r="G258" s="112" t="s">
        <v>240</v>
      </c>
      <c r="H258" s="112" t="s">
        <v>241</v>
      </c>
      <c r="I258" s="147">
        <f>2*(AA_1)+BB_1+PI()*2*d</f>
        <v>913.55365734758686</v>
      </c>
      <c r="J258" s="112" t="s">
        <v>5</v>
      </c>
    </row>
    <row r="259" spans="7:10" ht="18" hidden="1">
      <c r="G259" s="91" t="s">
        <v>242</v>
      </c>
      <c r="H259" s="112" t="s">
        <v>243</v>
      </c>
      <c r="I259" s="147">
        <f>AA_1+2*BB_1+PI()*2*d</f>
        <v>913.55365734758686</v>
      </c>
      <c r="J259" s="112" t="s">
        <v>5</v>
      </c>
    </row>
    <row r="260" spans="7:10" ht="18" hidden="1">
      <c r="G260" s="91" t="s">
        <v>244</v>
      </c>
      <c r="H260" s="112" t="s">
        <v>245</v>
      </c>
      <c r="I260" s="147">
        <f>(AA_1)+BB_1+PI()/2*2*d</f>
        <v>506.77682867379343</v>
      </c>
      <c r="J260" s="112" t="s">
        <v>5</v>
      </c>
    </row>
    <row r="261" spans="7:10" ht="18" hidden="1">
      <c r="G261" s="91" t="s">
        <v>206</v>
      </c>
      <c r="H261" s="112" t="s">
        <v>207</v>
      </c>
      <c r="I261" s="147">
        <f>(0.035*k1_^(3/2)*fck^(1/2)+0.06*Re_3/100*fctk_fl)*u1_1*d/1000</f>
        <v>101.12887353966124</v>
      </c>
      <c r="J261" s="112" t="s">
        <v>150</v>
      </c>
    </row>
    <row r="262" spans="7:10" ht="18" hidden="1">
      <c r="G262" s="91" t="s">
        <v>246</v>
      </c>
      <c r="H262" s="112" t="s">
        <v>247</v>
      </c>
      <c r="I262" s="147">
        <f>(0.035*k1_^(3/2)*fck^(1/2)+0.06*Re_3/100*fctk_fl)*u1_2*d/1000</f>
        <v>56.779692065306129</v>
      </c>
      <c r="J262" s="112" t="s">
        <v>150</v>
      </c>
    </row>
    <row r="263" spans="7:10" ht="18" hidden="1">
      <c r="G263" s="91" t="s">
        <v>248</v>
      </c>
      <c r="H263" s="112" t="s">
        <v>249</v>
      </c>
      <c r="I263" s="147">
        <f>(0.035*k1_^(3/2)*fck^(1/2)+0.06*Re_3/100*fctk_fl)*u1_3*d/1000</f>
        <v>56.779692065306129</v>
      </c>
      <c r="J263" s="112" t="s">
        <v>150</v>
      </c>
    </row>
    <row r="264" spans="7:10" ht="18" hidden="1">
      <c r="G264" s="91" t="s">
        <v>250</v>
      </c>
      <c r="H264" s="112" t="s">
        <v>251</v>
      </c>
      <c r="I264" s="147">
        <f>(0.035*k1_^(3/2)*fck^(1/2)+0.06*Re_3/100*fctk_fl)*u1_4*d/1000</f>
        <v>31.497473680390826</v>
      </c>
      <c r="J264" s="112" t="s">
        <v>150</v>
      </c>
    </row>
    <row r="265" spans="7:10" hidden="1">
      <c r="H265" s="112"/>
      <c r="I265" s="147"/>
      <c r="J265" s="112"/>
    </row>
  </sheetData>
  <sheetProtection algorithmName="SHA-512" hashValue="C2wcqfdfKo4Us25T3Q4Nd3o1yD6BJXvEN0E4gZz7imhWtMPgZvyzJBCeTDz+Dpm637IYuXIPf3jw1CHLW1DXWQ==" saltValue="xKPk/iaiAGKb/IsnqMBQHQ==" spinCount="100000" sheet="1" objects="1" scenarios="1" selectLockedCells="1"/>
  <dataConsolidate/>
  <mergeCells count="6">
    <mergeCell ref="A1:C5"/>
    <mergeCell ref="G191:J191"/>
    <mergeCell ref="B7:E7"/>
    <mergeCell ref="B153:D153"/>
    <mergeCell ref="B154:D154"/>
    <mergeCell ref="C15:E15"/>
  </mergeCells>
  <conditionalFormatting sqref="D70">
    <cfRule type="cellIs" dxfId="217" priority="58" operator="greaterThan">
      <formula>1</formula>
    </cfRule>
    <cfRule type="cellIs" dxfId="216" priority="60" operator="lessThan">
      <formula>1</formula>
    </cfRule>
  </conditionalFormatting>
  <conditionalFormatting sqref="D106">
    <cfRule type="cellIs" dxfId="215" priority="57" operator="greaterThan">
      <formula>1</formula>
    </cfRule>
    <cfRule type="cellIs" dxfId="214" priority="59" operator="lessThan">
      <formula>1</formula>
    </cfRule>
  </conditionalFormatting>
  <conditionalFormatting sqref="E70:E76 E82 E128:E129 E108 E110:E113">
    <cfRule type="containsText" dxfId="213" priority="55" operator="containsText" text="O.K">
      <formula>NOT(ISERROR(SEARCH("O.K",E70)))</formula>
    </cfRule>
    <cfRule type="containsText" dxfId="212" priority="56" operator="containsText" text="No Cumple">
      <formula>NOT(ISERROR(SEARCH("No Cumple",E70)))</formula>
    </cfRule>
  </conditionalFormatting>
  <conditionalFormatting sqref="E106:E107">
    <cfRule type="containsText" dxfId="211" priority="53" operator="containsText" text="O.K">
      <formula>NOT(ISERROR(SEARCH("O.K",E106)))</formula>
    </cfRule>
    <cfRule type="containsText" dxfId="210" priority="54" operator="containsText" text="No Cumple">
      <formula>NOT(ISERROR(SEARCH("No Cumple",E106)))</formula>
    </cfRule>
  </conditionalFormatting>
  <conditionalFormatting sqref="E121">
    <cfRule type="containsText" dxfId="209" priority="51" operator="containsText" text="O.K">
      <formula>NOT(ISERROR(SEARCH("O.K",E121)))</formula>
    </cfRule>
    <cfRule type="containsText" dxfId="208" priority="52" operator="containsText" text="No Cumple">
      <formula>NOT(ISERROR(SEARCH("No Cumple",E121)))</formula>
    </cfRule>
  </conditionalFormatting>
  <conditionalFormatting sqref="D147">
    <cfRule type="cellIs" dxfId="207" priority="49" operator="greaterThan">
      <formula>1</formula>
    </cfRule>
    <cfRule type="cellIs" dxfId="206" priority="50" operator="lessThan">
      <formula>1</formula>
    </cfRule>
  </conditionalFormatting>
  <conditionalFormatting sqref="E147">
    <cfRule type="containsText" dxfId="205" priority="47" operator="containsText" text="O.K">
      <formula>NOT(ISERROR(SEARCH("O.K",E147)))</formula>
    </cfRule>
    <cfRule type="containsText" dxfId="204" priority="48" operator="containsText" text="No Cumple">
      <formula>NOT(ISERROR(SEARCH("No Cumple",E147)))</formula>
    </cfRule>
  </conditionalFormatting>
  <conditionalFormatting sqref="E148">
    <cfRule type="containsText" dxfId="203" priority="45" operator="containsText" text="O.K">
      <formula>NOT(ISERROR(SEARCH("O.K",E148)))</formula>
    </cfRule>
    <cfRule type="containsText" dxfId="202" priority="46" operator="containsText" text="No Cumple">
      <formula>NOT(ISERROR(SEARCH("No Cumple",E148)))</formula>
    </cfRule>
  </conditionalFormatting>
  <conditionalFormatting sqref="D80">
    <cfRule type="cellIs" dxfId="201" priority="43" operator="greaterThan">
      <formula>1</formula>
    </cfRule>
    <cfRule type="cellIs" dxfId="200" priority="44" operator="lessThan">
      <formula>1</formula>
    </cfRule>
  </conditionalFormatting>
  <conditionalFormatting sqref="E80:E81">
    <cfRule type="containsText" dxfId="199" priority="41" operator="containsText" text="O.K">
      <formula>NOT(ISERROR(SEARCH("O.K",E80)))</formula>
    </cfRule>
    <cfRule type="containsText" dxfId="198" priority="42" operator="containsText" text="No Cumple">
      <formula>NOT(ISERROR(SEARCH("No Cumple",E80)))</formula>
    </cfRule>
  </conditionalFormatting>
  <conditionalFormatting sqref="D85">
    <cfRule type="cellIs" dxfId="197" priority="39" operator="greaterThan">
      <formula>1</formula>
    </cfRule>
    <cfRule type="cellIs" dxfId="196" priority="40" operator="lessThan">
      <formula>1</formula>
    </cfRule>
  </conditionalFormatting>
  <conditionalFormatting sqref="E85:E86">
    <cfRule type="containsText" dxfId="195" priority="37" operator="containsText" text="O.K">
      <formula>NOT(ISERROR(SEARCH("O.K",E85)))</formula>
    </cfRule>
    <cfRule type="containsText" dxfId="194" priority="38" operator="containsText" text="No Cumple">
      <formula>NOT(ISERROR(SEARCH("No Cumple",E85)))</formula>
    </cfRule>
  </conditionalFormatting>
  <conditionalFormatting sqref="E119:E120">
    <cfRule type="containsText" dxfId="193" priority="33" operator="containsText" text="O.K">
      <formula>NOT(ISERROR(SEARCH("O.K",E119)))</formula>
    </cfRule>
    <cfRule type="containsText" dxfId="192" priority="34" operator="containsText" text="No Cumple">
      <formula>NOT(ISERROR(SEARCH("No Cumple",E119)))</formula>
    </cfRule>
  </conditionalFormatting>
  <conditionalFormatting sqref="D119">
    <cfRule type="cellIs" dxfId="191" priority="35" operator="greaterThan">
      <formula>1</formula>
    </cfRule>
    <cfRule type="cellIs" dxfId="190" priority="36" operator="lessThan">
      <formula>1</formula>
    </cfRule>
  </conditionalFormatting>
  <conditionalFormatting sqref="D126">
    <cfRule type="cellIs" dxfId="189" priority="31" operator="greaterThan">
      <formula>1</formula>
    </cfRule>
    <cfRule type="cellIs" dxfId="188" priority="32" operator="lessThan">
      <formula>1</formula>
    </cfRule>
  </conditionalFormatting>
  <conditionalFormatting sqref="E126:E127">
    <cfRule type="containsText" dxfId="187" priority="29" operator="containsText" text="O.K">
      <formula>NOT(ISERROR(SEARCH("O.K",E126)))</formula>
    </cfRule>
    <cfRule type="containsText" dxfId="186" priority="30" operator="containsText" text="No Cumple">
      <formula>NOT(ISERROR(SEARCH("No Cumple",E126)))</formula>
    </cfRule>
  </conditionalFormatting>
  <conditionalFormatting sqref="E158:E159">
    <cfRule type="containsText" dxfId="185" priority="25" operator="containsText" text="O.K">
      <formula>NOT(ISERROR(SEARCH("O.K",E158)))</formula>
    </cfRule>
    <cfRule type="containsText" dxfId="184" priority="26" operator="containsText" text="No Cumple">
      <formula>NOT(ISERROR(SEARCH("No Cumple",E158)))</formula>
    </cfRule>
  </conditionalFormatting>
  <conditionalFormatting sqref="D158">
    <cfRule type="cellIs" dxfId="183" priority="27" operator="greaterThan">
      <formula>1</formula>
    </cfRule>
    <cfRule type="cellIs" dxfId="182" priority="28" operator="lessThan">
      <formula>1</formula>
    </cfRule>
  </conditionalFormatting>
  <conditionalFormatting sqref="D163">
    <cfRule type="cellIs" dxfId="181" priority="23" operator="greaterThan">
      <formula>1</formula>
    </cfRule>
    <cfRule type="cellIs" dxfId="180" priority="24" operator="lessThan">
      <formula>1</formula>
    </cfRule>
  </conditionalFormatting>
  <conditionalFormatting sqref="E163">
    <cfRule type="containsText" dxfId="179" priority="21" operator="containsText" text="O.K">
      <formula>NOT(ISERROR(SEARCH("O.K",E163)))</formula>
    </cfRule>
    <cfRule type="containsText" dxfId="178" priority="22" operator="containsText" text="No Cumple">
      <formula>NOT(ISERROR(SEARCH("No Cumple",E163)))</formula>
    </cfRule>
  </conditionalFormatting>
  <conditionalFormatting sqref="D71">
    <cfRule type="cellIs" dxfId="177" priority="19" operator="greaterThan">
      <formula>FS_Global</formula>
    </cfRule>
    <cfRule type="cellIs" dxfId="176" priority="20" operator="lessThan">
      <formula>FS_Global</formula>
    </cfRule>
  </conditionalFormatting>
  <conditionalFormatting sqref="D81">
    <cfRule type="cellIs" dxfId="175" priority="15" operator="greaterThan">
      <formula>FS_Global</formula>
    </cfRule>
    <cfRule type="cellIs" dxfId="174" priority="16" operator="lessThan">
      <formula>FS_Global</formula>
    </cfRule>
  </conditionalFormatting>
  <conditionalFormatting sqref="D86">
    <cfRule type="cellIs" dxfId="173" priority="13" operator="greaterThan">
      <formula>FS_Global</formula>
    </cfRule>
    <cfRule type="cellIs" dxfId="172" priority="14" operator="lessThan">
      <formula>FS_Global</formula>
    </cfRule>
  </conditionalFormatting>
  <conditionalFormatting sqref="D107">
    <cfRule type="cellIs" dxfId="171" priority="11" operator="greaterThan">
      <formula>FS_Global</formula>
    </cfRule>
    <cfRule type="cellIs" dxfId="170" priority="12" operator="lessThan">
      <formula>FS_Global</formula>
    </cfRule>
  </conditionalFormatting>
  <conditionalFormatting sqref="D120">
    <cfRule type="cellIs" dxfId="169" priority="9" operator="greaterThan">
      <formula>FS_Global</formula>
    </cfRule>
    <cfRule type="cellIs" dxfId="168" priority="10" operator="lessThan">
      <formula>FS_Global</formula>
    </cfRule>
  </conditionalFormatting>
  <conditionalFormatting sqref="D148">
    <cfRule type="cellIs" dxfId="167" priority="5" operator="greaterThan">
      <formula>FS_Global</formula>
    </cfRule>
    <cfRule type="cellIs" dxfId="166" priority="6" operator="lessThan">
      <formula>FS_Global</formula>
    </cfRule>
  </conditionalFormatting>
  <conditionalFormatting sqref="D127">
    <cfRule type="cellIs" dxfId="165" priority="7" operator="greaterThan">
      <formula>FS_Global</formula>
    </cfRule>
    <cfRule type="cellIs" dxfId="164" priority="8" operator="lessThan">
      <formula>FS_Global</formula>
    </cfRule>
  </conditionalFormatting>
  <conditionalFormatting sqref="D159">
    <cfRule type="cellIs" dxfId="163" priority="3" operator="greaterThan">
      <formula>FS_Global</formula>
    </cfRule>
    <cfRule type="cellIs" dxfId="162" priority="4" operator="lessThan">
      <formula>FS_Global</formula>
    </cfRule>
  </conditionalFormatting>
  <conditionalFormatting sqref="D164">
    <cfRule type="cellIs" dxfId="161" priority="1" operator="greaterThan">
      <formula>FS_Global</formula>
    </cfRule>
    <cfRule type="cellIs" dxfId="160" priority="2" operator="lessThan">
      <formula>FS_Global</formula>
    </cfRule>
  </conditionalFormatting>
  <dataValidations count="7">
    <dataValidation type="decimal" operator="greaterThanOrEqual" allowBlank="1" showInputMessage="1" showErrorMessage="1" error="El valor mínimo de dosificación es de 3.2 kg/m3 para obtener un valor de Re.3 igual o superior a 30%" sqref="I172 K4:K5 I170 D40" xr:uid="{00000000-0002-0000-0500-000000000000}">
      <formula1>3.2</formula1>
    </dataValidation>
    <dataValidation type="decimal" operator="greaterThanOrEqual" allowBlank="1" showInputMessage="1" showErrorMessage="1" error="El valor mínimo de dosificación es de 3.2 kg/m3 para obtener un valor de Re.3 igual o superior a 0.3." prompt="La dosificación mínima de FIBRAPLAST CONCRETE para alcanzar un valor de Re,3 igual a 0.3 es 3.2 kg/m3, de lo contrario el concreto será considerado como concreto plano (TR34 sección 9.4.2)" sqref="D21" xr:uid="{00000000-0002-0000-0500-000001000000}">
      <formula1>3.2</formula1>
    </dataValidation>
    <dataValidation allowBlank="1" showInputMessage="1" showErrorMessage="1" prompt="Modificar h hasta alcanzar un índice de capacidad superior a 1.0." sqref="D56:D57" xr:uid="{00000000-0002-0000-0500-000002000000}"/>
    <dataValidation allowBlank="1" showInputMessage="1" showErrorMessage="1" prompt="La condición de carga de estantería individual en bordes libres es muy inusual, y generalmente no se considera, sin embargo se calcula aquí para aquellos casos donde pudiera requerirse." sqref="D121 D128:D129 D110:D113 D108" xr:uid="{00000000-0002-0000-0500-000003000000}"/>
    <dataValidation allowBlank="1" showInputMessage="1" showErrorMessage="1" prompt="En los bordes entre paneles se asume capacidad de transferencia de carga a través de la junta.  Se espera que la junta esté en capacidad de soportar un 20% de la carga. En caso de que la junta no transfiera carga, considerar el borde libre." sqref="D102" xr:uid="{00000000-0002-0000-0500-000004000000}"/>
    <dataValidation allowBlank="1" showInputMessage="1" showErrorMessage="1" prompt="En las esquinas entre paneles se asume capacidad de transferencia de carga a través de la junta.  Se espera que la junta esté en capacidad de soportar un 20% de la carga. En caso de que la junta no transfiera carga, considerar la esquina libre." sqref="D143" xr:uid="{00000000-0002-0000-0500-000005000000}"/>
    <dataValidation type="decimal" operator="greaterThanOrEqual" allowBlank="1" showInputMessage="1" showErrorMessage="1" error="El factor parcial de seguridad mínimo a usar es 1.2 según TR34." sqref="D41:D43" xr:uid="{00000000-0002-0000-0500-000006000000}">
      <formula1>1.2</formula1>
    </dataValidation>
  </dataValidations>
  <printOptions horizontalCentered="1"/>
  <pageMargins left="0.70866141732283472" right="0.70866141732283472" top="0.74803149606299213" bottom="0.74803149606299213" header="0.31496062992125984" footer="0.31496062992125984"/>
  <pageSetup scale="70" orientation="portrait" r:id="rId1"/>
  <headerFooter>
    <oddHeader>&amp;L&amp;G&amp;R&amp;G</oddHeader>
    <oddFooter>&amp;CLA MARCA FIBRAPLAS CONCRETE® SON DE USO EXCLUSIVO DE ABACOL S.A.S.</oddFooter>
  </headerFooter>
  <rowBreaks count="4" manualBreakCount="4">
    <brk id="56" max="16383" man="1"/>
    <brk id="87" max="4" man="1"/>
    <brk id="128" max="4" man="1"/>
    <brk id="166" max="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Hoja5.Est_individual_2">
                <anchor moveWithCells="1" sizeWithCells="1">
                  <from>
                    <xdr:col>1</xdr:col>
                    <xdr:colOff>19050</xdr:colOff>
                    <xdr:row>46</xdr:row>
                    <xdr:rowOff>95250</xdr:rowOff>
                  </from>
                  <to>
                    <xdr:col>2</xdr:col>
                    <xdr:colOff>361950</xdr:colOff>
                    <xdr:row>51</xdr:row>
                    <xdr:rowOff>47625</xdr:rowOff>
                  </to>
                </anchor>
              </controlPr>
            </control>
          </mc:Choice>
        </mc:AlternateContent>
        <mc:AlternateContent xmlns:mc="http://schemas.openxmlformats.org/markup-compatibility/2006">
          <mc:Choice Requires="x14">
            <control shapeId="15364" r:id="rId6" name="Button 4">
              <controlPr defaultSize="0" print="0" autoFill="0" autoPict="0" macro="[0]!Menu_Select">
                <anchor moveWithCells="1" sizeWithCells="1">
                  <from>
                    <xdr:col>2</xdr:col>
                    <xdr:colOff>390525</xdr:colOff>
                    <xdr:row>7</xdr:row>
                    <xdr:rowOff>85725</xdr:rowOff>
                  </from>
                  <to>
                    <xdr:col>4</xdr:col>
                    <xdr:colOff>542925</xdr:colOff>
                    <xdr:row>9</xdr:row>
                    <xdr:rowOff>47625</xdr:rowOff>
                  </to>
                </anchor>
              </controlPr>
            </control>
          </mc:Choice>
        </mc:AlternateContent>
        <mc:AlternateContent xmlns:mc="http://schemas.openxmlformats.org/markup-compatibility/2006">
          <mc:Choice Requires="x14">
            <control shapeId="15369" r:id="rId7" name="Drop Down 9">
              <controlPr defaultSize="0" autoLine="0" autoPict="0">
                <anchor moveWithCells="1">
                  <from>
                    <xdr:col>2</xdr:col>
                    <xdr:colOff>361950</xdr:colOff>
                    <xdr:row>14</xdr:row>
                    <xdr:rowOff>9525</xdr:rowOff>
                  </from>
                  <to>
                    <xdr:col>4</xdr:col>
                    <xdr:colOff>476250</xdr:colOff>
                    <xdr:row>14</xdr:row>
                    <xdr:rowOff>219075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rgb="FF00B050"/>
  </sheetPr>
  <dimension ref="A1:N294"/>
  <sheetViews>
    <sheetView showGridLines="0" showRowColHeaders="0" view="pageBreakPreview" zoomScale="90" zoomScaleNormal="100" zoomScaleSheetLayoutView="90" workbookViewId="0">
      <selection activeCell="D11" sqref="D11"/>
    </sheetView>
  </sheetViews>
  <sheetFormatPr baseColWidth="10" defaultColWidth="0" defaultRowHeight="15" zeroHeight="1"/>
  <cols>
    <col min="1" max="1" width="23.7109375" style="91" customWidth="1"/>
    <col min="2" max="2" width="50.5703125" style="91" customWidth="1"/>
    <col min="3" max="3" width="13.28515625" style="91" customWidth="1"/>
    <col min="4" max="4" width="9.42578125" style="91" customWidth="1"/>
    <col min="5" max="5" width="9.85546875" style="91" customWidth="1"/>
    <col min="6" max="6" width="16.5703125" style="91" hidden="1" customWidth="1"/>
    <col min="7" max="7" width="15.5703125" style="91" hidden="1" customWidth="1"/>
    <col min="8" max="8" width="17.28515625" style="91" hidden="1" customWidth="1"/>
    <col min="9" max="9" width="64.7109375" style="91" hidden="1" customWidth="1"/>
    <col min="10" max="10" width="11.42578125" style="91" hidden="1" customWidth="1"/>
    <col min="11" max="11" width="12.140625" style="91" hidden="1" customWidth="1"/>
    <col min="12" max="14" width="0" style="91" hidden="1" customWidth="1"/>
    <col min="15" max="16384" width="11.42578125" style="91" hidden="1"/>
  </cols>
  <sheetData>
    <row r="1" spans="1:14" ht="23.25" customHeight="1">
      <c r="A1" s="418" t="s">
        <v>615</v>
      </c>
      <c r="B1" s="418"/>
      <c r="C1" s="418"/>
      <c r="D1" s="178"/>
      <c r="E1" s="90"/>
      <c r="I1" s="92"/>
      <c r="J1" s="93"/>
      <c r="K1" s="93"/>
      <c r="L1" s="93"/>
    </row>
    <row r="2" spans="1:14" ht="15" customHeight="1">
      <c r="A2" s="418"/>
      <c r="B2" s="418"/>
      <c r="C2" s="418"/>
      <c r="D2" s="94"/>
      <c r="E2" s="95"/>
      <c r="I2" s="93"/>
      <c r="J2" s="93"/>
      <c r="K2" s="93"/>
      <c r="L2" s="93"/>
    </row>
    <row r="3" spans="1:14" ht="15" customHeight="1">
      <c r="A3" s="418"/>
      <c r="B3" s="418"/>
      <c r="C3" s="418"/>
      <c r="D3" s="94"/>
      <c r="E3" s="95"/>
    </row>
    <row r="4" spans="1:14" ht="21">
      <c r="A4" s="418"/>
      <c r="B4" s="418"/>
      <c r="C4" s="418"/>
      <c r="D4" s="179"/>
      <c r="E4" s="179"/>
      <c r="F4" s="93"/>
    </row>
    <row r="5" spans="1:14" ht="21">
      <c r="A5" s="418"/>
      <c r="B5" s="418"/>
      <c r="C5" s="418"/>
      <c r="D5" s="179"/>
      <c r="E5" s="179"/>
      <c r="F5" s="93"/>
      <c r="M5" s="2"/>
      <c r="N5" s="2"/>
    </row>
    <row r="6" spans="1:14">
      <c r="A6" s="102"/>
      <c r="B6" s="102"/>
      <c r="C6" s="102"/>
      <c r="D6" s="102"/>
      <c r="E6" s="102"/>
      <c r="F6" s="93"/>
    </row>
    <row r="7" spans="1:14" ht="15.75">
      <c r="A7" s="106" t="s">
        <v>283</v>
      </c>
      <c r="B7" s="420"/>
      <c r="C7" s="420"/>
      <c r="D7" s="420"/>
      <c r="E7" s="420"/>
      <c r="F7" s="93"/>
    </row>
    <row r="8" spans="1:14" ht="27.75" customHeight="1">
      <c r="A8" s="102"/>
      <c r="B8" s="102"/>
      <c r="C8" s="102"/>
      <c r="D8" s="102"/>
      <c r="E8" s="102"/>
      <c r="F8" s="93"/>
    </row>
    <row r="9" spans="1:14" ht="23.25">
      <c r="A9" s="100" t="s">
        <v>113</v>
      </c>
      <c r="B9" s="101"/>
      <c r="C9" s="102"/>
      <c r="D9" s="102"/>
      <c r="E9" s="102"/>
      <c r="F9" s="93"/>
    </row>
    <row r="10" spans="1:14" ht="16.5" customHeight="1">
      <c r="A10" s="102"/>
      <c r="B10" s="101"/>
      <c r="C10" s="102"/>
      <c r="D10" s="102"/>
      <c r="E10" s="102"/>
      <c r="F10" s="93"/>
    </row>
    <row r="11" spans="1:14" ht="18.75">
      <c r="A11" s="106"/>
      <c r="B11" s="107" t="s">
        <v>114</v>
      </c>
      <c r="C11" s="108" t="s">
        <v>115</v>
      </c>
      <c r="D11" s="180">
        <v>5.3900000000000003E-2</v>
      </c>
      <c r="E11" s="109" t="s">
        <v>596</v>
      </c>
      <c r="F11" s="93"/>
    </row>
    <row r="12" spans="1:14" ht="15.75">
      <c r="A12" s="102"/>
      <c r="B12" s="106"/>
      <c r="C12" s="113"/>
      <c r="D12" s="106"/>
      <c r="E12" s="106"/>
      <c r="F12" s="93"/>
      <c r="G12" s="93"/>
      <c r="H12" s="114"/>
    </row>
    <row r="13" spans="1:14" ht="18.75">
      <c r="A13" s="100" t="s">
        <v>121</v>
      </c>
      <c r="B13" s="106"/>
      <c r="C13" s="113"/>
      <c r="D13" s="106"/>
      <c r="E13" s="106"/>
      <c r="F13" s="93"/>
      <c r="G13" s="115"/>
      <c r="H13" s="110"/>
    </row>
    <row r="14" spans="1:14" ht="18.75">
      <c r="A14" s="100"/>
      <c r="B14" s="106"/>
      <c r="C14" s="113"/>
      <c r="D14" s="106"/>
      <c r="E14" s="106"/>
      <c r="F14" s="93"/>
      <c r="G14" s="115"/>
      <c r="H14" s="110"/>
    </row>
    <row r="15" spans="1:14" ht="18.75">
      <c r="A15" s="100"/>
      <c r="B15" s="309" t="s">
        <v>597</v>
      </c>
      <c r="D15" s="106"/>
      <c r="E15" s="106"/>
      <c r="F15" s="93"/>
      <c r="G15" s="115"/>
      <c r="H15" s="110"/>
    </row>
    <row r="16" spans="1:14" ht="18.75">
      <c r="A16" s="100"/>
      <c r="B16" s="106"/>
      <c r="C16" s="113"/>
      <c r="D16" s="106"/>
      <c r="E16" s="106"/>
      <c r="F16" s="93"/>
      <c r="G16" s="115"/>
      <c r="H16" s="110"/>
    </row>
    <row r="17" spans="1:8" ht="20.25">
      <c r="A17" s="100"/>
      <c r="B17" s="309" t="s">
        <v>600</v>
      </c>
      <c r="C17" s="117" t="s">
        <v>126</v>
      </c>
      <c r="D17" s="314">
        <v>29</v>
      </c>
      <c r="E17" s="106" t="s">
        <v>14</v>
      </c>
      <c r="F17" s="93"/>
      <c r="G17" s="115"/>
      <c r="H17" s="110"/>
    </row>
    <row r="18" spans="1:8" ht="18.75">
      <c r="A18" s="100"/>
      <c r="B18" s="106"/>
      <c r="C18" s="113"/>
      <c r="D18" s="106"/>
      <c r="E18" s="106"/>
      <c r="F18" s="93"/>
      <c r="G18" s="115"/>
      <c r="H18" s="110"/>
    </row>
    <row r="19" spans="1:8" ht="20.25">
      <c r="A19" s="100"/>
      <c r="B19" s="309" t="s">
        <v>601</v>
      </c>
      <c r="C19" s="117" t="s">
        <v>609</v>
      </c>
      <c r="D19" s="316">
        <v>4.1088807478436262</v>
      </c>
      <c r="E19" s="106" t="s">
        <v>14</v>
      </c>
      <c r="F19" s="93"/>
      <c r="G19" s="115"/>
      <c r="H19" s="110"/>
    </row>
    <row r="20" spans="1:8" ht="18.75">
      <c r="A20" s="100"/>
      <c r="B20" s="106"/>
      <c r="C20" s="113"/>
      <c r="D20" s="106"/>
      <c r="E20" s="106"/>
      <c r="F20" s="93"/>
      <c r="G20" s="115"/>
      <c r="H20" s="110"/>
    </row>
    <row r="21" spans="1:8" ht="20.25">
      <c r="A21" s="102"/>
      <c r="B21" s="309" t="s">
        <v>131</v>
      </c>
      <c r="C21" s="108" t="s">
        <v>132</v>
      </c>
      <c r="D21" s="182">
        <v>3.2</v>
      </c>
      <c r="E21" s="109" t="s">
        <v>133</v>
      </c>
      <c r="F21" s="93"/>
      <c r="H21" s="110"/>
    </row>
    <row r="22" spans="1:8" ht="15.75">
      <c r="A22" s="102"/>
      <c r="B22" s="106"/>
      <c r="C22" s="106"/>
      <c r="D22" s="106"/>
      <c r="E22" s="106"/>
      <c r="F22" s="93"/>
      <c r="G22" s="93"/>
      <c r="H22" s="110"/>
    </row>
    <row r="23" spans="1:8" ht="15.75">
      <c r="A23" s="102"/>
      <c r="B23" s="102"/>
      <c r="C23" s="102"/>
      <c r="D23" s="102"/>
      <c r="E23" s="102"/>
      <c r="F23" s="93"/>
      <c r="G23" s="93"/>
      <c r="H23" s="114"/>
    </row>
    <row r="24" spans="1:8" ht="18.75">
      <c r="A24" s="100" t="s">
        <v>140</v>
      </c>
      <c r="B24" s="106"/>
      <c r="C24" s="125"/>
      <c r="D24" s="125"/>
      <c r="E24" s="125"/>
      <c r="F24" s="93"/>
      <c r="G24" s="110"/>
      <c r="H24" s="110"/>
    </row>
    <row r="25" spans="1:8" ht="16.5" customHeight="1">
      <c r="A25" s="102"/>
      <c r="B25" s="102"/>
      <c r="C25" s="102"/>
      <c r="D25" s="102"/>
      <c r="E25" s="102"/>
      <c r="F25" s="93"/>
      <c r="G25" s="110"/>
      <c r="H25" s="110"/>
    </row>
    <row r="26" spans="1:8" ht="15.75">
      <c r="A26" s="102"/>
      <c r="B26" s="102"/>
      <c r="C26" s="102"/>
      <c r="D26" s="102"/>
      <c r="E26" s="102"/>
      <c r="F26" s="93"/>
      <c r="H26" s="123"/>
    </row>
    <row r="27" spans="1:8" ht="15.75">
      <c r="A27" s="102"/>
      <c r="B27" s="102"/>
      <c r="C27" s="102"/>
      <c r="D27" s="102"/>
      <c r="E27" s="102"/>
      <c r="F27" s="93"/>
      <c r="H27" s="110"/>
    </row>
    <row r="28" spans="1:8" ht="15.75">
      <c r="A28" s="102"/>
      <c r="B28" s="102"/>
      <c r="C28" s="102"/>
      <c r="D28" s="102"/>
      <c r="E28" s="102"/>
      <c r="H28" s="114"/>
    </row>
    <row r="29" spans="1:8" ht="15.75">
      <c r="A29" s="102"/>
      <c r="B29" s="102"/>
      <c r="C29" s="102"/>
      <c r="D29" s="102"/>
      <c r="E29" s="102"/>
      <c r="H29" s="110"/>
    </row>
    <row r="30" spans="1:8" ht="15.75">
      <c r="A30" s="102"/>
      <c r="B30" s="102"/>
      <c r="C30" s="102"/>
      <c r="D30" s="102"/>
      <c r="E30" s="102"/>
      <c r="G30" s="93"/>
      <c r="H30" s="114"/>
    </row>
    <row r="31" spans="1:8">
      <c r="A31" s="102"/>
      <c r="B31" s="102"/>
      <c r="C31" s="102"/>
      <c r="D31" s="102"/>
      <c r="E31" s="102"/>
    </row>
    <row r="32" spans="1:8" ht="15.75">
      <c r="A32" s="102"/>
      <c r="B32" s="102"/>
      <c r="C32" s="131"/>
      <c r="D32" s="132"/>
      <c r="E32" s="133"/>
    </row>
    <row r="33" spans="1:8" ht="13.5" customHeight="1">
      <c r="A33" s="102"/>
      <c r="B33" s="134"/>
      <c r="C33" s="131"/>
      <c r="D33" s="135"/>
      <c r="E33" s="133"/>
    </row>
    <row r="34" spans="1:8" ht="16.5" customHeight="1">
      <c r="A34" s="102"/>
      <c r="B34" s="136"/>
      <c r="C34" s="137"/>
      <c r="D34" s="137"/>
      <c r="E34" s="109"/>
    </row>
    <row r="35" spans="1:8" ht="16.5" customHeight="1">
      <c r="A35" s="102"/>
      <c r="B35" s="136"/>
      <c r="C35" s="137"/>
      <c r="D35" s="137"/>
      <c r="E35" s="109"/>
    </row>
    <row r="36" spans="1:8" ht="18.75" customHeight="1">
      <c r="A36" s="102"/>
      <c r="B36" s="324" t="s">
        <v>275</v>
      </c>
      <c r="C36" s="325" t="s">
        <v>616</v>
      </c>
      <c r="D36" s="182">
        <v>180</v>
      </c>
      <c r="E36" s="109" t="s">
        <v>613</v>
      </c>
    </row>
    <row r="37" spans="1:8" ht="18.75">
      <c r="A37" s="102"/>
      <c r="B37" s="324"/>
      <c r="C37" s="324"/>
      <c r="D37" s="323">
        <f>qq_1*6.895</f>
        <v>1241.0999999999999</v>
      </c>
      <c r="E37" s="109" t="s">
        <v>277</v>
      </c>
    </row>
    <row r="38" spans="1:8" ht="18.75">
      <c r="A38" s="102"/>
      <c r="B38" s="324"/>
      <c r="C38" s="324"/>
      <c r="D38" s="328">
        <f>+AA_1/100</f>
        <v>12.411</v>
      </c>
      <c r="E38" s="109" t="s">
        <v>614</v>
      </c>
    </row>
    <row r="39" spans="1:8" ht="18.75">
      <c r="A39" s="102"/>
      <c r="B39" s="324"/>
      <c r="C39" s="324"/>
      <c r="D39"/>
      <c r="E39" s="109"/>
    </row>
    <row r="40" spans="1:8" ht="20.25">
      <c r="A40" s="102"/>
      <c r="B40" s="107" t="s">
        <v>617</v>
      </c>
      <c r="C40" s="142" t="s">
        <v>619</v>
      </c>
      <c r="D40" s="181">
        <v>80</v>
      </c>
      <c r="E40" s="133" t="s">
        <v>150</v>
      </c>
    </row>
    <row r="41" spans="1:8" ht="18.75">
      <c r="A41" s="102"/>
      <c r="B41" s="119"/>
      <c r="C41" s="117"/>
      <c r="D41" s="106"/>
      <c r="E41" s="106"/>
    </row>
    <row r="42" spans="1:8" ht="18.75">
      <c r="A42" s="102"/>
      <c r="B42" s="119" t="s">
        <v>624</v>
      </c>
      <c r="C42" s="117" t="s">
        <v>620</v>
      </c>
      <c r="D42" s="183">
        <v>850</v>
      </c>
      <c r="E42" s="109" t="s">
        <v>5</v>
      </c>
    </row>
    <row r="43" spans="1:8" ht="15.75">
      <c r="A43" s="102"/>
      <c r="B43" s="106"/>
      <c r="C43" s="106"/>
      <c r="D43" s="106"/>
      <c r="E43" s="106"/>
      <c r="H43" s="141"/>
    </row>
    <row r="44" spans="1:8" ht="20.25">
      <c r="A44" s="102"/>
      <c r="B44" s="165" t="s">
        <v>623</v>
      </c>
      <c r="C44" s="108" t="s">
        <v>618</v>
      </c>
      <c r="D44" s="183">
        <v>0</v>
      </c>
      <c r="E44" s="109" t="s">
        <v>5</v>
      </c>
    </row>
    <row r="45" spans="1:8" ht="18.75">
      <c r="A45" s="102"/>
      <c r="B45" s="107"/>
      <c r="C45" s="139"/>
      <c r="D45" s="140"/>
      <c r="E45" s="109"/>
    </row>
    <row r="46" spans="1:8" ht="18.75">
      <c r="A46" s="102"/>
      <c r="B46" s="107"/>
      <c r="C46" s="142"/>
      <c r="D46"/>
      <c r="E46" s="133"/>
    </row>
    <row r="47" spans="1:8" ht="18.75">
      <c r="A47" s="102"/>
      <c r="B47" s="310" t="s">
        <v>604</v>
      </c>
      <c r="C47" s="142"/>
      <c r="D47" s="315">
        <v>1.6</v>
      </c>
      <c r="E47" s="133"/>
    </row>
    <row r="48" spans="1:8" ht="18.75">
      <c r="A48" s="102"/>
      <c r="B48" s="107"/>
      <c r="C48" s="142"/>
      <c r="D48"/>
      <c r="E48" s="133"/>
    </row>
    <row r="49" spans="1:8" ht="18.75">
      <c r="A49" s="102"/>
      <c r="B49" s="310" t="s">
        <v>605</v>
      </c>
      <c r="C49" s="142"/>
      <c r="D49" s="302">
        <f>FS_parcial*gc</f>
        <v>2.4000000000000004</v>
      </c>
      <c r="E49" s="133"/>
    </row>
    <row r="50" spans="1:8" ht="18.75">
      <c r="A50" s="102"/>
      <c r="B50" s="107"/>
      <c r="C50" s="142"/>
      <c r="D50"/>
      <c r="E50" s="133"/>
    </row>
    <row r="51" spans="1:8" ht="18.75">
      <c r="A51" s="102"/>
      <c r="B51" s="310" t="s">
        <v>592</v>
      </c>
      <c r="C51" s="142" t="s">
        <v>162</v>
      </c>
      <c r="D51" s="181">
        <v>130.00622077375101</v>
      </c>
      <c r="E51" s="133" t="s">
        <v>5</v>
      </c>
      <c r="H51" s="143"/>
    </row>
    <row r="52" spans="1:8" ht="18.75">
      <c r="A52" s="102"/>
      <c r="B52" s="107"/>
      <c r="C52" s="142"/>
      <c r="D52"/>
      <c r="E52" s="133"/>
      <c r="H52" s="143"/>
    </row>
    <row r="53" spans="1:8" ht="18.75">
      <c r="A53" s="102"/>
      <c r="B53" s="107"/>
      <c r="C53" s="142"/>
      <c r="D53"/>
      <c r="E53" s="133"/>
      <c r="H53" s="143"/>
    </row>
    <row r="54" spans="1:8" ht="18.75">
      <c r="A54" s="102"/>
      <c r="B54" s="107"/>
      <c r="C54" s="142"/>
      <c r="D54"/>
      <c r="E54" s="133"/>
      <c r="H54" s="143"/>
    </row>
    <row r="55" spans="1:8" ht="18.75">
      <c r="A55" s="102"/>
      <c r="B55" s="107"/>
      <c r="C55" s="142"/>
      <c r="D55"/>
      <c r="E55" s="133"/>
      <c r="H55" s="143"/>
    </row>
    <row r="56" spans="1:8" ht="18.75">
      <c r="A56" s="102"/>
      <c r="B56" s="107"/>
      <c r="C56" s="142"/>
      <c r="D56"/>
      <c r="E56" s="133"/>
      <c r="H56" s="143"/>
    </row>
    <row r="57" spans="1:8" ht="21" customHeight="1">
      <c r="A57" s="102"/>
      <c r="B57" s="107"/>
      <c r="C57" s="311"/>
      <c r="D57" s="311"/>
      <c r="E57" s="133"/>
      <c r="H57" s="143"/>
    </row>
    <row r="58" spans="1:8" ht="18.75">
      <c r="A58" s="102"/>
      <c r="B58" s="107" t="s">
        <v>606</v>
      </c>
      <c r="C58" s="142" t="s">
        <v>162</v>
      </c>
      <c r="D58" s="184">
        <v>90.771532638833492</v>
      </c>
      <c r="E58" s="133" t="s">
        <v>5</v>
      </c>
      <c r="H58" s="143"/>
    </row>
    <row r="59" spans="1:8" ht="18.75">
      <c r="A59" s="102"/>
      <c r="B59" s="107" t="s">
        <v>607</v>
      </c>
      <c r="C59" s="142" t="s">
        <v>162</v>
      </c>
      <c r="D59" s="184">
        <v>101.85539746051077</v>
      </c>
      <c r="E59" s="133" t="s">
        <v>5</v>
      </c>
      <c r="H59" s="143"/>
    </row>
    <row r="60" spans="1:8" ht="18.75">
      <c r="A60" s="102"/>
      <c r="B60" s="107" t="s">
        <v>608</v>
      </c>
      <c r="C60" s="142" t="s">
        <v>162</v>
      </c>
      <c r="D60" s="184">
        <v>130.00622077375101</v>
      </c>
      <c r="E60" s="133" t="s">
        <v>5</v>
      </c>
      <c r="H60" s="143"/>
    </row>
    <row r="61" spans="1:8" ht="18.75">
      <c r="A61" s="100"/>
      <c r="B61" s="186"/>
      <c r="C61" s="102"/>
      <c r="D61" s="102"/>
      <c r="E61" s="102"/>
    </row>
    <row r="62" spans="1:8">
      <c r="A62" s="102"/>
      <c r="B62" s="102"/>
      <c r="C62" s="102"/>
      <c r="D62" s="102"/>
      <c r="E62" s="102"/>
    </row>
    <row r="63" spans="1:8" ht="23.25">
      <c r="A63" s="317" t="s">
        <v>166</v>
      </c>
      <c r="B63" s="102"/>
      <c r="C63" s="102"/>
      <c r="D63" s="102"/>
      <c r="E63" s="102"/>
    </row>
    <row r="64" spans="1:8">
      <c r="A64" s="102"/>
      <c r="B64" s="102"/>
      <c r="C64" s="102"/>
      <c r="D64" s="102"/>
      <c r="E64" s="102"/>
    </row>
    <row r="65" spans="1:14" ht="27" customHeight="1">
      <c r="A65" s="102"/>
      <c r="B65" s="102"/>
      <c r="C65" s="102"/>
      <c r="D65" s="102"/>
      <c r="E65" s="102"/>
    </row>
    <row r="66" spans="1:14" ht="33" customHeight="1">
      <c r="A66" s="102"/>
      <c r="B66" s="102"/>
      <c r="C66" s="102"/>
      <c r="D66" s="102"/>
      <c r="E66" s="102"/>
    </row>
    <row r="67" spans="1:14" ht="30" customHeight="1">
      <c r="A67" s="102"/>
      <c r="B67" s="102"/>
      <c r="C67" s="102"/>
      <c r="D67" s="102"/>
      <c r="E67" s="102"/>
    </row>
    <row r="68" spans="1:14" ht="23.25" customHeight="1">
      <c r="A68" s="102"/>
      <c r="B68" s="102"/>
      <c r="C68" s="102"/>
      <c r="D68" s="102"/>
      <c r="E68" s="102"/>
    </row>
    <row r="69" spans="1:14" ht="29.25" customHeight="1">
      <c r="A69" s="102"/>
      <c r="B69" s="102"/>
      <c r="C69" s="102"/>
      <c r="D69" s="102"/>
      <c r="E69" s="102"/>
    </row>
    <row r="70" spans="1:14" ht="33.75" customHeight="1">
      <c r="A70" s="102"/>
      <c r="B70" s="102"/>
      <c r="C70" s="102"/>
      <c r="D70" s="102"/>
      <c r="E70" s="102"/>
    </row>
    <row r="71" spans="1:14" ht="20.25" customHeight="1">
      <c r="A71" s="102"/>
      <c r="B71" s="106" t="s">
        <v>182</v>
      </c>
      <c r="C71" s="149" t="s">
        <v>183</v>
      </c>
      <c r="D71" s="150">
        <f>IF(Z&gt;0,IF(Z&lt;=2*h,gf3_*2*Q1_/F_Carga,gf3_*Q1_/F_Carga),IF(BB_1&lt;=2*h,gf3_*2*Q1_/F_Carga,gf3_*Q1_/F_Carga))</f>
        <v>64</v>
      </c>
      <c r="E71" s="151" t="s">
        <v>150</v>
      </c>
    </row>
    <row r="72" spans="1:14" ht="18.75">
      <c r="A72" s="102"/>
      <c r="B72" s="106" t="s">
        <v>186</v>
      </c>
      <c r="C72" s="149" t="s">
        <v>187</v>
      </c>
      <c r="D72" s="150">
        <f ca="1">VLOOKUP(Caso_dual,OFFSET(cod_pu,,,,3),2,0)</f>
        <v>88.20641407933212</v>
      </c>
      <c r="E72" s="133" t="s">
        <v>150</v>
      </c>
    </row>
    <row r="73" spans="1:14" ht="18.75">
      <c r="A73" s="102"/>
      <c r="B73" s="106" t="s">
        <v>188</v>
      </c>
      <c r="C73" s="149" t="s">
        <v>189</v>
      </c>
      <c r="D73" s="150">
        <f ca="1">VLOOKUP(Caso_dual,OFFSET(cod_pu,,,,3),3,0)</f>
        <v>187.26332323725248</v>
      </c>
      <c r="E73" s="133" t="s">
        <v>150</v>
      </c>
    </row>
    <row r="74" spans="1:14" ht="18.75">
      <c r="A74" s="102"/>
      <c r="B74" s="106" t="s">
        <v>190</v>
      </c>
      <c r="C74" s="149" t="s">
        <v>191</v>
      </c>
      <c r="D74" s="150">
        <f ca="1">IF(a_l&lt;=0.2,Pu_1+(Pu_2-Pu_1)*(a_l/0.2),Pu_2)</f>
        <v>174.30040889403836</v>
      </c>
      <c r="E74" s="133" t="s">
        <v>150</v>
      </c>
    </row>
    <row r="75" spans="1:14" ht="18.75">
      <c r="A75" s="102"/>
      <c r="B75" s="109" t="s">
        <v>192</v>
      </c>
      <c r="C75" s="149" t="s">
        <v>193</v>
      </c>
      <c r="D75" s="153">
        <f ca="1">Pu_3/Q1_ult</f>
        <v>2.7234438889693493</v>
      </c>
      <c r="E75" s="154" t="str">
        <f ca="1">IF(D75&gt;=1,"O.K","NO CUMPLE")</f>
        <v>O.K</v>
      </c>
    </row>
    <row r="76" spans="1:14" ht="18.75">
      <c r="A76" s="102"/>
      <c r="B76" s="312" t="s">
        <v>602</v>
      </c>
      <c r="C76" s="313" t="s">
        <v>603</v>
      </c>
      <c r="D76" s="153">
        <f ca="1">(Pu_3*gc)/(Q1_ult/FS_parcial)</f>
        <v>6.5362653335264387</v>
      </c>
      <c r="E76" s="157"/>
      <c r="N76"/>
    </row>
    <row r="77" spans="1:14">
      <c r="A77" s="102"/>
      <c r="B77" s="133"/>
      <c r="C77" s="155"/>
      <c r="D77" s="156"/>
      <c r="E77" s="157"/>
      <c r="N77"/>
    </row>
    <row r="78" spans="1:14">
      <c r="A78" s="102"/>
      <c r="B78" s="133"/>
      <c r="C78" s="155"/>
      <c r="D78" s="156"/>
      <c r="E78" s="157"/>
      <c r="N78"/>
    </row>
    <row r="79" spans="1:14" ht="18.75">
      <c r="A79" s="100" t="s">
        <v>195</v>
      </c>
      <c r="B79" s="133"/>
      <c r="C79" s="155"/>
      <c r="D79" s="156"/>
      <c r="E79" s="157"/>
      <c r="N79"/>
    </row>
    <row r="80" spans="1:14">
      <c r="A80" s="102"/>
      <c r="B80" s="133"/>
      <c r="C80" s="155"/>
      <c r="D80" s="156"/>
      <c r="E80" s="157"/>
      <c r="N80"/>
    </row>
    <row r="81" spans="1:14">
      <c r="A81" s="102"/>
      <c r="B81" s="133"/>
      <c r="C81" s="155"/>
      <c r="D81" s="156"/>
      <c r="E81" s="157"/>
      <c r="N81"/>
    </row>
    <row r="82" spans="1:14" ht="18.75">
      <c r="A82" s="102"/>
      <c r="B82" s="106" t="s">
        <v>196</v>
      </c>
      <c r="C82" s="133" t="s">
        <v>197</v>
      </c>
      <c r="D82" s="150">
        <f>0.5*k2_*fcd</f>
        <v>5.1271999999999993</v>
      </c>
      <c r="E82" s="133" t="s">
        <v>118</v>
      </c>
      <c r="N82"/>
    </row>
    <row r="83" spans="1:14" ht="31.5">
      <c r="A83" s="102"/>
      <c r="B83" s="159" t="s">
        <v>198</v>
      </c>
      <c r="C83" s="133" t="s">
        <v>199</v>
      </c>
      <c r="D83" s="150">
        <f>IF(Z&lt;=2*h,2*(Z+PI()*a),2*(PI()*a))</f>
        <v>636.40200593111263</v>
      </c>
      <c r="E83" s="133" t="s">
        <v>5</v>
      </c>
      <c r="N83"/>
    </row>
    <row r="84" spans="1:14" ht="18.75">
      <c r="A84" s="102"/>
      <c r="B84" s="106" t="s">
        <v>200</v>
      </c>
      <c r="C84" s="133" t="s">
        <v>201</v>
      </c>
      <c r="D84" s="150">
        <f>Q1_ult*1000/(u0_1*d)</f>
        <v>1.0313902866159026</v>
      </c>
      <c r="E84" s="133" t="s">
        <v>118</v>
      </c>
      <c r="N84"/>
    </row>
    <row r="85" spans="1:14" ht="18.75">
      <c r="A85" s="102"/>
      <c r="B85" s="109" t="s">
        <v>202</v>
      </c>
      <c r="C85" s="133" t="s">
        <v>203</v>
      </c>
      <c r="D85" s="153">
        <f>Pp_max1/Q1_ult</f>
        <v>4.9711540495721254</v>
      </c>
      <c r="E85" s="154" t="str">
        <f>IF(vmax&gt;vp_1,"O.K","No Cumple")</f>
        <v>O.K</v>
      </c>
      <c r="N85"/>
    </row>
    <row r="86" spans="1:14" ht="18.75">
      <c r="A86" s="102"/>
      <c r="B86" s="312" t="s">
        <v>602</v>
      </c>
      <c r="C86" s="313" t="s">
        <v>603</v>
      </c>
      <c r="D86" s="153">
        <f>(Pp_max1*gc)/(Q1_ult/FS_parcial)</f>
        <v>11.930769718973101</v>
      </c>
      <c r="E86" s="154"/>
      <c r="N86"/>
    </row>
    <row r="87" spans="1:14">
      <c r="A87" s="102"/>
      <c r="B87" s="133"/>
      <c r="C87" s="155"/>
      <c r="D87" s="156"/>
      <c r="E87" s="157"/>
      <c r="N87"/>
    </row>
    <row r="88" spans="1:14">
      <c r="A88" s="102"/>
      <c r="B88" s="133"/>
      <c r="C88" s="155"/>
      <c r="D88" s="156"/>
      <c r="E88" s="157"/>
      <c r="N88"/>
    </row>
    <row r="89" spans="1:14" ht="18.75">
      <c r="A89" s="102"/>
      <c r="B89" s="106" t="s">
        <v>204</v>
      </c>
      <c r="C89" s="133" t="s">
        <v>205</v>
      </c>
      <c r="D89" s="150">
        <f>IF(Z&lt;=2*h,2*(Z+PI()*a+PI()*2*d),2*(PI()*a+PI()*2*d))</f>
        <v>1861.6817702424794</v>
      </c>
      <c r="E89" s="133" t="s">
        <v>5</v>
      </c>
      <c r="N89"/>
    </row>
    <row r="90" spans="1:14" ht="18.75">
      <c r="A90" s="102"/>
      <c r="B90" s="106" t="s">
        <v>206</v>
      </c>
      <c r="C90" s="133" t="s">
        <v>207</v>
      </c>
      <c r="D90" s="150">
        <f>+Pp_max5</f>
        <v>115.53594864126865</v>
      </c>
      <c r="E90" s="133" t="s">
        <v>150</v>
      </c>
      <c r="N90"/>
    </row>
    <row r="91" spans="1:14" ht="31.5">
      <c r="A91" s="102"/>
      <c r="B91" s="136" t="s">
        <v>208</v>
      </c>
      <c r="C91" s="133" t="s">
        <v>209</v>
      </c>
      <c r="D91" s="153">
        <f>Pp_max5/Q1_ult</f>
        <v>1.8052491975198226</v>
      </c>
      <c r="E91" s="154" t="str">
        <f>IF(D91&gt;=1,"O.K","NO CUMPLE")</f>
        <v>O.K</v>
      </c>
      <c r="N91"/>
    </row>
    <row r="92" spans="1:14" ht="18.75">
      <c r="A92" s="102"/>
      <c r="B92" s="312" t="s">
        <v>602</v>
      </c>
      <c r="C92" s="313" t="s">
        <v>603</v>
      </c>
      <c r="D92" s="153">
        <f>(Pp_max5*gc)/(Q1_ult/FS_parcial)</f>
        <v>4.3325980740475742</v>
      </c>
      <c r="E92" s="154"/>
      <c r="N92"/>
    </row>
    <row r="93" spans="1:14">
      <c r="A93" s="102"/>
      <c r="B93" s="102"/>
      <c r="C93" s="102"/>
      <c r="D93" s="102"/>
      <c r="E93" s="102"/>
      <c r="N93"/>
    </row>
    <row r="94" spans="1:14">
      <c r="A94" s="102"/>
      <c r="B94" s="102"/>
      <c r="C94" s="102"/>
      <c r="D94" s="102"/>
      <c r="E94" s="102"/>
      <c r="N94"/>
    </row>
    <row r="95" spans="1:14" ht="23.25">
      <c r="A95" s="317" t="s">
        <v>210</v>
      </c>
      <c r="B95" s="102"/>
      <c r="C95" s="102"/>
      <c r="D95" s="102"/>
      <c r="E95" s="102"/>
    </row>
    <row r="96" spans="1:14">
      <c r="A96" s="102"/>
      <c r="B96" s="102"/>
      <c r="C96" s="102"/>
      <c r="D96" s="102"/>
      <c r="E96" s="102"/>
    </row>
    <row r="97" spans="1:5" ht="18.75" customHeight="1">
      <c r="A97" s="102"/>
      <c r="B97" s="102"/>
      <c r="C97" s="102"/>
      <c r="D97" s="102"/>
      <c r="E97" s="102"/>
    </row>
    <row r="98" spans="1:5">
      <c r="A98" s="102"/>
      <c r="B98" s="102"/>
      <c r="C98" s="102"/>
      <c r="D98" s="102"/>
      <c r="E98" s="102"/>
    </row>
    <row r="99" spans="1:5">
      <c r="A99" s="102"/>
      <c r="B99" s="102"/>
      <c r="C99" s="102"/>
      <c r="D99" s="102"/>
      <c r="E99" s="102"/>
    </row>
    <row r="100" spans="1:5">
      <c r="A100" s="102"/>
      <c r="B100" s="102"/>
      <c r="C100" s="102"/>
      <c r="D100" s="102"/>
      <c r="E100" s="102"/>
    </row>
    <row r="101" spans="1:5">
      <c r="A101" s="102"/>
      <c r="B101" s="102"/>
      <c r="C101" s="102"/>
      <c r="D101" s="102"/>
      <c r="E101" s="102"/>
    </row>
    <row r="102" spans="1:5">
      <c r="A102" s="102"/>
      <c r="B102" s="102"/>
      <c r="C102" s="102"/>
      <c r="D102" s="102"/>
      <c r="E102" s="102"/>
    </row>
    <row r="103" spans="1:5">
      <c r="A103" s="102"/>
      <c r="B103" s="102"/>
      <c r="C103" s="102"/>
      <c r="D103" s="102"/>
      <c r="E103" s="102"/>
    </row>
    <row r="104" spans="1:5">
      <c r="A104" s="102"/>
      <c r="B104" s="102"/>
      <c r="C104" s="102"/>
      <c r="D104" s="102"/>
      <c r="E104" s="102"/>
    </row>
    <row r="105" spans="1:5">
      <c r="A105" s="102"/>
      <c r="B105" s="102"/>
      <c r="C105" s="102"/>
      <c r="D105" s="102"/>
      <c r="E105" s="102"/>
    </row>
    <row r="106" spans="1:5">
      <c r="A106" s="102"/>
      <c r="B106" s="102"/>
      <c r="C106" s="102"/>
      <c r="D106" s="102"/>
      <c r="E106" s="102"/>
    </row>
    <row r="107" spans="1:5">
      <c r="A107" s="102"/>
      <c r="B107" s="102"/>
      <c r="C107" s="102"/>
    </row>
    <row r="108" spans="1:5" ht="31.5">
      <c r="A108" s="102"/>
      <c r="B108" s="159" t="s">
        <v>226</v>
      </c>
      <c r="C108" s="149" t="s">
        <v>227</v>
      </c>
      <c r="D108" s="150">
        <f>IF(Z&gt;0,IF(Z&lt;=2*h,gf3_*2*Q1_/F_Carga*0.6,gf3_*Q1_/F_Carga*0.6),IF(BB_1&lt;=2*h,gf3_*2*Q1_/F_Carga*0.6,gf3_*Q1_/F_Carga*0.6))</f>
        <v>38.4</v>
      </c>
      <c r="E108" s="133" t="s">
        <v>150</v>
      </c>
    </row>
    <row r="109" spans="1:5" ht="18.75">
      <c r="A109" s="102"/>
      <c r="B109" s="106" t="s">
        <v>186</v>
      </c>
      <c r="C109" s="149" t="s">
        <v>228</v>
      </c>
      <c r="D109" s="150">
        <f ca="1">0.5*Pu_1</f>
        <v>44.10320703966606</v>
      </c>
      <c r="E109" s="133" t="s">
        <v>150</v>
      </c>
    </row>
    <row r="110" spans="1:5" ht="18.75">
      <c r="A110" s="102"/>
      <c r="B110" s="106" t="s">
        <v>188</v>
      </c>
      <c r="C110" s="149" t="s">
        <v>231</v>
      </c>
      <c r="D110" s="150">
        <f ca="1">0.5*Pu_2</f>
        <v>93.631661618626239</v>
      </c>
      <c r="E110" s="133" t="s">
        <v>150</v>
      </c>
    </row>
    <row r="111" spans="1:5" ht="18.75">
      <c r="A111" s="102"/>
      <c r="B111" s="106" t="s">
        <v>190</v>
      </c>
      <c r="C111" s="149" t="s">
        <v>234</v>
      </c>
      <c r="D111" s="150">
        <f ca="1">IF(a_l&lt;=0.2,Pu_4+(Pu_5-Pu_4)*(a_l/0.2),Pu_5)</f>
        <v>87.150204447019178</v>
      </c>
      <c r="E111" s="133" t="s">
        <v>150</v>
      </c>
    </row>
    <row r="112" spans="1:5" ht="18.75">
      <c r="A112" s="102"/>
      <c r="B112" s="109" t="s">
        <v>236</v>
      </c>
      <c r="C112" s="149" t="s">
        <v>237</v>
      </c>
      <c r="D112" s="153">
        <f ca="1">Pu_6/Q1_ult_jb</f>
        <v>2.2695365741411244</v>
      </c>
      <c r="E112" s="154" t="str">
        <f ca="1">IF(D112&gt;=1,"O.K","NO CUMPLE")</f>
        <v>O.K</v>
      </c>
    </row>
    <row r="113" spans="1:12" ht="18.75">
      <c r="A113" s="102"/>
      <c r="B113" s="312" t="s">
        <v>602</v>
      </c>
      <c r="C113" s="313" t="s">
        <v>603</v>
      </c>
      <c r="D113" s="153">
        <f ca="1">(Pu_6*gc)/(Q1_ult_jb/FS_parcial)</f>
        <v>5.4468877779386995</v>
      </c>
      <c r="E113" s="154"/>
    </row>
    <row r="114" spans="1:12" ht="15.75">
      <c r="A114" s="102"/>
      <c r="B114" s="109"/>
      <c r="C114" s="149"/>
      <c r="D114" s="102"/>
      <c r="E114" s="154"/>
    </row>
    <row r="115" spans="1:12" ht="15.75" hidden="1" customHeight="1">
      <c r="A115" s="102"/>
      <c r="B115" s="109"/>
      <c r="C115" s="149"/>
      <c r="D115" s="102"/>
      <c r="E115" s="154"/>
    </row>
    <row r="116" spans="1:12" ht="15" hidden="1" customHeight="1">
      <c r="A116" s="102"/>
      <c r="B116" s="102"/>
      <c r="C116" s="102"/>
      <c r="D116" s="102"/>
      <c r="E116" s="102"/>
    </row>
    <row r="117" spans="1:12" ht="18.75">
      <c r="A117" s="100" t="s">
        <v>195</v>
      </c>
      <c r="B117" s="109"/>
      <c r="C117" s="149"/>
      <c r="D117" s="102"/>
      <c r="E117" s="154"/>
    </row>
    <row r="118" spans="1:12" ht="15.75">
      <c r="A118" s="102"/>
      <c r="B118" s="109"/>
      <c r="C118" s="149"/>
      <c r="D118" s="102"/>
      <c r="E118" s="154"/>
    </row>
    <row r="119" spans="1:12" ht="15.75">
      <c r="A119" s="102"/>
      <c r="B119" s="109"/>
      <c r="C119" s="149"/>
      <c r="D119" s="102"/>
      <c r="E119" s="154"/>
    </row>
    <row r="120" spans="1:12" ht="15.75">
      <c r="A120" s="102"/>
      <c r="B120" s="109"/>
      <c r="C120" s="149"/>
      <c r="D120" s="102"/>
      <c r="E120" s="154"/>
    </row>
    <row r="121" spans="1:12" ht="18.75">
      <c r="A121" s="102"/>
      <c r="B121" s="106" t="s">
        <v>196</v>
      </c>
      <c r="C121" s="133" t="s">
        <v>197</v>
      </c>
      <c r="D121" s="150">
        <f>0.5*k2_*fcd</f>
        <v>5.1271999999999993</v>
      </c>
      <c r="E121" s="133" t="s">
        <v>118</v>
      </c>
    </row>
    <row r="122" spans="1:12" ht="31.5">
      <c r="A122" s="102"/>
      <c r="B122" s="159" t="s">
        <v>214</v>
      </c>
      <c r="C122" s="133" t="s">
        <v>215</v>
      </c>
      <c r="D122" s="150">
        <f>IF(Z&lt;=2*h,Z+u0_2,u0_2)</f>
        <v>477.30150444833447</v>
      </c>
      <c r="E122" s="133" t="s">
        <v>5</v>
      </c>
      <c r="J122" s="112"/>
      <c r="K122" s="147"/>
      <c r="L122" s="112"/>
    </row>
    <row r="123" spans="1:12" ht="31.5" hidden="1" customHeight="1">
      <c r="A123" s="102"/>
      <c r="B123" s="159" t="s">
        <v>216</v>
      </c>
      <c r="C123" s="133" t="s">
        <v>217</v>
      </c>
      <c r="D123" s="150">
        <f>IF(Z&lt;=2*'Montacargas Dual'!h,Z+'Montacargas Dual'!BB_1+2*'Montacargas Dual'!AA_1,2*(AA_1)+BB_1)</f>
        <v>3332.2</v>
      </c>
      <c r="E123" s="133" t="s">
        <v>5</v>
      </c>
      <c r="J123" s="112"/>
      <c r="K123" s="147"/>
      <c r="L123" s="112"/>
    </row>
    <row r="124" spans="1:12" ht="18.75">
      <c r="A124" s="102"/>
      <c r="B124" s="106" t="s">
        <v>220</v>
      </c>
      <c r="C124" s="133" t="s">
        <v>221</v>
      </c>
      <c r="D124" s="150">
        <f>Q1_ult*1000/(u0_2*d)</f>
        <v>1.3751870488212035</v>
      </c>
      <c r="E124" s="133" t="s">
        <v>118</v>
      </c>
      <c r="J124" s="112"/>
      <c r="K124" s="147"/>
      <c r="L124" s="112"/>
    </row>
    <row r="125" spans="1:12" ht="18.75" hidden="1" customHeight="1">
      <c r="A125" s="102"/>
      <c r="B125" s="106" t="s">
        <v>222</v>
      </c>
      <c r="C125" s="133" t="s">
        <v>223</v>
      </c>
      <c r="D125" s="150">
        <f>Q1_ult*1000/(u0_3*d)</f>
        <v>1.3751870488212035</v>
      </c>
      <c r="E125" s="133" t="s">
        <v>118</v>
      </c>
      <c r="J125" s="112"/>
      <c r="K125" s="147"/>
      <c r="L125" s="112"/>
    </row>
    <row r="126" spans="1:12" ht="18.75">
      <c r="A126" s="102"/>
      <c r="B126" s="109" t="s">
        <v>252</v>
      </c>
      <c r="C126" s="133" t="s">
        <v>253</v>
      </c>
      <c r="D126" s="153">
        <f>MIN(Pp_max2,Pp_max3)/Q1_ult_jb</f>
        <v>6.2139425619651565</v>
      </c>
      <c r="E126" s="154" t="str">
        <f>IF(vmax&gt;vp_1,"O.K","No Cumple")</f>
        <v>O.K</v>
      </c>
      <c r="J126" s="112"/>
      <c r="K126" s="147"/>
      <c r="L126" s="112"/>
    </row>
    <row r="127" spans="1:12" ht="18.75">
      <c r="A127" s="102"/>
      <c r="B127" s="312" t="s">
        <v>602</v>
      </c>
      <c r="C127" s="313" t="s">
        <v>603</v>
      </c>
      <c r="D127" s="153">
        <f>(MIN(Pp_max2,Pp_max3)*gc)/(Q1_ult_jb/FS_parcial)</f>
        <v>14.913462148716377</v>
      </c>
      <c r="E127" s="154"/>
      <c r="J127" s="112"/>
      <c r="K127" s="147"/>
      <c r="L127" s="112"/>
    </row>
    <row r="128" spans="1:12" ht="15.75">
      <c r="A128" s="102"/>
      <c r="B128" s="109"/>
      <c r="C128" s="149"/>
      <c r="D128" s="102"/>
      <c r="E128" s="154"/>
      <c r="J128" s="112"/>
      <c r="K128" s="147"/>
      <c r="L128" s="112"/>
    </row>
    <row r="129" spans="1:12" ht="18.75">
      <c r="A129" s="102"/>
      <c r="B129" s="106" t="s">
        <v>240</v>
      </c>
      <c r="C129" s="133" t="s">
        <v>241</v>
      </c>
      <c r="D129" s="150">
        <f>IF(Z&lt;=2*h,Z+PI()*(a+2*d),PI()*(a+2*d))</f>
        <v>930.84088512123969</v>
      </c>
      <c r="E129" s="133" t="s">
        <v>5</v>
      </c>
      <c r="J129" s="112"/>
      <c r="K129" s="147"/>
      <c r="L129" s="112"/>
    </row>
    <row r="130" spans="1:12" ht="18.75" hidden="1" customHeight="1">
      <c r="A130" s="102"/>
      <c r="B130" s="106" t="s">
        <v>242</v>
      </c>
      <c r="C130" s="133" t="s">
        <v>243</v>
      </c>
      <c r="D130" s="150">
        <f>IF(Z&lt;=2*h,Z+BB_1+2*AA_1+PI()*2*d,2*(BB_1)+AA_1+PI()*2*d)</f>
        <v>3944.839882155683</v>
      </c>
      <c r="E130" s="133" t="s">
        <v>5</v>
      </c>
      <c r="J130" s="112"/>
      <c r="K130" s="147"/>
      <c r="L130" s="112"/>
    </row>
    <row r="131" spans="1:12" ht="18.75">
      <c r="A131" s="102"/>
      <c r="B131" s="106" t="s">
        <v>246</v>
      </c>
      <c r="C131" s="133" t="s">
        <v>247</v>
      </c>
      <c r="D131" s="150">
        <f>+Pp_max6</f>
        <v>57.767974320634323</v>
      </c>
      <c r="E131" s="133" t="s">
        <v>150</v>
      </c>
      <c r="J131" s="112"/>
      <c r="K131" s="147"/>
      <c r="L131" s="112"/>
    </row>
    <row r="132" spans="1:12" ht="18.75" hidden="1" customHeight="1">
      <c r="A132" s="102"/>
      <c r="B132" s="106" t="s">
        <v>248</v>
      </c>
      <c r="C132" s="133" t="s">
        <v>249</v>
      </c>
      <c r="D132" s="150">
        <f>+Pp_max7</f>
        <v>57.767974320634323</v>
      </c>
      <c r="E132" s="112" t="s">
        <v>150</v>
      </c>
      <c r="J132" s="112"/>
      <c r="K132" s="147"/>
      <c r="L132" s="112"/>
    </row>
    <row r="133" spans="1:12" ht="31.5">
      <c r="A133" s="102"/>
      <c r="B133" s="136" t="s">
        <v>254</v>
      </c>
      <c r="C133" s="163" t="s">
        <v>255</v>
      </c>
      <c r="D133" s="153">
        <f>MIN(Pp_max6,Pp_max7)/Q1_ult_jb</f>
        <v>1.504374331266519</v>
      </c>
      <c r="E133" s="154" t="str">
        <f>IF(D133&gt;=1,"O.K","NO CUMPLE")</f>
        <v>O.K</v>
      </c>
      <c r="J133" s="112"/>
      <c r="K133" s="147"/>
      <c r="L133" s="112"/>
    </row>
    <row r="134" spans="1:12" ht="18.75">
      <c r="A134" s="102"/>
      <c r="B134" s="312" t="s">
        <v>602</v>
      </c>
      <c r="C134" s="313" t="s">
        <v>603</v>
      </c>
      <c r="D134" s="153">
        <f>(MIN(Pp_max6,Pp_max7)*gc)/(Q1_ult_jb/FS_parcial)</f>
        <v>3.6104983950396456</v>
      </c>
      <c r="E134" s="154"/>
      <c r="J134" s="112"/>
      <c r="K134" s="147"/>
      <c r="L134" s="112"/>
    </row>
    <row r="135" spans="1:12" ht="15.75">
      <c r="A135" s="102"/>
      <c r="B135" s="109"/>
      <c r="C135" s="149"/>
      <c r="D135" s="102"/>
      <c r="E135" s="154"/>
      <c r="J135" s="112"/>
      <c r="K135" s="147"/>
      <c r="L135" s="112"/>
    </row>
    <row r="136" spans="1:12" ht="15.75">
      <c r="A136" s="102"/>
      <c r="B136" s="109"/>
      <c r="C136" s="149"/>
      <c r="D136" s="102"/>
      <c r="E136" s="154"/>
      <c r="J136" s="112"/>
      <c r="K136" s="147"/>
      <c r="L136" s="112"/>
    </row>
    <row r="137" spans="1:12" ht="23.25">
      <c r="A137" s="317" t="s">
        <v>256</v>
      </c>
      <c r="B137" s="102"/>
      <c r="C137" s="102"/>
      <c r="D137" s="102"/>
      <c r="E137" s="102"/>
    </row>
    <row r="138" spans="1:12">
      <c r="A138" s="102"/>
      <c r="B138" s="102"/>
      <c r="C138" s="102"/>
      <c r="D138" s="102"/>
      <c r="E138" s="102"/>
    </row>
    <row r="139" spans="1:12">
      <c r="A139" s="102"/>
      <c r="B139" s="102"/>
      <c r="C139" s="102"/>
      <c r="D139" s="102"/>
      <c r="E139" s="102"/>
    </row>
    <row r="140" spans="1:12">
      <c r="A140" s="102"/>
      <c r="B140" s="102"/>
      <c r="C140" s="102"/>
      <c r="D140" s="102"/>
      <c r="E140" s="102"/>
    </row>
    <row r="141" spans="1:12">
      <c r="A141" s="102"/>
      <c r="B141" s="102"/>
      <c r="C141" s="102"/>
      <c r="D141" s="102"/>
      <c r="E141" s="102"/>
    </row>
    <row r="142" spans="1:12">
      <c r="A142" s="102"/>
      <c r="B142" s="102"/>
      <c r="C142" s="102"/>
      <c r="D142" s="102"/>
      <c r="E142" s="102"/>
    </row>
    <row r="143" spans="1:12">
      <c r="A143" s="102"/>
      <c r="B143" s="102"/>
      <c r="C143" s="102"/>
      <c r="D143" s="102"/>
      <c r="E143" s="102"/>
    </row>
    <row r="144" spans="1:12">
      <c r="A144" s="102"/>
      <c r="B144" s="102"/>
      <c r="C144" s="102"/>
      <c r="D144" s="102"/>
      <c r="E144" s="102"/>
    </row>
    <row r="145" spans="1:5">
      <c r="A145" s="102"/>
      <c r="B145" s="102"/>
      <c r="C145" s="102"/>
      <c r="D145" s="102"/>
      <c r="E145" s="102"/>
    </row>
    <row r="146" spans="1:5">
      <c r="A146" s="102"/>
      <c r="B146" s="102"/>
      <c r="C146" s="102"/>
      <c r="D146" s="102"/>
      <c r="E146" s="102"/>
    </row>
    <row r="147" spans="1:5">
      <c r="A147" s="102"/>
      <c r="B147" s="102"/>
      <c r="C147" s="102"/>
      <c r="D147" s="102"/>
      <c r="E147" s="102"/>
    </row>
    <row r="148" spans="1:5">
      <c r="A148" s="102"/>
      <c r="B148" s="102"/>
      <c r="C148" s="102"/>
      <c r="D148" s="102"/>
      <c r="E148" s="102"/>
    </row>
    <row r="149" spans="1:5">
      <c r="A149" s="102"/>
      <c r="B149" s="102"/>
      <c r="C149" s="102"/>
      <c r="D149" s="102"/>
      <c r="E149" s="102"/>
    </row>
    <row r="150" spans="1:5" ht="31.5">
      <c r="A150" s="102"/>
      <c r="B150" s="159" t="s">
        <v>257</v>
      </c>
      <c r="C150" s="149" t="s">
        <v>258</v>
      </c>
      <c r="D150" s="150">
        <f>IF(Z&gt;0,IF(Z&lt;=2*h,gf3_*2*Q1_/F_Carga*0.6,gf3_*Q1_/F_Carga*0.6),IF(BB_1&lt;=2*h,gf3_*2*Q1_/F_Carga*0.6,gf3_*Q1_/F_Carga*0.6))</f>
        <v>38.4</v>
      </c>
      <c r="E150" s="133" t="s">
        <v>150</v>
      </c>
    </row>
    <row r="151" spans="1:5" ht="18.75">
      <c r="A151" s="102"/>
      <c r="B151" s="106" t="s">
        <v>186</v>
      </c>
      <c r="C151" s="149" t="s">
        <v>259</v>
      </c>
      <c r="D151" s="150">
        <f ca="1">0.5*Pu_1</f>
        <v>44.10320703966606</v>
      </c>
      <c r="E151" s="133" t="s">
        <v>150</v>
      </c>
    </row>
    <row r="152" spans="1:5" ht="18.75">
      <c r="A152" s="102"/>
      <c r="B152" s="106" t="s">
        <v>188</v>
      </c>
      <c r="C152" s="149" t="s">
        <v>260</v>
      </c>
      <c r="D152" s="150">
        <f ca="1">0.5*Pu_2</f>
        <v>93.631661618626239</v>
      </c>
      <c r="E152" s="133" t="s">
        <v>150</v>
      </c>
    </row>
    <row r="153" spans="1:5" ht="18.75">
      <c r="A153" s="102"/>
      <c r="B153" s="106" t="s">
        <v>190</v>
      </c>
      <c r="C153" s="149" t="s">
        <v>261</v>
      </c>
      <c r="D153" s="150">
        <f ca="1">IF(a_l&lt;=0.2,Pu_7+(Pu_8-Pu_7)*(a_l/0.2),Pu_8)</f>
        <v>87.150204447019178</v>
      </c>
      <c r="E153" s="133" t="s">
        <v>150</v>
      </c>
    </row>
    <row r="154" spans="1:5" ht="18.75">
      <c r="A154" s="102"/>
      <c r="B154" s="109" t="s">
        <v>262</v>
      </c>
      <c r="C154" s="149" t="s">
        <v>263</v>
      </c>
      <c r="D154" s="164">
        <f ca="1">IF(Pu_9/Q1_ult_ep&gt;0,Pu_9/Q1_ult_ep,"revisar")</f>
        <v>2.2695365741411244</v>
      </c>
      <c r="E154" s="154" t="str">
        <f ca="1">IF(D154&gt;=1,"O.K","NO CUMPLE")</f>
        <v>O.K</v>
      </c>
    </row>
    <row r="155" spans="1:5" ht="18.75">
      <c r="A155" s="102"/>
      <c r="B155" s="312" t="s">
        <v>602</v>
      </c>
      <c r="C155" s="313" t="s">
        <v>603</v>
      </c>
      <c r="D155" s="153">
        <f ca="1">IF((Pu_9*gc)/(Q1_ult_ep/FS_parcial)&gt;0,(Pu_9*gc)/(Q1_ult_ep/FS_parcial),"revisar")</f>
        <v>5.4468877779386995</v>
      </c>
      <c r="E155" s="154"/>
    </row>
    <row r="156" spans="1:5">
      <c r="A156" s="102"/>
      <c r="B156" s="102"/>
      <c r="C156" s="102"/>
      <c r="D156" s="102"/>
      <c r="E156" s="102"/>
    </row>
    <row r="157" spans="1:5">
      <c r="B157" s="102"/>
      <c r="C157" s="102"/>
      <c r="D157" s="102"/>
      <c r="E157" s="102"/>
    </row>
    <row r="158" spans="1:5" ht="18.75">
      <c r="A158" s="100" t="s">
        <v>195</v>
      </c>
      <c r="B158" s="102"/>
      <c r="C158" s="102"/>
      <c r="D158" s="102"/>
      <c r="E158" s="102"/>
    </row>
    <row r="159" spans="1:5" ht="18.75">
      <c r="A159" s="102"/>
      <c r="B159" s="165"/>
      <c r="C159" s="165"/>
      <c r="D159" s="165"/>
      <c r="E159" s="102"/>
    </row>
    <row r="160" spans="1:5" ht="19.5" customHeight="1">
      <c r="A160" s="102"/>
      <c r="B160" s="421"/>
      <c r="C160" s="421"/>
      <c r="D160" s="421"/>
      <c r="E160" s="102"/>
    </row>
    <row r="161" spans="1:5" ht="18.75" customHeight="1">
      <c r="A161" s="102"/>
      <c r="B161" s="421"/>
      <c r="C161" s="421"/>
      <c r="D161" s="421"/>
      <c r="E161" s="102"/>
    </row>
    <row r="162" spans="1:5" ht="18.75">
      <c r="A162" s="102"/>
      <c r="B162" s="106" t="s">
        <v>196</v>
      </c>
      <c r="C162" s="133" t="s">
        <v>197</v>
      </c>
      <c r="D162" s="150">
        <f>0.5*k2_*fcd</f>
        <v>5.1271999999999993</v>
      </c>
      <c r="E162" s="133" t="s">
        <v>118</v>
      </c>
    </row>
    <row r="163" spans="1:5" ht="31.5">
      <c r="A163" s="102"/>
      <c r="B163" s="136" t="s">
        <v>218</v>
      </c>
      <c r="C163" s="133" t="s">
        <v>219</v>
      </c>
      <c r="D163" s="150">
        <f>IF(Z&lt;=2*h,Z+u0_4,u0_4)</f>
        <v>318.20100296555631</v>
      </c>
      <c r="E163" s="133" t="s">
        <v>5</v>
      </c>
    </row>
    <row r="164" spans="1:5" ht="18.75">
      <c r="A164" s="102"/>
      <c r="B164" s="136" t="s">
        <v>224</v>
      </c>
      <c r="C164" s="133" t="s">
        <v>225</v>
      </c>
      <c r="D164" s="150">
        <f>Q1_ult_ep*1000/(u0_4*d)</f>
        <v>1.237668343939083</v>
      </c>
      <c r="E164" s="133" t="s">
        <v>118</v>
      </c>
    </row>
    <row r="165" spans="1:5" ht="18.75">
      <c r="A165" s="100"/>
      <c r="B165" s="109" t="s">
        <v>264</v>
      </c>
      <c r="C165" s="133" t="s">
        <v>274</v>
      </c>
      <c r="D165" s="153">
        <f>Pp_max4/Q1_ult_ep</f>
        <v>4.1426283746434382</v>
      </c>
      <c r="E165" s="154" t="str">
        <f>IF(vmax&gt;vp_1,"O.K","No Cumple")</f>
        <v>O.K</v>
      </c>
    </row>
    <row r="166" spans="1:5" ht="18.75">
      <c r="A166" s="100"/>
      <c r="B166" s="312" t="s">
        <v>602</v>
      </c>
      <c r="C166" s="313" t="s">
        <v>603</v>
      </c>
      <c r="D166" s="153">
        <f>(Pp_max4*gc)/(Q1_ult_ep/FS_parcial)</f>
        <v>9.9423080991442525</v>
      </c>
      <c r="E166" s="154"/>
    </row>
    <row r="167" spans="1:5">
      <c r="A167" s="102"/>
      <c r="B167" s="102"/>
      <c r="C167" s="102"/>
      <c r="D167" s="102"/>
      <c r="E167" s="102"/>
    </row>
    <row r="168" spans="1:5" ht="18.75">
      <c r="A168" s="166"/>
      <c r="B168" s="136" t="s">
        <v>244</v>
      </c>
      <c r="C168" s="133" t="s">
        <v>245</v>
      </c>
      <c r="D168" s="150">
        <f>IF(Z&lt;=2*h,Z+PI()/2*(2*a+2*d),PI()/2*(2*a+2*d))</f>
        <v>624.520944043398</v>
      </c>
      <c r="E168" s="133" t="s">
        <v>5</v>
      </c>
    </row>
    <row r="169" spans="1:5" ht="31.5">
      <c r="A169" s="102"/>
      <c r="B169" s="136" t="s">
        <v>250</v>
      </c>
      <c r="C169" s="133" t="s">
        <v>251</v>
      </c>
      <c r="D169" s="150">
        <f>+Pp_max8</f>
        <v>38.757762400496993</v>
      </c>
      <c r="E169" s="133" t="s">
        <v>150</v>
      </c>
    </row>
    <row r="170" spans="1:5" ht="31.5">
      <c r="A170" s="102"/>
      <c r="B170" s="136" t="s">
        <v>266</v>
      </c>
      <c r="C170" s="163" t="s">
        <v>267</v>
      </c>
      <c r="D170" s="153">
        <f>Pp_max8/Q1_ult_ep</f>
        <v>1.0093167291796092</v>
      </c>
      <c r="E170" s="154" t="str">
        <f>IF(D170&gt;=1,"O.K","NO CUMPLE")</f>
        <v>O.K</v>
      </c>
    </row>
    <row r="171" spans="1:5" ht="18.75">
      <c r="A171" s="102"/>
      <c r="B171" s="312" t="s">
        <v>602</v>
      </c>
      <c r="C171" s="313" t="s">
        <v>603</v>
      </c>
      <c r="D171" s="153">
        <f>(Pp_max8*gc)/(Q1_ult_ep/FS_parcial)</f>
        <v>2.4223601500310621</v>
      </c>
      <c r="E171" s="154"/>
    </row>
    <row r="172" spans="1:5">
      <c r="A172" s="102"/>
      <c r="B172" s="102"/>
      <c r="C172" s="102"/>
      <c r="D172" s="102"/>
      <c r="E172" s="102"/>
    </row>
    <row r="173" spans="1:5"/>
    <row r="174" spans="1:5"/>
    <row r="178" spans="8:12" hidden="1">
      <c r="H178" s="91" t="s">
        <v>281</v>
      </c>
      <c r="I178" s="99">
        <f ca="1">MIN(Pu_3/Q1_ult,Pp_max1/Q1_ult,Pp_max5/Q1_ult)</f>
        <v>1.8052491975198226</v>
      </c>
      <c r="K178" s="305" t="s">
        <v>598</v>
      </c>
    </row>
    <row r="179" spans="8:12" ht="15.75" hidden="1">
      <c r="H179" s="91" t="s">
        <v>280</v>
      </c>
      <c r="I179" s="99">
        <f ca="1">MIN(Pu_6/Q1_ult_jb,Pp_max2/Q1_ult_jb,Pp_max6/Q1_ult_jb)</f>
        <v>1.504374331266519</v>
      </c>
      <c r="J179" s="96"/>
      <c r="K179" s="308" t="s">
        <v>599</v>
      </c>
      <c r="L179" s="98"/>
    </row>
    <row r="180" spans="8:12" ht="15.75" hidden="1">
      <c r="H180" s="91" t="s">
        <v>282</v>
      </c>
      <c r="I180" s="97">
        <f ca="1">MIN(Pu_9/Q1_ult_ep,Pp_max4/Q1_ult_ep,Pp_max8/Q1_ult_ep)</f>
        <v>1.0093167291796092</v>
      </c>
      <c r="J180" s="96"/>
      <c r="K180" s="308">
        <v>1</v>
      </c>
      <c r="L180" s="98"/>
    </row>
    <row r="182" spans="8:12" ht="15.75" hidden="1">
      <c r="I182" s="93"/>
      <c r="J182" s="96"/>
      <c r="K182" s="97"/>
      <c r="L182" s="98"/>
    </row>
    <row r="183" spans="8:12" ht="15.75" hidden="1">
      <c r="I183" s="93"/>
      <c r="J183" s="103"/>
      <c r="K183" s="104"/>
      <c r="L183" s="105"/>
    </row>
    <row r="184" spans="8:12" ht="18.75" hidden="1">
      <c r="I184" s="91" t="s">
        <v>116</v>
      </c>
      <c r="J184" s="110" t="s">
        <v>117</v>
      </c>
      <c r="K184" s="111">
        <f>1.47*fck-6.6</f>
        <v>36.03</v>
      </c>
      <c r="L184" s="112" t="s">
        <v>118</v>
      </c>
    </row>
    <row r="185" spans="8:12" ht="18.75" hidden="1">
      <c r="I185" s="91" t="s">
        <v>119</v>
      </c>
      <c r="J185" s="110" t="s">
        <v>120</v>
      </c>
      <c r="K185" s="111">
        <f>+fck+8</f>
        <v>37</v>
      </c>
      <c r="L185" s="112" t="s">
        <v>118</v>
      </c>
    </row>
    <row r="186" spans="8:12" ht="18.75" hidden="1">
      <c r="I186" s="91" t="s">
        <v>122</v>
      </c>
      <c r="J186" s="110" t="s">
        <v>123</v>
      </c>
      <c r="K186" s="116">
        <f>fr</f>
        <v>4.1088807478436262</v>
      </c>
      <c r="L186" s="112" t="s">
        <v>118</v>
      </c>
    </row>
    <row r="187" spans="8:12" ht="18.75" hidden="1">
      <c r="I187" s="91" t="s">
        <v>124</v>
      </c>
      <c r="J187" s="110" t="s">
        <v>125</v>
      </c>
      <c r="K187" s="116">
        <f>0.7*fctm</f>
        <v>2.8762165234905384</v>
      </c>
      <c r="L187" s="112" t="s">
        <v>118</v>
      </c>
    </row>
    <row r="188" spans="8:12" ht="18.75" hidden="1">
      <c r="I188" s="91" t="s">
        <v>127</v>
      </c>
      <c r="J188" s="110" t="s">
        <v>128</v>
      </c>
      <c r="K188" s="111">
        <f>22*(fcm/10)^0.3*1000</f>
        <v>32574.90801622803</v>
      </c>
      <c r="L188" s="112" t="s">
        <v>118</v>
      </c>
    </row>
    <row r="189" spans="8:12" ht="18.75" hidden="1">
      <c r="I189" s="93" t="s">
        <v>129</v>
      </c>
      <c r="J189" s="110" t="s">
        <v>130</v>
      </c>
      <c r="K189" s="116">
        <f>MIN(2,(1+(200/h)^0.5))*fctk_0.05</f>
        <v>5.7524330469810767</v>
      </c>
      <c r="L189" s="112" t="s">
        <v>118</v>
      </c>
    </row>
    <row r="190" spans="8:12" ht="15.75" hidden="1">
      <c r="I190" s="93" t="s">
        <v>134</v>
      </c>
      <c r="J190" s="114" t="s">
        <v>135</v>
      </c>
      <c r="K190" s="116">
        <f>0.75*h</f>
        <v>97.504665580313258</v>
      </c>
      <c r="L190" s="112" t="s">
        <v>5</v>
      </c>
    </row>
    <row r="191" spans="8:12" ht="18.75" hidden="1">
      <c r="I191" s="110" t="s">
        <v>136</v>
      </c>
      <c r="J191" s="110" t="s">
        <v>137</v>
      </c>
      <c r="K191" s="121">
        <f>IF(1+(200/d)^0.5&lt;2,1+(200/d)^0.5,2)</f>
        <v>2</v>
      </c>
      <c r="L191" s="122"/>
    </row>
    <row r="192" spans="8:12" ht="18.75" hidden="1">
      <c r="I192" s="91" t="s">
        <v>138</v>
      </c>
      <c r="J192" s="123" t="s">
        <v>139</v>
      </c>
      <c r="K192" s="121">
        <f>0.035*k1_^(3/2)*fck^(1/2)</f>
        <v>0.53310411741047348</v>
      </c>
      <c r="L192" s="124" t="s">
        <v>118</v>
      </c>
    </row>
    <row r="193" spans="9:12" ht="18.75" hidden="1">
      <c r="I193" s="91" t="s">
        <v>141</v>
      </c>
      <c r="J193" s="110" t="s">
        <v>142</v>
      </c>
      <c r="K193" s="126">
        <f>Ecm*h^3/(12*(1-n^2))/1000000</f>
        <v>6213.3113983262319</v>
      </c>
      <c r="L193" s="124" t="s">
        <v>143</v>
      </c>
    </row>
    <row r="194" spans="9:12" ht="15.75" hidden="1">
      <c r="I194" s="91" t="s">
        <v>144</v>
      </c>
      <c r="J194" s="114" t="s">
        <v>145</v>
      </c>
      <c r="K194" s="121">
        <f>(Ecm*h^3/(12*(1-n^2)*k))^0.25</f>
        <v>582.68466524047483</v>
      </c>
      <c r="L194" s="124" t="s">
        <v>5</v>
      </c>
    </row>
    <row r="195" spans="9:12" ht="18.75" hidden="1">
      <c r="I195" s="91" t="s">
        <v>146</v>
      </c>
      <c r="J195" s="110" t="s">
        <v>147</v>
      </c>
      <c r="K195" s="361">
        <v>29.952000000000002</v>
      </c>
      <c r="L195" s="124" t="s">
        <v>12</v>
      </c>
    </row>
    <row r="196" spans="9:12" ht="18.75" hidden="1">
      <c r="I196" s="93" t="s">
        <v>148</v>
      </c>
      <c r="J196" s="114" t="s">
        <v>149</v>
      </c>
      <c r="K196" s="116">
        <f>fctk_fl/gc*(h^2/6)/1000</f>
        <v>10.802824745395423</v>
      </c>
      <c r="L196" s="124" t="s">
        <v>150</v>
      </c>
    </row>
    <row r="197" spans="9:12" ht="18.75" hidden="1">
      <c r="I197" s="93" t="s">
        <v>151</v>
      </c>
      <c r="J197" s="114" t="s">
        <v>152</v>
      </c>
      <c r="K197" s="116">
        <f>fctk_fl/gc*(Re_3/100)*(h^2/6)/1000</f>
        <v>3.2356620677408374</v>
      </c>
      <c r="L197" s="124" t="s">
        <v>150</v>
      </c>
    </row>
    <row r="199" spans="9:12" hidden="1">
      <c r="I199" s="93" t="s">
        <v>153</v>
      </c>
      <c r="J199" s="127" t="s">
        <v>154</v>
      </c>
      <c r="K199" s="128">
        <f>+a/l</f>
        <v>0.17382733934783262</v>
      </c>
      <c r="L199" s="124"/>
    </row>
    <row r="200" spans="9:12" hidden="1">
      <c r="I200" s="93"/>
      <c r="J200" s="129"/>
      <c r="K200" s="130"/>
      <c r="L200" s="105"/>
    </row>
    <row r="201" spans="9:12" hidden="1">
      <c r="I201" s="419" t="s">
        <v>155</v>
      </c>
      <c r="J201" s="419"/>
      <c r="K201" s="419"/>
      <c r="L201" s="419"/>
    </row>
    <row r="206" spans="9:12" ht="15.75" hidden="1">
      <c r="I206" s="93"/>
      <c r="J206" s="96"/>
      <c r="K206" s="138"/>
      <c r="L206" s="112"/>
    </row>
    <row r="207" spans="9:12" hidden="1">
      <c r="I207" s="167"/>
      <c r="J207" s="167"/>
      <c r="K207" s="167"/>
      <c r="L207" s="167"/>
    </row>
    <row r="210" spans="9:12" hidden="1">
      <c r="I210" s="168"/>
    </row>
    <row r="219" spans="9:12" ht="15.75" hidden="1">
      <c r="I219" s="93"/>
      <c r="J219" s="96"/>
      <c r="K219" s="138"/>
      <c r="L219" s="112"/>
    </row>
    <row r="220" spans="9:12" ht="15.75" hidden="1">
      <c r="I220" s="93"/>
      <c r="J220" s="96"/>
      <c r="K220" s="138"/>
      <c r="L220" s="112"/>
    </row>
    <row r="221" spans="9:12" hidden="1">
      <c r="I221" s="144" t="s">
        <v>167</v>
      </c>
      <c r="K221" s="145"/>
      <c r="L221" s="112"/>
    </row>
    <row r="222" spans="9:12" ht="15.75" hidden="1">
      <c r="I222" s="91" t="s">
        <v>168</v>
      </c>
      <c r="J222" s="146" t="s">
        <v>169</v>
      </c>
      <c r="K222" s="147">
        <v>0.2</v>
      </c>
      <c r="L222" s="112"/>
    </row>
    <row r="223" spans="9:12" ht="30" hidden="1">
      <c r="I223" s="148" t="s">
        <v>170</v>
      </c>
      <c r="J223" s="146" t="s">
        <v>171</v>
      </c>
      <c r="K223" s="145">
        <v>1.05</v>
      </c>
      <c r="L223" s="112"/>
    </row>
    <row r="224" spans="9:12" ht="30" hidden="1">
      <c r="I224" s="148" t="s">
        <v>172</v>
      </c>
      <c r="J224" s="146" t="s">
        <v>173</v>
      </c>
      <c r="K224" s="145">
        <v>1.1499999999999999</v>
      </c>
      <c r="L224" s="112"/>
    </row>
    <row r="225" spans="9:13" ht="30" hidden="1">
      <c r="I225" s="148" t="s">
        <v>174</v>
      </c>
      <c r="J225" s="146" t="s">
        <v>175</v>
      </c>
      <c r="K225" s="145">
        <v>1.5</v>
      </c>
      <c r="L225" s="112"/>
    </row>
    <row r="226" spans="9:13" ht="18.75" hidden="1">
      <c r="I226" s="148" t="s">
        <v>176</v>
      </c>
      <c r="J226" s="146" t="s">
        <v>177</v>
      </c>
      <c r="K226" s="145">
        <v>1.2</v>
      </c>
    </row>
    <row r="227" spans="9:13" ht="30" hidden="1">
      <c r="I227" s="148" t="s">
        <v>178</v>
      </c>
      <c r="J227" s="146" t="s">
        <v>179</v>
      </c>
      <c r="K227" s="145">
        <v>1.5</v>
      </c>
    </row>
    <row r="228" spans="9:13" ht="30" hidden="1">
      <c r="I228" s="148" t="s">
        <v>180</v>
      </c>
      <c r="J228" s="146" t="s">
        <v>181</v>
      </c>
      <c r="K228" s="145">
        <f>FS_parcial</f>
        <v>1.6</v>
      </c>
    </row>
    <row r="229" spans="9:13" ht="15.75" hidden="1">
      <c r="I229" s="148" t="s">
        <v>184</v>
      </c>
      <c r="J229" s="171" t="s">
        <v>185</v>
      </c>
      <c r="K229" s="147">
        <f>SQRT(((Q1_/AA_1)/F_Carga)/PI())*1000</f>
        <v>101.28652503753428</v>
      </c>
      <c r="L229" s="112" t="s">
        <v>5</v>
      </c>
    </row>
    <row r="230" spans="9:13" ht="18.75" hidden="1">
      <c r="I230" s="148" t="s">
        <v>270</v>
      </c>
      <c r="J230" s="114" t="s">
        <v>271</v>
      </c>
      <c r="K230" s="147">
        <f>IF(OR(Z&lt;=2*h,BB_1&lt;=2*h),(2*a*Z)+PI()*a^2,PI()*a^2)</f>
        <v>32229.473853839339</v>
      </c>
      <c r="L230" s="112" t="s">
        <v>5</v>
      </c>
    </row>
    <row r="231" spans="9:13" ht="18.75" hidden="1">
      <c r="I231" s="148" t="s">
        <v>272</v>
      </c>
      <c r="J231" s="114" t="s">
        <v>273</v>
      </c>
      <c r="K231" s="147">
        <f>SQRT((Acomb)/PI())</f>
        <v>101.28652503753428</v>
      </c>
      <c r="L231" s="112" t="s">
        <v>5</v>
      </c>
    </row>
    <row r="232" spans="9:13" hidden="1">
      <c r="M232"/>
    </row>
    <row r="233" spans="9:13" ht="15.75" hidden="1">
      <c r="I233" s="148" t="s">
        <v>621</v>
      </c>
      <c r="J233" s="326" t="s">
        <v>622</v>
      </c>
      <c r="K233" s="305">
        <f>IF(Z&gt;0,4,2)</f>
        <v>2</v>
      </c>
      <c r="L233"/>
      <c r="M233"/>
    </row>
    <row r="234" spans="9:13" hidden="1">
      <c r="I234" s="158"/>
      <c r="J234"/>
      <c r="K234"/>
      <c r="L234"/>
      <c r="M234"/>
    </row>
    <row r="235" spans="9:13" hidden="1">
      <c r="I235" s="158"/>
      <c r="J235"/>
      <c r="K235"/>
      <c r="L235"/>
      <c r="M235"/>
    </row>
    <row r="236" spans="9:13" hidden="1">
      <c r="I236" s="158"/>
      <c r="J236"/>
      <c r="K236"/>
      <c r="L236"/>
      <c r="M236"/>
    </row>
    <row r="237" spans="9:13" hidden="1">
      <c r="I237" s="158"/>
      <c r="J237"/>
      <c r="K237"/>
      <c r="L237"/>
      <c r="M237"/>
    </row>
    <row r="238" spans="9:13" hidden="1">
      <c r="I238" s="158"/>
      <c r="J238"/>
      <c r="K238"/>
      <c r="L238"/>
      <c r="M238"/>
    </row>
    <row r="239" spans="9:13" hidden="1">
      <c r="I239" s="158"/>
      <c r="J239"/>
      <c r="K239"/>
      <c r="L239"/>
      <c r="M239"/>
    </row>
    <row r="240" spans="9:13" hidden="1">
      <c r="I240" s="158"/>
      <c r="J240"/>
      <c r="K240"/>
      <c r="L240"/>
      <c r="M240"/>
    </row>
    <row r="241" spans="9:13" hidden="1">
      <c r="I241" s="158"/>
      <c r="J241"/>
      <c r="K241"/>
      <c r="L241"/>
      <c r="M241"/>
    </row>
    <row r="242" spans="9:13" hidden="1">
      <c r="I242" s="158"/>
      <c r="J242"/>
      <c r="K242"/>
      <c r="L242"/>
      <c r="M242"/>
    </row>
    <row r="243" spans="9:13" hidden="1">
      <c r="I243" s="158"/>
      <c r="J243"/>
      <c r="K243"/>
      <c r="L243"/>
      <c r="M243"/>
    </row>
    <row r="244" spans="9:13" hidden="1">
      <c r="I244" s="158"/>
      <c r="J244"/>
      <c r="K244"/>
      <c r="L244"/>
      <c r="M244"/>
    </row>
    <row r="245" spans="9:13" hidden="1">
      <c r="I245" s="158"/>
      <c r="J245"/>
      <c r="K245"/>
      <c r="L245"/>
      <c r="M245"/>
    </row>
    <row r="246" spans="9:13" hidden="1">
      <c r="I246" s="158"/>
      <c r="J246"/>
      <c r="K246"/>
      <c r="L246"/>
      <c r="M246"/>
    </row>
    <row r="247" spans="9:13" hidden="1">
      <c r="I247" s="158"/>
      <c r="J247"/>
      <c r="K247"/>
      <c r="L247"/>
      <c r="M247"/>
    </row>
    <row r="248" spans="9:13" hidden="1">
      <c r="I248" s="158"/>
      <c r="J248"/>
      <c r="K248"/>
      <c r="L248"/>
      <c r="M248"/>
    </row>
    <row r="250" spans="9:13" ht="18.75" hidden="1">
      <c r="I250" s="91" t="s">
        <v>211</v>
      </c>
      <c r="J250" s="110" t="s">
        <v>212</v>
      </c>
      <c r="K250" s="160">
        <f>fck/gc</f>
        <v>19.333333333333332</v>
      </c>
      <c r="L250" s="112" t="s">
        <v>118</v>
      </c>
    </row>
    <row r="251" spans="9:13" ht="20.25" hidden="1">
      <c r="J251" s="161" t="s">
        <v>213</v>
      </c>
      <c r="K251" s="91">
        <f>0.6*(1-fck/250)</f>
        <v>0.53039999999999998</v>
      </c>
      <c r="L251" s="112"/>
      <c r="M251" s="162"/>
    </row>
    <row r="252" spans="9:13" ht="18" hidden="1">
      <c r="I252" s="91" t="s">
        <v>196</v>
      </c>
      <c r="J252" s="112" t="s">
        <v>197</v>
      </c>
      <c r="K252" s="160">
        <f>0.5*k2_*fcd</f>
        <v>5.1271999999999993</v>
      </c>
      <c r="L252" s="112" t="s">
        <v>118</v>
      </c>
    </row>
    <row r="253" spans="9:13" ht="18" hidden="1">
      <c r="I253" s="91" t="s">
        <v>198</v>
      </c>
      <c r="J253" s="112" t="s">
        <v>199</v>
      </c>
      <c r="K253" s="147">
        <f>2*(PI()*a)</f>
        <v>636.40200593111263</v>
      </c>
      <c r="L253" s="112" t="s">
        <v>5</v>
      </c>
    </row>
    <row r="254" spans="9:13" ht="18" hidden="1">
      <c r="I254" s="91" t="s">
        <v>278</v>
      </c>
      <c r="J254" s="112" t="s">
        <v>215</v>
      </c>
      <c r="K254" s="147">
        <f>3/2*(PI()*a)</f>
        <v>477.30150444833447</v>
      </c>
      <c r="L254" s="112" t="s">
        <v>5</v>
      </c>
      <c r="M254" s="162"/>
    </row>
    <row r="255" spans="9:13" ht="18" hidden="1">
      <c r="I255" s="91" t="s">
        <v>216</v>
      </c>
      <c r="J255" s="112" t="s">
        <v>217</v>
      </c>
      <c r="K255" s="147">
        <f>3/2*(PI()*a)</f>
        <v>477.30150444833447</v>
      </c>
      <c r="L255" s="112" t="s">
        <v>5</v>
      </c>
    </row>
    <row r="256" spans="9:13" ht="18" hidden="1">
      <c r="I256" s="91" t="s">
        <v>218</v>
      </c>
      <c r="J256" s="112" t="s">
        <v>219</v>
      </c>
      <c r="K256" s="147">
        <f>(PI()*a)</f>
        <v>318.20100296555631</v>
      </c>
      <c r="L256" s="112" t="s">
        <v>5</v>
      </c>
    </row>
    <row r="257" spans="9:13" ht="18" hidden="1">
      <c r="I257" s="93" t="s">
        <v>200</v>
      </c>
      <c r="J257" s="112" t="s">
        <v>201</v>
      </c>
      <c r="K257" s="99">
        <f>Q1_ult*1000/(u0_1*d)</f>
        <v>1.0313902866159026</v>
      </c>
      <c r="L257" s="112" t="s">
        <v>118</v>
      </c>
      <c r="M257" s="91" t="str">
        <f>IF(vmax&gt;vp_1,"O.K","No Cumple")</f>
        <v>O.K</v>
      </c>
    </row>
    <row r="258" spans="9:13" ht="18" hidden="1">
      <c r="I258" s="93" t="s">
        <v>220</v>
      </c>
      <c r="J258" s="112" t="s">
        <v>221</v>
      </c>
      <c r="K258" s="99">
        <f>Q1_ult_jb*1000/(u0_2*d)</f>
        <v>0.8251122292927221</v>
      </c>
      <c r="L258" s="112" t="s">
        <v>118</v>
      </c>
      <c r="M258" s="91" t="str">
        <f>IF(vmax&gt;vp_2,"O.K","No Cumple")</f>
        <v>O.K</v>
      </c>
    </row>
    <row r="259" spans="9:13" ht="18" hidden="1">
      <c r="I259" s="93" t="s">
        <v>222</v>
      </c>
      <c r="J259" s="112" t="s">
        <v>223</v>
      </c>
      <c r="K259" s="99">
        <f>Q1_ult_jb*1000/(u0_3*d)</f>
        <v>0.8251122292927221</v>
      </c>
      <c r="L259" s="112" t="s">
        <v>118</v>
      </c>
      <c r="M259" s="91" t="str">
        <f>IF(vmax&gt;vp_3,"O.K","No Cumple")</f>
        <v>O.K</v>
      </c>
    </row>
    <row r="260" spans="9:13" ht="18" hidden="1">
      <c r="I260" s="93" t="s">
        <v>224</v>
      </c>
      <c r="J260" s="112" t="s">
        <v>225</v>
      </c>
      <c r="K260" s="99">
        <f>Q1_ult_ep*1000/(u0_4*d)</f>
        <v>1.237668343939083</v>
      </c>
      <c r="L260" s="112" t="s">
        <v>118</v>
      </c>
      <c r="M260" s="91" t="str">
        <f>IF(vmax&gt;vp_4,"O.K","No Cumple")</f>
        <v>O.K</v>
      </c>
    </row>
    <row r="263" spans="9:13" ht="18" hidden="1">
      <c r="I263" s="91" t="s">
        <v>229</v>
      </c>
      <c r="J263" s="112" t="s">
        <v>230</v>
      </c>
      <c r="K263" s="147">
        <f>vmax*u0_1*d/1000</f>
        <v>318.15385917261602</v>
      </c>
      <c r="L263" s="112" t="s">
        <v>150</v>
      </c>
    </row>
    <row r="264" spans="9:13" ht="18" hidden="1">
      <c r="I264" s="91" t="s">
        <v>232</v>
      </c>
      <c r="J264" s="112" t="s">
        <v>233</v>
      </c>
      <c r="K264" s="147">
        <f>vmax*u0_2*d/1000</f>
        <v>238.615394379462</v>
      </c>
      <c r="L264" s="112" t="s">
        <v>150</v>
      </c>
    </row>
    <row r="265" spans="9:13" ht="18" hidden="1">
      <c r="I265" s="91" t="s">
        <v>232</v>
      </c>
      <c r="J265" s="112" t="s">
        <v>235</v>
      </c>
      <c r="K265" s="147">
        <f>vmax*u0_3*d/1000</f>
        <v>238.615394379462</v>
      </c>
      <c r="L265" s="112" t="s">
        <v>150</v>
      </c>
    </row>
    <row r="266" spans="9:13" ht="18" hidden="1">
      <c r="I266" s="91" t="s">
        <v>238</v>
      </c>
      <c r="J266" s="112" t="s">
        <v>239</v>
      </c>
      <c r="K266" s="147">
        <f>vmax*u0_4*d/1000</f>
        <v>159.07692958630801</v>
      </c>
      <c r="L266" s="112" t="s">
        <v>150</v>
      </c>
    </row>
    <row r="267" spans="9:13" ht="18" hidden="1">
      <c r="I267" s="91" t="s">
        <v>204</v>
      </c>
      <c r="J267" s="112" t="s">
        <v>205</v>
      </c>
      <c r="K267" s="147">
        <f>2*PI()*(a+2*d)</f>
        <v>1861.6817702424794</v>
      </c>
      <c r="L267" s="112" t="s">
        <v>5</v>
      </c>
    </row>
    <row r="268" spans="9:13" ht="18" hidden="1">
      <c r="I268" s="112" t="s">
        <v>240</v>
      </c>
      <c r="J268" s="112" t="s">
        <v>241</v>
      </c>
      <c r="K268" s="147">
        <f>PI()*(a+2*d)</f>
        <v>930.84088512123969</v>
      </c>
      <c r="L268" s="112" t="s">
        <v>5</v>
      </c>
    </row>
    <row r="269" spans="9:13" ht="18" hidden="1">
      <c r="I269" s="91" t="s">
        <v>242</v>
      </c>
      <c r="J269" s="112" t="s">
        <v>243</v>
      </c>
      <c r="K269" s="147">
        <f>PI()*(a+2*d)</f>
        <v>930.84088512123969</v>
      </c>
      <c r="L269" s="112" t="s">
        <v>5</v>
      </c>
    </row>
    <row r="270" spans="9:13" ht="18" hidden="1">
      <c r="I270" s="91" t="s">
        <v>244</v>
      </c>
      <c r="J270" s="112" t="s">
        <v>245</v>
      </c>
      <c r="K270" s="147">
        <f>PI()/2*(2*a+2*d)</f>
        <v>624.520944043398</v>
      </c>
      <c r="L270" s="112" t="s">
        <v>5</v>
      </c>
    </row>
    <row r="271" spans="9:13" ht="18" hidden="1">
      <c r="I271" s="91" t="s">
        <v>206</v>
      </c>
      <c r="J271" s="112" t="s">
        <v>207</v>
      </c>
      <c r="K271" s="147">
        <f>(0.035*k1_^(3/2)*fck^(1/2)+0.06*Re_3/100*fctk_fl)*u1_1*d/1000</f>
        <v>115.53594864126865</v>
      </c>
      <c r="L271" s="112" t="s">
        <v>150</v>
      </c>
    </row>
    <row r="272" spans="9:13" ht="18" hidden="1">
      <c r="I272" s="91" t="s">
        <v>246</v>
      </c>
      <c r="J272" s="112" t="s">
        <v>247</v>
      </c>
      <c r="K272" s="147">
        <f>(0.035*k1_^(3/2)*fck^(1/2)+0.06*Re_3/100*fctk_fl)*u1_2*d/1000</f>
        <v>57.767974320634323</v>
      </c>
      <c r="L272" s="112" t="s">
        <v>150</v>
      </c>
    </row>
    <row r="273" spans="9:12" ht="18" hidden="1">
      <c r="I273" s="91" t="s">
        <v>248</v>
      </c>
      <c r="J273" s="112" t="s">
        <v>249</v>
      </c>
      <c r="K273" s="147">
        <f>(0.035*k1_^(3/2)*fck^(1/2)+0.06*Re_3/100*fctk_fl)*u1_3*d/1000</f>
        <v>57.767974320634323</v>
      </c>
      <c r="L273" s="112" t="s">
        <v>150</v>
      </c>
    </row>
    <row r="274" spans="9:12" ht="18" hidden="1">
      <c r="I274" s="91" t="s">
        <v>250</v>
      </c>
      <c r="J274" s="112" t="s">
        <v>251</v>
      </c>
      <c r="K274" s="147">
        <f>(0.035*k1_^(3/2)*fck^(1/2)+0.06*Re_3/100*fctk_fl)*u1_4*d/1000</f>
        <v>38.757762400496993</v>
      </c>
      <c r="L274" s="112" t="s">
        <v>150</v>
      </c>
    </row>
    <row r="280" spans="9:12" hidden="1">
      <c r="I280" s="173" t="s">
        <v>625</v>
      </c>
      <c r="J280" s="91">
        <f>IF(AND(0&lt;Z,Z&lt;=2*h),1,IF(AND(0&lt;Z,Z&gt;2*h,Z&lt;=l),2,IF(AND(0&lt;Z,Z&gt;l),3,IF(AND(Z=0,BB_1&lt;=2*h),4,IF(AND(Z=0,BB_1&gt;2*h,BB_1&lt;=l),5,6)))))</f>
        <v>6</v>
      </c>
    </row>
    <row r="281" spans="9:12" hidden="1">
      <c r="I281" s="173"/>
    </row>
    <row r="282" spans="9:12" hidden="1">
      <c r="I282" s="173"/>
    </row>
    <row r="283" spans="9:12" hidden="1">
      <c r="I283" s="173"/>
    </row>
    <row r="284" spans="9:12" hidden="1">
      <c r="I284" s="173"/>
      <c r="J284" s="91">
        <v>1</v>
      </c>
      <c r="K284" s="327">
        <f>2*PI()*(Mp+Mn)</f>
        <v>88.20641407933212</v>
      </c>
      <c r="L284" s="160">
        <f>4*PI()*(Mp+Mn)/((1-aequiv/(3*l)))</f>
        <v>187.26332323725248</v>
      </c>
    </row>
    <row r="285" spans="9:12" hidden="1">
      <c r="I285" s="173"/>
      <c r="J285" s="91">
        <v>2</v>
      </c>
      <c r="K285" s="327">
        <f>(2*PI()+(1.8*BB_1/l))*(Mp+Mn)</f>
        <v>125.06835005500106</v>
      </c>
      <c r="L285" s="160">
        <f>(4*PI()/((1-a/(3*l)))+1.8*Z/(l-(a/2)))*(Mp+Mn)</f>
        <v>187.26332323725248</v>
      </c>
    </row>
    <row r="286" spans="9:12" hidden="1">
      <c r="I286" s="173"/>
      <c r="J286" s="91">
        <v>3</v>
      </c>
      <c r="K286" s="327">
        <f>2*PI()*(Mp+Mn)</f>
        <v>88.20641407933212</v>
      </c>
      <c r="L286" s="160">
        <f>4*PI()*(Mp+Mn)/((1-a/(3*l)))</f>
        <v>187.26332323725248</v>
      </c>
    </row>
    <row r="287" spans="9:12" hidden="1">
      <c r="I287" s="173"/>
      <c r="J287" s="93">
        <v>4</v>
      </c>
      <c r="K287" s="327">
        <f>2*PI()*(Mp+Mn)</f>
        <v>88.20641407933212</v>
      </c>
      <c r="L287" s="160">
        <f>4*PI()*(Mp+Mn)/((1-aequiv/(3*l)))</f>
        <v>187.26332323725248</v>
      </c>
    </row>
    <row r="288" spans="9:12" hidden="1">
      <c r="J288" s="93">
        <v>5</v>
      </c>
      <c r="K288" s="327">
        <f>(2*PI()+(1.8*BB_1/l))*(Mp+Mn)</f>
        <v>125.06835005500106</v>
      </c>
      <c r="L288" s="160">
        <f>(4*PI()/((1-a/(3*l)))+1.8*BB_1/(l-(a/2)))*(Mp+Mn)</f>
        <v>227.63402505523365</v>
      </c>
    </row>
    <row r="289" spans="9:12" hidden="1">
      <c r="I289" s="173"/>
      <c r="J289" s="93">
        <v>6</v>
      </c>
      <c r="K289" s="327">
        <f>2*PI()*(Mp+Mn)</f>
        <v>88.20641407933212</v>
      </c>
      <c r="L289" s="160">
        <f>4*PI()*(Mp+Mn)/((1-a/(3*l)))</f>
        <v>187.26332323725248</v>
      </c>
    </row>
    <row r="290" spans="9:12" hidden="1">
      <c r="I290" s="173"/>
    </row>
    <row r="291" spans="9:12" hidden="1">
      <c r="I291" s="173"/>
    </row>
    <row r="292" spans="9:12" hidden="1">
      <c r="I292" s="173"/>
    </row>
    <row r="293" spans="9:12" hidden="1">
      <c r="I293" s="173"/>
    </row>
    <row r="294" spans="9:12" hidden="1">
      <c r="I294" s="173"/>
    </row>
  </sheetData>
  <sheetProtection algorithmName="SHA-512" hashValue="rtu04twclMLJJfVsOBqVhc2zN9/0vxXAQptQsW/7psmCh/7LWqKy8++JSreBiaiHOvXrlYXRauEWj9/vwFInQw==" saltValue="fh0QlPMfeh1ibXAwtNsEow==" spinCount="100000" sheet="1" objects="1" scenarios="1" selectLockedCells="1"/>
  <mergeCells count="5">
    <mergeCell ref="A1:C5"/>
    <mergeCell ref="B7:E7"/>
    <mergeCell ref="B160:D160"/>
    <mergeCell ref="B161:D161"/>
    <mergeCell ref="I201:L201"/>
  </mergeCells>
  <conditionalFormatting sqref="D75">
    <cfRule type="cellIs" dxfId="159" priority="56" operator="greaterThan">
      <formula>1</formula>
    </cfRule>
    <cfRule type="cellIs" dxfId="158" priority="58" operator="lessThan">
      <formula>1</formula>
    </cfRule>
  </conditionalFormatting>
  <conditionalFormatting sqref="D112">
    <cfRule type="cellIs" dxfId="157" priority="55" operator="greaterThan">
      <formula>1</formula>
    </cfRule>
    <cfRule type="cellIs" dxfId="156" priority="57" operator="lessThan">
      <formula>1</formula>
    </cfRule>
  </conditionalFormatting>
  <conditionalFormatting sqref="E75:E81 E87:E88 E135:E136 E114:E115 E117:E120">
    <cfRule type="containsText" dxfId="155" priority="53" operator="containsText" text="O.K">
      <formula>NOT(ISERROR(SEARCH("O.K",E75)))</formula>
    </cfRule>
    <cfRule type="containsText" dxfId="154" priority="54" operator="containsText" text="No Cumple">
      <formula>NOT(ISERROR(SEARCH("No Cumple",E75)))</formula>
    </cfRule>
  </conditionalFormatting>
  <conditionalFormatting sqref="E112:E113">
    <cfRule type="containsText" dxfId="153" priority="51" operator="containsText" text="O.K">
      <formula>NOT(ISERROR(SEARCH("O.K",E112)))</formula>
    </cfRule>
    <cfRule type="containsText" dxfId="152" priority="52" operator="containsText" text="No Cumple">
      <formula>NOT(ISERROR(SEARCH("No Cumple",E112)))</formula>
    </cfRule>
  </conditionalFormatting>
  <conditionalFormatting sqref="E128">
    <cfRule type="containsText" dxfId="151" priority="49" operator="containsText" text="O.K">
      <formula>NOT(ISERROR(SEARCH("O.K",E128)))</formula>
    </cfRule>
    <cfRule type="containsText" dxfId="150" priority="50" operator="containsText" text="No Cumple">
      <formula>NOT(ISERROR(SEARCH("No Cumple",E128)))</formula>
    </cfRule>
  </conditionalFormatting>
  <conditionalFormatting sqref="D154">
    <cfRule type="cellIs" dxfId="149" priority="47" operator="greaterThan">
      <formula>1</formula>
    </cfRule>
    <cfRule type="cellIs" dxfId="148" priority="48" operator="lessThan">
      <formula>1</formula>
    </cfRule>
  </conditionalFormatting>
  <conditionalFormatting sqref="E154">
    <cfRule type="containsText" dxfId="147" priority="45" operator="containsText" text="O.K">
      <formula>NOT(ISERROR(SEARCH("O.K",E154)))</formula>
    </cfRule>
    <cfRule type="containsText" dxfId="146" priority="46" operator="containsText" text="No Cumple">
      <formula>NOT(ISERROR(SEARCH("No Cumple",E154)))</formula>
    </cfRule>
  </conditionalFormatting>
  <conditionalFormatting sqref="E155">
    <cfRule type="containsText" dxfId="145" priority="43" operator="containsText" text="O.K">
      <formula>NOT(ISERROR(SEARCH("O.K",E155)))</formula>
    </cfRule>
    <cfRule type="containsText" dxfId="144" priority="44" operator="containsText" text="No Cumple">
      <formula>NOT(ISERROR(SEARCH("No Cumple",E155)))</formula>
    </cfRule>
  </conditionalFormatting>
  <conditionalFormatting sqref="D85">
    <cfRule type="cellIs" dxfId="143" priority="41" operator="greaterThan">
      <formula>1</formula>
    </cfRule>
    <cfRule type="cellIs" dxfId="142" priority="42" operator="lessThan">
      <formula>1</formula>
    </cfRule>
  </conditionalFormatting>
  <conditionalFormatting sqref="E85:E86">
    <cfRule type="containsText" dxfId="141" priority="39" operator="containsText" text="O.K">
      <formula>NOT(ISERROR(SEARCH("O.K",E85)))</formula>
    </cfRule>
    <cfRule type="containsText" dxfId="140" priority="40" operator="containsText" text="No Cumple">
      <formula>NOT(ISERROR(SEARCH("No Cumple",E85)))</formula>
    </cfRule>
  </conditionalFormatting>
  <conditionalFormatting sqref="D91">
    <cfRule type="cellIs" dxfId="139" priority="37" operator="greaterThan">
      <formula>1</formula>
    </cfRule>
    <cfRule type="cellIs" dxfId="138" priority="38" operator="lessThan">
      <formula>1</formula>
    </cfRule>
  </conditionalFormatting>
  <conditionalFormatting sqref="E91:E92">
    <cfRule type="containsText" dxfId="137" priority="35" operator="containsText" text="O.K">
      <formula>NOT(ISERROR(SEARCH("O.K",E91)))</formula>
    </cfRule>
    <cfRule type="containsText" dxfId="136" priority="36" operator="containsText" text="No Cumple">
      <formula>NOT(ISERROR(SEARCH("No Cumple",E91)))</formula>
    </cfRule>
  </conditionalFormatting>
  <conditionalFormatting sqref="E126:E127">
    <cfRule type="containsText" dxfId="135" priority="31" operator="containsText" text="O.K">
      <formula>NOT(ISERROR(SEARCH("O.K",E126)))</formula>
    </cfRule>
    <cfRule type="containsText" dxfId="134" priority="32" operator="containsText" text="No Cumple">
      <formula>NOT(ISERROR(SEARCH("No Cumple",E126)))</formula>
    </cfRule>
  </conditionalFormatting>
  <conditionalFormatting sqref="D126">
    <cfRule type="cellIs" dxfId="133" priority="33" operator="greaterThan">
      <formula>1</formula>
    </cfRule>
    <cfRule type="cellIs" dxfId="132" priority="34" operator="lessThan">
      <formula>1</formula>
    </cfRule>
  </conditionalFormatting>
  <conditionalFormatting sqref="D133">
    <cfRule type="cellIs" dxfId="131" priority="29" operator="greaterThan">
      <formula>1</formula>
    </cfRule>
    <cfRule type="cellIs" dxfId="130" priority="30" operator="lessThan">
      <formula>1</formula>
    </cfRule>
  </conditionalFormatting>
  <conditionalFormatting sqref="E133:E134">
    <cfRule type="containsText" dxfId="129" priority="27" operator="containsText" text="O.K">
      <formula>NOT(ISERROR(SEARCH("O.K",E133)))</formula>
    </cfRule>
    <cfRule type="containsText" dxfId="128" priority="28" operator="containsText" text="No Cumple">
      <formula>NOT(ISERROR(SEARCH("No Cumple",E133)))</formula>
    </cfRule>
  </conditionalFormatting>
  <conditionalFormatting sqref="E165:E166">
    <cfRule type="containsText" dxfId="127" priority="23" operator="containsText" text="O.K">
      <formula>NOT(ISERROR(SEARCH("O.K",E165)))</formula>
    </cfRule>
    <cfRule type="containsText" dxfId="126" priority="24" operator="containsText" text="No Cumple">
      <formula>NOT(ISERROR(SEARCH("No Cumple",E165)))</formula>
    </cfRule>
  </conditionalFormatting>
  <conditionalFormatting sqref="D165">
    <cfRule type="cellIs" dxfId="125" priority="25" operator="greaterThan">
      <formula>1</formula>
    </cfRule>
    <cfRule type="cellIs" dxfId="124" priority="26" operator="lessThan">
      <formula>1</formula>
    </cfRule>
  </conditionalFormatting>
  <conditionalFormatting sqref="D170">
    <cfRule type="cellIs" dxfId="123" priority="21" operator="greaterThan">
      <formula>1</formula>
    </cfRule>
    <cfRule type="cellIs" dxfId="122" priority="22" operator="lessThan">
      <formula>1</formula>
    </cfRule>
  </conditionalFormatting>
  <conditionalFormatting sqref="E170:E171">
    <cfRule type="containsText" dxfId="121" priority="19" operator="containsText" text="O.K">
      <formula>NOT(ISERROR(SEARCH("O.K",E170)))</formula>
    </cfRule>
    <cfRule type="containsText" dxfId="120" priority="20" operator="containsText" text="No Cumple">
      <formula>NOT(ISERROR(SEARCH("No Cumple",E170)))</formula>
    </cfRule>
  </conditionalFormatting>
  <conditionalFormatting sqref="D76">
    <cfRule type="cellIs" dxfId="119" priority="17" operator="greaterThan">
      <formula>FS_Global</formula>
    </cfRule>
    <cfRule type="cellIs" dxfId="118" priority="18" operator="lessThan">
      <formula>FS_Global</formula>
    </cfRule>
  </conditionalFormatting>
  <conditionalFormatting sqref="D86">
    <cfRule type="cellIs" dxfId="117" priority="15" operator="greaterThan">
      <formula>FS_Global</formula>
    </cfRule>
    <cfRule type="cellIs" dxfId="116" priority="16" operator="lessThan">
      <formula>FS_Global</formula>
    </cfRule>
  </conditionalFormatting>
  <conditionalFormatting sqref="D92">
    <cfRule type="cellIs" dxfId="115" priority="13" operator="greaterThan">
      <formula>FS_Global</formula>
    </cfRule>
    <cfRule type="cellIs" dxfId="114" priority="14" operator="lessThan">
      <formula>FS_Global</formula>
    </cfRule>
  </conditionalFormatting>
  <conditionalFormatting sqref="D113">
    <cfRule type="cellIs" dxfId="113" priority="11" operator="greaterThan">
      <formula>FS_Global</formula>
    </cfRule>
    <cfRule type="cellIs" dxfId="112" priority="12" operator="lessThan">
      <formula>FS_Global</formula>
    </cfRule>
  </conditionalFormatting>
  <conditionalFormatting sqref="D127">
    <cfRule type="cellIs" dxfId="111" priority="9" operator="greaterThan">
      <formula>FS_Global</formula>
    </cfRule>
    <cfRule type="cellIs" dxfId="110" priority="10" operator="lessThan">
      <formula>FS_Global</formula>
    </cfRule>
  </conditionalFormatting>
  <conditionalFormatting sqref="D134">
    <cfRule type="cellIs" dxfId="109" priority="7" operator="greaterThan">
      <formula>FS_Global</formula>
    </cfRule>
    <cfRule type="cellIs" dxfId="108" priority="8" operator="lessThan">
      <formula>FS_Global</formula>
    </cfRule>
  </conditionalFormatting>
  <conditionalFormatting sqref="D155">
    <cfRule type="cellIs" dxfId="107" priority="5" operator="greaterThan">
      <formula>FS_Global</formula>
    </cfRule>
    <cfRule type="cellIs" dxfId="106" priority="6" operator="lessThan">
      <formula>FS_Global</formula>
    </cfRule>
  </conditionalFormatting>
  <conditionalFormatting sqref="D171">
    <cfRule type="cellIs" dxfId="105" priority="3" operator="greaterThan">
      <formula>FS_Global</formula>
    </cfRule>
    <cfRule type="cellIs" dxfId="104" priority="4" operator="lessThan">
      <formula>FS_Global</formula>
    </cfRule>
  </conditionalFormatting>
  <conditionalFormatting sqref="D166">
    <cfRule type="cellIs" dxfId="103" priority="1" operator="greaterThan">
      <formula>FS_Global</formula>
    </cfRule>
    <cfRule type="cellIs" dxfId="102" priority="2" operator="lessThan">
      <formula>FS_Global</formula>
    </cfRule>
  </conditionalFormatting>
  <dataValidations count="8">
    <dataValidation type="decimal" operator="greaterThanOrEqual" allowBlank="1" showInputMessage="1" showErrorMessage="1" error="El factor parcial de seguridad mínimo a usar es 1.6 según TR34." sqref="D47" xr:uid="{00000000-0002-0000-0600-000000000000}">
      <formula1>1.6</formula1>
    </dataValidation>
    <dataValidation type="decimal" operator="greaterThanOrEqual" allowBlank="1" showInputMessage="1" showErrorMessage="1" error="El valor mínimo de dosificación es de 3.2 kg/m3 para obtener un valor de Re.3 igual o superior a 0.3." prompt="La dosificación mínima de FIBRAPLAST CONCRETE para alcanzar un valor de Re,3 igual a 0.3 es 3.2 kg/m3, de lo contrario el concreto será considerado como concreto plano (TR34 sección 9.4.2)" sqref="D21" xr:uid="{00000000-0002-0000-0600-000001000000}">
      <formula1>3.2</formula1>
    </dataValidation>
    <dataValidation allowBlank="1" showInputMessage="1" showErrorMessage="1" prompt="En las esquinas entre paneles se asume capacidad de transferencia de carga a través de la junta.  Se espera que la junta esté en capacidad de soportar un 20% de la carga. En caso de que la junta no transfiera carga, considerar la esquina libre." sqref="D150" xr:uid="{00000000-0002-0000-0600-000002000000}"/>
    <dataValidation allowBlank="1" showInputMessage="1" showErrorMessage="1" prompt="En los bordes entre paneles se asume capacidad de transferencia de carga a través de la junta.  Se espera que la junta esté en capacidad de soportar un 20% de la carga. En caso de que la junta no transfiera carga, considerar el borde libre." sqref="D108" xr:uid="{00000000-0002-0000-0600-000003000000}"/>
    <dataValidation allowBlank="1" showInputMessage="1" showErrorMessage="1" prompt="La condición de carga de estantería individual en bordes libres es muy inusual, y generalmente no se considera, sin embargo se calcula aquí para aquellos casos donde pudiera requerirse." sqref="D128 D135:D136 D117:D120 D115" xr:uid="{00000000-0002-0000-0600-000004000000}"/>
    <dataValidation type="decimal" operator="greaterThanOrEqual" allowBlank="1" showInputMessage="1" showErrorMessage="1" error="El valor mínimo de dosificación es de 3.2 kg/m3 para obtener un valor de Re.3 igual o superior a 30%" sqref="K182 D45" xr:uid="{00000000-0002-0000-0600-000005000000}">
      <formula1>3.2</formula1>
    </dataValidation>
    <dataValidation allowBlank="1" showInputMessage="1" showErrorMessage="1" prompt="La condición de carga de estantería combinada en bordes libres es muy inusual, y generalmente no se considera, sin embargo se calcula aquí para aquellos casos donde pudiera requerirse." sqref="D114" xr:uid="{00000000-0002-0000-0600-000006000000}"/>
    <dataValidation type="decimal" operator="greaterThanOrEqual" allowBlank="1" showInputMessage="1" showErrorMessage="1" error="La separación entre ejes mínima entre centros de llantas deber ser mayor o igual a 750 mm." sqref="D42" xr:uid="{00000000-0002-0000-0600-000007000000}">
      <formula1>750</formula1>
    </dataValidation>
  </dataValidations>
  <printOptions horizontalCentered="1"/>
  <pageMargins left="0.70866141732283472" right="0.70866141732283472" top="0.74803149606299213" bottom="0.74803149606299213" header="0.31496062992125984" footer="0.31496062992125984"/>
  <pageSetup scale="57" orientation="portrait" r:id="rId1"/>
  <headerFooter>
    <oddHeader>&amp;L&amp;G&amp;R&amp;G</oddHeader>
    <oddFooter>&amp;CLA MARCA FIBRAPLAS CONCRETE® SON DE USO EXCLUSIVO DE LA EMPRESA ABACOL  S.A.S.</oddFooter>
  </headerFooter>
  <rowBreaks count="4" manualBreakCount="4">
    <brk id="61" max="4" man="1"/>
    <brk id="93" max="4" man="1"/>
    <brk id="135" max="4" man="1"/>
    <brk id="174" max="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889" r:id="rId5" name="Button 1">
              <controlPr defaultSize="0" print="0" autoFill="0" autoPict="0" macro="[0]!Menu_Select">
                <anchor moveWithCells="1" sizeWithCells="1">
                  <from>
                    <xdr:col>2</xdr:col>
                    <xdr:colOff>400050</xdr:colOff>
                    <xdr:row>7</xdr:row>
                    <xdr:rowOff>314325</xdr:rowOff>
                  </from>
                  <to>
                    <xdr:col>4</xdr:col>
                    <xdr:colOff>552450</xdr:colOff>
                    <xdr:row>9</xdr:row>
                    <xdr:rowOff>76200</xdr:rowOff>
                  </to>
                </anchor>
              </controlPr>
            </control>
          </mc:Choice>
        </mc:AlternateContent>
        <mc:AlternateContent xmlns:mc="http://schemas.openxmlformats.org/markup-compatibility/2006">
          <mc:Choice Requires="x14">
            <control shapeId="37890" r:id="rId6" name="Drop Down 2">
              <controlPr defaultSize="0" autoLine="0" autoPict="0">
                <anchor moveWithCells="1">
                  <from>
                    <xdr:col>2</xdr:col>
                    <xdr:colOff>323850</xdr:colOff>
                    <xdr:row>14</xdr:row>
                    <xdr:rowOff>0</xdr:rowOff>
                  </from>
                  <to>
                    <xdr:col>4</xdr:col>
                    <xdr:colOff>542925</xdr:colOff>
                    <xdr:row>14</xdr:row>
                    <xdr:rowOff>209550</xdr:rowOff>
                  </to>
                </anchor>
              </controlPr>
            </control>
          </mc:Choice>
        </mc:AlternateContent>
        <mc:AlternateContent xmlns:mc="http://schemas.openxmlformats.org/markup-compatibility/2006">
          <mc:Choice Requires="x14">
            <control shapeId="37891" r:id="rId7" name="Button 3">
              <controlPr defaultSize="0" print="0" autoFill="0" autoPict="0" macro="[0]!Hoja8.Montc_dual_2">
                <anchor moveWithCells="1" sizeWithCells="1">
                  <from>
                    <xdr:col>1</xdr:col>
                    <xdr:colOff>28575</xdr:colOff>
                    <xdr:row>52</xdr:row>
                    <xdr:rowOff>38100</xdr:rowOff>
                  </from>
                  <to>
                    <xdr:col>2</xdr:col>
                    <xdr:colOff>371475</xdr:colOff>
                    <xdr:row>55</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7" tint="-0.249977111117893"/>
  </sheetPr>
  <dimension ref="A1:N272"/>
  <sheetViews>
    <sheetView showGridLines="0" showRowColHeaders="0" view="pageBreakPreview" topLeftCell="A7" zoomScale="110" zoomScaleNormal="100" zoomScaleSheetLayoutView="110" workbookViewId="0">
      <selection activeCell="D11" sqref="D11"/>
    </sheetView>
  </sheetViews>
  <sheetFormatPr baseColWidth="10" defaultColWidth="0" defaultRowHeight="15" zeroHeight="1"/>
  <cols>
    <col min="1" max="1" width="23.7109375" style="91" customWidth="1"/>
    <col min="2" max="2" width="50.5703125" style="91" customWidth="1"/>
    <col min="3" max="3" width="13.28515625" style="91" customWidth="1"/>
    <col min="4" max="4" width="9.42578125" style="91" customWidth="1"/>
    <col min="5" max="5" width="9.85546875" style="91" customWidth="1"/>
    <col min="6" max="6" width="16.5703125" style="91" hidden="1" customWidth="1"/>
    <col min="7" max="7" width="15.5703125" style="91" hidden="1" customWidth="1"/>
    <col min="8" max="8" width="17.28515625" style="91" hidden="1" customWidth="1"/>
    <col min="9" max="9" width="64.7109375" style="91" hidden="1" customWidth="1"/>
    <col min="10" max="10" width="11.42578125" style="91" hidden="1" customWidth="1"/>
    <col min="11" max="11" width="12.140625" style="91" hidden="1" customWidth="1"/>
    <col min="12" max="16384" width="11.42578125" style="91" hidden="1"/>
  </cols>
  <sheetData>
    <row r="1" spans="1:14" ht="23.25" customHeight="1">
      <c r="A1" s="418" t="s">
        <v>285</v>
      </c>
      <c r="B1" s="418"/>
      <c r="C1" s="418"/>
      <c r="D1" s="178"/>
      <c r="E1" s="90"/>
      <c r="I1" s="92"/>
      <c r="J1" s="93"/>
      <c r="K1" s="93"/>
      <c r="L1" s="93"/>
    </row>
    <row r="2" spans="1:14" ht="15" customHeight="1">
      <c r="A2" s="418"/>
      <c r="B2" s="418"/>
      <c r="C2" s="418"/>
      <c r="D2" s="94"/>
      <c r="E2" s="95"/>
      <c r="I2" s="93"/>
      <c r="J2" s="93"/>
      <c r="K2" s="93"/>
      <c r="L2" s="93"/>
    </row>
    <row r="3" spans="1:14" ht="15" customHeight="1">
      <c r="A3" s="418"/>
      <c r="B3" s="418"/>
      <c r="C3" s="418"/>
      <c r="D3" s="94"/>
      <c r="E3" s="95"/>
    </row>
    <row r="4" spans="1:14" ht="21">
      <c r="A4" s="418"/>
      <c r="B4" s="418"/>
      <c r="C4" s="418"/>
      <c r="D4" s="179"/>
      <c r="E4" s="179"/>
      <c r="F4" s="93"/>
    </row>
    <row r="5" spans="1:14" ht="21">
      <c r="A5" s="418"/>
      <c r="B5" s="418"/>
      <c r="C5" s="418"/>
      <c r="D5" s="179"/>
      <c r="E5" s="179"/>
      <c r="F5" s="93"/>
      <c r="M5" s="2"/>
      <c r="N5" s="2"/>
    </row>
    <row r="6" spans="1:14">
      <c r="A6" s="102"/>
      <c r="B6" s="102"/>
      <c r="C6" s="102"/>
      <c r="D6" s="102"/>
      <c r="E6" s="102"/>
      <c r="F6" s="93"/>
    </row>
    <row r="7" spans="1:14">
      <c r="A7" s="188" t="s">
        <v>283</v>
      </c>
      <c r="B7" s="420"/>
      <c r="C7" s="420"/>
      <c r="D7" s="420"/>
      <c r="E7" s="420"/>
      <c r="F7" s="93"/>
    </row>
    <row r="8" spans="1:14" ht="27.75" customHeight="1">
      <c r="A8" s="102"/>
      <c r="B8" s="102"/>
      <c r="C8" s="102"/>
      <c r="D8" s="102"/>
      <c r="E8" s="102"/>
      <c r="F8" s="93"/>
    </row>
    <row r="9" spans="1:14" ht="23.25">
      <c r="A9" s="100" t="s">
        <v>113</v>
      </c>
      <c r="B9" s="101"/>
      <c r="C9" s="102"/>
      <c r="D9" s="102"/>
      <c r="E9" s="102"/>
      <c r="F9" s="93"/>
    </row>
    <row r="10" spans="1:14" ht="16.5" customHeight="1">
      <c r="A10" s="102"/>
      <c r="B10" s="101"/>
      <c r="C10" s="102"/>
      <c r="D10" s="102"/>
      <c r="E10" s="102"/>
      <c r="F10" s="93"/>
    </row>
    <row r="11" spans="1:14" ht="18.75">
      <c r="A11" s="106"/>
      <c r="B11" s="107" t="s">
        <v>114</v>
      </c>
      <c r="C11" s="108" t="s">
        <v>115</v>
      </c>
      <c r="D11" s="180">
        <v>5.3900000000000003E-2</v>
      </c>
      <c r="E11" s="109" t="s">
        <v>596</v>
      </c>
      <c r="F11" s="93"/>
    </row>
    <row r="12" spans="1:14" ht="15.75">
      <c r="A12" s="102"/>
      <c r="B12" s="106"/>
      <c r="C12" s="113"/>
      <c r="D12" s="106"/>
      <c r="E12" s="106"/>
      <c r="F12" s="93"/>
      <c r="G12" s="93"/>
      <c r="H12" s="114"/>
    </row>
    <row r="13" spans="1:14" ht="18.75">
      <c r="A13" s="100" t="s">
        <v>121</v>
      </c>
      <c r="B13" s="106"/>
      <c r="C13" s="113"/>
      <c r="D13" s="106"/>
      <c r="E13" s="106"/>
      <c r="F13" s="93"/>
      <c r="G13" s="115"/>
      <c r="H13" s="110"/>
    </row>
    <row r="14" spans="1:14" ht="18.75">
      <c r="A14" s="100"/>
      <c r="B14" s="106"/>
      <c r="C14" s="113"/>
      <c r="D14" s="106"/>
      <c r="E14" s="106"/>
      <c r="F14" s="93"/>
      <c r="G14" s="115"/>
      <c r="H14" s="110"/>
    </row>
    <row r="15" spans="1:14" ht="18.75">
      <c r="A15" s="100"/>
      <c r="B15" s="309" t="s">
        <v>597</v>
      </c>
      <c r="D15" s="106"/>
      <c r="E15" s="106"/>
      <c r="F15" s="93"/>
      <c r="G15" s="115"/>
      <c r="H15" s="110"/>
    </row>
    <row r="16" spans="1:14" ht="18.75">
      <c r="A16" s="100"/>
      <c r="B16" s="106"/>
      <c r="C16" s="113"/>
      <c r="D16" s="106"/>
      <c r="E16" s="106"/>
      <c r="F16" s="93"/>
      <c r="G16" s="115"/>
      <c r="H16" s="110"/>
    </row>
    <row r="17" spans="1:8" ht="20.25">
      <c r="A17" s="100"/>
      <c r="B17" s="309" t="s">
        <v>600</v>
      </c>
      <c r="C17" s="360" t="s">
        <v>126</v>
      </c>
      <c r="D17" s="314">
        <v>29</v>
      </c>
      <c r="E17" s="106" t="s">
        <v>14</v>
      </c>
      <c r="F17" s="93"/>
      <c r="G17" s="115"/>
      <c r="H17" s="110"/>
    </row>
    <row r="18" spans="1:8" ht="18.75">
      <c r="A18" s="100"/>
      <c r="B18" s="106"/>
      <c r="C18" s="113"/>
      <c r="D18" s="106"/>
      <c r="E18" s="106"/>
      <c r="F18" s="93"/>
      <c r="G18" s="115"/>
      <c r="H18" s="110"/>
    </row>
    <row r="19" spans="1:8" ht="20.25">
      <c r="A19" s="100"/>
      <c r="B19" s="309" t="s">
        <v>601</v>
      </c>
      <c r="C19" s="117" t="s">
        <v>609</v>
      </c>
      <c r="D19" s="316">
        <v>4.1088807478436262</v>
      </c>
      <c r="E19" s="106" t="s">
        <v>14</v>
      </c>
      <c r="F19" s="93"/>
      <c r="G19" s="115"/>
      <c r="H19" s="110"/>
    </row>
    <row r="20" spans="1:8" ht="18.75">
      <c r="A20" s="100"/>
      <c r="B20" s="106"/>
      <c r="C20" s="113"/>
      <c r="D20" s="106"/>
      <c r="E20" s="106"/>
      <c r="F20" s="93"/>
      <c r="G20" s="115"/>
      <c r="H20" s="110"/>
    </row>
    <row r="21" spans="1:8" ht="20.25">
      <c r="A21" s="102"/>
      <c r="B21" s="309" t="s">
        <v>131</v>
      </c>
      <c r="C21" s="108" t="s">
        <v>132</v>
      </c>
      <c r="D21" s="182">
        <v>3.2</v>
      </c>
      <c r="E21" s="109" t="s">
        <v>133</v>
      </c>
      <c r="F21" s="93"/>
      <c r="H21" s="110"/>
    </row>
    <row r="22" spans="1:8" ht="15.75">
      <c r="A22" s="102"/>
      <c r="B22" s="106"/>
      <c r="C22" s="106"/>
      <c r="D22" s="106"/>
      <c r="E22" s="106"/>
      <c r="F22" s="93"/>
      <c r="G22" s="93"/>
      <c r="H22" s="110"/>
    </row>
    <row r="23" spans="1:8" ht="15.75">
      <c r="A23" s="102"/>
      <c r="B23" s="102"/>
      <c r="C23" s="102"/>
      <c r="D23" s="102"/>
      <c r="E23" s="102"/>
      <c r="F23" s="93"/>
      <c r="G23" s="93"/>
      <c r="H23" s="114"/>
    </row>
    <row r="24" spans="1:8" ht="18.75">
      <c r="A24" s="100" t="s">
        <v>140</v>
      </c>
      <c r="B24" s="106"/>
      <c r="C24" s="125"/>
      <c r="D24" s="125"/>
      <c r="E24" s="125"/>
      <c r="F24" s="93"/>
      <c r="G24" s="110"/>
      <c r="H24" s="110"/>
    </row>
    <row r="25" spans="1:8" ht="16.5" customHeight="1">
      <c r="A25" s="102"/>
      <c r="B25" s="102"/>
      <c r="C25" s="102"/>
      <c r="D25" s="102"/>
      <c r="E25" s="102"/>
      <c r="F25" s="93"/>
      <c r="G25" s="110"/>
      <c r="H25" s="110"/>
    </row>
    <row r="26" spans="1:8" ht="15.75">
      <c r="A26" s="102"/>
      <c r="B26" s="102"/>
      <c r="C26" s="102"/>
      <c r="D26" s="102"/>
      <c r="E26" s="102"/>
      <c r="F26" s="93"/>
      <c r="H26" s="123"/>
    </row>
    <row r="27" spans="1:8" ht="15.75">
      <c r="A27" s="102"/>
      <c r="B27" s="102"/>
      <c r="C27" s="102"/>
      <c r="D27" s="102"/>
      <c r="E27" s="102"/>
      <c r="F27" s="93"/>
      <c r="H27" s="110"/>
    </row>
    <row r="28" spans="1:8" ht="15.75">
      <c r="A28" s="102"/>
      <c r="B28" s="102"/>
      <c r="C28" s="102"/>
      <c r="D28" s="102"/>
      <c r="E28" s="102"/>
      <c r="H28" s="114"/>
    </row>
    <row r="29" spans="1:8" ht="15.75">
      <c r="A29" s="102"/>
      <c r="B29" s="102"/>
      <c r="C29" s="102"/>
      <c r="D29" s="102"/>
      <c r="E29" s="102"/>
      <c r="H29" s="110"/>
    </row>
    <row r="30" spans="1:8" ht="15.75">
      <c r="A30" s="102"/>
      <c r="B30" s="102"/>
      <c r="C30" s="102"/>
      <c r="D30" s="102"/>
      <c r="E30" s="102"/>
      <c r="G30" s="93"/>
      <c r="H30" s="114"/>
    </row>
    <row r="31" spans="1:8">
      <c r="A31" s="102"/>
      <c r="B31" s="102"/>
      <c r="C31" s="102"/>
      <c r="D31" s="102"/>
      <c r="E31" s="102"/>
    </row>
    <row r="32" spans="1:8" ht="15.75">
      <c r="A32" s="102"/>
      <c r="B32" s="102"/>
      <c r="C32" s="131"/>
      <c r="D32" s="132"/>
      <c r="E32" s="133"/>
    </row>
    <row r="33" spans="1:8" ht="15.75" hidden="1" customHeight="1">
      <c r="A33" s="102"/>
      <c r="B33" s="134"/>
      <c r="C33" s="131"/>
      <c r="D33" s="135"/>
      <c r="E33" s="133"/>
    </row>
    <row r="34" spans="1:8" ht="16.5" customHeight="1">
      <c r="A34" s="102"/>
      <c r="B34" s="136"/>
      <c r="C34" s="137"/>
      <c r="D34" s="137"/>
      <c r="E34" s="109"/>
    </row>
    <row r="35" spans="1:8" ht="18.75">
      <c r="A35" s="102"/>
      <c r="B35" s="119" t="s">
        <v>156</v>
      </c>
      <c r="C35" s="117" t="s">
        <v>157</v>
      </c>
      <c r="D35" s="183">
        <v>100</v>
      </c>
      <c r="E35" s="109" t="s">
        <v>5</v>
      </c>
    </row>
    <row r="36" spans="1:8" ht="18.75">
      <c r="A36" s="102"/>
      <c r="B36" s="119"/>
      <c r="C36" s="117"/>
      <c r="D36" s="106"/>
      <c r="E36" s="106"/>
    </row>
    <row r="37" spans="1:8" ht="18.75">
      <c r="A37" s="102"/>
      <c r="B37" s="119" t="s">
        <v>158</v>
      </c>
      <c r="C37" s="117" t="s">
        <v>159</v>
      </c>
      <c r="D37" s="183">
        <v>100</v>
      </c>
      <c r="E37" s="109" t="s">
        <v>5</v>
      </c>
    </row>
    <row r="38" spans="1:8" ht="15.75">
      <c r="A38" s="102"/>
      <c r="B38" s="106"/>
      <c r="C38" s="106"/>
      <c r="D38" s="106"/>
      <c r="E38" s="106"/>
      <c r="H38" s="141"/>
    </row>
    <row r="39" spans="1:8" ht="37.5">
      <c r="A39" s="102"/>
      <c r="B39" s="165" t="s">
        <v>268</v>
      </c>
      <c r="C39" s="108" t="s">
        <v>269</v>
      </c>
      <c r="D39" s="181">
        <v>300</v>
      </c>
      <c r="E39" s="109" t="s">
        <v>5</v>
      </c>
    </row>
    <row r="40" spans="1:8" ht="18.75">
      <c r="A40" s="102"/>
      <c r="B40" s="107"/>
      <c r="C40" s="139"/>
      <c r="D40" s="140"/>
      <c r="E40" s="109"/>
    </row>
    <row r="41" spans="1:8" ht="20.25">
      <c r="A41" s="102"/>
      <c r="B41" s="107" t="s">
        <v>160</v>
      </c>
      <c r="C41" s="142" t="s">
        <v>161</v>
      </c>
      <c r="D41" s="181">
        <v>40</v>
      </c>
      <c r="E41" s="133" t="s">
        <v>150</v>
      </c>
    </row>
    <row r="42" spans="1:8" ht="18.75">
      <c r="A42" s="102"/>
      <c r="B42" s="107"/>
      <c r="C42" s="142"/>
      <c r="D42"/>
      <c r="E42" s="133"/>
    </row>
    <row r="43" spans="1:8" ht="18.75">
      <c r="A43" s="102"/>
      <c r="B43" s="307" t="s">
        <v>604</v>
      </c>
      <c r="C43" s="142"/>
      <c r="D43" s="315">
        <v>1.3</v>
      </c>
      <c r="E43" s="133"/>
    </row>
    <row r="44" spans="1:8" ht="18.75">
      <c r="A44" s="102"/>
      <c r="B44" s="107"/>
      <c r="C44" s="142"/>
      <c r="D44"/>
      <c r="E44" s="133"/>
    </row>
    <row r="45" spans="1:8" ht="18.75">
      <c r="A45" s="102"/>
      <c r="B45" s="307" t="s">
        <v>605</v>
      </c>
      <c r="C45" s="142"/>
      <c r="D45" s="302">
        <f>FS_parcial*gc</f>
        <v>1.9500000000000002</v>
      </c>
      <c r="E45" s="133"/>
    </row>
    <row r="46" spans="1:8" ht="18.75">
      <c r="A46" s="102"/>
      <c r="B46" s="107"/>
      <c r="C46" s="142"/>
      <c r="D46"/>
      <c r="E46" s="133"/>
    </row>
    <row r="47" spans="1:8" ht="18.75">
      <c r="A47" s="102"/>
      <c r="B47" s="307" t="s">
        <v>592</v>
      </c>
      <c r="C47" s="142" t="s">
        <v>162</v>
      </c>
      <c r="D47" s="181">
        <v>130.20013443351772</v>
      </c>
      <c r="E47" s="133" t="s">
        <v>5</v>
      </c>
      <c r="H47" s="143"/>
    </row>
    <row r="48" spans="1:8" ht="18.75">
      <c r="A48" s="102"/>
      <c r="B48" s="107"/>
      <c r="C48" s="142"/>
      <c r="D48"/>
      <c r="E48" s="133"/>
      <c r="H48" s="143"/>
    </row>
    <row r="49" spans="1:8" ht="18.75">
      <c r="A49" s="102"/>
      <c r="B49" s="107"/>
      <c r="C49" s="142"/>
      <c r="D49"/>
      <c r="E49" s="133"/>
      <c r="H49" s="143"/>
    </row>
    <row r="50" spans="1:8" ht="18.75">
      <c r="A50" s="102"/>
      <c r="B50" s="107"/>
      <c r="C50" s="142"/>
      <c r="D50"/>
      <c r="E50" s="133"/>
      <c r="H50" s="143"/>
    </row>
    <row r="51" spans="1:8" ht="18.75">
      <c r="A51" s="102"/>
      <c r="B51" s="107"/>
      <c r="C51" s="142"/>
      <c r="D51"/>
      <c r="E51" s="133"/>
      <c r="H51" s="143"/>
    </row>
    <row r="52" spans="1:8" ht="18.75">
      <c r="A52" s="102"/>
      <c r="B52" s="107"/>
      <c r="C52" s="142"/>
      <c r="D52"/>
      <c r="E52" s="133"/>
      <c r="H52" s="143"/>
    </row>
    <row r="53" spans="1:8" ht="21" customHeight="1">
      <c r="A53" s="102"/>
      <c r="B53" s="107"/>
      <c r="C53" s="185"/>
      <c r="D53" s="185"/>
      <c r="E53" s="133"/>
      <c r="H53" s="143"/>
    </row>
    <row r="54" spans="1:8" ht="18.75">
      <c r="A54" s="102"/>
      <c r="B54" s="107" t="s">
        <v>606</v>
      </c>
      <c r="C54" s="142" t="s">
        <v>162</v>
      </c>
      <c r="D54" s="184">
        <v>88.854036675142567</v>
      </c>
      <c r="E54" s="133" t="s">
        <v>5</v>
      </c>
      <c r="H54" s="143"/>
    </row>
    <row r="55" spans="1:8" ht="18.75">
      <c r="A55" s="102"/>
      <c r="B55" s="107" t="s">
        <v>607</v>
      </c>
      <c r="C55" s="142" t="s">
        <v>162</v>
      </c>
      <c r="D55" s="184">
        <v>90.739196208558269</v>
      </c>
      <c r="E55" s="133" t="s">
        <v>5</v>
      </c>
      <c r="H55" s="143"/>
    </row>
    <row r="56" spans="1:8" ht="18.75">
      <c r="A56" s="102"/>
      <c r="B56" s="107" t="s">
        <v>608</v>
      </c>
      <c r="C56" s="142" t="s">
        <v>162</v>
      </c>
      <c r="D56" s="184">
        <v>130.20013443351772</v>
      </c>
      <c r="E56" s="133" t="s">
        <v>5</v>
      </c>
      <c r="H56" s="143"/>
    </row>
    <row r="57" spans="1:8" ht="18.75">
      <c r="A57" s="100"/>
      <c r="B57" s="186"/>
      <c r="C57" s="102"/>
      <c r="D57" s="102"/>
      <c r="E57" s="102"/>
    </row>
    <row r="58" spans="1:8">
      <c r="A58" s="102"/>
      <c r="B58" s="102"/>
      <c r="C58" s="102"/>
      <c r="D58" s="102"/>
      <c r="E58" s="102"/>
    </row>
    <row r="59" spans="1:8" ht="23.25">
      <c r="A59" s="317" t="s">
        <v>166</v>
      </c>
      <c r="B59" s="102"/>
      <c r="C59" s="102"/>
      <c r="D59" s="102"/>
      <c r="E59" s="102"/>
    </row>
    <row r="60" spans="1:8">
      <c r="A60" s="102"/>
      <c r="B60" s="102"/>
      <c r="C60" s="102"/>
      <c r="D60" s="102"/>
      <c r="E60" s="102"/>
    </row>
    <row r="61" spans="1:8" ht="27" customHeight="1">
      <c r="A61" s="102"/>
      <c r="B61" s="102"/>
      <c r="C61" s="102"/>
      <c r="D61" s="102"/>
      <c r="E61" s="102"/>
    </row>
    <row r="62" spans="1:8" ht="33" customHeight="1">
      <c r="A62" s="102"/>
      <c r="B62" s="102"/>
      <c r="C62" s="102"/>
      <c r="D62" s="102"/>
      <c r="E62" s="102"/>
    </row>
    <row r="63" spans="1:8" ht="30" customHeight="1">
      <c r="A63" s="102"/>
      <c r="B63" s="102"/>
      <c r="C63" s="102"/>
      <c r="D63" s="102"/>
      <c r="E63" s="102"/>
    </row>
    <row r="64" spans="1:8" ht="23.25" customHeight="1">
      <c r="A64" s="102"/>
      <c r="B64" s="102"/>
      <c r="C64" s="102"/>
      <c r="D64" s="102"/>
      <c r="E64" s="102"/>
    </row>
    <row r="65" spans="1:14" ht="29.25" customHeight="1">
      <c r="A65" s="102"/>
      <c r="B65" s="102"/>
      <c r="C65" s="102"/>
      <c r="D65" s="102"/>
      <c r="E65" s="102"/>
    </row>
    <row r="66" spans="1:14" ht="33.75" customHeight="1">
      <c r="A66" s="102"/>
      <c r="B66" s="102"/>
      <c r="C66" s="102"/>
      <c r="D66" s="102"/>
      <c r="E66" s="102"/>
    </row>
    <row r="67" spans="1:14" ht="20.25" customHeight="1">
      <c r="A67" s="102"/>
      <c r="B67" s="106" t="s">
        <v>182</v>
      </c>
      <c r="C67" s="149" t="s">
        <v>183</v>
      </c>
      <c r="D67" s="150">
        <f>IF(Z&lt;=2*h,gf1_*2*Q1_,gf1_*Q1_)</f>
        <v>52</v>
      </c>
      <c r="E67" s="151" t="s">
        <v>150</v>
      </c>
    </row>
    <row r="68" spans="1:14" ht="18.75">
      <c r="A68" s="102"/>
      <c r="B68" s="106" t="s">
        <v>186</v>
      </c>
      <c r="C68" s="149" t="s">
        <v>187</v>
      </c>
      <c r="D68" s="150">
        <f>2*PI()*(Mp+Mn)</f>
        <v>88.469742783326353</v>
      </c>
      <c r="E68" s="133" t="s">
        <v>150</v>
      </c>
    </row>
    <row r="69" spans="1:14" ht="18.75">
      <c r="A69" s="102"/>
      <c r="B69" s="106" t="s">
        <v>188</v>
      </c>
      <c r="C69" s="149" t="s">
        <v>189</v>
      </c>
      <c r="D69" s="150">
        <f>4*PI()*(Mp+Mn)/((1-aequiv/(3*l)))</f>
        <v>182.83391124226648</v>
      </c>
      <c r="E69" s="133" t="s">
        <v>150</v>
      </c>
    </row>
    <row r="70" spans="1:14" ht="18.75">
      <c r="A70" s="102"/>
      <c r="B70" s="106" t="s">
        <v>190</v>
      </c>
      <c r="C70" s="149" t="s">
        <v>191</v>
      </c>
      <c r="D70" s="150">
        <f>IF(a_l&lt;=0.2,Pu_1+(Pu_2-Pu_1)*(a_l/0.2),Pu_2)</f>
        <v>134.10317371879071</v>
      </c>
      <c r="E70" s="133" t="s">
        <v>150</v>
      </c>
    </row>
    <row r="71" spans="1:14" ht="18.75">
      <c r="A71" s="102"/>
      <c r="B71" s="109" t="s">
        <v>192</v>
      </c>
      <c r="C71" s="149" t="s">
        <v>193</v>
      </c>
      <c r="D71" s="153">
        <f>Pu_3/Q1_ult</f>
        <v>2.5789071868998215</v>
      </c>
      <c r="E71" s="154" t="str">
        <f>IF(D71&gt;=1,"O.K","NO CUMPLE")</f>
        <v>O.K</v>
      </c>
    </row>
    <row r="72" spans="1:14" ht="18.75">
      <c r="A72" s="102"/>
      <c r="B72" s="312" t="s">
        <v>602</v>
      </c>
      <c r="C72" s="313" t="s">
        <v>603</v>
      </c>
      <c r="D72" s="153">
        <f>(Pu_3*gc)/(Q1_ult/FS_parcial)</f>
        <v>5.028869014454652</v>
      </c>
      <c r="E72" s="157"/>
      <c r="N72"/>
    </row>
    <row r="73" spans="1:14">
      <c r="A73" s="102"/>
      <c r="B73" s="133"/>
      <c r="C73" s="155"/>
      <c r="D73" s="156"/>
      <c r="E73" s="157"/>
      <c r="N73"/>
    </row>
    <row r="74" spans="1:14">
      <c r="A74" s="102"/>
      <c r="B74" s="133"/>
      <c r="C74" s="155"/>
      <c r="D74" s="156"/>
      <c r="E74" s="157"/>
      <c r="N74"/>
    </row>
    <row r="75" spans="1:14" ht="18.75">
      <c r="A75" s="100" t="s">
        <v>195</v>
      </c>
      <c r="B75" s="133"/>
      <c r="C75" s="155"/>
      <c r="D75" s="156"/>
      <c r="E75" s="157"/>
      <c r="N75"/>
    </row>
    <row r="76" spans="1:14">
      <c r="A76" s="102"/>
      <c r="B76" s="133"/>
      <c r="C76" s="155"/>
      <c r="D76" s="156"/>
      <c r="E76" s="157"/>
      <c r="N76"/>
    </row>
    <row r="77" spans="1:14">
      <c r="A77" s="102"/>
      <c r="B77" s="133"/>
      <c r="C77" s="155"/>
      <c r="D77" s="156"/>
      <c r="E77" s="157"/>
      <c r="N77"/>
    </row>
    <row r="78" spans="1:14" ht="18.75">
      <c r="A78" s="102"/>
      <c r="B78" s="106" t="s">
        <v>196</v>
      </c>
      <c r="C78" s="133" t="s">
        <v>197</v>
      </c>
      <c r="D78" s="150">
        <f>0.5*k2_*fcd</f>
        <v>5.1271999999999993</v>
      </c>
      <c r="E78" s="133" t="s">
        <v>118</v>
      </c>
      <c r="N78"/>
    </row>
    <row r="79" spans="1:14" ht="31.5">
      <c r="A79" s="102"/>
      <c r="B79" s="159" t="s">
        <v>198</v>
      </c>
      <c r="C79" s="133" t="s">
        <v>199</v>
      </c>
      <c r="D79" s="150">
        <f>IF(Z&lt;=2*'Estanterias Contiguas'!h,2*(Z+AA_1+BB_1),2*(AA_1+BB_1))</f>
        <v>400</v>
      </c>
      <c r="E79" s="133" t="s">
        <v>5</v>
      </c>
      <c r="N79"/>
    </row>
    <row r="80" spans="1:14" ht="18.75">
      <c r="A80" s="102"/>
      <c r="B80" s="106" t="s">
        <v>200</v>
      </c>
      <c r="C80" s="133" t="s">
        <v>201</v>
      </c>
      <c r="D80" s="150">
        <f>Q1_ult*1000/(u0_1*d)</f>
        <v>1.3312838276817611</v>
      </c>
      <c r="E80" s="133" t="s">
        <v>118</v>
      </c>
      <c r="N80"/>
    </row>
    <row r="81" spans="1:14" ht="18.75">
      <c r="A81" s="102"/>
      <c r="B81" s="109" t="s">
        <v>202</v>
      </c>
      <c r="C81" s="133" t="s">
        <v>203</v>
      </c>
      <c r="D81" s="153">
        <f>Pp_max1/Q1_ult</f>
        <v>3.8513199765434529</v>
      </c>
      <c r="E81" s="154" t="str">
        <f>IF(vmax&gt;vp_1,"O.K","No Cumple")</f>
        <v>O.K</v>
      </c>
      <c r="N81"/>
    </row>
    <row r="82" spans="1:14" ht="18.75">
      <c r="A82" s="102"/>
      <c r="B82" s="312" t="s">
        <v>602</v>
      </c>
      <c r="C82" s="313" t="s">
        <v>603</v>
      </c>
      <c r="D82" s="153">
        <f>(Pp_max1*gc)/(Q1_ult/FS_parcial)</f>
        <v>7.5100739542597328</v>
      </c>
      <c r="E82" s="154"/>
      <c r="N82"/>
    </row>
    <row r="83" spans="1:14">
      <c r="A83" s="102"/>
      <c r="B83" s="133"/>
      <c r="C83" s="155"/>
      <c r="D83" s="156"/>
      <c r="E83" s="157"/>
      <c r="N83"/>
    </row>
    <row r="84" spans="1:14">
      <c r="A84" s="102"/>
      <c r="B84" s="133"/>
      <c r="C84" s="155"/>
      <c r="D84" s="156"/>
      <c r="E84" s="157"/>
      <c r="N84"/>
    </row>
    <row r="85" spans="1:14" ht="18.75">
      <c r="A85" s="102"/>
      <c r="B85" s="102" t="s">
        <v>204</v>
      </c>
      <c r="C85" s="133" t="s">
        <v>205</v>
      </c>
      <c r="D85" s="150">
        <f>IF(Z&lt;=2*'Estanterias Contiguas'!h,2*(Z+'Estanterias Contiguas'!AA_1+BB_1+PI()*2*d),2*(AA_1+BB_1+PI()*2*d))</f>
        <v>1627.1073574982281</v>
      </c>
      <c r="E85" s="133" t="s">
        <v>5</v>
      </c>
      <c r="N85"/>
    </row>
    <row r="86" spans="1:14" ht="18.75">
      <c r="A86" s="102"/>
      <c r="B86" s="106" t="s">
        <v>206</v>
      </c>
      <c r="C86" s="133" t="s">
        <v>207</v>
      </c>
      <c r="D86" s="150">
        <f>+Pp_max5</f>
        <v>101.12887972748339</v>
      </c>
      <c r="E86" s="133" t="s">
        <v>150</v>
      </c>
      <c r="N86"/>
    </row>
    <row r="87" spans="1:14" ht="31.5">
      <c r="A87" s="102"/>
      <c r="B87" s="136" t="s">
        <v>208</v>
      </c>
      <c r="C87" s="133" t="s">
        <v>209</v>
      </c>
      <c r="D87" s="153">
        <f>Pp_max5/Q1_ult</f>
        <v>1.9447861486054498</v>
      </c>
      <c r="E87" s="154" t="str">
        <f>IF(D87&gt;=1,"O.K","NO CUMPLE")</f>
        <v>O.K</v>
      </c>
      <c r="N87"/>
    </row>
    <row r="88" spans="1:14" ht="18.75">
      <c r="A88" s="102"/>
      <c r="B88" s="312" t="s">
        <v>602</v>
      </c>
      <c r="C88" s="313" t="s">
        <v>603</v>
      </c>
      <c r="D88" s="153">
        <f>(Pp_max5*gc)/(Q1_ult/FS_parcial)</f>
        <v>3.7923329897806268</v>
      </c>
      <c r="E88" s="154"/>
      <c r="N88"/>
    </row>
    <row r="89" spans="1:14">
      <c r="A89" s="102"/>
      <c r="B89" s="102"/>
      <c r="C89" s="102"/>
      <c r="D89" s="102"/>
      <c r="E89" s="102"/>
      <c r="N89"/>
    </row>
    <row r="90" spans="1:14">
      <c r="A90" s="102"/>
      <c r="B90" s="102"/>
      <c r="C90" s="102"/>
      <c r="D90" s="102"/>
      <c r="E90" s="102"/>
      <c r="N90"/>
    </row>
    <row r="91" spans="1:14" ht="23.25">
      <c r="A91" s="317" t="s">
        <v>210</v>
      </c>
      <c r="B91" s="102"/>
      <c r="C91" s="102"/>
      <c r="D91" s="102"/>
      <c r="E91" s="102"/>
    </row>
    <row r="92" spans="1:14">
      <c r="A92" s="102"/>
      <c r="B92" s="102"/>
      <c r="C92" s="102"/>
      <c r="D92" s="102"/>
      <c r="E92" s="102"/>
    </row>
    <row r="93" spans="1:14" ht="18.75" customHeight="1">
      <c r="A93" s="102"/>
      <c r="B93" s="102"/>
      <c r="C93" s="102"/>
      <c r="D93" s="102"/>
      <c r="E93" s="102"/>
    </row>
    <row r="94" spans="1:14">
      <c r="A94" s="102"/>
      <c r="B94" s="102"/>
      <c r="C94" s="102"/>
      <c r="D94" s="102"/>
      <c r="E94" s="102"/>
    </row>
    <row r="95" spans="1:14">
      <c r="A95" s="102"/>
      <c r="B95" s="102"/>
      <c r="C95" s="102"/>
      <c r="D95" s="102"/>
      <c r="E95" s="102"/>
    </row>
    <row r="96" spans="1:14">
      <c r="A96" s="102"/>
      <c r="B96" s="102"/>
      <c r="C96" s="102"/>
      <c r="D96" s="102"/>
      <c r="E96" s="102"/>
    </row>
    <row r="97" spans="1:5">
      <c r="A97" s="102"/>
      <c r="B97" s="102"/>
      <c r="C97" s="102"/>
      <c r="D97" s="102"/>
      <c r="E97" s="102"/>
    </row>
    <row r="98" spans="1:5">
      <c r="A98" s="102"/>
      <c r="B98" s="102"/>
      <c r="C98" s="102"/>
      <c r="D98" s="102"/>
      <c r="E98" s="102"/>
    </row>
    <row r="99" spans="1:5">
      <c r="A99" s="102"/>
      <c r="B99" s="102"/>
      <c r="C99" s="102"/>
      <c r="D99" s="102"/>
      <c r="E99" s="102"/>
    </row>
    <row r="100" spans="1:5">
      <c r="A100" s="102"/>
      <c r="B100" s="102"/>
      <c r="C100" s="102"/>
      <c r="D100" s="102"/>
      <c r="E100" s="102"/>
    </row>
    <row r="101" spans="1:5">
      <c r="A101" s="102"/>
      <c r="B101" s="102"/>
      <c r="C101" s="102"/>
      <c r="D101" s="102"/>
      <c r="E101" s="102"/>
    </row>
    <row r="102" spans="1:5">
      <c r="A102" s="102"/>
      <c r="B102" s="102"/>
      <c r="C102" s="102"/>
      <c r="D102" s="102"/>
      <c r="E102" s="102"/>
    </row>
    <row r="103" spans="1:5">
      <c r="A103" s="102"/>
      <c r="B103" s="102"/>
      <c r="C103" s="102"/>
    </row>
    <row r="104" spans="1:5" ht="31.5">
      <c r="A104" s="102"/>
      <c r="B104" s="159" t="s">
        <v>226</v>
      </c>
      <c r="C104" s="149" t="s">
        <v>227</v>
      </c>
      <c r="D104" s="150">
        <f>IF(Z&lt;=2*h,gf1_*2*Q1_*0.6,gf1_*Q1_*0.6)</f>
        <v>31.2</v>
      </c>
      <c r="E104" s="133" t="s">
        <v>150</v>
      </c>
    </row>
    <row r="105" spans="1:5" ht="18.75">
      <c r="A105" s="102"/>
      <c r="B105" s="106" t="s">
        <v>186</v>
      </c>
      <c r="C105" s="149" t="s">
        <v>228</v>
      </c>
      <c r="D105" s="150">
        <f>(PI()*(Mp+Mn)/2)+2*Mn</f>
        <v>43.787586025237715</v>
      </c>
      <c r="E105" s="133" t="s">
        <v>150</v>
      </c>
    </row>
    <row r="106" spans="1:5" ht="18.75">
      <c r="A106" s="102"/>
      <c r="B106" s="106" t="s">
        <v>188</v>
      </c>
      <c r="C106" s="149" t="s">
        <v>231</v>
      </c>
      <c r="D106" s="150">
        <f>(PI()*(Mp+Mn)+4*Mn)/((1-(2*aequiv)/(3*l)))</f>
        <v>93.611070930097611</v>
      </c>
      <c r="E106" s="133" t="s">
        <v>150</v>
      </c>
    </row>
    <row r="107" spans="1:5" ht="18.75">
      <c r="A107" s="102"/>
      <c r="B107" s="106" t="s">
        <v>190</v>
      </c>
      <c r="C107" s="149" t="s">
        <v>234</v>
      </c>
      <c r="D107" s="150">
        <f>IF(a_l&lt;=0.2,Pu_4+(Pu_5-Pu_4)*(a_l/0.2),Pu_5)</f>
        <v>67.881652602631178</v>
      </c>
      <c r="E107" s="133" t="s">
        <v>150</v>
      </c>
    </row>
    <row r="108" spans="1:5" ht="18.75">
      <c r="A108" s="102"/>
      <c r="B108" s="109" t="s">
        <v>236</v>
      </c>
      <c r="C108" s="149" t="s">
        <v>237</v>
      </c>
      <c r="D108" s="153">
        <f>Pu_6/Q1_ult_jb</f>
        <v>2.1756939936740762</v>
      </c>
      <c r="E108" s="154" t="str">
        <f>IF(D108&gt;=1,"O.K","NO CUMPLE")</f>
        <v>O.K</v>
      </c>
    </row>
    <row r="109" spans="1:5" ht="18.75">
      <c r="A109" s="102"/>
      <c r="B109" s="312" t="s">
        <v>602</v>
      </c>
      <c r="C109" s="313" t="s">
        <v>603</v>
      </c>
      <c r="D109" s="153">
        <f>(Pu_6*gc)/(Q1_ult_jb/FS_parcial)</f>
        <v>4.2426032876644486</v>
      </c>
      <c r="E109" s="154"/>
    </row>
    <row r="110" spans="1:5" ht="15.75">
      <c r="A110" s="102"/>
      <c r="B110" s="109"/>
      <c r="C110" s="149"/>
      <c r="D110" s="102"/>
      <c r="E110" s="154"/>
    </row>
    <row r="111" spans="1:5" ht="15.75" hidden="1" customHeight="1">
      <c r="A111" s="102"/>
      <c r="B111" s="109"/>
      <c r="C111" s="149"/>
      <c r="D111" s="102"/>
      <c r="E111" s="154"/>
    </row>
    <row r="112" spans="1:5" ht="15" hidden="1" customHeight="1">
      <c r="A112" s="102"/>
      <c r="B112" s="102"/>
      <c r="C112" s="102"/>
      <c r="D112" s="102"/>
      <c r="E112" s="102"/>
    </row>
    <row r="113" spans="1:12" ht="18.75">
      <c r="A113" s="100" t="s">
        <v>195</v>
      </c>
      <c r="B113" s="109"/>
      <c r="C113" s="149"/>
      <c r="D113" s="102"/>
      <c r="E113" s="154"/>
    </row>
    <row r="114" spans="1:12" ht="15.75">
      <c r="A114" s="102"/>
      <c r="B114" s="109"/>
      <c r="C114" s="149"/>
      <c r="D114" s="102"/>
      <c r="E114" s="154"/>
    </row>
    <row r="115" spans="1:12" ht="15.75">
      <c r="A115" s="102"/>
      <c r="B115" s="109"/>
      <c r="C115" s="149"/>
      <c r="D115" s="102"/>
      <c r="E115" s="154"/>
    </row>
    <row r="116" spans="1:12" ht="15.75">
      <c r="A116" s="102"/>
      <c r="B116" s="109"/>
      <c r="C116" s="149"/>
      <c r="D116" s="102"/>
      <c r="E116" s="154"/>
    </row>
    <row r="117" spans="1:12" ht="18.75">
      <c r="A117" s="102"/>
      <c r="B117" s="106" t="s">
        <v>196</v>
      </c>
      <c r="C117" s="133" t="s">
        <v>197</v>
      </c>
      <c r="D117" s="150">
        <f>0.5*k2_*fcd</f>
        <v>5.1271999999999993</v>
      </c>
      <c r="E117" s="133" t="s">
        <v>118</v>
      </c>
    </row>
    <row r="118" spans="1:12" ht="31.5">
      <c r="A118" s="102"/>
      <c r="B118" s="159" t="s">
        <v>214</v>
      </c>
      <c r="C118" s="133" t="s">
        <v>215</v>
      </c>
      <c r="D118" s="150">
        <f>IF(Z&lt;=2*'Estanterias Contiguas'!h,Z+'Estanterias Contiguas'!AA_1+2*'Estanterias Contiguas'!BB_1,2*(AA_1)+BB_1)</f>
        <v>300</v>
      </c>
      <c r="E118" s="133" t="s">
        <v>5</v>
      </c>
      <c r="J118" s="112"/>
      <c r="K118" s="147"/>
      <c r="L118" s="112"/>
    </row>
    <row r="119" spans="1:12" ht="31.5" hidden="1" customHeight="1">
      <c r="A119" s="102"/>
      <c r="B119" s="159" t="s">
        <v>216</v>
      </c>
      <c r="C119" s="133" t="s">
        <v>217</v>
      </c>
      <c r="D119" s="150">
        <f>IF(Z&lt;=2*'Estanterias Contiguas'!h,Z+'Estanterias Contiguas'!BB_1+2*'Estanterias Contiguas'!AA_1,2*(AA_1)+BB_1)</f>
        <v>300</v>
      </c>
      <c r="E119" s="133" t="s">
        <v>5</v>
      </c>
      <c r="J119" s="112"/>
      <c r="K119" s="147"/>
      <c r="L119" s="112"/>
    </row>
    <row r="120" spans="1:12" ht="18.75">
      <c r="A120" s="102"/>
      <c r="B120" s="106" t="s">
        <v>220</v>
      </c>
      <c r="C120" s="133" t="s">
        <v>221</v>
      </c>
      <c r="D120" s="150">
        <f>Q1_ult*1000/(u0_2*d)</f>
        <v>1.7750451035756818</v>
      </c>
      <c r="E120" s="133" t="s">
        <v>118</v>
      </c>
      <c r="J120" s="112"/>
      <c r="K120" s="147"/>
      <c r="L120" s="112"/>
    </row>
    <row r="121" spans="1:12" ht="18.75" hidden="1" customHeight="1">
      <c r="A121" s="102"/>
      <c r="B121" s="106" t="s">
        <v>222</v>
      </c>
      <c r="C121" s="133" t="s">
        <v>223</v>
      </c>
      <c r="D121" s="150">
        <f>Q1_ult*1000/(u0_3*d)</f>
        <v>1.7750451035756818</v>
      </c>
      <c r="E121" s="133" t="s">
        <v>118</v>
      </c>
      <c r="J121" s="112"/>
      <c r="K121" s="147"/>
      <c r="L121" s="112"/>
    </row>
    <row r="122" spans="1:12" ht="18.75">
      <c r="A122" s="102"/>
      <c r="B122" s="109" t="s">
        <v>252</v>
      </c>
      <c r="C122" s="133" t="s">
        <v>253</v>
      </c>
      <c r="D122" s="153">
        <f>MIN(Pp_max2,Pp_max3)/Q1_ult_jb</f>
        <v>4.8141499706793169</v>
      </c>
      <c r="E122" s="154" t="str">
        <f>IF(vmax&gt;vp_1,"O.K","No Cumple")</f>
        <v>O.K</v>
      </c>
      <c r="J122" s="112"/>
      <c r="K122" s="147"/>
      <c r="L122" s="112"/>
    </row>
    <row r="123" spans="1:12" ht="18.75">
      <c r="A123" s="102"/>
      <c r="B123" s="312" t="s">
        <v>602</v>
      </c>
      <c r="C123" s="313" t="s">
        <v>603</v>
      </c>
      <c r="D123" s="153">
        <f>(MIN(Pp_max2,Pp_max3)*gc)/(Q1_ult_jb/FS_parcial)</f>
        <v>9.3875924428246673</v>
      </c>
      <c r="E123" s="154"/>
      <c r="J123" s="112"/>
      <c r="K123" s="147"/>
      <c r="L123" s="112"/>
    </row>
    <row r="124" spans="1:12" ht="15.75">
      <c r="A124" s="102"/>
      <c r="B124" s="109"/>
      <c r="C124" s="149"/>
      <c r="D124" s="102"/>
      <c r="E124" s="154"/>
      <c r="J124" s="112"/>
      <c r="K124" s="147"/>
      <c r="L124" s="112"/>
    </row>
    <row r="125" spans="1:12" ht="18.75">
      <c r="A125" s="102"/>
      <c r="B125" s="106" t="s">
        <v>240</v>
      </c>
      <c r="C125" s="133" t="s">
        <v>241</v>
      </c>
      <c r="D125" s="150">
        <f>IF(Z&lt;=2*h,Z+AA_1+2*BB_1+PI()*2*d,2*(AA_1)+BB_1+PI()*2*d)</f>
        <v>913.55367874911406</v>
      </c>
      <c r="E125" s="133" t="s">
        <v>5</v>
      </c>
      <c r="J125" s="112"/>
      <c r="K125" s="147"/>
      <c r="L125" s="112"/>
    </row>
    <row r="126" spans="1:12" ht="18.75" hidden="1" customHeight="1">
      <c r="A126" s="102"/>
      <c r="B126" s="106" t="s">
        <v>242</v>
      </c>
      <c r="C126" s="133" t="s">
        <v>243</v>
      </c>
      <c r="D126" s="150">
        <f>IF(Z&lt;=2*h,Z+BB_1+2*AA_1+PI()*2*d,2*(BB_1)+AA_1+PI()*2*d)</f>
        <v>913.55367874911406</v>
      </c>
      <c r="E126" s="133" t="s">
        <v>5</v>
      </c>
      <c r="J126" s="112"/>
      <c r="K126" s="147"/>
      <c r="L126" s="112"/>
    </row>
    <row r="127" spans="1:12" ht="18.75">
      <c r="A127" s="102"/>
      <c r="B127" s="106" t="s">
        <v>246</v>
      </c>
      <c r="C127" s="133" t="s">
        <v>247</v>
      </c>
      <c r="D127" s="150">
        <f>+Pp_max6</f>
        <v>56.779695376013166</v>
      </c>
      <c r="E127" s="133" t="s">
        <v>150</v>
      </c>
      <c r="J127" s="112"/>
      <c r="K127" s="147"/>
      <c r="L127" s="112"/>
    </row>
    <row r="128" spans="1:12" ht="18.75" hidden="1" customHeight="1">
      <c r="A128" s="102"/>
      <c r="B128" s="106" t="s">
        <v>248</v>
      </c>
      <c r="C128" s="133" t="s">
        <v>249</v>
      </c>
      <c r="D128" s="150">
        <f>+Pp_max7</f>
        <v>56.779695376013166</v>
      </c>
      <c r="E128" s="112" t="s">
        <v>150</v>
      </c>
      <c r="J128" s="112"/>
      <c r="K128" s="147"/>
      <c r="L128" s="112"/>
    </row>
    <row r="129" spans="1:12" ht="31.5">
      <c r="A129" s="102"/>
      <c r="B129" s="136" t="s">
        <v>254</v>
      </c>
      <c r="C129" s="163" t="s">
        <v>255</v>
      </c>
      <c r="D129" s="153">
        <f>MIN(Pp_max6,Pp_max7)/Q1_ult_jb</f>
        <v>1.8198620312824734</v>
      </c>
      <c r="E129" s="154" t="str">
        <f>IF(D129&gt;=1,"O.K","NO CUMPLE")</f>
        <v>O.K</v>
      </c>
      <c r="J129" s="112"/>
      <c r="K129" s="147"/>
      <c r="L129" s="112"/>
    </row>
    <row r="130" spans="1:12" ht="18.75">
      <c r="A130" s="102"/>
      <c r="B130" s="312" t="s">
        <v>602</v>
      </c>
      <c r="C130" s="313" t="s">
        <v>603</v>
      </c>
      <c r="D130" s="153">
        <f>(MIN(Pp_max6,Pp_max7)*gc)/(Q1_ult_jb/FS_parcial)</f>
        <v>3.5487309610008229</v>
      </c>
      <c r="E130" s="154"/>
      <c r="J130" s="112"/>
      <c r="K130" s="147"/>
      <c r="L130" s="112"/>
    </row>
    <row r="131" spans="1:12" ht="15.75">
      <c r="A131" s="102"/>
      <c r="B131" s="109"/>
      <c r="C131" s="149"/>
      <c r="D131" s="102"/>
      <c r="E131" s="154"/>
      <c r="J131" s="112"/>
      <c r="K131" s="147"/>
      <c r="L131" s="112"/>
    </row>
    <row r="132" spans="1:12" ht="15.75">
      <c r="A132" s="102"/>
      <c r="B132" s="109"/>
      <c r="C132" s="149"/>
      <c r="D132" s="102"/>
      <c r="E132" s="154"/>
      <c r="J132" s="112"/>
      <c r="K132" s="147"/>
      <c r="L132" s="112"/>
    </row>
    <row r="133" spans="1:12" ht="23.25">
      <c r="A133" s="317" t="s">
        <v>256</v>
      </c>
      <c r="B133" s="102"/>
      <c r="C133" s="102"/>
      <c r="D133" s="102"/>
      <c r="E133" s="102"/>
    </row>
    <row r="134" spans="1:12">
      <c r="A134" s="102"/>
      <c r="B134" s="102"/>
      <c r="C134" s="102"/>
      <c r="D134" s="102"/>
      <c r="E134" s="102"/>
    </row>
    <row r="135" spans="1:12">
      <c r="A135" s="102"/>
      <c r="B135" s="102"/>
      <c r="C135" s="102"/>
      <c r="D135" s="102"/>
      <c r="E135" s="102"/>
    </row>
    <row r="136" spans="1:12">
      <c r="A136" s="102"/>
      <c r="B136" s="102"/>
      <c r="C136" s="102"/>
      <c r="D136" s="102"/>
      <c r="E136" s="102"/>
    </row>
    <row r="137" spans="1:12">
      <c r="A137" s="102"/>
      <c r="B137" s="102"/>
      <c r="C137" s="102"/>
      <c r="D137" s="102"/>
      <c r="E137" s="102"/>
    </row>
    <row r="138" spans="1:12">
      <c r="A138" s="102"/>
      <c r="B138" s="102"/>
      <c r="C138" s="102"/>
      <c r="D138" s="102"/>
      <c r="E138" s="102"/>
    </row>
    <row r="139" spans="1:12">
      <c r="A139" s="102"/>
      <c r="B139" s="102"/>
      <c r="C139" s="102"/>
      <c r="D139" s="102"/>
      <c r="E139" s="102"/>
    </row>
    <row r="140" spans="1:12">
      <c r="A140" s="102"/>
      <c r="B140" s="102"/>
      <c r="C140" s="102"/>
      <c r="D140" s="102"/>
      <c r="E140" s="102"/>
    </row>
    <row r="141" spans="1:12">
      <c r="A141" s="102"/>
      <c r="B141" s="102"/>
      <c r="C141" s="102"/>
      <c r="D141" s="102"/>
      <c r="E141" s="102"/>
    </row>
    <row r="142" spans="1:12">
      <c r="A142" s="102"/>
      <c r="B142" s="102"/>
      <c r="C142" s="102"/>
      <c r="D142" s="102"/>
      <c r="E142" s="102"/>
    </row>
    <row r="143" spans="1:12">
      <c r="A143" s="102"/>
      <c r="B143" s="102"/>
      <c r="C143" s="102"/>
      <c r="D143" s="102"/>
      <c r="E143" s="102"/>
    </row>
    <row r="144" spans="1:12">
      <c r="A144" s="102"/>
      <c r="B144" s="102"/>
      <c r="C144" s="102"/>
      <c r="D144" s="102"/>
      <c r="E144" s="102"/>
    </row>
    <row r="145" spans="1:5">
      <c r="A145" s="102"/>
      <c r="B145" s="102"/>
      <c r="C145" s="102"/>
      <c r="D145" s="102"/>
      <c r="E145" s="102"/>
    </row>
    <row r="146" spans="1:5" ht="31.5">
      <c r="A146" s="102"/>
      <c r="B146" s="159" t="s">
        <v>257</v>
      </c>
      <c r="C146" s="149" t="s">
        <v>258</v>
      </c>
      <c r="D146" s="150">
        <f>IF(Z&lt;=2*h,gf1_*2*Q1_*0.6,gf1_*Q1_*0.6)</f>
        <v>31.2</v>
      </c>
      <c r="E146" s="133" t="s">
        <v>150</v>
      </c>
    </row>
    <row r="147" spans="1:5" ht="18.75">
      <c r="A147" s="102"/>
      <c r="B147" s="106" t="s">
        <v>186</v>
      </c>
      <c r="C147" s="149" t="s">
        <v>259</v>
      </c>
      <c r="D147" s="150">
        <f>2*Mn</f>
        <v>21.670150329406127</v>
      </c>
      <c r="E147" s="133" t="s">
        <v>150</v>
      </c>
    </row>
    <row r="148" spans="1:5" ht="18.75">
      <c r="A148" s="102"/>
      <c r="B148" s="106" t="s">
        <v>188</v>
      </c>
      <c r="C148" s="149" t="s">
        <v>260</v>
      </c>
      <c r="D148" s="150">
        <f>IF(a_l&lt;1,4*Mn/((1-a_l)),4*Mn/((a_l-1)))</f>
        <v>47.980903745910702</v>
      </c>
      <c r="E148" s="133" t="s">
        <v>150</v>
      </c>
    </row>
    <row r="149" spans="1:5" ht="18.75">
      <c r="A149" s="102"/>
      <c r="B149" s="106" t="s">
        <v>190</v>
      </c>
      <c r="C149" s="149" t="s">
        <v>261</v>
      </c>
      <c r="D149" s="150">
        <f>IF(a_l&lt;=0.2,Pu_7+(Pu_8-Pu_7)*(a_l/0.2),Pu_8)</f>
        <v>34.393729294811024</v>
      </c>
      <c r="E149" s="133" t="s">
        <v>150</v>
      </c>
    </row>
    <row r="150" spans="1:5" ht="18.75">
      <c r="A150" s="102"/>
      <c r="B150" s="109" t="s">
        <v>262</v>
      </c>
      <c r="C150" s="149" t="s">
        <v>263</v>
      </c>
      <c r="D150" s="164">
        <f>IF(Pu_9/Q1_ult_ep&gt;0,Pu_9/Q1_ult_ep,"revisar")</f>
        <v>1.1023631184234304</v>
      </c>
      <c r="E150" s="154" t="str">
        <f>IF(D150&gt;=1,"O.K","NO CUMPLE")</f>
        <v>O.K</v>
      </c>
    </row>
    <row r="151" spans="1:5" ht="18.75">
      <c r="A151" s="102"/>
      <c r="B151" s="312" t="s">
        <v>602</v>
      </c>
      <c r="C151" s="313" t="s">
        <v>603</v>
      </c>
      <c r="D151" s="153">
        <f>IF((Pu_9*gc)/(Q1_ult_ep/FS_parcial)&gt;0,(Pu_9*gc)/(Q1_ult_ep/FS_parcial),"revisar")</f>
        <v>2.149608080925689</v>
      </c>
      <c r="E151" s="154"/>
    </row>
    <row r="152" spans="1:5">
      <c r="A152" s="102"/>
      <c r="B152" s="102"/>
      <c r="C152" s="102"/>
      <c r="D152" s="102"/>
      <c r="E152" s="102"/>
    </row>
    <row r="153" spans="1:5">
      <c r="B153" s="102"/>
      <c r="C153" s="102"/>
      <c r="D153" s="102"/>
      <c r="E153" s="102"/>
    </row>
    <row r="154" spans="1:5" ht="18.75">
      <c r="A154" s="100" t="s">
        <v>195</v>
      </c>
      <c r="B154" s="102"/>
      <c r="C154" s="102"/>
      <c r="D154" s="102"/>
      <c r="E154" s="102"/>
    </row>
    <row r="155" spans="1:5" ht="18.75">
      <c r="A155" s="102"/>
      <c r="B155" s="165"/>
      <c r="C155" s="165"/>
      <c r="D155" s="165"/>
      <c r="E155" s="102"/>
    </row>
    <row r="156" spans="1:5" ht="19.5" customHeight="1">
      <c r="A156" s="102"/>
      <c r="B156" s="421"/>
      <c r="C156" s="421"/>
      <c r="D156" s="421"/>
      <c r="E156" s="102"/>
    </row>
    <row r="157" spans="1:5" ht="18.75" customHeight="1">
      <c r="A157" s="102"/>
      <c r="B157" s="421"/>
      <c r="C157" s="421"/>
      <c r="D157" s="421"/>
      <c r="E157" s="102"/>
    </row>
    <row r="158" spans="1:5" ht="18.75">
      <c r="A158" s="102"/>
      <c r="B158" s="106" t="s">
        <v>196</v>
      </c>
      <c r="C158" s="133" t="s">
        <v>197</v>
      </c>
      <c r="D158" s="150">
        <f>0.5*k2_*fcd</f>
        <v>5.1271999999999993</v>
      </c>
      <c r="E158" s="133" t="s">
        <v>118</v>
      </c>
    </row>
    <row r="159" spans="1:5" ht="31.5">
      <c r="A159" s="102"/>
      <c r="B159" s="136" t="s">
        <v>218</v>
      </c>
      <c r="C159" s="133" t="s">
        <v>219</v>
      </c>
      <c r="D159" s="150">
        <f>IF(Z&lt;=2*h,Z+(AA_1)+BB_1,(AA_1)+BB_1)</f>
        <v>200</v>
      </c>
      <c r="E159" s="133" t="s">
        <v>5</v>
      </c>
    </row>
    <row r="160" spans="1:5" ht="18.75">
      <c r="A160" s="102"/>
      <c r="B160" s="136" t="s">
        <v>224</v>
      </c>
      <c r="C160" s="133" t="s">
        <v>225</v>
      </c>
      <c r="D160" s="150">
        <f>Q1_ult_ep*1000/(u0_4*d)</f>
        <v>1.5975405932181133</v>
      </c>
      <c r="E160" s="133" t="s">
        <v>118</v>
      </c>
    </row>
    <row r="161" spans="1:12" ht="18.75">
      <c r="A161" s="100"/>
      <c r="B161" s="109" t="s">
        <v>264</v>
      </c>
      <c r="C161" s="133" t="s">
        <v>274</v>
      </c>
      <c r="D161" s="153">
        <f>Pp_max4/Q1_ult_ep</f>
        <v>3.209433313786211</v>
      </c>
      <c r="E161" s="154" t="str">
        <f>IF(vmax&gt;vp_1,"O.K","No Cumple")</f>
        <v>O.K</v>
      </c>
    </row>
    <row r="162" spans="1:12" ht="18.75">
      <c r="A162" s="100"/>
      <c r="B162" s="312" t="s">
        <v>602</v>
      </c>
      <c r="C162" s="313" t="s">
        <v>603</v>
      </c>
      <c r="D162" s="153">
        <f>(Pp_max4*gc)/(Q1_ult_ep/FS_parcial)</f>
        <v>6.2583949618831101</v>
      </c>
      <c r="E162" s="154"/>
    </row>
    <row r="163" spans="1:12">
      <c r="A163" s="102"/>
      <c r="B163" s="102"/>
      <c r="C163" s="102"/>
      <c r="D163" s="102"/>
      <c r="E163" s="102"/>
    </row>
    <row r="164" spans="1:12" ht="18.75">
      <c r="A164" s="166"/>
      <c r="B164" s="136" t="s">
        <v>244</v>
      </c>
      <c r="C164" s="133" t="s">
        <v>245</v>
      </c>
      <c r="D164" s="150">
        <f>IF(Z&lt;=2*h,Z+(AA_1)+BB_1+PI()/2*2*d,(AA_1)+BB_1+PI()/2*2*d)</f>
        <v>506.77683937455703</v>
      </c>
      <c r="E164" s="133" t="s">
        <v>5</v>
      </c>
    </row>
    <row r="165" spans="1:12" ht="31.5">
      <c r="A165" s="102"/>
      <c r="B165" s="136" t="s">
        <v>250</v>
      </c>
      <c r="C165" s="133" t="s">
        <v>251</v>
      </c>
      <c r="D165" s="150">
        <f>+Pp_max8</f>
        <v>31.497475444142324</v>
      </c>
      <c r="E165" s="133" t="s">
        <v>150</v>
      </c>
    </row>
    <row r="166" spans="1:12" ht="31.5">
      <c r="A166" s="102"/>
      <c r="B166" s="136" t="s">
        <v>266</v>
      </c>
      <c r="C166" s="163" t="s">
        <v>267</v>
      </c>
      <c r="D166" s="153">
        <f>Pp_max8/Q1_ult_ep</f>
        <v>1.009534469363536</v>
      </c>
      <c r="E166" s="154" t="str">
        <f>IF(D166&gt;=1,"O.K","NO CUMPLE")</f>
        <v>O.K</v>
      </c>
    </row>
    <row r="167" spans="1:12" ht="18.75">
      <c r="A167" s="102"/>
      <c r="B167" s="312" t="s">
        <v>602</v>
      </c>
      <c r="C167" s="313" t="s">
        <v>603</v>
      </c>
      <c r="D167" s="153">
        <f>(Pp_max8*gc)/(Q1_ult_ep/FS_parcial)</f>
        <v>1.9685922152588953</v>
      </c>
      <c r="E167" s="154"/>
    </row>
    <row r="168" spans="1:12">
      <c r="A168" s="102"/>
      <c r="B168" s="102"/>
      <c r="C168" s="102"/>
      <c r="D168" s="102"/>
      <c r="E168" s="102"/>
    </row>
    <row r="174" spans="1:12" hidden="1">
      <c r="H174" s="91" t="s">
        <v>281</v>
      </c>
      <c r="I174" s="99">
        <f>MIN(Pu_3/Q1_ult,Pp_max1/Q1_ult,Pp_max5/Q1_ult)</f>
        <v>1.9447861486054498</v>
      </c>
      <c r="K174" s="305" t="s">
        <v>598</v>
      </c>
    </row>
    <row r="175" spans="1:12" ht="15.75" hidden="1">
      <c r="H175" s="91" t="s">
        <v>280</v>
      </c>
      <c r="I175" s="99">
        <f>MIN(Pu_6/Q1_ult_jb,Pp_max2/Q1_ult_jb,Pp_max6/Q1_ult_jb)</f>
        <v>1.8198620312824734</v>
      </c>
      <c r="J175" s="96"/>
      <c r="K175" s="308" t="s">
        <v>599</v>
      </c>
      <c r="L175" s="98"/>
    </row>
    <row r="176" spans="1:12" ht="15.75" hidden="1">
      <c r="H176" s="91" t="s">
        <v>282</v>
      </c>
      <c r="I176" s="97">
        <f>MIN(Pu_9/Q1_ult_ep,Pp_max4/Q1_ult_ep,Pp_max8/Q1_ult_ep)</f>
        <v>1.009534469363536</v>
      </c>
      <c r="J176" s="96"/>
      <c r="K176" s="308">
        <v>1</v>
      </c>
      <c r="L176" s="98"/>
    </row>
    <row r="178" spans="9:12" ht="15.75" hidden="1">
      <c r="I178" s="93"/>
      <c r="J178" s="96"/>
      <c r="K178" s="97"/>
      <c r="L178" s="98"/>
    </row>
    <row r="179" spans="9:12" ht="15.75" hidden="1">
      <c r="I179" s="93"/>
      <c r="J179" s="103"/>
      <c r="K179" s="104"/>
      <c r="L179" s="105"/>
    </row>
    <row r="180" spans="9:12" ht="18.75" hidden="1">
      <c r="I180" s="91" t="s">
        <v>116</v>
      </c>
      <c r="J180" s="110" t="s">
        <v>117</v>
      </c>
      <c r="K180" s="111">
        <f>1.47*fck-6.6</f>
        <v>36.03</v>
      </c>
      <c r="L180" s="112" t="s">
        <v>118</v>
      </c>
    </row>
    <row r="181" spans="9:12" ht="18.75" hidden="1">
      <c r="I181" s="91" t="s">
        <v>119</v>
      </c>
      <c r="J181" s="110" t="s">
        <v>120</v>
      </c>
      <c r="K181" s="111">
        <f>+fck+8</f>
        <v>37</v>
      </c>
      <c r="L181" s="112" t="s">
        <v>118</v>
      </c>
    </row>
    <row r="182" spans="9:12" ht="18.75" hidden="1">
      <c r="I182" s="91" t="s">
        <v>122</v>
      </c>
      <c r="J182" s="110" t="s">
        <v>123</v>
      </c>
      <c r="K182" s="116">
        <f>fr</f>
        <v>4.1088807478436262</v>
      </c>
      <c r="L182" s="112" t="s">
        <v>118</v>
      </c>
    </row>
    <row r="183" spans="9:12" ht="18.75" hidden="1">
      <c r="I183" s="91" t="s">
        <v>124</v>
      </c>
      <c r="J183" s="110" t="s">
        <v>125</v>
      </c>
      <c r="K183" s="116">
        <f>0.7*fctm</f>
        <v>2.8762165234905384</v>
      </c>
      <c r="L183" s="112" t="s">
        <v>118</v>
      </c>
    </row>
    <row r="184" spans="9:12" ht="18.75" hidden="1">
      <c r="I184" s="91" t="s">
        <v>127</v>
      </c>
      <c r="J184" s="110" t="s">
        <v>128</v>
      </c>
      <c r="K184" s="111">
        <f>22*(fcm/10)^0.3*1000</f>
        <v>32574.90801622803</v>
      </c>
      <c r="L184" s="112" t="s">
        <v>118</v>
      </c>
    </row>
    <row r="185" spans="9:12" ht="18.75" hidden="1">
      <c r="I185" s="93" t="s">
        <v>129</v>
      </c>
      <c r="J185" s="110" t="s">
        <v>130</v>
      </c>
      <c r="K185" s="116">
        <f>MIN(2,(1+(200/h)^0.5))*fctk_0.05</f>
        <v>5.7524330469810767</v>
      </c>
      <c r="L185" s="112" t="s">
        <v>118</v>
      </c>
    </row>
    <row r="186" spans="9:12" ht="15.75" hidden="1">
      <c r="I186" s="93" t="s">
        <v>134</v>
      </c>
      <c r="J186" s="114" t="s">
        <v>135</v>
      </c>
      <c r="K186" s="116">
        <f>0.75*h</f>
        <v>97.650100825138281</v>
      </c>
      <c r="L186" s="112" t="s">
        <v>5</v>
      </c>
    </row>
    <row r="187" spans="9:12" ht="18.75" hidden="1">
      <c r="I187" s="110" t="s">
        <v>136</v>
      </c>
      <c r="J187" s="110" t="s">
        <v>137</v>
      </c>
      <c r="K187" s="121">
        <f>IF(1+(200/d)^0.5&lt;2,1+(200/d)^0.5,2)</f>
        <v>2</v>
      </c>
      <c r="L187" s="122"/>
    </row>
    <row r="188" spans="9:12" ht="18.75" hidden="1">
      <c r="I188" s="91" t="s">
        <v>138</v>
      </c>
      <c r="J188" s="123" t="s">
        <v>139</v>
      </c>
      <c r="K188" s="121">
        <f>0.035*k1_^(3/2)*fck^(1/2)</f>
        <v>0.53310411741047348</v>
      </c>
      <c r="L188" s="124" t="s">
        <v>118</v>
      </c>
    </row>
    <row r="189" spans="9:12" ht="18.75" hidden="1">
      <c r="I189" s="91" t="s">
        <v>141</v>
      </c>
      <c r="J189" s="110" t="s">
        <v>142</v>
      </c>
      <c r="K189" s="126">
        <f>Ecm*h^3/(12*(1-n^2))/1000000</f>
        <v>6241.1556957805124</v>
      </c>
      <c r="L189" s="124" t="s">
        <v>143</v>
      </c>
    </row>
    <row r="190" spans="9:12" ht="15.75" hidden="1">
      <c r="I190" s="91" t="s">
        <v>144</v>
      </c>
      <c r="J190" s="114" t="s">
        <v>145</v>
      </c>
      <c r="K190" s="121">
        <f>(Ecm*h^3/(12*(1-n^2)*k))^0.25</f>
        <v>583.33638095250512</v>
      </c>
      <c r="L190" s="124" t="s">
        <v>5</v>
      </c>
    </row>
    <row r="191" spans="9:12" ht="18.75" hidden="1">
      <c r="I191" s="91" t="s">
        <v>146</v>
      </c>
      <c r="J191" s="110" t="s">
        <v>147</v>
      </c>
      <c r="K191" s="361">
        <v>29.952000000000002</v>
      </c>
      <c r="L191" s="124" t="s">
        <v>12</v>
      </c>
    </row>
    <row r="192" spans="9:12" ht="18.75" hidden="1">
      <c r="I192" s="93" t="s">
        <v>148</v>
      </c>
      <c r="J192" s="114" t="s">
        <v>149</v>
      </c>
      <c r="K192" s="116">
        <f>fctk_fl/gc*(h^2/6)/1000</f>
        <v>10.835075164703063</v>
      </c>
      <c r="L192" s="124" t="s">
        <v>150</v>
      </c>
    </row>
    <row r="193" spans="9:12" ht="18.75" hidden="1">
      <c r="I193" s="93" t="s">
        <v>151</v>
      </c>
      <c r="J193" s="114" t="s">
        <v>152</v>
      </c>
      <c r="K193" s="116">
        <f>fctk_fl/gc*(Re_3/100)*(h^2/6)/1000</f>
        <v>3.2453217133318617</v>
      </c>
      <c r="L193" s="124" t="s">
        <v>150</v>
      </c>
    </row>
    <row r="195" spans="9:12" hidden="1">
      <c r="I195" s="93" t="s">
        <v>153</v>
      </c>
      <c r="J195" s="127" t="s">
        <v>154</v>
      </c>
      <c r="K195" s="128">
        <f>+aequiv/l</f>
        <v>9.6717709021768059E-2</v>
      </c>
      <c r="L195" s="124"/>
    </row>
    <row r="196" spans="9:12" hidden="1">
      <c r="I196" s="93"/>
      <c r="J196" s="129"/>
      <c r="K196" s="130"/>
      <c r="L196" s="105"/>
    </row>
    <row r="197" spans="9:12" hidden="1">
      <c r="I197" s="419" t="s">
        <v>155</v>
      </c>
      <c r="J197" s="419"/>
      <c r="K197" s="419"/>
      <c r="L197" s="419"/>
    </row>
    <row r="202" spans="9:12" ht="15.75" hidden="1">
      <c r="I202" s="93"/>
      <c r="J202" s="96"/>
      <c r="K202" s="138"/>
      <c r="L202" s="112"/>
    </row>
    <row r="203" spans="9:12" hidden="1">
      <c r="I203" s="167"/>
      <c r="J203" s="167"/>
      <c r="K203" s="167"/>
      <c r="L203" s="167"/>
    </row>
    <row r="206" spans="9:12" hidden="1">
      <c r="I206" s="168"/>
    </row>
    <row r="215" spans="9:12" ht="15.75" hidden="1">
      <c r="I215" s="93"/>
      <c r="J215" s="96"/>
      <c r="K215" s="138"/>
      <c r="L215" s="112"/>
    </row>
    <row r="216" spans="9:12" ht="15.75" hidden="1">
      <c r="I216" s="93"/>
      <c r="J216" s="96"/>
      <c r="K216" s="138"/>
      <c r="L216" s="112"/>
    </row>
    <row r="217" spans="9:12" hidden="1">
      <c r="I217" s="144" t="s">
        <v>167</v>
      </c>
      <c r="K217" s="145"/>
      <c r="L217" s="112"/>
    </row>
    <row r="218" spans="9:12" ht="15.75" hidden="1">
      <c r="I218" s="91" t="s">
        <v>168</v>
      </c>
      <c r="J218" s="146" t="s">
        <v>169</v>
      </c>
      <c r="K218" s="147">
        <v>0.2</v>
      </c>
      <c r="L218" s="112"/>
    </row>
    <row r="219" spans="9:12" ht="30" hidden="1">
      <c r="I219" s="148" t="s">
        <v>170</v>
      </c>
      <c r="J219" s="146" t="s">
        <v>171</v>
      </c>
      <c r="K219" s="145">
        <v>1.05</v>
      </c>
      <c r="L219" s="112"/>
    </row>
    <row r="220" spans="9:12" ht="30" hidden="1">
      <c r="I220" s="148" t="s">
        <v>172</v>
      </c>
      <c r="J220" s="146" t="s">
        <v>173</v>
      </c>
      <c r="K220" s="145">
        <v>1.1499999999999999</v>
      </c>
      <c r="L220" s="112"/>
    </row>
    <row r="221" spans="9:12" ht="30" hidden="1">
      <c r="I221" s="148" t="s">
        <v>174</v>
      </c>
      <c r="J221" s="146" t="s">
        <v>175</v>
      </c>
      <c r="K221" s="145">
        <v>1.5</v>
      </c>
      <c r="L221" s="112"/>
    </row>
    <row r="222" spans="9:12" ht="18.75" hidden="1">
      <c r="I222" s="148" t="s">
        <v>176</v>
      </c>
      <c r="J222" s="146" t="s">
        <v>177</v>
      </c>
      <c r="K222" s="145">
        <f>FS_parcial</f>
        <v>1.3</v>
      </c>
    </row>
    <row r="223" spans="9:12" ht="30" hidden="1">
      <c r="I223" s="148" t="s">
        <v>178</v>
      </c>
      <c r="J223" s="146" t="s">
        <v>179</v>
      </c>
      <c r="K223" s="145">
        <v>1.5</v>
      </c>
    </row>
    <row r="224" spans="9:12" ht="30" hidden="1">
      <c r="I224" s="148" t="s">
        <v>180</v>
      </c>
      <c r="J224" s="146" t="s">
        <v>181</v>
      </c>
      <c r="K224" s="145">
        <v>1.6</v>
      </c>
    </row>
    <row r="225" spans="9:13" ht="15.75" hidden="1">
      <c r="I225" s="148" t="s">
        <v>184</v>
      </c>
      <c r="J225" s="114" t="s">
        <v>185</v>
      </c>
      <c r="K225" s="152">
        <f>SQRT((AA_1*BB_1)/PI())</f>
        <v>56.418958354775633</v>
      </c>
      <c r="L225" s="112" t="s">
        <v>5</v>
      </c>
    </row>
    <row r="226" spans="9:13" ht="18.75" hidden="1">
      <c r="I226" s="148" t="s">
        <v>270</v>
      </c>
      <c r="J226" s="114" t="s">
        <v>271</v>
      </c>
      <c r="K226" s="152">
        <f>IF(Z&lt;=2*h,(2*a*Z)+AA_1*BB_1,AA_1*BB_1)</f>
        <v>10000</v>
      </c>
      <c r="L226" s="112" t="s">
        <v>5</v>
      </c>
    </row>
    <row r="227" spans="9:13" ht="18.75" hidden="1">
      <c r="I227" s="148" t="s">
        <v>272</v>
      </c>
      <c r="J227" s="114" t="s">
        <v>273</v>
      </c>
      <c r="K227" s="152">
        <f>SQRT((Acomb)/PI())</f>
        <v>56.418958354775633</v>
      </c>
      <c r="L227" s="112" t="s">
        <v>5</v>
      </c>
    </row>
    <row r="230" spans="9:13" hidden="1">
      <c r="I230" s="158" t="s">
        <v>194</v>
      </c>
      <c r="J230"/>
      <c r="K230"/>
      <c r="L230"/>
      <c r="M230"/>
    </row>
    <row r="231" spans="9:13" hidden="1">
      <c r="I231" s="158"/>
      <c r="J231"/>
      <c r="K231"/>
      <c r="L231"/>
      <c r="M231"/>
    </row>
    <row r="232" spans="9:13" hidden="1">
      <c r="I232" s="158"/>
      <c r="J232"/>
      <c r="K232"/>
      <c r="L232"/>
      <c r="M232"/>
    </row>
    <row r="233" spans="9:13" hidden="1">
      <c r="I233" s="158"/>
      <c r="J233"/>
      <c r="K233"/>
      <c r="L233"/>
      <c r="M233"/>
    </row>
    <row r="234" spans="9:13" hidden="1">
      <c r="I234" s="158"/>
      <c r="J234"/>
      <c r="K234"/>
      <c r="L234"/>
      <c r="M234"/>
    </row>
    <row r="235" spans="9:13" hidden="1">
      <c r="I235" s="158"/>
      <c r="J235"/>
      <c r="K235"/>
      <c r="L235"/>
      <c r="M235"/>
    </row>
    <row r="236" spans="9:13" hidden="1">
      <c r="I236" s="158"/>
      <c r="J236"/>
      <c r="K236"/>
      <c r="L236"/>
      <c r="M236"/>
    </row>
    <row r="237" spans="9:13" hidden="1">
      <c r="I237" s="158"/>
      <c r="J237"/>
      <c r="K237"/>
      <c r="L237"/>
      <c r="M237"/>
    </row>
    <row r="238" spans="9:13" hidden="1">
      <c r="I238" s="158"/>
      <c r="J238"/>
      <c r="K238"/>
      <c r="L238"/>
      <c r="M238"/>
    </row>
    <row r="239" spans="9:13" hidden="1">
      <c r="I239" s="158"/>
      <c r="J239"/>
      <c r="K239"/>
      <c r="L239"/>
      <c r="M239"/>
    </row>
    <row r="240" spans="9:13" hidden="1">
      <c r="I240" s="158"/>
      <c r="J240"/>
      <c r="K240"/>
      <c r="L240"/>
      <c r="M240"/>
    </row>
    <row r="241" spans="9:13" hidden="1">
      <c r="I241" s="158"/>
      <c r="J241"/>
      <c r="K241"/>
      <c r="L241"/>
      <c r="M241"/>
    </row>
    <row r="242" spans="9:13" hidden="1">
      <c r="I242" s="158"/>
      <c r="J242"/>
      <c r="K242"/>
      <c r="L242"/>
      <c r="M242"/>
    </row>
    <row r="243" spans="9:13" hidden="1">
      <c r="I243" s="158"/>
      <c r="J243"/>
      <c r="K243"/>
      <c r="L243"/>
      <c r="M243"/>
    </row>
    <row r="244" spans="9:13" hidden="1">
      <c r="I244" s="158"/>
      <c r="J244"/>
      <c r="K244"/>
      <c r="L244"/>
      <c r="M244"/>
    </row>
    <row r="245" spans="9:13" hidden="1">
      <c r="I245" s="158"/>
      <c r="J245"/>
      <c r="K245"/>
      <c r="L245"/>
      <c r="M245"/>
    </row>
    <row r="246" spans="9:13" hidden="1">
      <c r="I246" s="158"/>
      <c r="J246"/>
      <c r="K246"/>
      <c r="L246"/>
      <c r="M246"/>
    </row>
    <row r="248" spans="9:13" ht="18.75" hidden="1">
      <c r="I248" s="91" t="s">
        <v>211</v>
      </c>
      <c r="J248" s="110" t="s">
        <v>212</v>
      </c>
      <c r="K248" s="160">
        <f>fck/gc</f>
        <v>19.333333333333332</v>
      </c>
      <c r="L248" s="112" t="s">
        <v>118</v>
      </c>
    </row>
    <row r="249" spans="9:13" ht="20.25" hidden="1">
      <c r="J249" s="161" t="s">
        <v>213</v>
      </c>
      <c r="K249" s="91">
        <f>0.6*(1-fck/250)</f>
        <v>0.53039999999999998</v>
      </c>
      <c r="L249" s="112"/>
      <c r="M249" s="162"/>
    </row>
    <row r="250" spans="9:13" ht="18" hidden="1">
      <c r="I250" s="91" t="s">
        <v>196</v>
      </c>
      <c r="J250" s="112" t="s">
        <v>197</v>
      </c>
      <c r="K250" s="160">
        <f>0.5*k2_*fcd</f>
        <v>5.1271999999999993</v>
      </c>
      <c r="L250" s="112" t="s">
        <v>118</v>
      </c>
    </row>
    <row r="251" spans="9:13" ht="18" hidden="1">
      <c r="I251" s="91" t="s">
        <v>198</v>
      </c>
      <c r="J251" s="112" t="s">
        <v>199</v>
      </c>
      <c r="K251" s="147">
        <f>IF(Z&lt;=2*'Estanterias Contiguas'!h,2*(Z+AA_1+BB_1),2*(AA_1+BB_1))</f>
        <v>400</v>
      </c>
      <c r="L251" s="112" t="s">
        <v>5</v>
      </c>
    </row>
    <row r="252" spans="9:13" ht="18" hidden="1">
      <c r="I252" s="91" t="s">
        <v>214</v>
      </c>
      <c r="J252" s="112" t="s">
        <v>215</v>
      </c>
      <c r="K252" s="147">
        <f>IF(Z&lt;=2*'Estanterias Contiguas'!h,Z+'Estanterias Contiguas'!AA_1+2*'Estanterias Contiguas'!BB_1,2*(AA_1)+BB_1)</f>
        <v>300</v>
      </c>
      <c r="L252" s="112" t="s">
        <v>5</v>
      </c>
      <c r="M252" s="162"/>
    </row>
    <row r="253" spans="9:13" ht="18" hidden="1">
      <c r="I253" s="91" t="s">
        <v>216</v>
      </c>
      <c r="J253" s="112" t="s">
        <v>217</v>
      </c>
      <c r="K253" s="147">
        <f>IF(Z&lt;=2*'Estanterias Contiguas'!h,Z+'Estanterias Contiguas'!BB_1+2*'Estanterias Contiguas'!AA_1,2*(AA_1)+BB_1)</f>
        <v>300</v>
      </c>
      <c r="L253" s="112" t="s">
        <v>5</v>
      </c>
    </row>
    <row r="254" spans="9:13" ht="18" hidden="1">
      <c r="I254" s="91" t="s">
        <v>218</v>
      </c>
      <c r="J254" s="112" t="s">
        <v>219</v>
      </c>
      <c r="K254" s="147">
        <f>IF(Z&lt;=2*h,Z+(AA_1)+BB_1+PI()/2*2*d,(AA_1)+BB_1)</f>
        <v>200</v>
      </c>
      <c r="L254" s="112" t="s">
        <v>5</v>
      </c>
    </row>
    <row r="255" spans="9:13" ht="18" hidden="1">
      <c r="I255" s="93" t="s">
        <v>200</v>
      </c>
      <c r="J255" s="112" t="s">
        <v>201</v>
      </c>
      <c r="K255" s="99">
        <f>Q1_ult*1000/(u0_1*d)</f>
        <v>1.3312838276817611</v>
      </c>
      <c r="L255" s="112" t="s">
        <v>118</v>
      </c>
      <c r="M255" s="91" t="str">
        <f>IF(vmax&gt;vp_1,"O.K","No Cumple")</f>
        <v>O.K</v>
      </c>
    </row>
    <row r="256" spans="9:13" ht="18" hidden="1">
      <c r="I256" s="93" t="s">
        <v>220</v>
      </c>
      <c r="J256" s="112" t="s">
        <v>221</v>
      </c>
      <c r="K256" s="99">
        <f>Q1_ult_jb*1000/(u0_2*d)</f>
        <v>1.065027062145409</v>
      </c>
      <c r="L256" s="112" t="s">
        <v>118</v>
      </c>
      <c r="M256" s="91" t="str">
        <f>IF(vmax&gt;vp_2,"O.K","No Cumple")</f>
        <v>O.K</v>
      </c>
    </row>
    <row r="257" spans="9:13" ht="18" hidden="1">
      <c r="I257" s="93" t="s">
        <v>222</v>
      </c>
      <c r="J257" s="112" t="s">
        <v>223</v>
      </c>
      <c r="K257" s="99">
        <f>Q1_ult_jb*1000/(u0_3*d)</f>
        <v>1.065027062145409</v>
      </c>
      <c r="L257" s="112" t="s">
        <v>118</v>
      </c>
      <c r="M257" s="91" t="str">
        <f>IF(vmax&gt;vp_3,"O.K","No Cumple")</f>
        <v>O.K</v>
      </c>
    </row>
    <row r="258" spans="9:13" ht="18" hidden="1">
      <c r="I258" s="93" t="s">
        <v>224</v>
      </c>
      <c r="J258" s="112" t="s">
        <v>225</v>
      </c>
      <c r="K258" s="99">
        <f>Q1_ult_ep*1000/(u0_4*d)</f>
        <v>1.5975405932181133</v>
      </c>
      <c r="L258" s="112" t="s">
        <v>118</v>
      </c>
      <c r="M258" s="91" t="str">
        <f>IF(vmax&gt;vp_4,"O.K","No Cumple")</f>
        <v>O.K</v>
      </c>
    </row>
    <row r="261" spans="9:13" ht="18" hidden="1">
      <c r="I261" s="91" t="s">
        <v>229</v>
      </c>
      <c r="J261" s="112" t="s">
        <v>230</v>
      </c>
      <c r="K261" s="147">
        <f>vmax*u0_1*d/1000</f>
        <v>200.26863878025955</v>
      </c>
      <c r="L261" s="112" t="s">
        <v>150</v>
      </c>
    </row>
    <row r="262" spans="9:13" ht="18" hidden="1">
      <c r="I262" s="91" t="s">
        <v>232</v>
      </c>
      <c r="J262" s="112" t="s">
        <v>233</v>
      </c>
      <c r="K262" s="147">
        <f>vmax*u0_2*d/1000</f>
        <v>150.20147908519468</v>
      </c>
      <c r="L262" s="112" t="s">
        <v>150</v>
      </c>
    </row>
    <row r="263" spans="9:13" ht="18" hidden="1">
      <c r="I263" s="91" t="s">
        <v>232</v>
      </c>
      <c r="J263" s="112" t="s">
        <v>235</v>
      </c>
      <c r="K263" s="147">
        <f>vmax*u0_3*d/1000</f>
        <v>150.20147908519468</v>
      </c>
      <c r="L263" s="112" t="s">
        <v>150</v>
      </c>
    </row>
    <row r="264" spans="9:13" ht="18" hidden="1">
      <c r="I264" s="91" t="s">
        <v>238</v>
      </c>
      <c r="J264" s="112" t="s">
        <v>239</v>
      </c>
      <c r="K264" s="147">
        <f>vmax*u0_4*d/1000</f>
        <v>100.13431939012978</v>
      </c>
      <c r="L264" s="112" t="s">
        <v>150</v>
      </c>
    </row>
    <row r="265" spans="9:13" ht="18" hidden="1">
      <c r="I265" s="91" t="s">
        <v>204</v>
      </c>
      <c r="J265" s="112" t="s">
        <v>205</v>
      </c>
      <c r="K265" s="147">
        <f>IF(Z&lt;=2*'Estanterias Contiguas'!h,2*(Z+'Estanterias Contiguas'!AA_1+BB_1+PI()*2*d),2*(AA_1+BB_1+PI()*2*d))</f>
        <v>1627.1073574982281</v>
      </c>
      <c r="L265" s="112" t="s">
        <v>5</v>
      </c>
    </row>
    <row r="266" spans="9:13" ht="18" hidden="1">
      <c r="I266" s="112" t="s">
        <v>240</v>
      </c>
      <c r="J266" s="112" t="s">
        <v>241</v>
      </c>
      <c r="K266" s="147">
        <f>IF(Z&lt;=2*h,Z+AA_1+2*BB_1+PI()*2*d,2*(AA_1)+BB_1+PI()*2*d)</f>
        <v>913.55367874911406</v>
      </c>
      <c r="L266" s="112" t="s">
        <v>5</v>
      </c>
    </row>
    <row r="267" spans="9:13" ht="18" hidden="1">
      <c r="I267" s="91" t="s">
        <v>242</v>
      </c>
      <c r="J267" s="112" t="s">
        <v>243</v>
      </c>
      <c r="K267" s="147">
        <f>IF(Z&lt;=2*h,Z+BB_1+2*AA_1+PI()*2*d,2*(BB_1)+AA_1+PI()*2*d)</f>
        <v>913.55367874911406</v>
      </c>
      <c r="L267" s="112" t="s">
        <v>5</v>
      </c>
    </row>
    <row r="268" spans="9:13" ht="18" hidden="1">
      <c r="I268" s="91" t="s">
        <v>244</v>
      </c>
      <c r="J268" s="112" t="s">
        <v>245</v>
      </c>
      <c r="K268" s="147">
        <f>IF(Z&lt;=2*h,Z+(AA_1)+BB_1+PI()/2*2*d,(AA_1)+BB_1+PI()/2*2*d)</f>
        <v>506.77683937455703</v>
      </c>
      <c r="L268" s="112" t="s">
        <v>5</v>
      </c>
    </row>
    <row r="269" spans="9:13" ht="18" hidden="1">
      <c r="I269" s="91" t="s">
        <v>206</v>
      </c>
      <c r="J269" s="112" t="s">
        <v>207</v>
      </c>
      <c r="K269" s="147">
        <f>(0.035*k1_^(3/2)*fck^(1/2)+0.06*Re_3/100*fctk_fl)*u1_1*d/1000</f>
        <v>101.12887972748339</v>
      </c>
      <c r="L269" s="112" t="s">
        <v>150</v>
      </c>
    </row>
    <row r="270" spans="9:13" ht="18" hidden="1">
      <c r="I270" s="91" t="s">
        <v>246</v>
      </c>
      <c r="J270" s="112" t="s">
        <v>247</v>
      </c>
      <c r="K270" s="147">
        <f>(0.035*k1_^(3/2)*fck^(1/2)+0.06*Re_3/100*fctk_fl)*u1_2*d/1000</f>
        <v>56.779695376013166</v>
      </c>
      <c r="L270" s="112" t="s">
        <v>150</v>
      </c>
    </row>
    <row r="271" spans="9:13" ht="18" hidden="1">
      <c r="I271" s="91" t="s">
        <v>248</v>
      </c>
      <c r="J271" s="112" t="s">
        <v>249</v>
      </c>
      <c r="K271" s="147">
        <f>(0.035*k1_^(3/2)*fck^(1/2)+0.06*Re_3/100*fctk_fl)*u1_3*d/1000</f>
        <v>56.779695376013166</v>
      </c>
      <c r="L271" s="112" t="s">
        <v>150</v>
      </c>
    </row>
    <row r="272" spans="9:13" ht="18" hidden="1">
      <c r="I272" s="91" t="s">
        <v>250</v>
      </c>
      <c r="J272" s="112" t="s">
        <v>251</v>
      </c>
      <c r="K272" s="147">
        <f>(0.035*k1_^(3/2)*fck^(1/2)+0.06*Re_3/100*fctk_fl)*u1_4*d/1000</f>
        <v>31.497475444142324</v>
      </c>
      <c r="L272" s="112" t="s">
        <v>150</v>
      </c>
    </row>
  </sheetData>
  <sheetProtection algorithmName="SHA-512" hashValue="5F8FvQyykJPOnyKb6qO6cXggLM9lcuX1A4K0Ip2lQeCXHT0WsS0vvCLAiMvpmb2mmxjXex9NLVYNPAeOQKGq+Q==" saltValue="uhk3WSQFjwcqGmpWkeEXsw==" spinCount="100000" sheet="1" objects="1" scenarios="1" selectLockedCells="1"/>
  <mergeCells count="5">
    <mergeCell ref="I197:L197"/>
    <mergeCell ref="A1:C5"/>
    <mergeCell ref="B7:E7"/>
    <mergeCell ref="B156:D156"/>
    <mergeCell ref="B157:D157"/>
  </mergeCells>
  <conditionalFormatting sqref="D71">
    <cfRule type="cellIs" dxfId="101" priority="56" operator="greaterThan">
      <formula>1</formula>
    </cfRule>
    <cfRule type="cellIs" dxfId="100" priority="58" operator="lessThan">
      <formula>1</formula>
    </cfRule>
  </conditionalFormatting>
  <conditionalFormatting sqref="D108">
    <cfRule type="cellIs" dxfId="99" priority="55" operator="greaterThan">
      <formula>1</formula>
    </cfRule>
    <cfRule type="cellIs" dxfId="98" priority="57" operator="lessThan">
      <formula>1</formula>
    </cfRule>
  </conditionalFormatting>
  <conditionalFormatting sqref="E71:E77 E83:E84 E131:E132 E110:E111 E113:E116">
    <cfRule type="containsText" dxfId="97" priority="53" operator="containsText" text="O.K">
      <formula>NOT(ISERROR(SEARCH("O.K",E71)))</formula>
    </cfRule>
    <cfRule type="containsText" dxfId="96" priority="54" operator="containsText" text="No Cumple">
      <formula>NOT(ISERROR(SEARCH("No Cumple",E71)))</formula>
    </cfRule>
  </conditionalFormatting>
  <conditionalFormatting sqref="E108:E109">
    <cfRule type="containsText" dxfId="95" priority="51" operator="containsText" text="O.K">
      <formula>NOT(ISERROR(SEARCH("O.K",E108)))</formula>
    </cfRule>
    <cfRule type="containsText" dxfId="94" priority="52" operator="containsText" text="No Cumple">
      <formula>NOT(ISERROR(SEARCH("No Cumple",E108)))</formula>
    </cfRule>
  </conditionalFormatting>
  <conditionalFormatting sqref="E124">
    <cfRule type="containsText" dxfId="93" priority="49" operator="containsText" text="O.K">
      <formula>NOT(ISERROR(SEARCH("O.K",E124)))</formula>
    </cfRule>
    <cfRule type="containsText" dxfId="92" priority="50" operator="containsText" text="No Cumple">
      <formula>NOT(ISERROR(SEARCH("No Cumple",E124)))</formula>
    </cfRule>
  </conditionalFormatting>
  <conditionalFormatting sqref="D150">
    <cfRule type="cellIs" dxfId="91" priority="47" operator="greaterThan">
      <formula>1</formula>
    </cfRule>
    <cfRule type="cellIs" dxfId="90" priority="48" operator="lessThan">
      <formula>1</formula>
    </cfRule>
  </conditionalFormatting>
  <conditionalFormatting sqref="E150">
    <cfRule type="containsText" dxfId="89" priority="45" operator="containsText" text="O.K">
      <formula>NOT(ISERROR(SEARCH("O.K",E150)))</formula>
    </cfRule>
    <cfRule type="containsText" dxfId="88" priority="46" operator="containsText" text="No Cumple">
      <formula>NOT(ISERROR(SEARCH("No Cumple",E150)))</formula>
    </cfRule>
  </conditionalFormatting>
  <conditionalFormatting sqref="E151">
    <cfRule type="containsText" dxfId="87" priority="43" operator="containsText" text="O.K">
      <formula>NOT(ISERROR(SEARCH("O.K",E151)))</formula>
    </cfRule>
    <cfRule type="containsText" dxfId="86" priority="44" operator="containsText" text="No Cumple">
      <formula>NOT(ISERROR(SEARCH("No Cumple",E151)))</formula>
    </cfRule>
  </conditionalFormatting>
  <conditionalFormatting sqref="D81">
    <cfRule type="cellIs" dxfId="85" priority="41" operator="greaterThan">
      <formula>1</formula>
    </cfRule>
    <cfRule type="cellIs" dxfId="84" priority="42" operator="lessThan">
      <formula>1</formula>
    </cfRule>
  </conditionalFormatting>
  <conditionalFormatting sqref="E81:E82">
    <cfRule type="containsText" dxfId="83" priority="39" operator="containsText" text="O.K">
      <formula>NOT(ISERROR(SEARCH("O.K",E81)))</formula>
    </cfRule>
    <cfRule type="containsText" dxfId="82" priority="40" operator="containsText" text="No Cumple">
      <formula>NOT(ISERROR(SEARCH("No Cumple",E81)))</formula>
    </cfRule>
  </conditionalFormatting>
  <conditionalFormatting sqref="D87">
    <cfRule type="cellIs" dxfId="81" priority="37" operator="greaterThan">
      <formula>1</formula>
    </cfRule>
    <cfRule type="cellIs" dxfId="80" priority="38" operator="lessThan">
      <formula>1</formula>
    </cfRule>
  </conditionalFormatting>
  <conditionalFormatting sqref="E87:E88">
    <cfRule type="containsText" dxfId="79" priority="35" operator="containsText" text="O.K">
      <formula>NOT(ISERROR(SEARCH("O.K",E87)))</formula>
    </cfRule>
    <cfRule type="containsText" dxfId="78" priority="36" operator="containsText" text="No Cumple">
      <formula>NOT(ISERROR(SEARCH("No Cumple",E87)))</formula>
    </cfRule>
  </conditionalFormatting>
  <conditionalFormatting sqref="E122:E123">
    <cfRule type="containsText" dxfId="77" priority="31" operator="containsText" text="O.K">
      <formula>NOT(ISERROR(SEARCH("O.K",E122)))</formula>
    </cfRule>
    <cfRule type="containsText" dxfId="76" priority="32" operator="containsText" text="No Cumple">
      <formula>NOT(ISERROR(SEARCH("No Cumple",E122)))</formula>
    </cfRule>
  </conditionalFormatting>
  <conditionalFormatting sqref="D122">
    <cfRule type="cellIs" dxfId="75" priority="33" operator="greaterThan">
      <formula>1</formula>
    </cfRule>
    <cfRule type="cellIs" dxfId="74" priority="34" operator="lessThan">
      <formula>1</formula>
    </cfRule>
  </conditionalFormatting>
  <conditionalFormatting sqref="D129">
    <cfRule type="cellIs" dxfId="73" priority="29" operator="greaterThan">
      <formula>1</formula>
    </cfRule>
    <cfRule type="cellIs" dxfId="72" priority="30" operator="lessThan">
      <formula>1</formula>
    </cfRule>
  </conditionalFormatting>
  <conditionalFormatting sqref="E129:E130">
    <cfRule type="containsText" dxfId="71" priority="27" operator="containsText" text="O.K">
      <formula>NOT(ISERROR(SEARCH("O.K",E129)))</formula>
    </cfRule>
    <cfRule type="containsText" dxfId="70" priority="28" operator="containsText" text="No Cumple">
      <formula>NOT(ISERROR(SEARCH("No Cumple",E129)))</formula>
    </cfRule>
  </conditionalFormatting>
  <conditionalFormatting sqref="E161:E162">
    <cfRule type="containsText" dxfId="69" priority="23" operator="containsText" text="O.K">
      <formula>NOT(ISERROR(SEARCH("O.K",E161)))</formula>
    </cfRule>
    <cfRule type="containsText" dxfId="68" priority="24" operator="containsText" text="No Cumple">
      <formula>NOT(ISERROR(SEARCH("No Cumple",E161)))</formula>
    </cfRule>
  </conditionalFormatting>
  <conditionalFormatting sqref="D161">
    <cfRule type="cellIs" dxfId="67" priority="25" operator="greaterThan">
      <formula>1</formula>
    </cfRule>
    <cfRule type="cellIs" dxfId="66" priority="26" operator="lessThan">
      <formula>1</formula>
    </cfRule>
  </conditionalFormatting>
  <conditionalFormatting sqref="D166">
    <cfRule type="cellIs" dxfId="65" priority="21" operator="greaterThan">
      <formula>1</formula>
    </cfRule>
    <cfRule type="cellIs" dxfId="64" priority="22" operator="lessThan">
      <formula>1</formula>
    </cfRule>
  </conditionalFormatting>
  <conditionalFormatting sqref="E166:E167">
    <cfRule type="containsText" dxfId="63" priority="19" operator="containsText" text="O.K">
      <formula>NOT(ISERROR(SEARCH("O.K",E166)))</formula>
    </cfRule>
    <cfRule type="containsText" dxfId="62" priority="20" operator="containsText" text="No Cumple">
      <formula>NOT(ISERROR(SEARCH("No Cumple",E166)))</formula>
    </cfRule>
  </conditionalFormatting>
  <conditionalFormatting sqref="D72">
    <cfRule type="cellIs" dxfId="61" priority="17" operator="greaterThan">
      <formula>FS_Global</formula>
    </cfRule>
    <cfRule type="cellIs" dxfId="60" priority="18" operator="lessThan">
      <formula>FS_Global</formula>
    </cfRule>
  </conditionalFormatting>
  <conditionalFormatting sqref="D82">
    <cfRule type="cellIs" dxfId="59" priority="15" operator="greaterThan">
      <formula>FS_Global</formula>
    </cfRule>
    <cfRule type="cellIs" dxfId="58" priority="16" operator="lessThan">
      <formula>FS_Global</formula>
    </cfRule>
  </conditionalFormatting>
  <conditionalFormatting sqref="D88">
    <cfRule type="cellIs" dxfId="57" priority="13" operator="greaterThan">
      <formula>FS_Global</formula>
    </cfRule>
    <cfRule type="cellIs" dxfId="56" priority="14" operator="lessThan">
      <formula>FS_Global</formula>
    </cfRule>
  </conditionalFormatting>
  <conditionalFormatting sqref="D109">
    <cfRule type="cellIs" dxfId="55" priority="11" operator="greaterThan">
      <formula>FS_Global</formula>
    </cfRule>
    <cfRule type="cellIs" dxfId="54" priority="12" operator="lessThan">
      <formula>FS_Global</formula>
    </cfRule>
  </conditionalFormatting>
  <conditionalFormatting sqref="D123">
    <cfRule type="cellIs" dxfId="53" priority="9" operator="greaterThan">
      <formula>FS_Global</formula>
    </cfRule>
    <cfRule type="cellIs" dxfId="52" priority="10" operator="lessThan">
      <formula>FS_Global</formula>
    </cfRule>
  </conditionalFormatting>
  <conditionalFormatting sqref="D130">
    <cfRule type="cellIs" dxfId="51" priority="7" operator="greaterThan">
      <formula>FS_Global</formula>
    </cfRule>
    <cfRule type="cellIs" dxfId="50" priority="8" operator="lessThan">
      <formula>FS_Global</formula>
    </cfRule>
  </conditionalFormatting>
  <conditionalFormatting sqref="D151">
    <cfRule type="cellIs" dxfId="49" priority="5" operator="greaterThan">
      <formula>FS_Global</formula>
    </cfRule>
    <cfRule type="cellIs" dxfId="48" priority="6" operator="lessThan">
      <formula>FS_Global</formula>
    </cfRule>
  </conditionalFormatting>
  <conditionalFormatting sqref="D167">
    <cfRule type="cellIs" dxfId="47" priority="3" operator="greaterThan">
      <formula>FS_Global</formula>
    </cfRule>
    <cfRule type="cellIs" dxfId="46" priority="4" operator="lessThan">
      <formula>FS_Global</formula>
    </cfRule>
  </conditionalFormatting>
  <conditionalFormatting sqref="D162">
    <cfRule type="cellIs" dxfId="45" priority="1" operator="greaterThan">
      <formula>FS_Global</formula>
    </cfRule>
    <cfRule type="cellIs" dxfId="44" priority="2" operator="lessThan">
      <formula>FS_Global</formula>
    </cfRule>
  </conditionalFormatting>
  <dataValidations count="8">
    <dataValidation allowBlank="1" showInputMessage="1" showErrorMessage="1" prompt="La condición de carga de estantería combinada en bordes libres es muy inusual, y generalmente no se considera, sin embargo se calcula aquí para aquellos casos donde pudiera requerirse." sqref="D110" xr:uid="{00000000-0002-0000-0700-000000000000}"/>
    <dataValidation type="decimal" operator="greaterThanOrEqual" allowBlank="1" showInputMessage="1" showErrorMessage="1" error="El valor mínimo de dosificación es de 3.2 kg/m3 para obtener un valor de Re.3 igual o superior a 30%" sqref="K178 D40" xr:uid="{00000000-0002-0000-0700-000001000000}">
      <formula1>3.2</formula1>
    </dataValidation>
    <dataValidation allowBlank="1" showInputMessage="1" showErrorMessage="1" prompt="Modificar h hasta alcanzar un índice de capacidad superior a 1.0." sqref="D53" xr:uid="{00000000-0002-0000-0700-000002000000}"/>
    <dataValidation allowBlank="1" showInputMessage="1" showErrorMessage="1" prompt="La condición de carga de estantería individual en bordes libres es muy inusual, y generalmente no se considera, sin embargo se calcula aquí para aquellos casos donde pudiera requerirse." sqref="D124 D131:D132 D113:D116 D111" xr:uid="{00000000-0002-0000-0700-000003000000}"/>
    <dataValidation allowBlank="1" showInputMessage="1" showErrorMessage="1" prompt="En los bordes entre paneles se asume capacidad de transferencia de carga a través de la junta.  Se espera que la junta esté en capacidad de soportar un 20% de la carga. En caso de que la junta no transfiera carga, considerar el borde libre." sqref="D104" xr:uid="{00000000-0002-0000-0700-000004000000}"/>
    <dataValidation allowBlank="1" showInputMessage="1" showErrorMessage="1" prompt="En las esquinas entre paneles se asume capacidad de transferencia de carga a través de la junta.  Se espera que la junta esté en capacidad de soportar un 20% de la carga. En caso de que la junta no transfiera carga, considerar la esquina libre." sqref="D146" xr:uid="{00000000-0002-0000-0700-000005000000}"/>
    <dataValidation type="decimal" operator="greaterThanOrEqual" allowBlank="1" showInputMessage="1" showErrorMessage="1" error="El valor mínimo de dosificación es de 3.2 kg/m3 para obtener un valor de Re.3 igual o superior a 0.3." prompt="La dosificación mínima de FIBRAPLAST CONCRETE para alcanzar un valor de Re,3 igual a 0.3 es 3.2 kg/m3, de lo contrario el concreto será considerado como concreto plano (TR34 sección 9.4.2)" sqref="D21" xr:uid="{00000000-0002-0000-0700-000006000000}">
      <formula1>3.2</formula1>
    </dataValidation>
    <dataValidation type="decimal" operator="greaterThanOrEqual" allowBlank="1" showInputMessage="1" showErrorMessage="1" error="El factor parcial de seguridad mínimo a usar es 1.2 según TR34." sqref="D43" xr:uid="{00000000-0002-0000-0700-000007000000}">
      <formula1>1.2</formula1>
    </dataValidation>
  </dataValidations>
  <printOptions horizontalCentered="1"/>
  <pageMargins left="0.70866141732283472" right="0.70866141732283472" top="0.74803149606299213" bottom="0.74803149606299213" header="0.31496062992125984" footer="0.31496062992125984"/>
  <pageSetup scale="65" orientation="portrait" r:id="rId1"/>
  <headerFooter>
    <oddHeader>&amp;L&amp;G&amp;R&amp;G</oddHeader>
    <oddFooter>&amp;CLA MARCA FIBRAPLAS CONCRETE® SON DE USO EXCLUSIVO DE LA EMPRESA ABACOL S.A.S.</oddFooter>
  </headerFooter>
  <rowBreaks count="4" manualBreakCount="4">
    <brk id="57" max="4" man="1"/>
    <brk id="89" max="4" man="1"/>
    <brk id="131" max="4" man="1"/>
    <brk id="170" max="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9" r:id="rId5" name="Button 5">
              <controlPr defaultSize="0" print="0" autoFill="0" autoPict="0" macro="[0]!Menu_Select">
                <anchor moveWithCells="1" sizeWithCells="1">
                  <from>
                    <xdr:col>2</xdr:col>
                    <xdr:colOff>400050</xdr:colOff>
                    <xdr:row>7</xdr:row>
                    <xdr:rowOff>314325</xdr:rowOff>
                  </from>
                  <to>
                    <xdr:col>4</xdr:col>
                    <xdr:colOff>552450</xdr:colOff>
                    <xdr:row>9</xdr:row>
                    <xdr:rowOff>76200</xdr:rowOff>
                  </to>
                </anchor>
              </controlPr>
            </control>
          </mc:Choice>
        </mc:AlternateContent>
        <mc:AlternateContent xmlns:mc="http://schemas.openxmlformats.org/markup-compatibility/2006">
          <mc:Choice Requires="x14">
            <control shapeId="16406" r:id="rId6" name="Drop Down 22">
              <controlPr defaultSize="0" autoLine="0" autoPict="0">
                <anchor moveWithCells="1">
                  <from>
                    <xdr:col>2</xdr:col>
                    <xdr:colOff>323850</xdr:colOff>
                    <xdr:row>14</xdr:row>
                    <xdr:rowOff>0</xdr:rowOff>
                  </from>
                  <to>
                    <xdr:col>4</xdr:col>
                    <xdr:colOff>542925</xdr:colOff>
                    <xdr:row>14</xdr:row>
                    <xdr:rowOff>209550</xdr:rowOff>
                  </to>
                </anchor>
              </controlPr>
            </control>
          </mc:Choice>
        </mc:AlternateContent>
        <mc:AlternateContent xmlns:mc="http://schemas.openxmlformats.org/markup-compatibility/2006">
          <mc:Choice Requires="x14">
            <control shapeId="16408" r:id="rId7" name="Button 24">
              <controlPr defaultSize="0" print="0" autoFill="0" autoPict="0" macro="[0]!Hoja2.Est_contigua_2">
                <anchor moveWithCells="1" sizeWithCells="1">
                  <from>
                    <xdr:col>1</xdr:col>
                    <xdr:colOff>28575</xdr:colOff>
                    <xdr:row>48</xdr:row>
                    <xdr:rowOff>38100</xdr:rowOff>
                  </from>
                  <to>
                    <xdr:col>2</xdr:col>
                    <xdr:colOff>371475</xdr:colOff>
                    <xdr:row>51</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rgb="FF00B050"/>
  </sheetPr>
  <dimension ref="A1:T259"/>
  <sheetViews>
    <sheetView showGridLines="0" showRowColHeaders="0" view="pageBreakPreview" topLeftCell="A108" zoomScale="90" zoomScaleNormal="100" zoomScaleSheetLayoutView="90" workbookViewId="0">
      <selection activeCell="D35" sqref="D35"/>
    </sheetView>
  </sheetViews>
  <sheetFormatPr baseColWidth="10" defaultColWidth="0" defaultRowHeight="15" zeroHeight="1"/>
  <cols>
    <col min="1" max="1" width="23.7109375" style="91" customWidth="1"/>
    <col min="2" max="2" width="50.5703125" style="91" customWidth="1"/>
    <col min="3" max="3" width="13.28515625" style="91" customWidth="1"/>
    <col min="4" max="4" width="9.42578125" style="91" customWidth="1"/>
    <col min="5" max="5" width="9.85546875" style="91" customWidth="1"/>
    <col min="6" max="6" width="16.5703125" style="91" hidden="1" customWidth="1"/>
    <col min="7" max="7" width="15.5703125" style="91" hidden="1" customWidth="1"/>
    <col min="8" max="8" width="17.28515625" style="91" hidden="1" customWidth="1"/>
    <col min="9" max="9" width="64.7109375" style="91" hidden="1" customWidth="1"/>
    <col min="10" max="10" width="11.42578125" style="91" hidden="1" customWidth="1"/>
    <col min="11" max="11" width="12.140625" style="91" hidden="1" customWidth="1"/>
    <col min="12" max="16" width="11.42578125" style="91" hidden="1" customWidth="1"/>
    <col min="17" max="17" width="18.28515625" style="91" hidden="1" customWidth="1"/>
    <col min="18" max="18" width="13" style="91" hidden="1" customWidth="1"/>
    <col min="19" max="20" width="0" style="91" hidden="1" customWidth="1"/>
    <col min="21" max="16384" width="11.42578125" style="91" hidden="1"/>
  </cols>
  <sheetData>
    <row r="1" spans="1:20" ht="23.25" customHeight="1">
      <c r="A1" s="418" t="s">
        <v>286</v>
      </c>
      <c r="B1" s="418"/>
      <c r="C1" s="418"/>
      <c r="D1" s="178"/>
      <c r="E1" s="90"/>
      <c r="I1" s="92"/>
      <c r="J1" s="93"/>
      <c r="K1" s="93"/>
      <c r="L1" s="93"/>
      <c r="O1" s="424"/>
      <c r="P1" s="424"/>
      <c r="Q1" s="424"/>
      <c r="R1" s="169"/>
      <c r="S1" s="169"/>
      <c r="T1" s="169"/>
    </row>
    <row r="2" spans="1:20" ht="15" customHeight="1">
      <c r="A2" s="418"/>
      <c r="B2" s="418"/>
      <c r="C2" s="418"/>
      <c r="D2" s="94"/>
      <c r="E2" s="95"/>
      <c r="I2" s="93"/>
      <c r="J2" s="93"/>
      <c r="K2" s="93"/>
      <c r="L2" s="93"/>
      <c r="O2" s="424"/>
      <c r="P2" s="424"/>
      <c r="Q2" s="424"/>
      <c r="R2" s="169"/>
      <c r="S2" s="169"/>
      <c r="T2" s="169"/>
    </row>
    <row r="3" spans="1:20" ht="15" customHeight="1">
      <c r="A3" s="418"/>
      <c r="B3" s="418"/>
      <c r="C3" s="418"/>
      <c r="D3" s="94"/>
      <c r="E3" s="95"/>
      <c r="O3" s="425"/>
      <c r="P3" s="425"/>
      <c r="Q3" s="425"/>
      <c r="R3" s="169"/>
      <c r="S3" s="169"/>
      <c r="T3" s="169"/>
    </row>
    <row r="4" spans="1:20" ht="15" customHeight="1">
      <c r="A4" s="418"/>
      <c r="B4" s="418"/>
      <c r="C4" s="418"/>
      <c r="D4" s="179"/>
      <c r="E4" s="179"/>
      <c r="F4" s="93"/>
      <c r="I4" s="93"/>
      <c r="J4" s="96"/>
      <c r="K4" s="97"/>
      <c r="L4" s="98"/>
      <c r="O4" s="425"/>
      <c r="P4" s="425"/>
      <c r="Q4" s="425"/>
      <c r="R4" s="169"/>
      <c r="S4" s="169"/>
      <c r="T4" s="169"/>
    </row>
    <row r="5" spans="1:20" ht="15.75" customHeight="1">
      <c r="A5" s="418"/>
      <c r="B5" s="418"/>
      <c r="C5" s="418"/>
      <c r="D5" s="179"/>
      <c r="E5" s="179"/>
      <c r="F5" s="93"/>
      <c r="M5" s="2"/>
      <c r="N5" s="2"/>
      <c r="O5" s="145"/>
      <c r="P5" s="147"/>
      <c r="Q5" s="122"/>
      <c r="R5" s="169"/>
      <c r="S5" s="169"/>
      <c r="T5" s="169"/>
    </row>
    <row r="6" spans="1:20" ht="15.75" customHeight="1">
      <c r="A6" s="102"/>
      <c r="B6" s="102"/>
      <c r="C6" s="102"/>
      <c r="D6" s="102"/>
      <c r="E6" s="102"/>
      <c r="F6" s="93"/>
      <c r="O6" s="145"/>
      <c r="P6" s="147"/>
      <c r="Q6" s="122"/>
      <c r="R6" s="169"/>
      <c r="S6" s="169"/>
      <c r="T6" s="169"/>
    </row>
    <row r="7" spans="1:20" ht="15.75" customHeight="1">
      <c r="A7" s="188" t="s">
        <v>283</v>
      </c>
      <c r="B7" s="420"/>
      <c r="C7" s="420"/>
      <c r="D7" s="420"/>
      <c r="E7" s="420"/>
      <c r="F7" s="93"/>
      <c r="O7" s="145"/>
      <c r="P7" s="147"/>
      <c r="Q7" s="122"/>
      <c r="R7" s="169"/>
      <c r="S7" s="169"/>
      <c r="T7" s="169"/>
    </row>
    <row r="8" spans="1:20">
      <c r="A8" s="102"/>
      <c r="B8" s="102"/>
      <c r="C8" s="102"/>
      <c r="D8" s="102"/>
      <c r="E8" s="102"/>
      <c r="F8" s="93"/>
      <c r="P8" s="147"/>
      <c r="Q8" s="122"/>
      <c r="R8" s="169"/>
      <c r="S8" s="169"/>
      <c r="T8" s="169"/>
    </row>
    <row r="9" spans="1:20" ht="23.25">
      <c r="A9" s="100" t="s">
        <v>113</v>
      </c>
      <c r="B9" s="101"/>
      <c r="C9" s="102"/>
      <c r="D9" s="102"/>
      <c r="E9" s="102"/>
      <c r="F9" s="93"/>
      <c r="P9" s="147"/>
      <c r="Q9" s="122"/>
      <c r="R9" s="169"/>
      <c r="S9" s="169"/>
      <c r="T9" s="169"/>
    </row>
    <row r="10" spans="1:20" ht="23.25">
      <c r="A10" s="102"/>
      <c r="B10" s="101"/>
      <c r="C10" s="102"/>
      <c r="D10" s="102"/>
      <c r="E10" s="102"/>
      <c r="F10" s="93"/>
      <c r="P10" s="147"/>
      <c r="Q10" s="122"/>
      <c r="R10" s="169"/>
      <c r="S10" s="169"/>
      <c r="T10" s="169"/>
    </row>
    <row r="11" spans="1:20" ht="18.75">
      <c r="A11" s="106"/>
      <c r="B11" s="107" t="s">
        <v>114</v>
      </c>
      <c r="C11" s="108" t="s">
        <v>115</v>
      </c>
      <c r="D11" s="180">
        <v>0.05</v>
      </c>
      <c r="E11" s="109" t="s">
        <v>596</v>
      </c>
      <c r="F11" s="93"/>
      <c r="G11" s="141"/>
      <c r="O11" s="93"/>
      <c r="P11" s="147"/>
      <c r="Q11" s="122"/>
      <c r="R11" s="169"/>
      <c r="S11" s="169"/>
      <c r="T11" s="169"/>
    </row>
    <row r="12" spans="1:20" ht="15.75">
      <c r="A12" s="102"/>
      <c r="B12" s="106"/>
      <c r="C12" s="113"/>
      <c r="D12" s="106"/>
      <c r="E12" s="106"/>
      <c r="F12" s="93"/>
      <c r="G12" s="93"/>
      <c r="H12" s="114"/>
      <c r="O12" s="93"/>
      <c r="P12" s="147"/>
      <c r="Q12" s="122"/>
      <c r="R12" s="169"/>
      <c r="S12" s="169"/>
      <c r="T12" s="169"/>
    </row>
    <row r="13" spans="1:20" ht="18.75">
      <c r="A13" s="100" t="s">
        <v>121</v>
      </c>
      <c r="B13" s="106"/>
      <c r="C13" s="113"/>
      <c r="D13" s="106"/>
      <c r="E13" s="106"/>
      <c r="F13" s="93"/>
      <c r="G13" s="115"/>
      <c r="H13" s="110"/>
      <c r="O13" s="93"/>
      <c r="P13" s="147"/>
      <c r="Q13" s="93"/>
    </row>
    <row r="14" spans="1:20" ht="18.75">
      <c r="A14" s="100"/>
      <c r="B14" s="106"/>
      <c r="C14" s="113"/>
      <c r="D14" s="106"/>
      <c r="E14" s="106"/>
      <c r="F14" s="93"/>
      <c r="G14" s="115"/>
      <c r="H14" s="110"/>
      <c r="O14" s="93"/>
      <c r="P14" s="147"/>
      <c r="Q14" s="93"/>
    </row>
    <row r="15" spans="1:20" ht="18.75">
      <c r="A15" s="100"/>
      <c r="B15" s="307" t="s">
        <v>610</v>
      </c>
      <c r="C15" s="113"/>
      <c r="D15" s="106"/>
      <c r="E15" s="106"/>
      <c r="F15" s="93"/>
      <c r="G15" s="115"/>
      <c r="H15" s="110"/>
      <c r="O15" s="93"/>
      <c r="P15" s="147"/>
      <c r="Q15" s="93"/>
    </row>
    <row r="16" spans="1:20" ht="15.75">
      <c r="A16" s="102"/>
      <c r="B16" s="106"/>
      <c r="C16" s="113"/>
      <c r="D16" s="106"/>
      <c r="E16" s="106"/>
      <c r="F16" s="93"/>
      <c r="H16" s="110"/>
      <c r="O16" s="93"/>
      <c r="P16" s="147"/>
      <c r="Q16" s="93"/>
    </row>
    <row r="17" spans="1:20" ht="20.25">
      <c r="A17" s="106"/>
      <c r="B17" s="307" t="s">
        <v>600</v>
      </c>
      <c r="C17" s="117" t="s">
        <v>126</v>
      </c>
      <c r="D17" s="181">
        <v>28</v>
      </c>
      <c r="E17" s="109" t="s">
        <v>14</v>
      </c>
      <c r="F17" s="93"/>
      <c r="H17" s="110"/>
      <c r="O17" s="93"/>
      <c r="P17" s="147"/>
      <c r="Q17" s="93"/>
    </row>
    <row r="18" spans="1:20" ht="18.75">
      <c r="A18" s="106"/>
      <c r="B18" s="306"/>
      <c r="C18" s="117"/>
      <c r="D18"/>
      <c r="E18" s="109"/>
      <c r="F18" s="93"/>
      <c r="H18" s="110"/>
      <c r="O18" s="93"/>
      <c r="P18" s="147"/>
      <c r="Q18" s="93"/>
    </row>
    <row r="19" spans="1:20" ht="20.25">
      <c r="A19" s="106"/>
      <c r="B19" s="307" t="s">
        <v>601</v>
      </c>
      <c r="C19" s="117" t="s">
        <v>609</v>
      </c>
      <c r="D19" s="182">
        <v>4</v>
      </c>
      <c r="E19" s="109" t="s">
        <v>14</v>
      </c>
      <c r="F19" s="93"/>
      <c r="H19" s="110"/>
      <c r="O19" s="93"/>
      <c r="P19" s="147"/>
      <c r="Q19" s="93"/>
    </row>
    <row r="20" spans="1:20" ht="24" customHeight="1">
      <c r="A20" s="102"/>
      <c r="B20" s="106"/>
      <c r="C20" s="117"/>
      <c r="D20" s="118"/>
      <c r="E20" s="119"/>
      <c r="F20" s="93"/>
      <c r="H20" s="110"/>
      <c r="O20" s="93"/>
      <c r="P20" s="147"/>
      <c r="Q20" s="93"/>
    </row>
    <row r="21" spans="1:20" ht="20.25">
      <c r="A21" s="102"/>
      <c r="B21" s="120" t="s">
        <v>131</v>
      </c>
      <c r="C21" s="108" t="s">
        <v>132</v>
      </c>
      <c r="D21" s="182">
        <v>4</v>
      </c>
      <c r="E21" s="109" t="s">
        <v>133</v>
      </c>
      <c r="F21" s="93"/>
      <c r="H21" s="110"/>
      <c r="O21" s="93"/>
      <c r="P21" s="147"/>
      <c r="Q21" s="93"/>
    </row>
    <row r="22" spans="1:20" ht="15.75">
      <c r="A22" s="102"/>
      <c r="B22" s="106"/>
      <c r="C22" s="106"/>
      <c r="D22" s="106"/>
      <c r="E22" s="106"/>
      <c r="F22" s="93"/>
      <c r="G22" s="93"/>
      <c r="H22" s="110"/>
      <c r="O22" s="93"/>
      <c r="P22" s="147"/>
      <c r="Q22" s="93"/>
    </row>
    <row r="23" spans="1:20" ht="15.75">
      <c r="A23" s="102"/>
      <c r="B23" s="102"/>
      <c r="C23" s="102"/>
      <c r="D23" s="102"/>
      <c r="E23" s="102"/>
      <c r="F23" s="93"/>
      <c r="G23" s="93"/>
      <c r="H23" s="114"/>
    </row>
    <row r="24" spans="1:20" ht="18.75">
      <c r="A24" s="100" t="s">
        <v>140</v>
      </c>
      <c r="B24" s="106"/>
      <c r="C24" s="125"/>
      <c r="D24" s="125"/>
      <c r="E24" s="125"/>
      <c r="F24" s="93"/>
      <c r="G24" s="110"/>
      <c r="H24" s="110"/>
    </row>
    <row r="25" spans="1:20" ht="16.5" customHeight="1">
      <c r="A25" s="102"/>
      <c r="B25" s="102"/>
      <c r="C25" s="102"/>
      <c r="D25" s="102"/>
      <c r="E25" s="102"/>
      <c r="F25" s="93"/>
      <c r="G25" s="110"/>
      <c r="H25" s="110"/>
    </row>
    <row r="26" spans="1:20" ht="15.75">
      <c r="A26" s="102"/>
      <c r="B26" s="102"/>
      <c r="C26" s="102"/>
      <c r="D26" s="102"/>
      <c r="E26" s="102"/>
      <c r="F26" s="93"/>
      <c r="H26" s="123"/>
      <c r="O26" s="424"/>
      <c r="P26" s="424"/>
      <c r="Q26" s="424"/>
      <c r="R26" s="427"/>
      <c r="S26" s="427"/>
      <c r="T26" s="427"/>
    </row>
    <row r="27" spans="1:20" ht="15.75">
      <c r="A27" s="102"/>
      <c r="B27" s="102"/>
      <c r="C27" s="102"/>
      <c r="D27" s="102"/>
      <c r="E27" s="102"/>
      <c r="F27" s="93"/>
      <c r="H27" s="110"/>
      <c r="O27" s="424"/>
      <c r="P27" s="424"/>
      <c r="Q27" s="424"/>
      <c r="R27" s="320"/>
      <c r="S27" s="427"/>
      <c r="T27" s="427"/>
    </row>
    <row r="28" spans="1:20" ht="15.75">
      <c r="A28" s="102"/>
      <c r="B28" s="102"/>
      <c r="C28" s="102"/>
      <c r="D28" s="102"/>
      <c r="E28" s="102"/>
      <c r="H28" s="114"/>
      <c r="O28" s="425"/>
      <c r="P28" s="425"/>
      <c r="Q28" s="423"/>
      <c r="R28" s="321"/>
      <c r="S28" s="321"/>
      <c r="T28" s="321"/>
    </row>
    <row r="29" spans="1:20" ht="15.75">
      <c r="A29" s="102"/>
      <c r="B29" s="102"/>
      <c r="C29" s="102"/>
      <c r="D29" s="102"/>
      <c r="E29" s="102"/>
      <c r="H29" s="110"/>
      <c r="O29" s="425"/>
      <c r="P29" s="425"/>
      <c r="Q29" s="423"/>
      <c r="R29" s="162"/>
      <c r="S29" s="162"/>
      <c r="T29" s="162"/>
    </row>
    <row r="30" spans="1:20" ht="15.75">
      <c r="A30" s="102"/>
      <c r="B30" s="102"/>
      <c r="C30" s="102"/>
      <c r="D30" s="102"/>
      <c r="E30" s="102"/>
      <c r="G30" s="93"/>
      <c r="H30" s="114"/>
      <c r="O30" s="145"/>
      <c r="P30" s="147"/>
    </row>
    <row r="31" spans="1:20">
      <c r="A31" s="102"/>
      <c r="B31" s="102"/>
      <c r="C31" s="102"/>
      <c r="D31" s="102"/>
      <c r="E31" s="102"/>
      <c r="P31" s="147"/>
    </row>
    <row r="32" spans="1:20" ht="15.75">
      <c r="A32" s="102"/>
      <c r="B32" s="102"/>
      <c r="C32" s="131"/>
      <c r="D32" s="132"/>
      <c r="E32" s="133"/>
      <c r="P32" s="147"/>
    </row>
    <row r="33" spans="1:18" ht="15.75">
      <c r="A33" s="102"/>
      <c r="B33" s="134"/>
      <c r="C33" s="131"/>
      <c r="D33" s="135"/>
      <c r="E33" s="133"/>
      <c r="P33" s="147"/>
      <c r="Q33" s="93"/>
      <c r="R33" s="93"/>
    </row>
    <row r="34" spans="1:18" ht="16.5" customHeight="1">
      <c r="A34" s="102"/>
      <c r="B34" s="136"/>
      <c r="C34" s="137"/>
      <c r="D34" s="137"/>
      <c r="E34" s="109"/>
      <c r="G34" s="99"/>
      <c r="O34" s="93"/>
      <c r="P34" s="147"/>
      <c r="Q34" s="93"/>
      <c r="R34" s="93"/>
    </row>
    <row r="35" spans="1:18" ht="20.25">
      <c r="A35" s="102"/>
      <c r="B35" s="119" t="s">
        <v>160</v>
      </c>
      <c r="C35" s="117" t="s">
        <v>161</v>
      </c>
      <c r="D35" s="183">
        <v>100</v>
      </c>
      <c r="E35" s="109" t="s">
        <v>150</v>
      </c>
      <c r="O35" s="93"/>
      <c r="P35" s="147"/>
      <c r="Q35" s="93"/>
      <c r="R35" s="93"/>
    </row>
    <row r="36" spans="1:18" ht="18.75">
      <c r="A36" s="102"/>
      <c r="B36" s="119"/>
      <c r="C36" s="117"/>
      <c r="D36" s="106"/>
      <c r="E36" s="106"/>
      <c r="O36" s="93"/>
      <c r="P36" s="147"/>
      <c r="Q36" s="322"/>
    </row>
    <row r="37" spans="1:18" ht="20.25" customHeight="1">
      <c r="A37" s="102"/>
      <c r="B37" s="119" t="s">
        <v>275</v>
      </c>
      <c r="C37" s="426" t="s">
        <v>276</v>
      </c>
      <c r="D37" s="183">
        <v>750</v>
      </c>
      <c r="E37" s="109" t="s">
        <v>277</v>
      </c>
      <c r="O37" s="93"/>
      <c r="P37" s="147"/>
      <c r="Q37" s="322"/>
    </row>
    <row r="38" spans="1:18" ht="18.75">
      <c r="A38" s="102"/>
      <c r="B38" s="119" t="s">
        <v>612</v>
      </c>
      <c r="C38" s="426"/>
      <c r="D38" s="302">
        <f>+BB_1/6.895</f>
        <v>108.77447425670776</v>
      </c>
      <c r="E38" s="109" t="s">
        <v>613</v>
      </c>
      <c r="O38" s="93"/>
      <c r="P38" s="147"/>
      <c r="Q38" s="322"/>
    </row>
    <row r="39" spans="1:18" ht="18.75">
      <c r="A39" s="102"/>
      <c r="B39" s="119" t="s">
        <v>275</v>
      </c>
      <c r="C39" s="426"/>
      <c r="D39" s="302">
        <f>BB_1/100</f>
        <v>7.5</v>
      </c>
      <c r="E39" s="109" t="s">
        <v>614</v>
      </c>
      <c r="O39" s="93"/>
      <c r="P39" s="147"/>
      <c r="Q39" s="322"/>
    </row>
    <row r="40" spans="1:18" ht="18.75">
      <c r="A40" s="102"/>
      <c r="B40" s="119"/>
      <c r="C40" s="117"/>
      <c r="D40"/>
      <c r="E40" s="109"/>
      <c r="O40" s="93"/>
      <c r="P40" s="147"/>
      <c r="Q40" s="322"/>
    </row>
    <row r="41" spans="1:18" ht="18.75">
      <c r="A41" s="102"/>
      <c r="B41" s="119" t="s">
        <v>604</v>
      </c>
      <c r="C41" s="117"/>
      <c r="D41" s="314">
        <v>1.6</v>
      </c>
      <c r="E41" s="109"/>
      <c r="O41" s="93"/>
      <c r="P41" s="147"/>
      <c r="Q41" s="322"/>
    </row>
    <row r="42" spans="1:18" ht="18.75">
      <c r="A42" s="102"/>
      <c r="B42" s="119"/>
      <c r="C42" s="117"/>
      <c r="D42"/>
      <c r="E42" s="109"/>
      <c r="O42" s="93"/>
      <c r="P42" s="147"/>
      <c r="Q42" s="322"/>
    </row>
    <row r="43" spans="1:18" ht="18.75">
      <c r="A43" s="102"/>
      <c r="B43" s="119" t="s">
        <v>605</v>
      </c>
      <c r="C43" s="117"/>
      <c r="D43" s="302">
        <f>FS_parcial*gc</f>
        <v>2.4000000000000004</v>
      </c>
      <c r="E43" s="109"/>
      <c r="O43" s="93"/>
      <c r="P43" s="147"/>
      <c r="Q43" s="322"/>
    </row>
    <row r="44" spans="1:18" ht="18.75">
      <c r="A44" s="102"/>
      <c r="B44" s="119"/>
      <c r="C44" s="117"/>
      <c r="D44"/>
      <c r="E44" s="109"/>
      <c r="O44" s="93"/>
      <c r="P44" s="147"/>
      <c r="Q44" s="322"/>
    </row>
    <row r="45" spans="1:18" ht="18.75">
      <c r="A45" s="102"/>
      <c r="B45" s="119"/>
      <c r="C45" s="117"/>
      <c r="D45"/>
      <c r="E45" s="109"/>
      <c r="O45" s="93"/>
      <c r="P45" s="147"/>
      <c r="Q45" s="322"/>
    </row>
    <row r="46" spans="1:18" ht="18.75">
      <c r="A46" s="102"/>
      <c r="B46" s="119"/>
      <c r="C46" s="117"/>
      <c r="D46"/>
      <c r="E46" s="109"/>
      <c r="O46" s="93"/>
      <c r="P46" s="147"/>
      <c r="Q46" s="322"/>
    </row>
    <row r="47" spans="1:18" ht="18.75">
      <c r="A47" s="102"/>
      <c r="B47" s="119"/>
      <c r="C47" s="117"/>
      <c r="D47"/>
      <c r="E47" s="109"/>
      <c r="O47" s="93"/>
      <c r="P47" s="147"/>
      <c r="Q47" s="322"/>
    </row>
    <row r="48" spans="1:18" ht="18.75">
      <c r="A48" s="102"/>
      <c r="B48" s="119"/>
      <c r="C48" s="117"/>
      <c r="D48"/>
      <c r="E48" s="109"/>
      <c r="O48" s="93"/>
      <c r="P48" s="147"/>
      <c r="Q48" s="322"/>
    </row>
    <row r="49" spans="1:17" ht="18.75">
      <c r="A49" s="102"/>
      <c r="B49" s="119"/>
      <c r="C49" s="117"/>
      <c r="D49"/>
      <c r="E49" s="109"/>
      <c r="O49" s="93"/>
      <c r="P49" s="147"/>
      <c r="Q49" s="322"/>
    </row>
    <row r="50" spans="1:17" ht="15.75">
      <c r="A50" s="102"/>
      <c r="B50" s="106"/>
      <c r="C50" s="106"/>
      <c r="D50" s="106"/>
      <c r="E50" s="106"/>
      <c r="H50" s="141"/>
      <c r="O50" s="93"/>
      <c r="P50" s="147"/>
      <c r="Q50" s="322"/>
    </row>
    <row r="51" spans="1:17" ht="18.75">
      <c r="A51" s="102"/>
      <c r="B51" s="107" t="s">
        <v>592</v>
      </c>
      <c r="C51" s="142" t="s">
        <v>162</v>
      </c>
      <c r="D51" s="181">
        <v>150</v>
      </c>
      <c r="E51" s="133" t="s">
        <v>5</v>
      </c>
      <c r="H51" s="143"/>
    </row>
    <row r="52" spans="1:17" ht="17.25" customHeight="1">
      <c r="A52" s="102"/>
      <c r="B52" s="185"/>
      <c r="C52" s="142"/>
      <c r="D52" s="185"/>
      <c r="E52" s="133"/>
      <c r="H52" s="143"/>
    </row>
    <row r="53" spans="1:17" ht="18.75">
      <c r="A53" s="102"/>
      <c r="B53" s="107" t="s">
        <v>163</v>
      </c>
      <c r="C53" s="142" t="s">
        <v>162</v>
      </c>
      <c r="D53" s="184">
        <v>173.34170677345134</v>
      </c>
      <c r="E53" s="133" t="s">
        <v>5</v>
      </c>
      <c r="H53" s="143"/>
    </row>
    <row r="54" spans="1:17" ht="18.75">
      <c r="A54" s="102"/>
      <c r="B54" s="107" t="s">
        <v>164</v>
      </c>
      <c r="C54" s="142" t="s">
        <v>162</v>
      </c>
      <c r="D54" s="184">
        <v>194.27840654684678</v>
      </c>
      <c r="E54" s="133" t="s">
        <v>5</v>
      </c>
      <c r="H54" s="143"/>
    </row>
    <row r="55" spans="1:17" ht="18" customHeight="1">
      <c r="A55" s="102"/>
      <c r="B55" s="107" t="s">
        <v>165</v>
      </c>
      <c r="C55" s="142" t="s">
        <v>162</v>
      </c>
      <c r="D55" s="184"/>
      <c r="E55" s="133" t="s">
        <v>5</v>
      </c>
      <c r="H55" s="143"/>
    </row>
    <row r="56" spans="1:17" ht="7.5" customHeight="1">
      <c r="A56" s="102"/>
      <c r="B56" s="107"/>
      <c r="C56" s="142"/>
      <c r="D56" s="142"/>
      <c r="E56" s="133"/>
      <c r="H56" s="143"/>
    </row>
    <row r="57" spans="1:17" ht="5.25" customHeight="1">
      <c r="A57" s="102"/>
      <c r="B57" s="107"/>
      <c r="C57" s="142"/>
      <c r="D57" s="142"/>
      <c r="E57" s="133"/>
      <c r="H57" s="143"/>
    </row>
    <row r="58" spans="1:17" ht="7.5" customHeight="1">
      <c r="A58" s="102"/>
      <c r="B58" s="107"/>
      <c r="C58" s="142"/>
      <c r="D58" s="118"/>
      <c r="E58" s="133"/>
    </row>
    <row r="59" spans="1:17">
      <c r="A59" s="102"/>
      <c r="B59" s="102"/>
      <c r="C59" s="102"/>
      <c r="D59" s="102"/>
      <c r="E59" s="102"/>
    </row>
    <row r="60" spans="1:17" ht="18.75">
      <c r="A60" s="100" t="s">
        <v>166</v>
      </c>
      <c r="B60" s="102"/>
      <c r="C60" s="102"/>
      <c r="D60" s="102"/>
      <c r="E60" s="102"/>
    </row>
    <row r="61" spans="1:17">
      <c r="A61" s="102"/>
      <c r="B61" s="102"/>
      <c r="C61" s="102"/>
      <c r="D61" s="102"/>
      <c r="E61" s="102"/>
    </row>
    <row r="62" spans="1:17" ht="27" customHeight="1">
      <c r="A62" s="102"/>
      <c r="B62" s="102"/>
      <c r="C62" s="102"/>
      <c r="D62" s="102"/>
      <c r="E62" s="102"/>
    </row>
    <row r="63" spans="1:17" ht="33" customHeight="1">
      <c r="A63" s="102"/>
      <c r="B63" s="102"/>
      <c r="C63" s="102"/>
      <c r="D63" s="102"/>
      <c r="E63" s="102"/>
    </row>
    <row r="64" spans="1:17" ht="30" customHeight="1">
      <c r="A64" s="102"/>
      <c r="B64" s="102"/>
      <c r="C64" s="102"/>
      <c r="D64" s="102"/>
      <c r="E64" s="102"/>
    </row>
    <row r="65" spans="1:14" ht="23.25" customHeight="1">
      <c r="A65" s="102"/>
      <c r="B65" s="102"/>
      <c r="C65" s="102"/>
      <c r="D65" s="102"/>
      <c r="E65" s="102"/>
    </row>
    <row r="66" spans="1:14" ht="29.25" customHeight="1">
      <c r="A66" s="102"/>
      <c r="B66" s="102"/>
      <c r="C66" s="102"/>
      <c r="D66" s="102"/>
      <c r="E66" s="102"/>
    </row>
    <row r="67" spans="1:14" ht="33.75" customHeight="1">
      <c r="A67" s="102"/>
      <c r="B67" s="102"/>
      <c r="C67" s="102"/>
      <c r="D67" s="102"/>
      <c r="E67" s="102"/>
    </row>
    <row r="68" spans="1:14" ht="20.25" customHeight="1">
      <c r="A68" s="102"/>
      <c r="B68" s="106" t="s">
        <v>182</v>
      </c>
      <c r="C68" s="149" t="s">
        <v>183</v>
      </c>
      <c r="D68" s="150">
        <f>gf3_*Q1_</f>
        <v>160</v>
      </c>
      <c r="E68" s="151" t="s">
        <v>150</v>
      </c>
    </row>
    <row r="69" spans="1:14" ht="18.75">
      <c r="A69" s="102"/>
      <c r="B69" s="106" t="s">
        <v>186</v>
      </c>
      <c r="C69" s="149" t="s">
        <v>187</v>
      </c>
      <c r="D69" s="150">
        <f>2*PI()*(Mp+Mn)</f>
        <v>81.236753694831208</v>
      </c>
      <c r="E69" s="133" t="s">
        <v>150</v>
      </c>
    </row>
    <row r="70" spans="1:14" ht="18.75">
      <c r="A70" s="102"/>
      <c r="B70" s="106" t="s">
        <v>188</v>
      </c>
      <c r="C70" s="149" t="s">
        <v>189</v>
      </c>
      <c r="D70" s="150">
        <f>4*PI()*(Mp+Mn)/((1-a/(3*l)))</f>
        <v>181.35379685823213</v>
      </c>
      <c r="E70" s="133" t="s">
        <v>150</v>
      </c>
    </row>
    <row r="71" spans="1:14" ht="18.75">
      <c r="A71" s="102"/>
      <c r="B71" s="106" t="s">
        <v>190</v>
      </c>
      <c r="C71" s="149" t="s">
        <v>191</v>
      </c>
      <c r="D71" s="150">
        <f>IF(a_l&lt;=0.2,Pu_1+(Pu_2-Pu_1)*(a_l/0.2),Pu_2)</f>
        <v>181.35379685823213</v>
      </c>
      <c r="E71" s="133" t="s">
        <v>150</v>
      </c>
    </row>
    <row r="72" spans="1:14" ht="18.75">
      <c r="A72" s="102"/>
      <c r="B72" s="109" t="s">
        <v>192</v>
      </c>
      <c r="C72" s="149" t="s">
        <v>193</v>
      </c>
      <c r="D72" s="153">
        <f>Pu_3/Q1_ult</f>
        <v>1.1334612303639509</v>
      </c>
      <c r="E72" s="154" t="str">
        <f>IF(D72&gt;=1,"O.K","NO CUMPLE")</f>
        <v>O.K</v>
      </c>
    </row>
    <row r="73" spans="1:14">
      <c r="A73" s="102"/>
      <c r="B73" s="133"/>
      <c r="C73" s="155"/>
      <c r="D73" s="156"/>
      <c r="E73" s="157"/>
      <c r="N73"/>
    </row>
    <row r="74" spans="1:14">
      <c r="A74" s="102"/>
      <c r="B74" s="133"/>
      <c r="C74" s="155"/>
      <c r="D74" s="156"/>
      <c r="E74" s="157"/>
      <c r="N74"/>
    </row>
    <row r="75" spans="1:14">
      <c r="A75" s="102"/>
      <c r="B75" s="133"/>
      <c r="C75" s="155"/>
      <c r="D75" s="156"/>
      <c r="E75" s="157"/>
      <c r="N75"/>
    </row>
    <row r="76" spans="1:14" ht="18.75">
      <c r="A76" s="100" t="s">
        <v>195</v>
      </c>
      <c r="B76" s="133"/>
      <c r="C76" s="155"/>
      <c r="D76" s="156"/>
      <c r="E76" s="157"/>
      <c r="N76"/>
    </row>
    <row r="77" spans="1:14">
      <c r="A77" s="102"/>
      <c r="B77" s="133"/>
      <c r="C77" s="155"/>
      <c r="D77" s="156"/>
      <c r="E77" s="157"/>
      <c r="N77"/>
    </row>
    <row r="78" spans="1:14">
      <c r="A78" s="102"/>
      <c r="B78" s="133"/>
      <c r="C78" s="155"/>
      <c r="D78" s="156"/>
      <c r="E78" s="157"/>
      <c r="N78"/>
    </row>
    <row r="79" spans="1:14" ht="18.75">
      <c r="A79" s="102"/>
      <c r="B79" s="106" t="s">
        <v>196</v>
      </c>
      <c r="C79" s="133" t="s">
        <v>197</v>
      </c>
      <c r="D79" s="150">
        <f>0.5*k2_*fcd</f>
        <v>4.9727999999999994</v>
      </c>
      <c r="E79" s="133" t="s">
        <v>118</v>
      </c>
      <c r="N79"/>
    </row>
    <row r="80" spans="1:14" ht="31.5">
      <c r="A80" s="102"/>
      <c r="B80" s="159" t="s">
        <v>198</v>
      </c>
      <c r="C80" s="133" t="s">
        <v>199</v>
      </c>
      <c r="D80" s="150">
        <f>u0_1</f>
        <v>1294.4172750371329</v>
      </c>
      <c r="E80" s="133" t="s">
        <v>5</v>
      </c>
      <c r="N80"/>
    </row>
    <row r="81" spans="1:14" ht="18.75">
      <c r="A81" s="102"/>
      <c r="B81" s="106" t="s">
        <v>200</v>
      </c>
      <c r="C81" s="133" t="s">
        <v>201</v>
      </c>
      <c r="D81" s="150">
        <f>Q1_ult*1000/(u0_1*d)</f>
        <v>1.0987355079770724</v>
      </c>
      <c r="E81" s="133" t="s">
        <v>118</v>
      </c>
      <c r="N81"/>
    </row>
    <row r="82" spans="1:14" ht="18.75">
      <c r="A82" s="102"/>
      <c r="B82" s="109" t="s">
        <v>202</v>
      </c>
      <c r="C82" s="133" t="s">
        <v>203</v>
      </c>
      <c r="D82" s="153">
        <f>Pp_max1/Q1_ult</f>
        <v>4.5259300021673345</v>
      </c>
      <c r="E82" s="154" t="str">
        <f>IF(vmax&gt;vp_1,"O.K","No Cumple")</f>
        <v>O.K</v>
      </c>
      <c r="N82"/>
    </row>
    <row r="83" spans="1:14">
      <c r="A83" s="102"/>
      <c r="B83" s="133"/>
      <c r="C83" s="155"/>
      <c r="D83" s="156"/>
      <c r="E83" s="157"/>
      <c r="N83"/>
    </row>
    <row r="84" spans="1:14">
      <c r="A84" s="102"/>
      <c r="B84" s="133"/>
      <c r="C84" s="155"/>
      <c r="D84" s="156"/>
      <c r="E84" s="157"/>
      <c r="N84"/>
    </row>
    <row r="85" spans="1:14" ht="18.75">
      <c r="A85" s="102"/>
      <c r="B85" s="102" t="s">
        <v>204</v>
      </c>
      <c r="C85" s="133" t="s">
        <v>205</v>
      </c>
      <c r="D85" s="150">
        <f>u1_1</f>
        <v>2708.1339691525395</v>
      </c>
      <c r="E85" s="133" t="s">
        <v>5</v>
      </c>
      <c r="N85"/>
    </row>
    <row r="86" spans="1:14" ht="18.75">
      <c r="A86" s="102"/>
      <c r="B86" s="106" t="s">
        <v>206</v>
      </c>
      <c r="C86" s="133" t="s">
        <v>207</v>
      </c>
      <c r="D86" s="150">
        <f>+Pp_max5</f>
        <v>183.33756490685002</v>
      </c>
      <c r="E86" s="133" t="s">
        <v>150</v>
      </c>
      <c r="N86"/>
    </row>
    <row r="87" spans="1:14" ht="31.5">
      <c r="A87" s="102"/>
      <c r="B87" s="136" t="s">
        <v>208</v>
      </c>
      <c r="C87" s="133" t="s">
        <v>209</v>
      </c>
      <c r="D87" s="153">
        <f>Pp_max5/Q1_ult</f>
        <v>1.1458597806678126</v>
      </c>
      <c r="E87" s="154" t="str">
        <f>IF(D87&gt;=1,"O.K","NO CUMPLE")</f>
        <v>O.K</v>
      </c>
      <c r="N87"/>
    </row>
    <row r="88" spans="1:14">
      <c r="A88" s="102"/>
      <c r="B88" s="102"/>
      <c r="C88" s="102"/>
      <c r="D88" s="102"/>
      <c r="E88" s="102"/>
      <c r="N88"/>
    </row>
    <row r="89" spans="1:14">
      <c r="A89" s="102"/>
      <c r="B89" s="102"/>
      <c r="C89" s="102"/>
      <c r="D89" s="102"/>
      <c r="E89" s="102"/>
      <c r="N89"/>
    </row>
    <row r="90" spans="1:14" ht="18.75">
      <c r="A90" s="100" t="s">
        <v>210</v>
      </c>
      <c r="B90" s="102"/>
      <c r="C90" s="102"/>
      <c r="D90" s="102"/>
      <c r="E90" s="102"/>
    </row>
    <row r="91" spans="1:14">
      <c r="A91" s="102"/>
      <c r="B91" s="102"/>
      <c r="C91" s="102"/>
      <c r="D91" s="102"/>
      <c r="E91" s="102"/>
    </row>
    <row r="92" spans="1:14" ht="18.75" customHeight="1">
      <c r="A92" s="102"/>
      <c r="B92" s="102"/>
      <c r="C92" s="102"/>
      <c r="D92" s="102"/>
      <c r="E92" s="102"/>
    </row>
    <row r="93" spans="1:14">
      <c r="A93" s="102"/>
      <c r="B93" s="102"/>
      <c r="C93" s="102"/>
      <c r="D93" s="102"/>
      <c r="E93" s="102"/>
    </row>
    <row r="94" spans="1:14">
      <c r="A94" s="102"/>
      <c r="B94" s="102"/>
      <c r="C94" s="102"/>
      <c r="D94" s="102"/>
      <c r="E94" s="102"/>
    </row>
    <row r="95" spans="1:14">
      <c r="A95" s="102"/>
      <c r="B95" s="102"/>
      <c r="C95" s="102"/>
      <c r="D95" s="102"/>
      <c r="E95" s="102"/>
    </row>
    <row r="96" spans="1:14">
      <c r="A96" s="102"/>
      <c r="B96" s="102"/>
      <c r="C96" s="102"/>
      <c r="D96" s="102"/>
      <c r="E96" s="102"/>
    </row>
    <row r="97" spans="1:5">
      <c r="A97" s="102"/>
      <c r="B97" s="102"/>
      <c r="C97" s="102"/>
      <c r="D97" s="102"/>
      <c r="E97" s="102"/>
    </row>
    <row r="98" spans="1:5">
      <c r="A98" s="102"/>
      <c r="B98" s="102"/>
      <c r="C98" s="102"/>
      <c r="D98" s="102"/>
      <c r="E98" s="102"/>
    </row>
    <row r="99" spans="1:5">
      <c r="A99" s="102"/>
      <c r="B99" s="102"/>
      <c r="C99" s="102"/>
      <c r="D99" s="102"/>
      <c r="E99" s="102"/>
    </row>
    <row r="100" spans="1:5">
      <c r="A100" s="102"/>
      <c r="B100" s="102"/>
      <c r="C100" s="102"/>
      <c r="D100" s="102"/>
      <c r="E100" s="102"/>
    </row>
    <row r="101" spans="1:5">
      <c r="A101" s="102"/>
      <c r="B101" s="102"/>
      <c r="C101" s="102"/>
      <c r="D101" s="102"/>
      <c r="E101" s="102"/>
    </row>
    <row r="102" spans="1:5">
      <c r="A102" s="102"/>
      <c r="B102" s="102"/>
      <c r="C102" s="102"/>
    </row>
    <row r="103" spans="1:5" ht="31.5">
      <c r="A103" s="102"/>
      <c r="B103" s="159" t="s">
        <v>226</v>
      </c>
      <c r="C103" s="149" t="s">
        <v>227</v>
      </c>
      <c r="D103" s="150">
        <f>gf3_*Q1_*0.6</f>
        <v>96</v>
      </c>
      <c r="E103" s="133" t="s">
        <v>150</v>
      </c>
    </row>
    <row r="104" spans="1:5" ht="18.75">
      <c r="A104" s="102"/>
      <c r="B104" s="106" t="s">
        <v>186</v>
      </c>
      <c r="C104" s="149" t="s">
        <v>228</v>
      </c>
      <c r="D104" s="150">
        <f>(PI()*(Mp+Mn)/2)+2*Mn</f>
        <v>39.673020850353268</v>
      </c>
      <c r="E104" s="133" t="s">
        <v>150</v>
      </c>
    </row>
    <row r="105" spans="1:5" ht="18.75">
      <c r="A105" s="102"/>
      <c r="B105" s="106" t="s">
        <v>188</v>
      </c>
      <c r="C105" s="149" t="s">
        <v>231</v>
      </c>
      <c r="D105" s="150">
        <f>(PI()*(Mp+Mn)+4*Mn)/((1-(2*a)/(3*l)))</f>
        <v>100.21159868429284</v>
      </c>
      <c r="E105" s="133" t="s">
        <v>150</v>
      </c>
    </row>
    <row r="106" spans="1:5" ht="18.75">
      <c r="A106" s="102"/>
      <c r="B106" s="106" t="s">
        <v>190</v>
      </c>
      <c r="C106" s="149" t="s">
        <v>234</v>
      </c>
      <c r="D106" s="150">
        <f>IF(a_l&lt;=0.2,Pu_4+(Pu_5-Pu_4)*(a_l/0.2),Pu_5)</f>
        <v>100.21159868429284</v>
      </c>
      <c r="E106" s="133" t="s">
        <v>150</v>
      </c>
    </row>
    <row r="107" spans="1:5" ht="18.75">
      <c r="A107" s="102"/>
      <c r="B107" s="109" t="s">
        <v>236</v>
      </c>
      <c r="C107" s="149" t="s">
        <v>237</v>
      </c>
      <c r="D107" s="153">
        <f>Pu_6/Q1_ult_jb</f>
        <v>1.0438708196280504</v>
      </c>
      <c r="E107" s="154" t="str">
        <f>IF(D107&gt;=1,"O.K","NO CUMPLE")</f>
        <v>O.K</v>
      </c>
    </row>
    <row r="108" spans="1:5" ht="15.75">
      <c r="A108" s="102"/>
      <c r="B108" s="109"/>
      <c r="C108" s="149"/>
      <c r="D108" s="102"/>
      <c r="E108" s="154"/>
    </row>
    <row r="109" spans="1:5" ht="15.75" hidden="1" customHeight="1">
      <c r="A109" s="102"/>
      <c r="B109" s="109"/>
      <c r="C109" s="149"/>
      <c r="D109" s="102"/>
      <c r="E109" s="154"/>
    </row>
    <row r="110" spans="1:5" ht="15" hidden="1" customHeight="1">
      <c r="A110" s="102"/>
      <c r="B110" s="102"/>
      <c r="C110" s="102"/>
      <c r="D110" s="102"/>
      <c r="E110" s="102"/>
    </row>
    <row r="111" spans="1:5" ht="18.75">
      <c r="A111" s="100" t="s">
        <v>195</v>
      </c>
      <c r="B111" s="109"/>
      <c r="C111" s="149"/>
      <c r="D111" s="102"/>
      <c r="E111" s="154"/>
    </row>
    <row r="112" spans="1:5" ht="15.75">
      <c r="A112" s="102"/>
      <c r="B112" s="109"/>
      <c r="C112" s="149"/>
      <c r="D112" s="102"/>
      <c r="E112" s="154"/>
    </row>
    <row r="113" spans="1:12" ht="15.75">
      <c r="A113" s="102"/>
      <c r="B113" s="109"/>
      <c r="C113" s="149"/>
      <c r="D113" s="102"/>
      <c r="E113" s="154"/>
    </row>
    <row r="114" spans="1:12" ht="15.75">
      <c r="A114" s="102"/>
      <c r="B114" s="109"/>
      <c r="C114" s="149"/>
      <c r="D114" s="102"/>
      <c r="E114" s="154"/>
    </row>
    <row r="115" spans="1:12" ht="18.75">
      <c r="A115" s="102"/>
      <c r="B115" s="106" t="s">
        <v>196</v>
      </c>
      <c r="C115" s="133" t="s">
        <v>197</v>
      </c>
      <c r="D115" s="150">
        <f>0.5*k2_*fcd</f>
        <v>4.9727999999999994</v>
      </c>
      <c r="E115" s="133" t="s">
        <v>118</v>
      </c>
    </row>
    <row r="116" spans="1:12" ht="31.5">
      <c r="A116" s="102"/>
      <c r="B116" s="159" t="s">
        <v>214</v>
      </c>
      <c r="C116" s="133" t="s">
        <v>215</v>
      </c>
      <c r="D116" s="150">
        <f>u0_2</f>
        <v>970.81295627784971</v>
      </c>
      <c r="E116" s="133" t="s">
        <v>5</v>
      </c>
      <c r="J116" s="112"/>
      <c r="K116" s="177"/>
      <c r="L116" s="112"/>
    </row>
    <row r="117" spans="1:12" ht="31.5" hidden="1" customHeight="1">
      <c r="A117" s="102"/>
      <c r="B117" s="159" t="s">
        <v>216</v>
      </c>
      <c r="C117" s="133" t="s">
        <v>217</v>
      </c>
      <c r="D117" s="150">
        <f>u0_3</f>
        <v>970.81295627784971</v>
      </c>
      <c r="E117" s="133" t="s">
        <v>5</v>
      </c>
      <c r="J117" s="112"/>
      <c r="K117" s="147"/>
      <c r="L117" s="112"/>
    </row>
    <row r="118" spans="1:12" ht="18.75">
      <c r="A118" s="102"/>
      <c r="B118" s="106" t="s">
        <v>220</v>
      </c>
      <c r="C118" s="133" t="s">
        <v>221</v>
      </c>
      <c r="D118" s="150">
        <f>Q1_ult_jb*1000/(u0_2*d)</f>
        <v>0.87898840638165798</v>
      </c>
      <c r="E118" s="133" t="s">
        <v>118</v>
      </c>
      <c r="J118" s="112"/>
      <c r="K118" s="147"/>
      <c r="L118" s="112"/>
    </row>
    <row r="119" spans="1:12" ht="18.75" hidden="1" customHeight="1">
      <c r="A119" s="102"/>
      <c r="B119" s="106" t="s">
        <v>222</v>
      </c>
      <c r="C119" s="133" t="s">
        <v>223</v>
      </c>
      <c r="D119" s="150">
        <f>Q1_ult_jb*1000/(u0_3*d)</f>
        <v>0.87898840638165798</v>
      </c>
      <c r="E119" s="133" t="s">
        <v>118</v>
      </c>
      <c r="J119" s="112"/>
      <c r="K119" s="147"/>
      <c r="L119" s="112"/>
    </row>
    <row r="120" spans="1:12" ht="18.75">
      <c r="A120" s="102"/>
      <c r="B120" s="109" t="s">
        <v>252</v>
      </c>
      <c r="C120" s="133" t="s">
        <v>253</v>
      </c>
      <c r="D120" s="153">
        <f>Pp_max2/Q1_ult_jb</f>
        <v>5.6574125027091684</v>
      </c>
      <c r="E120" s="154" t="str">
        <f>IF(vmax&gt;vp_1,"O.K","No Cumple")</f>
        <v>O.K</v>
      </c>
      <c r="J120" s="112"/>
      <c r="K120" s="147"/>
      <c r="L120" s="112"/>
    </row>
    <row r="121" spans="1:12" ht="15.75">
      <c r="A121" s="102"/>
      <c r="B121" s="109"/>
      <c r="C121" s="149"/>
      <c r="D121" s="102"/>
      <c r="E121" s="154"/>
      <c r="J121" s="112"/>
      <c r="K121" s="147"/>
      <c r="L121" s="112"/>
    </row>
    <row r="122" spans="1:12" ht="18.75">
      <c r="A122" s="102"/>
      <c r="B122" s="106" t="s">
        <v>240</v>
      </c>
      <c r="C122" s="133" t="s">
        <v>241</v>
      </c>
      <c r="D122" s="150">
        <f>u1_2</f>
        <v>1354.0669845762698</v>
      </c>
      <c r="E122" s="133" t="s">
        <v>5</v>
      </c>
      <c r="I122" s="93"/>
      <c r="J122" s="112"/>
      <c r="K122" s="147"/>
      <c r="L122" s="112"/>
    </row>
    <row r="123" spans="1:12" ht="18.75" hidden="1" customHeight="1">
      <c r="A123" s="102"/>
      <c r="B123" s="106" t="s">
        <v>242</v>
      </c>
      <c r="C123" s="133" t="s">
        <v>243</v>
      </c>
      <c r="D123" s="150">
        <f>u1_3</f>
        <v>1354.0669845762698</v>
      </c>
      <c r="E123" s="133" t="s">
        <v>5</v>
      </c>
      <c r="I123" s="93"/>
      <c r="J123" s="112"/>
      <c r="K123" s="147"/>
      <c r="L123" s="112"/>
    </row>
    <row r="124" spans="1:12" ht="18.75">
      <c r="A124" s="102"/>
      <c r="B124" s="106" t="s">
        <v>246</v>
      </c>
      <c r="C124" s="133" t="s">
        <v>247</v>
      </c>
      <c r="D124" s="150">
        <f>+Pp_max6</f>
        <v>91.66878245342501</v>
      </c>
      <c r="E124" s="133" t="s">
        <v>150</v>
      </c>
      <c r="J124" s="112"/>
      <c r="K124" s="147"/>
      <c r="L124" s="112"/>
    </row>
    <row r="125" spans="1:12" ht="18.75" hidden="1" customHeight="1">
      <c r="A125" s="102"/>
      <c r="B125" s="106" t="s">
        <v>248</v>
      </c>
      <c r="C125" s="133" t="s">
        <v>249</v>
      </c>
      <c r="D125" s="150">
        <f>+Pp_max7</f>
        <v>91.66878245342501</v>
      </c>
      <c r="E125" s="112" t="s">
        <v>150</v>
      </c>
      <c r="J125" s="112"/>
      <c r="K125" s="147"/>
      <c r="L125" s="112"/>
    </row>
    <row r="126" spans="1:12" ht="31.5">
      <c r="A126" s="102"/>
      <c r="B126" s="136" t="s">
        <v>254</v>
      </c>
      <c r="C126" s="163" t="s">
        <v>255</v>
      </c>
      <c r="D126" s="153">
        <f>Pp_max6/Q1_ult_jb</f>
        <v>0.95488315055651052</v>
      </c>
      <c r="E126" s="154" t="str">
        <f>IF(D126&gt;=1,"O.K","NO CUMPLE")</f>
        <v>NO CUMPLE</v>
      </c>
      <c r="J126" s="112"/>
      <c r="K126" s="147"/>
      <c r="L126" s="112"/>
    </row>
    <row r="127" spans="1:12" ht="15.75">
      <c r="A127" s="102"/>
      <c r="B127" s="109"/>
      <c r="C127" s="149"/>
      <c r="D127" s="102"/>
      <c r="E127" s="154"/>
      <c r="J127" s="112"/>
      <c r="K127" s="147"/>
      <c r="L127" s="112"/>
    </row>
    <row r="128" spans="1:12" ht="15.75">
      <c r="A128" s="102"/>
      <c r="B128" s="109"/>
      <c r="C128" s="149"/>
      <c r="D128" s="102"/>
      <c r="E128" s="154"/>
      <c r="J128" s="112"/>
      <c r="K128" s="147"/>
      <c r="L128" s="112"/>
    </row>
    <row r="129" spans="1:5" ht="18.75">
      <c r="A129" s="100" t="s">
        <v>256</v>
      </c>
      <c r="B129" s="102"/>
      <c r="C129" s="102"/>
      <c r="D129" s="102"/>
      <c r="E129" s="102"/>
    </row>
    <row r="130" spans="1:5">
      <c r="A130" s="102"/>
      <c r="B130" s="102"/>
      <c r="C130" s="102"/>
      <c r="D130" s="102"/>
      <c r="E130" s="102"/>
    </row>
    <row r="131" spans="1:5">
      <c r="A131" s="102"/>
      <c r="B131" s="102"/>
      <c r="C131" s="102"/>
      <c r="D131" s="102"/>
      <c r="E131" s="102"/>
    </row>
    <row r="132" spans="1:5">
      <c r="A132" s="102"/>
      <c r="B132" s="102"/>
      <c r="C132" s="102"/>
      <c r="D132" s="102"/>
      <c r="E132" s="102"/>
    </row>
    <row r="133" spans="1:5">
      <c r="A133" s="102"/>
      <c r="B133" s="102"/>
      <c r="C133" s="102"/>
      <c r="D133" s="102"/>
      <c r="E133" s="102"/>
    </row>
    <row r="134" spans="1:5">
      <c r="A134" s="102"/>
      <c r="B134" s="102"/>
      <c r="C134" s="102"/>
      <c r="D134" s="102"/>
      <c r="E134" s="102"/>
    </row>
    <row r="135" spans="1:5">
      <c r="A135" s="102"/>
      <c r="B135" s="102"/>
      <c r="C135" s="102"/>
      <c r="D135" s="102"/>
      <c r="E135" s="102"/>
    </row>
    <row r="136" spans="1:5">
      <c r="A136" s="102"/>
      <c r="B136" s="102"/>
      <c r="C136" s="102"/>
      <c r="D136" s="102"/>
      <c r="E136" s="102"/>
    </row>
    <row r="137" spans="1:5">
      <c r="A137" s="102"/>
      <c r="B137" s="102"/>
      <c r="C137" s="102"/>
      <c r="D137" s="102"/>
      <c r="E137" s="102"/>
    </row>
    <row r="138" spans="1:5">
      <c r="A138" s="102"/>
      <c r="B138" s="102"/>
      <c r="C138" s="102"/>
      <c r="D138" s="102"/>
      <c r="E138" s="102"/>
    </row>
    <row r="139" spans="1:5">
      <c r="A139" s="102"/>
      <c r="B139" s="102"/>
      <c r="C139" s="102"/>
      <c r="D139" s="102"/>
      <c r="E139" s="102"/>
    </row>
    <row r="140" spans="1:5">
      <c r="A140" s="102"/>
      <c r="B140" s="102"/>
      <c r="C140" s="102"/>
      <c r="D140" s="102"/>
      <c r="E140" s="102"/>
    </row>
    <row r="141" spans="1:5">
      <c r="A141" s="102"/>
      <c r="B141" s="102"/>
      <c r="C141" s="102"/>
      <c r="D141" s="102"/>
      <c r="E141" s="102"/>
    </row>
    <row r="142" spans="1:5" ht="31.5">
      <c r="A142" s="102"/>
      <c r="B142" s="159" t="s">
        <v>257</v>
      </c>
      <c r="C142" s="149" t="s">
        <v>258</v>
      </c>
      <c r="D142" s="150">
        <f>gf3_*Q1_*0.6</f>
        <v>96</v>
      </c>
      <c r="E142" s="133" t="s">
        <v>150</v>
      </c>
    </row>
    <row r="143" spans="1:5" ht="18.75">
      <c r="A143" s="102"/>
      <c r="B143" s="106" t="s">
        <v>186</v>
      </c>
      <c r="C143" s="149" t="s">
        <v>259</v>
      </c>
      <c r="D143" s="150">
        <f>2*Mn</f>
        <v>19.363832426645466</v>
      </c>
      <c r="E143" s="133" t="s">
        <v>150</v>
      </c>
    </row>
    <row r="144" spans="1:5" ht="18.75">
      <c r="A144" s="102"/>
      <c r="B144" s="106" t="s">
        <v>188</v>
      </c>
      <c r="C144" s="149" t="s">
        <v>260</v>
      </c>
      <c r="D144" s="150">
        <f>4*Mn/((1-a_l))</f>
        <v>56.316607682507943</v>
      </c>
      <c r="E144" s="133" t="s">
        <v>150</v>
      </c>
    </row>
    <row r="145" spans="1:5" ht="18.75">
      <c r="A145" s="102"/>
      <c r="B145" s="106" t="s">
        <v>190</v>
      </c>
      <c r="C145" s="149" t="s">
        <v>261</v>
      </c>
      <c r="D145" s="150">
        <f>IF(a_l&lt;=0.2,Pu_7+(Pu_8-Pu_7)*(a_l/0.2),Pu_8)</f>
        <v>56.316607682507943</v>
      </c>
      <c r="E145" s="133" t="s">
        <v>150</v>
      </c>
    </row>
    <row r="146" spans="1:5" ht="18.75">
      <c r="A146" s="102"/>
      <c r="B146" s="109" t="s">
        <v>262</v>
      </c>
      <c r="C146" s="149" t="s">
        <v>263</v>
      </c>
      <c r="D146" s="164">
        <f>Pu_9/Q1_ult_ep</f>
        <v>0.58663133002612444</v>
      </c>
      <c r="E146" s="154" t="str">
        <f>IF(D146&gt;=1,"O.K","NO CUMPLE")</f>
        <v>NO CUMPLE</v>
      </c>
    </row>
    <row r="147" spans="1:5">
      <c r="A147" s="102"/>
      <c r="B147" s="102"/>
      <c r="C147" s="102"/>
      <c r="D147" s="102"/>
      <c r="E147" s="154"/>
    </row>
    <row r="148" spans="1:5">
      <c r="A148" s="102"/>
      <c r="B148" s="102"/>
      <c r="C148" s="102"/>
      <c r="D148" s="102"/>
      <c r="E148" s="102"/>
    </row>
    <row r="149" spans="1:5">
      <c r="B149" s="102"/>
      <c r="C149" s="102"/>
      <c r="D149" s="102"/>
      <c r="E149" s="102"/>
    </row>
    <row r="150" spans="1:5" ht="18.75">
      <c r="A150" s="100" t="s">
        <v>195</v>
      </c>
      <c r="B150" s="102"/>
      <c r="C150" s="102"/>
      <c r="D150" s="102"/>
      <c r="E150" s="102"/>
    </row>
    <row r="151" spans="1:5" ht="18.75">
      <c r="A151" s="102"/>
      <c r="B151" s="165"/>
      <c r="C151" s="165"/>
      <c r="D151" s="165"/>
      <c r="E151" s="102"/>
    </row>
    <row r="152" spans="1:5" ht="19.5" customHeight="1">
      <c r="A152" s="102"/>
      <c r="B152" s="421"/>
      <c r="C152" s="421"/>
      <c r="D152" s="421"/>
      <c r="E152" s="102"/>
    </row>
    <row r="153" spans="1:5" ht="18.75" customHeight="1">
      <c r="A153" s="102"/>
      <c r="B153" s="421"/>
      <c r="C153" s="421"/>
      <c r="D153" s="421"/>
      <c r="E153" s="102"/>
    </row>
    <row r="154" spans="1:5" ht="17.25" customHeight="1">
      <c r="A154" s="102"/>
      <c r="B154" s="106" t="s">
        <v>196</v>
      </c>
      <c r="C154" s="133" t="s">
        <v>197</v>
      </c>
      <c r="D154" s="150">
        <f>0.5*k2_*fcd</f>
        <v>4.9727999999999994</v>
      </c>
      <c r="E154" s="133" t="s">
        <v>118</v>
      </c>
    </row>
    <row r="155" spans="1:5" ht="15" customHeight="1">
      <c r="A155" s="102"/>
      <c r="B155" s="136" t="s">
        <v>218</v>
      </c>
      <c r="C155" s="133" t="s">
        <v>219</v>
      </c>
      <c r="D155" s="150">
        <f>u0_4</f>
        <v>647.20863751856643</v>
      </c>
      <c r="E155" s="133" t="s">
        <v>5</v>
      </c>
    </row>
    <row r="156" spans="1:5" ht="18.75">
      <c r="A156" s="102"/>
      <c r="B156" s="136" t="s">
        <v>224</v>
      </c>
      <c r="C156" s="133" t="s">
        <v>225</v>
      </c>
      <c r="D156" s="150">
        <f>Q1_ult_ep*1000/(u0_4*d)</f>
        <v>1.3184826095724869</v>
      </c>
      <c r="E156" s="133" t="s">
        <v>118</v>
      </c>
    </row>
    <row r="157" spans="1:5" ht="18.75">
      <c r="A157" s="100"/>
      <c r="B157" s="109" t="s">
        <v>264</v>
      </c>
      <c r="C157" s="133" t="s">
        <v>279</v>
      </c>
      <c r="D157" s="153">
        <f>Pp_max4/Q1_ult_ep</f>
        <v>3.7716083351394456</v>
      </c>
      <c r="E157" s="154" t="str">
        <f>IF(vmax&gt;vp_1,"O.K","No Cumple")</f>
        <v>O.K</v>
      </c>
    </row>
    <row r="158" spans="1:5">
      <c r="A158" s="102"/>
      <c r="B158" s="102"/>
      <c r="C158" s="102"/>
      <c r="D158" s="102"/>
      <c r="E158" s="102"/>
    </row>
    <row r="159" spans="1:5" ht="18.75">
      <c r="A159" s="166"/>
      <c r="B159" s="136" t="s">
        <v>244</v>
      </c>
      <c r="C159" s="133" t="s">
        <v>245</v>
      </c>
      <c r="D159" s="150">
        <f>u1_4</f>
        <v>1000.6378110474182</v>
      </c>
      <c r="E159" s="133" t="s">
        <v>5</v>
      </c>
    </row>
    <row r="160" spans="1:5" ht="31.5">
      <c r="A160" s="102"/>
      <c r="B160" s="136" t="s">
        <v>250</v>
      </c>
      <c r="C160" s="133" t="s">
        <v>251</v>
      </c>
      <c r="D160" s="150">
        <f>+Pp_max8</f>
        <v>67.74203260282691</v>
      </c>
      <c r="E160" s="133" t="s">
        <v>150</v>
      </c>
    </row>
    <row r="161" spans="1:12" ht="31.5">
      <c r="A161" s="102"/>
      <c r="B161" s="136" t="s">
        <v>266</v>
      </c>
      <c r="C161" s="163" t="s">
        <v>267</v>
      </c>
      <c r="D161" s="153">
        <f>Pp_max8/Q1_ult_ep</f>
        <v>0.70564617294611365</v>
      </c>
      <c r="E161" s="154" t="str">
        <f>IF(D161&gt;=1,"O.K","NO CUMPLE")</f>
        <v>NO CUMPLE</v>
      </c>
    </row>
    <row r="162" spans="1:12">
      <c r="A162" s="102"/>
      <c r="B162" s="102"/>
      <c r="C162" s="102"/>
      <c r="D162" s="102"/>
      <c r="E162" s="102"/>
    </row>
    <row r="163" spans="1:12" ht="15.75">
      <c r="A163" s="102"/>
      <c r="B163" s="136"/>
      <c r="C163" s="163"/>
      <c r="D163" s="102"/>
      <c r="E163" s="154"/>
    </row>
    <row r="164" spans="1:12" hidden="1">
      <c r="A164" s="102"/>
      <c r="B164" s="102"/>
      <c r="C164" s="102"/>
      <c r="D164" s="102"/>
      <c r="E164" s="102"/>
    </row>
    <row r="167" spans="1:12" ht="15.75" hidden="1">
      <c r="H167" s="91" t="s">
        <v>281</v>
      </c>
      <c r="I167" s="99">
        <f>MIN(Pu_3/Q1_ult,Pp_max1/Q1_ult,Pp_max5/Q1_ult)</f>
        <v>1.1334612303639509</v>
      </c>
      <c r="J167" s="319" t="s">
        <v>598</v>
      </c>
      <c r="K167" s="97"/>
      <c r="L167" s="98"/>
    </row>
    <row r="168" spans="1:12" hidden="1">
      <c r="H168" s="91" t="s">
        <v>280</v>
      </c>
      <c r="I168" s="99">
        <f>MIN(Pu_6/Q1_ult_jb,Pp_max2/Q1_ult_jb,Pp_max6/Q1_ult_jb)</f>
        <v>0.95488315055651052</v>
      </c>
      <c r="J168" s="305" t="s">
        <v>611</v>
      </c>
    </row>
    <row r="169" spans="1:12" ht="15.75" hidden="1">
      <c r="H169" s="91" t="s">
        <v>282</v>
      </c>
      <c r="I169" s="97">
        <f>MIN(Pu_9/Q1_ult_ep,Pp_max4/Q1_ult_ep,Pp_max8/Q1_ult_ep)</f>
        <v>0.58663133002612444</v>
      </c>
      <c r="J169" s="318">
        <v>1</v>
      </c>
      <c r="K169" s="97"/>
      <c r="L169" s="98"/>
    </row>
    <row r="170" spans="1:12" ht="15.75" hidden="1">
      <c r="I170" s="93"/>
      <c r="J170" s="103"/>
      <c r="K170" s="104"/>
      <c r="L170" s="105"/>
    </row>
    <row r="171" spans="1:12" ht="18.75" hidden="1">
      <c r="I171" s="91" t="s">
        <v>116</v>
      </c>
      <c r="J171" s="170" t="s">
        <v>117</v>
      </c>
      <c r="K171" s="111">
        <f>1.47*fck-6.6</f>
        <v>34.559999999999995</v>
      </c>
      <c r="L171" s="112" t="s">
        <v>118</v>
      </c>
    </row>
    <row r="172" spans="1:12" ht="18.75" hidden="1">
      <c r="I172" s="91" t="s">
        <v>119</v>
      </c>
      <c r="J172" s="170" t="s">
        <v>120</v>
      </c>
      <c r="K172" s="111">
        <f>+fck+8</f>
        <v>36</v>
      </c>
      <c r="L172" s="112" t="s">
        <v>118</v>
      </c>
    </row>
    <row r="173" spans="1:12" ht="18.75" hidden="1">
      <c r="I173" s="91" t="s">
        <v>122</v>
      </c>
      <c r="J173" s="170" t="s">
        <v>123</v>
      </c>
      <c r="K173" s="116">
        <f>0.3*fck^(2/3)</f>
        <v>2.7662617752350669</v>
      </c>
      <c r="L173" s="112" t="s">
        <v>118</v>
      </c>
    </row>
    <row r="174" spans="1:12" ht="18.75" hidden="1">
      <c r="I174" s="91" t="s">
        <v>124</v>
      </c>
      <c r="J174" s="170" t="s">
        <v>125</v>
      </c>
      <c r="K174" s="116">
        <f>0.7*fctm</f>
        <v>1.9363832426645466</v>
      </c>
      <c r="L174" s="112" t="s">
        <v>118</v>
      </c>
    </row>
    <row r="175" spans="1:12" ht="18.75" hidden="1">
      <c r="I175" s="91" t="s">
        <v>127</v>
      </c>
      <c r="J175" s="170" t="s">
        <v>128</v>
      </c>
      <c r="K175" s="111">
        <f>22*(fcm/10)^0.3*1000</f>
        <v>32308.249722965833</v>
      </c>
      <c r="L175" s="112" t="s">
        <v>118</v>
      </c>
    </row>
    <row r="176" spans="1:12" ht="18.75" hidden="1">
      <c r="I176" s="93" t="s">
        <v>129</v>
      </c>
      <c r="J176" s="170" t="s">
        <v>130</v>
      </c>
      <c r="K176" s="116">
        <f>MIN(2,(1+(200/h)^0.5))*fctk_0.05</f>
        <v>3.8727664853290933</v>
      </c>
      <c r="L176" s="112" t="s">
        <v>118</v>
      </c>
    </row>
    <row r="177" spans="9:12" ht="15.75" hidden="1">
      <c r="I177" s="93" t="s">
        <v>134</v>
      </c>
      <c r="J177" s="171" t="s">
        <v>135</v>
      </c>
      <c r="K177" s="116">
        <f>0.75*h</f>
        <v>112.5</v>
      </c>
      <c r="L177" s="112" t="s">
        <v>5</v>
      </c>
    </row>
    <row r="178" spans="9:12" ht="18.75" hidden="1">
      <c r="I178" s="110" t="s">
        <v>136</v>
      </c>
      <c r="J178" s="170" t="s">
        <v>137</v>
      </c>
      <c r="K178" s="121">
        <f>IF(1+(200/d)^0.5&lt;2,1+(200/d)^0.5,2)</f>
        <v>2</v>
      </c>
      <c r="L178" s="122"/>
    </row>
    <row r="179" spans="9:12" ht="18.75" hidden="1">
      <c r="I179" s="91" t="s">
        <v>138</v>
      </c>
      <c r="J179" s="172" t="s">
        <v>139</v>
      </c>
      <c r="K179" s="121">
        <f>0.035*k1_^(3/2)*fck^(1/2)</f>
        <v>0.52383203414835178</v>
      </c>
      <c r="L179" s="124" t="s">
        <v>118</v>
      </c>
    </row>
    <row r="180" spans="9:12" ht="18.75" hidden="1">
      <c r="I180" s="91" t="s">
        <v>141</v>
      </c>
      <c r="J180" s="170" t="s">
        <v>142</v>
      </c>
      <c r="K180" s="126">
        <f>Ecm*h^3/(12*(1-n^2))/1000000</f>
        <v>9465.307536025146</v>
      </c>
      <c r="L180" s="124" t="s">
        <v>143</v>
      </c>
    </row>
    <row r="181" spans="9:12" ht="15.75" hidden="1">
      <c r="I181" s="91" t="s">
        <v>144</v>
      </c>
      <c r="J181" s="171" t="s">
        <v>145</v>
      </c>
      <c r="K181" s="121">
        <f>(Ecm*h^3/(12*(1-n^2)*k))^0.25</f>
        <v>659.6159994206896</v>
      </c>
      <c r="L181" s="124" t="s">
        <v>5</v>
      </c>
    </row>
    <row r="182" spans="9:12" ht="18.75" hidden="1">
      <c r="I182" s="91" t="s">
        <v>146</v>
      </c>
      <c r="J182" s="170" t="s">
        <v>147</v>
      </c>
      <c r="K182" s="121">
        <f>IF(Dfb&gt;0,4.36*Dfb+16.1,0)</f>
        <v>33.540000000000006</v>
      </c>
      <c r="L182" s="124" t="s">
        <v>12</v>
      </c>
    </row>
    <row r="183" spans="9:12" ht="18.75" hidden="1">
      <c r="I183" s="93" t="s">
        <v>148</v>
      </c>
      <c r="J183" s="171" t="s">
        <v>149</v>
      </c>
      <c r="K183" s="116">
        <f>fctk_fl/gc*(h^2/6)/1000</f>
        <v>9.681916213322733</v>
      </c>
      <c r="L183" s="124" t="s">
        <v>150</v>
      </c>
    </row>
    <row r="184" spans="9:12" ht="18.75" hidden="1">
      <c r="I184" s="93" t="s">
        <v>151</v>
      </c>
      <c r="J184" s="171" t="s">
        <v>152</v>
      </c>
      <c r="K184" s="116">
        <f>fctk_fl/gc*(Re_3/100)*(h^2/6)/1000</f>
        <v>3.247314697948446</v>
      </c>
      <c r="L184" s="124" t="s">
        <v>150</v>
      </c>
    </row>
    <row r="185" spans="9:12" hidden="1">
      <c r="J185" s="173"/>
    </row>
    <row r="186" spans="9:12" hidden="1">
      <c r="I186" s="93" t="s">
        <v>153</v>
      </c>
      <c r="J186" s="174" t="s">
        <v>154</v>
      </c>
      <c r="K186" s="175">
        <f>+a/l</f>
        <v>0.31232248448587174</v>
      </c>
      <c r="L186" s="124"/>
    </row>
    <row r="187" spans="9:12" hidden="1">
      <c r="I187" s="93"/>
      <c r="J187" s="129"/>
      <c r="K187" s="130"/>
      <c r="L187" s="105"/>
    </row>
    <row r="188" spans="9:12" hidden="1">
      <c r="I188" s="419" t="s">
        <v>155</v>
      </c>
      <c r="J188" s="419"/>
      <c r="K188" s="419"/>
      <c r="L188" s="419"/>
    </row>
    <row r="193" spans="9:12" ht="15.75" hidden="1">
      <c r="I193" s="93">
        <f>150*150/1000000</f>
        <v>2.2499999999999999E-2</v>
      </c>
      <c r="J193" s="96"/>
      <c r="K193" s="138"/>
      <c r="L193" s="112"/>
    </row>
    <row r="194" spans="9:12" hidden="1">
      <c r="I194" s="91">
        <f>10000/1000000</f>
        <v>0.01</v>
      </c>
    </row>
    <row r="195" spans="9:12" hidden="1">
      <c r="I195" s="91">
        <f>60/0.01</f>
        <v>6000</v>
      </c>
    </row>
    <row r="202" spans="9:12" ht="15.75" hidden="1">
      <c r="I202" s="93"/>
      <c r="J202" s="96"/>
      <c r="K202" s="138"/>
      <c r="L202" s="112"/>
    </row>
    <row r="203" spans="9:12" ht="15.75" hidden="1">
      <c r="I203" s="93"/>
      <c r="J203" s="96"/>
      <c r="K203" s="138"/>
      <c r="L203" s="112"/>
    </row>
    <row r="204" spans="9:12" hidden="1">
      <c r="I204" s="144" t="s">
        <v>167</v>
      </c>
      <c r="K204" s="145"/>
      <c r="L204" s="112"/>
    </row>
    <row r="205" spans="9:12" ht="15.75" hidden="1">
      <c r="I205" s="91" t="s">
        <v>168</v>
      </c>
      <c r="J205" s="176" t="s">
        <v>169</v>
      </c>
      <c r="K205" s="147">
        <v>0.2</v>
      </c>
      <c r="L205" s="112"/>
    </row>
    <row r="206" spans="9:12" ht="30" hidden="1">
      <c r="I206" s="148" t="s">
        <v>170</v>
      </c>
      <c r="J206" s="176" t="s">
        <v>171</v>
      </c>
      <c r="K206" s="145">
        <v>1.05</v>
      </c>
      <c r="L206" s="112"/>
    </row>
    <row r="207" spans="9:12" ht="30" hidden="1">
      <c r="I207" s="148" t="s">
        <v>172</v>
      </c>
      <c r="J207" s="176" t="s">
        <v>173</v>
      </c>
      <c r="K207" s="145">
        <v>1.1499999999999999</v>
      </c>
      <c r="L207" s="112"/>
    </row>
    <row r="208" spans="9:12" ht="30" hidden="1">
      <c r="I208" s="148" t="s">
        <v>174</v>
      </c>
      <c r="J208" s="176" t="s">
        <v>175</v>
      </c>
      <c r="K208" s="145">
        <v>1.5</v>
      </c>
      <c r="L208" s="112"/>
    </row>
    <row r="209" spans="9:13" ht="18.75" hidden="1">
      <c r="I209" s="148" t="s">
        <v>176</v>
      </c>
      <c r="J209" s="176" t="s">
        <v>177</v>
      </c>
      <c r="K209" s="145">
        <v>1.2</v>
      </c>
    </row>
    <row r="210" spans="9:13" ht="30" hidden="1">
      <c r="I210" s="148" t="s">
        <v>178</v>
      </c>
      <c r="J210" s="176" t="s">
        <v>179</v>
      </c>
      <c r="K210" s="145">
        <v>1.5</v>
      </c>
    </row>
    <row r="211" spans="9:13" ht="30" hidden="1">
      <c r="I211" s="148" t="s">
        <v>180</v>
      </c>
      <c r="J211" s="176" t="s">
        <v>181</v>
      </c>
      <c r="K211" s="145">
        <v>1.6</v>
      </c>
    </row>
    <row r="212" spans="9:13" ht="15.75" hidden="1">
      <c r="I212" s="148" t="s">
        <v>184</v>
      </c>
      <c r="J212" s="171" t="s">
        <v>185</v>
      </c>
      <c r="K212" s="147">
        <f>SQRT((Q1_/BB_1)/PI())*1000</f>
        <v>206.01290774570111</v>
      </c>
      <c r="L212" s="112" t="s">
        <v>5</v>
      </c>
    </row>
    <row r="217" spans="9:13" hidden="1">
      <c r="I217" s="158"/>
      <c r="J217"/>
      <c r="K217"/>
      <c r="L217"/>
      <c r="M217"/>
    </row>
    <row r="218" spans="9:13" hidden="1">
      <c r="I218" s="158"/>
      <c r="J218"/>
      <c r="K218"/>
      <c r="L218"/>
      <c r="M218"/>
    </row>
    <row r="219" spans="9:13" hidden="1">
      <c r="I219" s="158"/>
      <c r="J219"/>
      <c r="K219"/>
      <c r="L219"/>
      <c r="M219"/>
    </row>
    <row r="220" spans="9:13" hidden="1">
      <c r="I220" s="158"/>
      <c r="J220"/>
      <c r="K220"/>
      <c r="L220"/>
      <c r="M220"/>
    </row>
    <row r="221" spans="9:13" hidden="1">
      <c r="I221" s="158"/>
      <c r="J221"/>
      <c r="K221"/>
      <c r="L221"/>
      <c r="M221"/>
    </row>
    <row r="222" spans="9:13" hidden="1">
      <c r="I222" s="158"/>
      <c r="J222"/>
      <c r="K222"/>
      <c r="L222"/>
      <c r="M222"/>
    </row>
    <row r="223" spans="9:13" hidden="1">
      <c r="I223" s="158"/>
      <c r="J223"/>
      <c r="K223"/>
      <c r="L223"/>
      <c r="M223"/>
    </row>
    <row r="224" spans="9:13" hidden="1">
      <c r="I224" s="158"/>
      <c r="J224"/>
      <c r="K224"/>
      <c r="L224"/>
      <c r="M224"/>
    </row>
    <row r="225" spans="9:13" hidden="1">
      <c r="I225" s="158"/>
      <c r="J225"/>
      <c r="K225"/>
      <c r="L225"/>
      <c r="M225"/>
    </row>
    <row r="226" spans="9:13" hidden="1">
      <c r="I226" s="158"/>
      <c r="J226"/>
      <c r="K226"/>
      <c r="L226"/>
      <c r="M226"/>
    </row>
    <row r="227" spans="9:13" hidden="1">
      <c r="I227" s="158"/>
      <c r="J227"/>
      <c r="K227"/>
      <c r="L227"/>
      <c r="M227"/>
    </row>
    <row r="228" spans="9:13" hidden="1">
      <c r="I228" s="158"/>
      <c r="J228"/>
      <c r="K228"/>
      <c r="L228"/>
      <c r="M228"/>
    </row>
    <row r="229" spans="9:13" hidden="1">
      <c r="I229" s="158"/>
      <c r="J229"/>
      <c r="K229"/>
      <c r="L229"/>
      <c r="M229"/>
    </row>
    <row r="230" spans="9:13" hidden="1">
      <c r="I230" s="158"/>
      <c r="J230"/>
      <c r="K230"/>
      <c r="L230"/>
      <c r="M230"/>
    </row>
    <row r="231" spans="9:13" hidden="1">
      <c r="I231" s="158"/>
      <c r="J231"/>
      <c r="K231"/>
      <c r="L231"/>
      <c r="M231"/>
    </row>
    <row r="232" spans="9:13" hidden="1">
      <c r="I232" s="158"/>
      <c r="J232"/>
      <c r="K232"/>
      <c r="L232"/>
      <c r="M232"/>
    </row>
    <row r="233" spans="9:13" hidden="1">
      <c r="I233" s="158"/>
      <c r="J233"/>
      <c r="K233"/>
      <c r="L233"/>
      <c r="M233"/>
    </row>
    <row r="235" spans="9:13" ht="18.75" hidden="1">
      <c r="I235" s="91" t="s">
        <v>211</v>
      </c>
      <c r="J235" s="110" t="s">
        <v>212</v>
      </c>
      <c r="K235" s="160">
        <f>fck/gc</f>
        <v>18.666666666666668</v>
      </c>
      <c r="L235" s="112" t="s">
        <v>118</v>
      </c>
    </row>
    <row r="236" spans="9:13" ht="20.25" hidden="1">
      <c r="J236" s="161" t="s">
        <v>213</v>
      </c>
      <c r="K236" s="91">
        <f>0.6*(1-fck/250)</f>
        <v>0.53279999999999994</v>
      </c>
      <c r="L236" s="112"/>
      <c r="M236" s="162"/>
    </row>
    <row r="237" spans="9:13" ht="18" hidden="1">
      <c r="I237" s="91" t="s">
        <v>196</v>
      </c>
      <c r="J237" s="112" t="s">
        <v>197</v>
      </c>
      <c r="K237" s="160">
        <f>0.5*k2_*fcd</f>
        <v>4.9727999999999994</v>
      </c>
      <c r="L237" s="112" t="s">
        <v>118</v>
      </c>
    </row>
    <row r="238" spans="9:13" ht="18" hidden="1">
      <c r="I238" s="91" t="s">
        <v>198</v>
      </c>
      <c r="J238" s="112" t="s">
        <v>199</v>
      </c>
      <c r="K238" s="147">
        <f>2*(PI()*a)</f>
        <v>1294.4172750371329</v>
      </c>
      <c r="L238" s="112" t="s">
        <v>5</v>
      </c>
    </row>
    <row r="239" spans="9:13" ht="18" hidden="1">
      <c r="I239" s="91" t="s">
        <v>278</v>
      </c>
      <c r="J239" s="112" t="s">
        <v>215</v>
      </c>
      <c r="K239" s="147">
        <f>3/2*(PI()*a)</f>
        <v>970.81295627784971</v>
      </c>
      <c r="L239" s="112" t="s">
        <v>5</v>
      </c>
      <c r="M239" s="162"/>
    </row>
    <row r="240" spans="9:13" ht="18" hidden="1">
      <c r="I240" s="91" t="s">
        <v>216</v>
      </c>
      <c r="J240" s="112" t="s">
        <v>217</v>
      </c>
      <c r="K240" s="147">
        <f>3/2*(PI()*a)</f>
        <v>970.81295627784971</v>
      </c>
      <c r="L240" s="112" t="s">
        <v>5</v>
      </c>
    </row>
    <row r="241" spans="9:13" ht="18" hidden="1">
      <c r="I241" s="91" t="s">
        <v>218</v>
      </c>
      <c r="J241" s="112" t="s">
        <v>219</v>
      </c>
      <c r="K241" s="147">
        <f>(PI()*a)</f>
        <v>647.20863751856643</v>
      </c>
      <c r="L241" s="112" t="s">
        <v>5</v>
      </c>
    </row>
    <row r="242" spans="9:13" ht="18" hidden="1">
      <c r="I242" s="93" t="s">
        <v>200</v>
      </c>
      <c r="J242" s="112" t="s">
        <v>201</v>
      </c>
      <c r="K242" s="99">
        <f>Q1_ult*1000/(u0_1*d)</f>
        <v>1.0987355079770724</v>
      </c>
      <c r="L242" s="112" t="s">
        <v>118</v>
      </c>
      <c r="M242" s="91" t="str">
        <f>IF(vmax&gt;vp_1,"O.K","No Cumple")</f>
        <v>O.K</v>
      </c>
    </row>
    <row r="243" spans="9:13" ht="18" hidden="1">
      <c r="I243" s="93" t="s">
        <v>220</v>
      </c>
      <c r="J243" s="112" t="s">
        <v>221</v>
      </c>
      <c r="K243" s="99">
        <f>Q1_ult_jb*1000/(u0_2*d)</f>
        <v>0.87898840638165798</v>
      </c>
      <c r="L243" s="112" t="s">
        <v>118</v>
      </c>
      <c r="M243" s="91" t="str">
        <f>IF(vmax&gt;vp_2,"O.K","No Cumple")</f>
        <v>O.K</v>
      </c>
    </row>
    <row r="244" spans="9:13" ht="18" hidden="1">
      <c r="I244" s="93" t="s">
        <v>222</v>
      </c>
      <c r="J244" s="112" t="s">
        <v>223</v>
      </c>
      <c r="K244" s="99">
        <f>Q1_ult_jb*1000/(u0_3*d)</f>
        <v>0.87898840638165798</v>
      </c>
      <c r="L244" s="112" t="s">
        <v>118</v>
      </c>
      <c r="M244" s="91" t="str">
        <f>IF(vmax&gt;vp_3,"O.K","No Cumple")</f>
        <v>O.K</v>
      </c>
    </row>
    <row r="245" spans="9:13" ht="18" hidden="1">
      <c r="I245" s="93" t="s">
        <v>224</v>
      </c>
      <c r="J245" s="112" t="s">
        <v>225</v>
      </c>
      <c r="K245" s="99">
        <f>Q1_ult_ep*1000/(u0_4*d)</f>
        <v>1.3184826095724869</v>
      </c>
      <c r="L245" s="112" t="s">
        <v>118</v>
      </c>
      <c r="M245" s="91" t="str">
        <f>IF(vmax&gt;vp_4,"O.K","No Cumple")</f>
        <v>O.K</v>
      </c>
    </row>
    <row r="248" spans="9:13" ht="18" hidden="1">
      <c r="I248" s="91" t="s">
        <v>229</v>
      </c>
      <c r="J248" s="112" t="s">
        <v>230</v>
      </c>
      <c r="K248" s="147">
        <f>vmax*u0_1*d/1000</f>
        <v>724.14880034677356</v>
      </c>
      <c r="L248" s="112" t="s">
        <v>150</v>
      </c>
    </row>
    <row r="249" spans="9:13" ht="18" hidden="1">
      <c r="I249" s="91" t="s">
        <v>232</v>
      </c>
      <c r="J249" s="112" t="s">
        <v>233</v>
      </c>
      <c r="K249" s="147">
        <f>vmax*u0_2*d/1000</f>
        <v>543.11160026008019</v>
      </c>
      <c r="L249" s="112" t="s">
        <v>150</v>
      </c>
    </row>
    <row r="250" spans="9:13" ht="18" hidden="1">
      <c r="I250" s="91" t="s">
        <v>232</v>
      </c>
      <c r="J250" s="112" t="s">
        <v>235</v>
      </c>
      <c r="K250" s="147">
        <f>vmax*u0_3*d/1000</f>
        <v>543.11160026008019</v>
      </c>
      <c r="L250" s="112" t="s">
        <v>150</v>
      </c>
    </row>
    <row r="251" spans="9:13" ht="18" hidden="1">
      <c r="I251" s="91" t="s">
        <v>238</v>
      </c>
      <c r="J251" s="112" t="s">
        <v>239</v>
      </c>
      <c r="K251" s="147">
        <f>vmax*u0_4*d/1000</f>
        <v>362.07440017338678</v>
      </c>
      <c r="L251" s="112" t="s">
        <v>150</v>
      </c>
    </row>
    <row r="252" spans="9:13" ht="18" hidden="1">
      <c r="I252" s="91" t="s">
        <v>204</v>
      </c>
      <c r="J252" s="112" t="s">
        <v>205</v>
      </c>
      <c r="K252" s="147">
        <f>2*PI()*(a+2*d)</f>
        <v>2708.1339691525395</v>
      </c>
      <c r="L252" s="112" t="s">
        <v>5</v>
      </c>
    </row>
    <row r="253" spans="9:13" ht="18" hidden="1">
      <c r="I253" s="112" t="s">
        <v>240</v>
      </c>
      <c r="J253" s="112" t="s">
        <v>241</v>
      </c>
      <c r="K253" s="147">
        <f>PI()*(a+2*d)</f>
        <v>1354.0669845762698</v>
      </c>
      <c r="L253" s="112" t="s">
        <v>5</v>
      </c>
    </row>
    <row r="254" spans="9:13" ht="18" hidden="1">
      <c r="I254" s="91" t="s">
        <v>242</v>
      </c>
      <c r="J254" s="112" t="s">
        <v>243</v>
      </c>
      <c r="K254" s="147">
        <f>PI()*(a+2*d)</f>
        <v>1354.0669845762698</v>
      </c>
      <c r="L254" s="112" t="s">
        <v>5</v>
      </c>
    </row>
    <row r="255" spans="9:13" ht="18" hidden="1">
      <c r="I255" s="91" t="s">
        <v>244</v>
      </c>
      <c r="J255" s="112" t="s">
        <v>245</v>
      </c>
      <c r="K255" s="147">
        <f>PI()/2*(2*a+2*d)</f>
        <v>1000.6378110474182</v>
      </c>
      <c r="L255" s="112" t="s">
        <v>5</v>
      </c>
    </row>
    <row r="256" spans="9:13" ht="18" hidden="1">
      <c r="I256" s="91" t="s">
        <v>206</v>
      </c>
      <c r="J256" s="112" t="s">
        <v>207</v>
      </c>
      <c r="K256" s="147">
        <f>(0.035*k1_^(3/2)*fck^(1/2)+0.06*Re_3/100*fctk_fl)*u1_1*d/1000</f>
        <v>183.33756490685002</v>
      </c>
      <c r="L256" s="112" t="s">
        <v>150</v>
      </c>
    </row>
    <row r="257" spans="9:12" ht="18" hidden="1">
      <c r="I257" s="91" t="s">
        <v>246</v>
      </c>
      <c r="J257" s="112" t="s">
        <v>247</v>
      </c>
      <c r="K257" s="147">
        <f>(0.035*k1_^(3/2)*fck^(1/2)+0.06*Re_3/100*fctk_fl)*u1_2*d/1000</f>
        <v>91.66878245342501</v>
      </c>
      <c r="L257" s="112" t="s">
        <v>150</v>
      </c>
    </row>
    <row r="258" spans="9:12" ht="18" hidden="1">
      <c r="I258" s="91" t="s">
        <v>248</v>
      </c>
      <c r="J258" s="112" t="s">
        <v>249</v>
      </c>
      <c r="K258" s="147">
        <f>(0.035*k1_^(3/2)*fck^(1/2)+0.06*Re_3/100*fctk_fl)*u1_3*d/1000</f>
        <v>91.66878245342501</v>
      </c>
      <c r="L258" s="112" t="s">
        <v>150</v>
      </c>
    </row>
    <row r="259" spans="9:12" ht="18" hidden="1">
      <c r="I259" s="91" t="s">
        <v>250</v>
      </c>
      <c r="J259" s="112" t="s">
        <v>251</v>
      </c>
      <c r="K259" s="147">
        <f>(0.035*k1_^(3/2)*fck^(1/2)+0.06*Re_3/100*fctk_fl)*u1_4*d/1000</f>
        <v>67.74203260282691</v>
      </c>
      <c r="L259" s="112" t="s">
        <v>150</v>
      </c>
    </row>
  </sheetData>
  <sheetProtection algorithmName="SHA-512" hashValue="u1NrHxqVfP1oAkXt99EN9KBPEz9TROb5mEsX+qemZLCtFJtnY+COIqwsQsmiuSfvUrbp7qkNQjRyeq5JUANEnA==" saltValue="9fnRPds0tVwabK8SlcZRsg==" spinCount="100000" sheet="1" objects="1" scenarios="1" selectLockedCells="1"/>
  <mergeCells count="20">
    <mergeCell ref="R26:T26"/>
    <mergeCell ref="S27:T27"/>
    <mergeCell ref="O1:O2"/>
    <mergeCell ref="P1:P2"/>
    <mergeCell ref="Q1:Q2"/>
    <mergeCell ref="O3:O4"/>
    <mergeCell ref="P3:P4"/>
    <mergeCell ref="Q3:Q4"/>
    <mergeCell ref="Q28:Q29"/>
    <mergeCell ref="I188:L188"/>
    <mergeCell ref="B152:D152"/>
    <mergeCell ref="A1:C5"/>
    <mergeCell ref="B7:E7"/>
    <mergeCell ref="B153:D153"/>
    <mergeCell ref="O26:O27"/>
    <mergeCell ref="P26:P27"/>
    <mergeCell ref="O28:O29"/>
    <mergeCell ref="P28:P29"/>
    <mergeCell ref="Q26:Q27"/>
    <mergeCell ref="C37:C39"/>
  </mergeCells>
  <conditionalFormatting sqref="D72">
    <cfRule type="cellIs" dxfId="43" priority="38" operator="greaterThan">
      <formula>1</formula>
    </cfRule>
    <cfRule type="cellIs" dxfId="42" priority="40" operator="lessThan">
      <formula>1</formula>
    </cfRule>
  </conditionalFormatting>
  <conditionalFormatting sqref="D107">
    <cfRule type="cellIs" dxfId="41" priority="37" operator="greaterThan">
      <formula>1</formula>
    </cfRule>
    <cfRule type="cellIs" dxfId="40" priority="39" operator="lessThan">
      <formula>1</formula>
    </cfRule>
  </conditionalFormatting>
  <conditionalFormatting sqref="E72:E78 E83:E84 E127:E128 E108:E109 E111:E114">
    <cfRule type="containsText" dxfId="39" priority="35" operator="containsText" text="O.K">
      <formula>NOT(ISERROR(SEARCH("O.K",E72)))</formula>
    </cfRule>
    <cfRule type="containsText" dxfId="38" priority="36" operator="containsText" text="No Cumple">
      <formula>NOT(ISERROR(SEARCH("No Cumple",E72)))</formula>
    </cfRule>
  </conditionalFormatting>
  <conditionalFormatting sqref="E107">
    <cfRule type="containsText" dxfId="37" priority="33" operator="containsText" text="O.K">
      <formula>NOT(ISERROR(SEARCH("O.K",E107)))</formula>
    </cfRule>
    <cfRule type="containsText" dxfId="36" priority="34" operator="containsText" text="No Cumple">
      <formula>NOT(ISERROR(SEARCH("No Cumple",E107)))</formula>
    </cfRule>
  </conditionalFormatting>
  <conditionalFormatting sqref="E121">
    <cfRule type="containsText" dxfId="35" priority="31" operator="containsText" text="O.K">
      <formula>NOT(ISERROR(SEARCH("O.K",E121)))</formula>
    </cfRule>
    <cfRule type="containsText" dxfId="34" priority="32" operator="containsText" text="No Cumple">
      <formula>NOT(ISERROR(SEARCH("No Cumple",E121)))</formula>
    </cfRule>
  </conditionalFormatting>
  <conditionalFormatting sqref="D146">
    <cfRule type="cellIs" dxfId="33" priority="29" operator="greaterThan">
      <formula>1</formula>
    </cfRule>
    <cfRule type="cellIs" dxfId="32" priority="30" operator="lessThan">
      <formula>1</formula>
    </cfRule>
  </conditionalFormatting>
  <conditionalFormatting sqref="E146">
    <cfRule type="containsText" dxfId="31" priority="27" operator="containsText" text="O.K">
      <formula>NOT(ISERROR(SEARCH("O.K",E146)))</formula>
    </cfRule>
    <cfRule type="containsText" dxfId="30" priority="28" operator="containsText" text="No Cumple">
      <formula>NOT(ISERROR(SEARCH("No Cumple",E146)))</formula>
    </cfRule>
  </conditionalFormatting>
  <conditionalFormatting sqref="E147">
    <cfRule type="containsText" dxfId="29" priority="25" operator="containsText" text="O.K">
      <formula>NOT(ISERROR(SEARCH("O.K",E147)))</formula>
    </cfRule>
    <cfRule type="containsText" dxfId="28" priority="26" operator="containsText" text="No Cumple">
      <formula>NOT(ISERROR(SEARCH("No Cumple",E147)))</formula>
    </cfRule>
  </conditionalFormatting>
  <conditionalFormatting sqref="D82">
    <cfRule type="cellIs" dxfId="27" priority="23" operator="greaterThan">
      <formula>1</formula>
    </cfRule>
    <cfRule type="cellIs" dxfId="26" priority="24" operator="lessThan">
      <formula>1</formula>
    </cfRule>
  </conditionalFormatting>
  <conditionalFormatting sqref="E82">
    <cfRule type="containsText" dxfId="25" priority="21" operator="containsText" text="O.K">
      <formula>NOT(ISERROR(SEARCH("O.K",E82)))</formula>
    </cfRule>
    <cfRule type="containsText" dxfId="24" priority="22" operator="containsText" text="No Cumple">
      <formula>NOT(ISERROR(SEARCH("No Cumple",E82)))</formula>
    </cfRule>
  </conditionalFormatting>
  <conditionalFormatting sqref="D87">
    <cfRule type="cellIs" dxfId="23" priority="19" operator="greaterThan">
      <formula>1</formula>
    </cfRule>
    <cfRule type="cellIs" dxfId="22" priority="20" operator="lessThan">
      <formula>1</formula>
    </cfRule>
  </conditionalFormatting>
  <conditionalFormatting sqref="E87">
    <cfRule type="containsText" dxfId="21" priority="17" operator="containsText" text="O.K">
      <formula>NOT(ISERROR(SEARCH("O.K",E87)))</formula>
    </cfRule>
    <cfRule type="containsText" dxfId="20" priority="18" operator="containsText" text="No Cumple">
      <formula>NOT(ISERROR(SEARCH("No Cumple",E87)))</formula>
    </cfRule>
  </conditionalFormatting>
  <conditionalFormatting sqref="E120">
    <cfRule type="containsText" dxfId="19" priority="13" operator="containsText" text="O.K">
      <formula>NOT(ISERROR(SEARCH("O.K",E120)))</formula>
    </cfRule>
    <cfRule type="containsText" dxfId="18" priority="14" operator="containsText" text="No Cumple">
      <formula>NOT(ISERROR(SEARCH("No Cumple",E120)))</formula>
    </cfRule>
  </conditionalFormatting>
  <conditionalFormatting sqref="D120">
    <cfRule type="cellIs" dxfId="17" priority="15" operator="greaterThan">
      <formula>1</formula>
    </cfRule>
    <cfRule type="cellIs" dxfId="16" priority="16" operator="lessThan">
      <formula>1</formula>
    </cfRule>
  </conditionalFormatting>
  <conditionalFormatting sqref="D126">
    <cfRule type="cellIs" dxfId="15" priority="11" operator="greaterThan">
      <formula>1</formula>
    </cfRule>
    <cfRule type="cellIs" dxfId="14" priority="12" operator="lessThan">
      <formula>1</formula>
    </cfRule>
  </conditionalFormatting>
  <conditionalFormatting sqref="E126">
    <cfRule type="containsText" dxfId="13" priority="9" operator="containsText" text="O.K">
      <formula>NOT(ISERROR(SEARCH("O.K",E126)))</formula>
    </cfRule>
    <cfRule type="containsText" dxfId="12" priority="10" operator="containsText" text="No Cumple">
      <formula>NOT(ISERROR(SEARCH("No Cumple",E126)))</formula>
    </cfRule>
  </conditionalFormatting>
  <conditionalFormatting sqref="E157">
    <cfRule type="containsText" dxfId="11" priority="5" operator="containsText" text="O.K">
      <formula>NOT(ISERROR(SEARCH("O.K",E157)))</formula>
    </cfRule>
    <cfRule type="containsText" dxfId="10" priority="6" operator="containsText" text="No Cumple">
      <formula>NOT(ISERROR(SEARCH("No Cumple",E157)))</formula>
    </cfRule>
  </conditionalFormatting>
  <conditionalFormatting sqref="D157">
    <cfRule type="cellIs" dxfId="9" priority="7" operator="greaterThan">
      <formula>1</formula>
    </cfRule>
    <cfRule type="cellIs" dxfId="8" priority="8" operator="lessThan">
      <formula>1</formula>
    </cfRule>
  </conditionalFormatting>
  <conditionalFormatting sqref="D161">
    <cfRule type="cellIs" dxfId="7" priority="3" operator="greaterThan">
      <formula>1</formula>
    </cfRule>
    <cfRule type="cellIs" dxfId="6" priority="4" operator="lessThan">
      <formula>1</formula>
    </cfRule>
  </conditionalFormatting>
  <conditionalFormatting sqref="E161">
    <cfRule type="containsText" dxfId="5" priority="1" operator="containsText" text="O.K">
      <formula>NOT(ISERROR(SEARCH("O.K",E161)))</formula>
    </cfRule>
    <cfRule type="containsText" dxfId="4" priority="2" operator="containsText" text="No Cumple">
      <formula>NOT(ISERROR(SEARCH("No Cumple",E161)))</formula>
    </cfRule>
  </conditionalFormatting>
  <conditionalFormatting sqref="E163">
    <cfRule type="containsText" dxfId="3" priority="81" operator="containsText" text="O.K">
      <formula>NOT(ISERROR(SEARCH("O.K",E163)))</formula>
    </cfRule>
    <cfRule type="containsText" dxfId="2" priority="82" operator="containsText" text="No Cumple">
      <formula>NOT(ISERROR(SEARCH("No Cumple",E163)))</formula>
    </cfRule>
  </conditionalFormatting>
  <dataValidations count="8">
    <dataValidation type="decimal" operator="greaterThanOrEqual" allowBlank="1" showInputMessage="1" showErrorMessage="1" error="El valor mínimo de dosificación es de 3.2 kg/m3 para obtener un valor de Re.3 igual o superior a 30%" sqref="D50 K169 K167 K4" xr:uid="{00000000-0002-0000-0800-000000000000}">
      <formula1>3.2</formula1>
    </dataValidation>
    <dataValidation allowBlank="1" showInputMessage="1" showErrorMessage="1" prompt="Modificar h hasta alcanzar un índice de capacidad superior a 1.0." sqref="D52 D56:D57" xr:uid="{00000000-0002-0000-0800-000001000000}"/>
    <dataValidation allowBlank="1" showInputMessage="1" showErrorMessage="1" prompt="La condición de carga de estantería individual en bordes libres es muy inusual, y generalmente no se considera, sin embargo se calcula aquí para aquellos casos donde pudiera requerirse." sqref="D121 D127:D128 D111:D114 D108:D109" xr:uid="{00000000-0002-0000-0800-000002000000}"/>
    <dataValidation allowBlank="1" showInputMessage="1" showErrorMessage="1" prompt="En los bordes entre paneles se asume capacidad de transferencia de carga a través de la junta.  Se espera que la junta esté en capacidad de soportar un 20% de la carga. En caso de que la junta no transfiera carga, considerar el borde libre." sqref="D103" xr:uid="{00000000-0002-0000-0800-000003000000}"/>
    <dataValidation allowBlank="1" showInputMessage="1" showErrorMessage="1" prompt="En las esquinas entre paneles se asume capacidad de transferencia de carga a través de la junta.  Se espera que la junta esté en capacidad de soportar un 20% de la carga. En caso de que la junta no transfiera carga, considerar la esquina libre." sqref="D142" xr:uid="{00000000-0002-0000-0800-000004000000}"/>
    <dataValidation allowBlank="1" showInputMessage="1" showErrorMessage="1" prompt="La condición de carga de estantería individual en esquinas libres es muy inusual, y generalmente no se considera, sin embargo se calcula aquí para aquellos casos donde pudiera requerirse." sqref="D147" xr:uid="{00000000-0002-0000-0800-000005000000}"/>
    <dataValidation type="decimal" operator="greaterThanOrEqual" allowBlank="1" showInputMessage="1" showErrorMessage="1" error="El valor mínimo de dosificación es de 3.2 kg/m3 para obtener un valor de Re.3 igual o superior a 30%" prompt="La dosificación mínima de FIBRAPLAST CONCRETE es 3.2 kg/m3.  La dosificación máxima es de 10 kg/m3." sqref="D21" xr:uid="{00000000-0002-0000-0800-000006000000}">
      <formula1>3.2</formula1>
    </dataValidation>
    <dataValidation type="decimal" operator="greaterThanOrEqual" allowBlank="1" showInputMessage="1" showErrorMessage="1" error="El factor parcial de seguridad mínimo a usar es 1.6 según TR34." sqref="D41" xr:uid="{00000000-0002-0000-0800-000007000000}">
      <formula1>1.6</formula1>
    </dataValidation>
  </dataValidations>
  <printOptions horizontalCentered="1"/>
  <pageMargins left="0.70866141732283472" right="0.70866141732283472" top="0.74803149606299213" bottom="0.74803149606299213" header="0.31496062992125984" footer="0.31496062992125984"/>
  <pageSetup scale="60" orientation="portrait" r:id="rId1"/>
  <headerFooter>
    <oddFooter>&amp;CLA MARCA FIBRAPLAS CONCRETE® ES DE USO EXCLUSIVO DE LA EMPRESA ACEBRI S.A.S.</oddFooter>
  </headerFooter>
  <rowBreaks count="4" manualBreakCount="4">
    <brk id="58" max="4" man="1"/>
    <brk id="88" max="4" man="1"/>
    <brk id="128" max="4" man="1"/>
    <brk id="164" max="4" man="1"/>
  </rowBreaks>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print="0" autoFill="0" autoPict="0" macro="[0]!Menu_Select">
                <anchor moveWithCells="1" sizeWithCells="1">
                  <from>
                    <xdr:col>2</xdr:col>
                    <xdr:colOff>361950</xdr:colOff>
                    <xdr:row>7</xdr:row>
                    <xdr:rowOff>114300</xdr:rowOff>
                  </from>
                  <to>
                    <xdr:col>4</xdr:col>
                    <xdr:colOff>514350</xdr:colOff>
                    <xdr:row>9</xdr:row>
                    <xdr:rowOff>76200</xdr:rowOff>
                  </to>
                </anchor>
              </controlPr>
            </control>
          </mc:Choice>
        </mc:AlternateContent>
        <mc:AlternateContent xmlns:mc="http://schemas.openxmlformats.org/markup-compatibility/2006">
          <mc:Choice Requires="x14">
            <control shapeId="17422" r:id="rId5" name="Drop Down 14">
              <controlPr defaultSize="0" autoLine="0" autoPict="0">
                <anchor moveWithCells="1">
                  <from>
                    <xdr:col>2</xdr:col>
                    <xdr:colOff>295275</xdr:colOff>
                    <xdr:row>14</xdr:row>
                    <xdr:rowOff>28575</xdr:rowOff>
                  </from>
                  <to>
                    <xdr:col>4</xdr:col>
                    <xdr:colOff>447675</xdr:colOff>
                    <xdr:row>14</xdr:row>
                    <xdr:rowOff>209550</xdr:rowOff>
                  </to>
                </anchor>
              </controlPr>
            </control>
          </mc:Choice>
        </mc:AlternateContent>
        <mc:AlternateContent xmlns:mc="http://schemas.openxmlformats.org/markup-compatibility/2006">
          <mc:Choice Requires="x14">
            <control shapeId="17423" r:id="rId6" name="Button 15">
              <controlPr defaultSize="0" print="0" autoFill="0" autoPict="0" macro="[0]!Hoja2.Est_contigua_2">
                <anchor moveWithCells="1" sizeWithCells="1">
                  <from>
                    <xdr:col>1</xdr:col>
                    <xdr:colOff>38100</xdr:colOff>
                    <xdr:row>44</xdr:row>
                    <xdr:rowOff>171450</xdr:rowOff>
                  </from>
                  <to>
                    <xdr:col>2</xdr:col>
                    <xdr:colOff>381000</xdr:colOff>
                    <xdr:row>48</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tabColor rgb="FFEA0CDF"/>
  </sheetPr>
  <dimension ref="A1:BW312"/>
  <sheetViews>
    <sheetView showGridLines="0" showRowColHeaders="0" view="pageBreakPreview" zoomScale="90" zoomScaleNormal="30" zoomScaleSheetLayoutView="90" workbookViewId="0">
      <selection activeCell="D11" sqref="D11:K11"/>
    </sheetView>
  </sheetViews>
  <sheetFormatPr baseColWidth="10" defaultColWidth="0" defaultRowHeight="12" customHeight="1" zeroHeight="1"/>
  <cols>
    <col min="1" max="1" width="6.140625" style="194" customWidth="1"/>
    <col min="2" max="2" width="13" style="194" customWidth="1"/>
    <col min="3" max="4" width="16" style="194" customWidth="1"/>
    <col min="5" max="5" width="16.85546875" style="194" customWidth="1"/>
    <col min="6" max="6" width="11.5703125" style="194" customWidth="1"/>
    <col min="7" max="10" width="16" style="194" customWidth="1"/>
    <col min="11" max="11" width="3.7109375" style="194" customWidth="1"/>
    <col min="12" max="12" width="16" style="194" hidden="1" customWidth="1"/>
    <col min="13" max="13" width="24.7109375" style="194" hidden="1" customWidth="1"/>
    <col min="14" max="14" width="80.42578125" style="194" hidden="1" customWidth="1"/>
    <col min="15" max="15" width="33" style="194" hidden="1" customWidth="1"/>
    <col min="16" max="16" width="11.140625" style="194" hidden="1" customWidth="1"/>
    <col min="17" max="17" width="13.5703125" style="194" hidden="1" customWidth="1"/>
    <col min="18" max="18" width="29" style="194" hidden="1" customWidth="1"/>
    <col min="19" max="20" width="11.5703125" style="194" hidden="1" customWidth="1"/>
    <col min="21" max="21" width="16" style="194" hidden="1" customWidth="1"/>
    <col min="22" max="22" width="13.85546875" style="194" hidden="1" customWidth="1"/>
    <col min="23" max="23" width="78.7109375" style="194" hidden="1" customWidth="1"/>
    <col min="24" max="24" width="13.5703125" style="194" hidden="1" customWidth="1"/>
    <col min="25" max="25" width="16.140625" style="194" hidden="1" customWidth="1"/>
    <col min="26" max="26" width="16" style="194" hidden="1" customWidth="1"/>
    <col min="27" max="27" width="11.85546875" style="194" hidden="1" customWidth="1"/>
    <col min="28" max="28" width="14" style="194" hidden="1" customWidth="1"/>
    <col min="29" max="29" width="16" style="194" hidden="1" customWidth="1"/>
    <col min="30" max="32" width="11.42578125" style="194" hidden="1" customWidth="1"/>
    <col min="33" max="34" width="16" style="194" hidden="1" customWidth="1"/>
    <col min="35" max="35" width="5.7109375" style="194" hidden="1" customWidth="1"/>
    <col min="36" max="38" width="16" style="194" hidden="1" customWidth="1"/>
    <col min="39" max="39" width="6.42578125" style="194" hidden="1" customWidth="1"/>
    <col min="40" max="40" width="14.140625" style="194" hidden="1" customWidth="1"/>
    <col min="41" max="42" width="16" style="194" hidden="1" customWidth="1"/>
    <col min="43" max="43" width="8" style="194" hidden="1" customWidth="1"/>
    <col min="44" max="46" width="16" style="194" hidden="1" customWidth="1"/>
    <col min="47" max="47" width="8.42578125" style="194" hidden="1" customWidth="1"/>
    <col min="48" max="50" width="16" style="194" hidden="1" customWidth="1"/>
    <col min="51" max="51" width="6.85546875" style="194" hidden="1" customWidth="1"/>
    <col min="52" max="54" width="16" style="194" hidden="1" customWidth="1"/>
    <col min="55" max="55" width="6.28515625" style="194" hidden="1" customWidth="1"/>
    <col min="56" max="58" width="16" style="194" hidden="1" customWidth="1"/>
    <col min="59" max="59" width="5.140625" style="194" hidden="1" customWidth="1"/>
    <col min="60" max="63" width="16" style="194" hidden="1" customWidth="1"/>
    <col min="64" max="64" width="13" style="194" hidden="1" customWidth="1"/>
    <col min="65" max="65" width="12" style="194" hidden="1" customWidth="1"/>
    <col min="66" max="66" width="12.140625" style="194" hidden="1" customWidth="1"/>
    <col min="67" max="67" width="12.85546875" style="194" hidden="1" customWidth="1"/>
    <col min="68" max="16384" width="16" style="194" hidden="1"/>
  </cols>
  <sheetData>
    <row r="1" spans="1:12" ht="15" customHeight="1">
      <c r="A1" s="487" t="s">
        <v>547</v>
      </c>
      <c r="B1" s="487"/>
      <c r="C1" s="487"/>
      <c r="D1" s="487"/>
      <c r="E1" s="487"/>
      <c r="F1" s="487"/>
      <c r="G1" s="487"/>
      <c r="H1" s="487"/>
      <c r="I1" s="487"/>
      <c r="J1" s="193"/>
      <c r="K1" s="193"/>
    </row>
    <row r="2" spans="1:12" ht="15" customHeight="1">
      <c r="A2" s="487"/>
      <c r="B2" s="487"/>
      <c r="C2" s="487"/>
      <c r="D2" s="487"/>
      <c r="E2" s="487"/>
      <c r="F2" s="487"/>
      <c r="G2" s="487"/>
      <c r="H2" s="487"/>
      <c r="I2" s="487"/>
      <c r="J2" s="193"/>
      <c r="K2" s="193"/>
    </row>
    <row r="3" spans="1:12" ht="15" customHeight="1">
      <c r="A3" s="487"/>
      <c r="B3" s="487"/>
      <c r="C3" s="487"/>
      <c r="D3" s="487"/>
      <c r="E3" s="487"/>
      <c r="F3" s="487"/>
      <c r="G3" s="487"/>
      <c r="H3" s="487"/>
      <c r="I3" s="487"/>
      <c r="J3" s="193"/>
      <c r="K3" s="193"/>
    </row>
    <row r="4" spans="1:12" ht="15" customHeight="1">
      <c r="A4" s="487"/>
      <c r="B4" s="487"/>
      <c r="C4" s="487"/>
      <c r="D4" s="487"/>
      <c r="E4" s="487"/>
      <c r="F4" s="487"/>
      <c r="G4" s="487"/>
      <c r="H4" s="487"/>
      <c r="I4" s="487"/>
      <c r="J4" s="193"/>
      <c r="K4" s="193"/>
    </row>
    <row r="5" spans="1:12" ht="15" customHeight="1">
      <c r="A5" s="487"/>
      <c r="B5" s="487"/>
      <c r="C5" s="487"/>
      <c r="D5" s="487"/>
      <c r="E5" s="487"/>
      <c r="F5" s="487"/>
      <c r="G5" s="487"/>
      <c r="H5" s="487"/>
      <c r="I5" s="487"/>
      <c r="J5" s="193"/>
      <c r="K5" s="193"/>
    </row>
    <row r="6" spans="1:12" ht="15" customHeight="1">
      <c r="A6" s="487"/>
      <c r="B6" s="487"/>
      <c r="C6" s="487"/>
      <c r="D6" s="487"/>
      <c r="E6" s="487"/>
      <c r="F6" s="487"/>
      <c r="G6" s="487"/>
      <c r="H6" s="487"/>
      <c r="I6" s="487"/>
      <c r="J6" s="193"/>
      <c r="K6" s="193"/>
    </row>
    <row r="7" spans="1:12" ht="15" customHeight="1">
      <c r="A7" s="487"/>
      <c r="B7" s="487"/>
      <c r="C7" s="487"/>
      <c r="D7" s="487"/>
      <c r="E7" s="487"/>
      <c r="F7" s="487"/>
      <c r="G7" s="487"/>
      <c r="H7" s="487"/>
      <c r="I7" s="487"/>
      <c r="J7" s="193"/>
      <c r="K7" s="193"/>
    </row>
    <row r="8" spans="1:12" ht="15" customHeight="1">
      <c r="A8" s="195"/>
      <c r="B8" s="195"/>
      <c r="C8" s="195"/>
      <c r="D8" s="195"/>
      <c r="E8" s="195"/>
      <c r="F8" s="195"/>
      <c r="G8" s="195"/>
      <c r="H8" s="195"/>
      <c r="I8" s="195"/>
      <c r="J8" s="196"/>
      <c r="K8" s="196"/>
    </row>
    <row r="9" spans="1:12" ht="15" customHeight="1">
      <c r="A9" s="195"/>
      <c r="B9" s="195"/>
      <c r="C9" s="195"/>
      <c r="D9" s="195"/>
      <c r="E9" s="195"/>
      <c r="F9" s="195"/>
      <c r="G9" s="195"/>
      <c r="H9" s="195"/>
      <c r="I9" s="195"/>
      <c r="J9" s="196"/>
      <c r="K9" s="196"/>
    </row>
    <row r="10" spans="1:12" ht="24" customHeight="1">
      <c r="A10" s="197"/>
      <c r="B10" s="197"/>
      <c r="C10" s="197"/>
      <c r="D10" s="197"/>
      <c r="E10" s="197"/>
      <c r="F10" s="197"/>
      <c r="G10" s="197"/>
      <c r="H10" s="197"/>
      <c r="I10" s="197"/>
      <c r="J10" s="197"/>
      <c r="K10" s="197"/>
    </row>
    <row r="11" spans="1:12" ht="24" customHeight="1">
      <c r="A11" s="198" t="s">
        <v>283</v>
      </c>
      <c r="B11" s="198"/>
      <c r="C11" s="198"/>
      <c r="D11" s="484"/>
      <c r="E11" s="485"/>
      <c r="F11" s="485"/>
      <c r="G11" s="485"/>
      <c r="H11" s="485"/>
      <c r="I11" s="485"/>
      <c r="J11" s="485"/>
      <c r="K11" s="486"/>
    </row>
    <row r="12" spans="1:12" ht="24" customHeight="1">
      <c r="A12" s="197"/>
      <c r="B12" s="197"/>
      <c r="C12" s="197"/>
      <c r="D12" s="197"/>
      <c r="E12" s="197"/>
      <c r="F12" s="197"/>
      <c r="G12" s="197"/>
      <c r="H12" s="197"/>
      <c r="I12" s="197"/>
      <c r="J12" s="197"/>
      <c r="K12" s="197"/>
    </row>
    <row r="13" spans="1:12" s="199" customFormat="1" ht="15.75" customHeight="1"/>
    <row r="14" spans="1:12" ht="21">
      <c r="A14" s="198" t="s">
        <v>334</v>
      </c>
      <c r="B14" s="198"/>
      <c r="C14" s="198"/>
      <c r="D14" s="198"/>
      <c r="E14" s="198"/>
      <c r="F14" s="198"/>
      <c r="G14" s="198"/>
      <c r="H14" s="198"/>
      <c r="I14" s="198"/>
      <c r="J14" s="198"/>
    </row>
    <row r="15" spans="1:12" ht="27.75" customHeight="1">
      <c r="A15" s="199"/>
      <c r="B15" s="199"/>
      <c r="C15" s="199"/>
      <c r="D15" s="496">
        <v>500</v>
      </c>
      <c r="E15" s="497"/>
      <c r="F15" s="497"/>
      <c r="G15" s="497"/>
      <c r="H15" s="498"/>
      <c r="I15" s="199"/>
      <c r="J15" s="199"/>
      <c r="K15" s="200"/>
      <c r="L15" s="201"/>
    </row>
    <row r="16" spans="1:12" ht="38.25" customHeight="1">
      <c r="A16" s="199"/>
      <c r="B16" s="199"/>
      <c r="C16" s="199"/>
      <c r="D16" s="499"/>
      <c r="E16" s="500"/>
      <c r="F16" s="500"/>
      <c r="G16" s="500"/>
      <c r="H16" s="501"/>
      <c r="I16" s="199"/>
      <c r="J16" s="199"/>
      <c r="K16" s="202"/>
    </row>
    <row r="17" spans="1:11" ht="15" customHeight="1">
      <c r="K17" s="202"/>
    </row>
    <row r="18" spans="1:11" ht="12.75" customHeight="1">
      <c r="K18" s="202"/>
    </row>
    <row r="19" spans="1:11" ht="15" customHeight="1">
      <c r="A19" s="198" t="s">
        <v>364</v>
      </c>
      <c r="B19" s="203"/>
      <c r="C19" s="203"/>
      <c r="D19" s="203"/>
      <c r="E19" s="203"/>
      <c r="F19" s="203"/>
      <c r="G19" s="203"/>
      <c r="H19" s="203"/>
      <c r="I19" s="203"/>
      <c r="J19" s="203"/>
    </row>
    <row r="20" spans="1:11" ht="22.5" customHeight="1">
      <c r="B20" s="476" t="s">
        <v>346</v>
      </c>
      <c r="C20" s="477"/>
      <c r="D20" s="477"/>
      <c r="E20" s="478"/>
      <c r="G20" s="502" t="str">
        <f ca="1">VLOOKUP(B20,OFFSET(Categoría_eje_carga,,,,3),2,0)</f>
        <v>Vías arteria y vías primarias (medio), Autopistas, vías nacionales rurales y urbanas (bajo a medio)</v>
      </c>
      <c r="H20" s="503"/>
      <c r="I20" s="503"/>
      <c r="J20" s="504"/>
      <c r="K20" s="204"/>
    </row>
    <row r="21" spans="1:11" ht="15" customHeight="1">
      <c r="B21" s="479"/>
      <c r="C21" s="464"/>
      <c r="D21" s="464"/>
      <c r="E21" s="480"/>
      <c r="G21" s="505"/>
      <c r="H21" s="506"/>
      <c r="I21" s="506"/>
      <c r="J21" s="507"/>
      <c r="K21" s="204"/>
    </row>
    <row r="22" spans="1:11" ht="15" customHeight="1">
      <c r="B22" s="481"/>
      <c r="C22" s="482"/>
      <c r="D22" s="482"/>
      <c r="E22" s="483"/>
      <c r="G22" s="508"/>
      <c r="H22" s="509"/>
      <c r="I22" s="509"/>
      <c r="J22" s="510"/>
      <c r="K22" s="205"/>
    </row>
    <row r="23" spans="1:11" ht="23.25" customHeight="1">
      <c r="K23" s="204"/>
    </row>
    <row r="24" spans="1:11" ht="14.25" customHeight="1">
      <c r="B24" s="206" t="s">
        <v>300</v>
      </c>
      <c r="C24" s="206"/>
      <c r="D24" s="206"/>
      <c r="E24" s="206"/>
      <c r="G24" s="490" t="str">
        <f ca="1">VLOOKUP(B20,OFFSET(Categoría_eje_carga,,,,6),6,0)</f>
        <v>2,190,000 - 36,500,000</v>
      </c>
      <c r="H24" s="491"/>
      <c r="I24" s="491"/>
      <c r="J24" s="492"/>
      <c r="K24" s="204"/>
    </row>
    <row r="25" spans="1:11" ht="14.25" customHeight="1">
      <c r="B25" s="206"/>
      <c r="C25" s="206"/>
      <c r="D25" s="206"/>
      <c r="E25" s="206"/>
      <c r="G25" s="493"/>
      <c r="H25" s="494"/>
      <c r="I25" s="494"/>
      <c r="J25" s="495"/>
    </row>
    <row r="26" spans="1:11" ht="18">
      <c r="B26" s="207"/>
      <c r="C26" s="207"/>
      <c r="D26" s="207"/>
      <c r="E26" s="207"/>
      <c r="G26" s="208"/>
      <c r="H26" s="208"/>
      <c r="I26" s="208"/>
      <c r="J26" s="208"/>
    </row>
    <row r="27" spans="1:11" ht="18.75" customHeight="1">
      <c r="B27" s="206" t="s">
        <v>378</v>
      </c>
      <c r="C27" s="206"/>
      <c r="D27" s="206"/>
      <c r="E27" s="206"/>
      <c r="G27" s="490" t="str">
        <f ca="1">VLOOKUP(B20,OFFSET(Categoría_eje_carga,,,,6),5,0)</f>
        <v>300 - 5000</v>
      </c>
      <c r="H27" s="491"/>
      <c r="I27" s="491"/>
      <c r="J27" s="492"/>
      <c r="K27" s="200"/>
    </row>
    <row r="28" spans="1:11" ht="23.25" customHeight="1">
      <c r="B28" s="206"/>
      <c r="C28" s="206"/>
      <c r="D28" s="206"/>
      <c r="E28" s="206"/>
      <c r="G28" s="493"/>
      <c r="H28" s="494"/>
      <c r="I28" s="494"/>
      <c r="J28" s="495"/>
      <c r="K28" s="209"/>
    </row>
    <row r="29" spans="1:11" ht="23.25" customHeight="1">
      <c r="B29" s="210"/>
      <c r="C29" s="210"/>
      <c r="D29" s="210"/>
      <c r="E29" s="210"/>
      <c r="K29" s="209"/>
    </row>
    <row r="30" spans="1:11" ht="19.5" customHeight="1">
      <c r="K30" s="209"/>
    </row>
    <row r="31" spans="1:11" ht="20.25" customHeight="1">
      <c r="A31" s="211" t="s">
        <v>385</v>
      </c>
      <c r="B31" s="211"/>
      <c r="C31" s="211"/>
      <c r="D31" s="211"/>
      <c r="E31" s="211"/>
      <c r="F31" s="211"/>
      <c r="G31" s="211"/>
      <c r="H31" s="211"/>
      <c r="I31" s="211"/>
      <c r="J31" s="211"/>
      <c r="K31" s="205"/>
    </row>
    <row r="32" spans="1:11" ht="18.75" customHeight="1">
      <c r="B32" s="444" t="s">
        <v>341</v>
      </c>
      <c r="C32" s="445"/>
      <c r="D32" s="445"/>
      <c r="E32" s="446"/>
      <c r="G32" s="502" t="str">
        <f ca="1">VLOOKUP(B32,OFFSET(Soporte,,,,3),2,0)</f>
        <v>Arenas y mezclas arena-grava relativamente libres de finos plásticos</v>
      </c>
      <c r="H32" s="503"/>
      <c r="I32" s="503"/>
      <c r="J32" s="504"/>
      <c r="K32" s="209"/>
    </row>
    <row r="33" spans="2:11" ht="18.75" customHeight="1">
      <c r="B33" s="447"/>
      <c r="C33" s="448"/>
      <c r="D33" s="448"/>
      <c r="E33" s="449"/>
      <c r="G33" s="505"/>
      <c r="H33" s="506"/>
      <c r="I33" s="506"/>
      <c r="J33" s="507"/>
      <c r="K33" s="209"/>
    </row>
    <row r="34" spans="2:11" ht="18.75" customHeight="1">
      <c r="B34" s="450"/>
      <c r="C34" s="451"/>
      <c r="D34" s="451"/>
      <c r="E34" s="452"/>
      <c r="G34" s="508"/>
      <c r="H34" s="509"/>
      <c r="I34" s="509"/>
      <c r="J34" s="510"/>
      <c r="K34" s="205"/>
    </row>
    <row r="35" spans="2:11" ht="18.75" customHeight="1">
      <c r="F35" s="212"/>
      <c r="G35" s="205"/>
      <c r="H35" s="205"/>
      <c r="I35" s="205"/>
      <c r="J35" s="205"/>
      <c r="K35" s="209"/>
    </row>
    <row r="36" spans="2:11" ht="18.75" customHeight="1">
      <c r="B36" s="213" t="s">
        <v>389</v>
      </c>
      <c r="C36" s="214"/>
      <c r="D36" s="214"/>
      <c r="E36" s="214"/>
      <c r="F36" s="207"/>
      <c r="G36" s="502" t="str">
        <f ca="1">VLOOKUP(B32,OFFSET(Soporte,,,,3),3,0)</f>
        <v>180 - 220</v>
      </c>
      <c r="H36" s="503"/>
      <c r="I36" s="503"/>
      <c r="J36" s="504"/>
      <c r="K36" s="209"/>
    </row>
    <row r="37" spans="2:11" ht="18.75" customHeight="1">
      <c r="B37" s="214"/>
      <c r="C37" s="214"/>
      <c r="D37" s="214"/>
      <c r="E37" s="214"/>
      <c r="F37" s="207"/>
      <c r="G37" s="508"/>
      <c r="H37" s="509"/>
      <c r="I37" s="509"/>
      <c r="J37" s="510"/>
      <c r="K37" s="209"/>
    </row>
    <row r="38" spans="2:11" ht="18.75" customHeight="1">
      <c r="B38" s="207"/>
      <c r="C38" s="207"/>
      <c r="D38" s="207"/>
      <c r="E38" s="207"/>
      <c r="F38" s="207"/>
      <c r="G38" s="208"/>
      <c r="H38" s="208"/>
      <c r="I38" s="208"/>
      <c r="J38" s="208"/>
      <c r="K38" s="209"/>
    </row>
    <row r="39" spans="2:11" ht="18.75" customHeight="1">
      <c r="B39" s="213" t="s">
        <v>400</v>
      </c>
      <c r="C39" s="214"/>
      <c r="D39" s="214"/>
      <c r="E39" s="214"/>
      <c r="F39" s="207"/>
      <c r="G39" s="502" t="str">
        <f ca="1">VLOOKUP(B32,OFFSET(Soporte,,,,4),4,0)</f>
        <v>48.9 - 59.8</v>
      </c>
      <c r="H39" s="503"/>
      <c r="I39" s="503"/>
      <c r="J39" s="504"/>
      <c r="K39" s="209"/>
    </row>
    <row r="40" spans="2:11" ht="18.75" customHeight="1">
      <c r="B40" s="214"/>
      <c r="C40" s="214"/>
      <c r="D40" s="214"/>
      <c r="E40" s="214"/>
      <c r="F40" s="207"/>
      <c r="G40" s="508"/>
      <c r="H40" s="509"/>
      <c r="I40" s="509"/>
      <c r="J40" s="510"/>
      <c r="K40" s="206"/>
    </row>
    <row r="41" spans="2:11" ht="18.75">
      <c r="B41" s="215"/>
      <c r="C41" s="215"/>
      <c r="D41" s="215"/>
      <c r="E41" s="215"/>
      <c r="G41" s="209"/>
      <c r="H41" s="209"/>
      <c r="I41" s="209"/>
      <c r="J41" s="209"/>
      <c r="K41" s="206"/>
    </row>
    <row r="42" spans="2:11" ht="17.25" customHeight="1">
      <c r="B42" s="213" t="s">
        <v>403</v>
      </c>
      <c r="C42" s="216"/>
      <c r="D42" s="216"/>
      <c r="E42" s="216"/>
      <c r="F42" s="207"/>
      <c r="G42" s="502" t="str">
        <f ca="1">VLOOKUP(B32,OFFSET(Soporte,,,,5),5,0)</f>
        <v>10.6 - 13.7</v>
      </c>
      <c r="H42" s="503"/>
      <c r="I42" s="503"/>
      <c r="J42" s="504"/>
      <c r="K42" s="206"/>
    </row>
    <row r="43" spans="2:11" ht="14.25" customHeight="1">
      <c r="B43" s="216"/>
      <c r="C43" s="216"/>
      <c r="D43" s="216"/>
      <c r="E43" s="216"/>
      <c r="F43" s="207"/>
      <c r="G43" s="508"/>
      <c r="H43" s="509"/>
      <c r="I43" s="509"/>
      <c r="J43" s="510"/>
      <c r="K43" s="206"/>
    </row>
    <row r="44" spans="2:11" ht="14.25" customHeight="1">
      <c r="B44" s="215"/>
      <c r="C44" s="215"/>
      <c r="D44" s="215"/>
      <c r="E44" s="215"/>
      <c r="G44" s="217"/>
      <c r="H44" s="217"/>
      <c r="I44" s="217"/>
      <c r="J44" s="217"/>
      <c r="K44" s="206"/>
    </row>
    <row r="45" spans="2:11" ht="15" customHeight="1">
      <c r="K45" s="206"/>
    </row>
    <row r="46" spans="2:11" ht="15" customHeight="1">
      <c r="B46" s="488" t="s">
        <v>412</v>
      </c>
      <c r="C46" s="488"/>
      <c r="D46" s="488"/>
      <c r="E46" s="488"/>
      <c r="F46" s="489"/>
      <c r="G46" s="444" t="s">
        <v>369</v>
      </c>
      <c r="H46" s="445"/>
      <c r="I46" s="445"/>
      <c r="J46" s="446"/>
      <c r="K46" s="206"/>
    </row>
    <row r="47" spans="2:11" ht="15" customHeight="1">
      <c r="B47" s="488"/>
      <c r="C47" s="488"/>
      <c r="D47" s="488"/>
      <c r="E47" s="488"/>
      <c r="F47" s="489"/>
      <c r="G47" s="447"/>
      <c r="H47" s="448"/>
      <c r="I47" s="448"/>
      <c r="J47" s="449"/>
      <c r="K47" s="206"/>
    </row>
    <row r="48" spans="2:11" ht="15" customHeight="1">
      <c r="B48" s="488"/>
      <c r="C48" s="488"/>
      <c r="D48" s="488"/>
      <c r="E48" s="488"/>
      <c r="F48" s="489"/>
      <c r="G48" s="450"/>
      <c r="H48" s="451"/>
      <c r="I48" s="451"/>
      <c r="J48" s="452"/>
      <c r="K48" s="206"/>
    </row>
    <row r="49" spans="1:11" ht="15" customHeight="1">
      <c r="K49" s="206"/>
    </row>
    <row r="50" spans="1:11" ht="15" customHeight="1">
      <c r="K50" s="206"/>
    </row>
    <row r="51" spans="1:11" ht="21.75" customHeight="1">
      <c r="B51" s="428" t="s">
        <v>700</v>
      </c>
      <c r="C51" s="428"/>
      <c r="D51" s="428"/>
      <c r="E51" s="428"/>
      <c r="G51" s="475">
        <v>12</v>
      </c>
      <c r="H51" s="475"/>
      <c r="I51" s="475"/>
      <c r="J51" s="475"/>
      <c r="K51" s="206"/>
    </row>
    <row r="52" spans="1:11" ht="12" customHeight="1">
      <c r="B52" s="428"/>
      <c r="C52" s="428"/>
      <c r="D52" s="428"/>
      <c r="E52" s="428"/>
      <c r="G52" s="475"/>
      <c r="H52" s="475"/>
      <c r="I52" s="475"/>
      <c r="J52" s="475"/>
      <c r="K52" s="206"/>
    </row>
    <row r="53" spans="1:11" ht="20.25" customHeight="1">
      <c r="B53" s="428"/>
      <c r="C53" s="428"/>
      <c r="D53" s="428"/>
      <c r="E53" s="428"/>
      <c r="G53" s="475"/>
      <c r="H53" s="475"/>
      <c r="I53" s="475"/>
      <c r="J53" s="475"/>
      <c r="K53" s="206"/>
    </row>
    <row r="54" spans="1:11" ht="18.75">
      <c r="K54" s="206"/>
    </row>
    <row r="55" spans="1:11" s="218" customFormat="1" ht="19.5">
      <c r="A55" s="194"/>
      <c r="B55" s="194"/>
      <c r="C55" s="194"/>
      <c r="D55" s="194"/>
      <c r="E55" s="194"/>
      <c r="F55" s="194"/>
      <c r="G55" s="194"/>
      <c r="H55" s="194"/>
      <c r="I55" s="194"/>
      <c r="J55" s="194"/>
    </row>
    <row r="56" spans="1:11" s="218" customFormat="1" ht="19.5" customHeight="1">
      <c r="A56" s="194"/>
      <c r="B56" s="428" t="s">
        <v>701</v>
      </c>
      <c r="C56" s="428"/>
      <c r="D56" s="428"/>
      <c r="E56" s="428"/>
      <c r="F56" s="194"/>
      <c r="G56" s="469" t="s">
        <v>352</v>
      </c>
      <c r="H56" s="470"/>
      <c r="I56" s="470"/>
      <c r="J56" s="471"/>
    </row>
    <row r="57" spans="1:11" s="218" customFormat="1" ht="19.5" customHeight="1">
      <c r="A57" s="194"/>
      <c r="B57" s="428"/>
      <c r="C57" s="428"/>
      <c r="D57" s="428"/>
      <c r="E57" s="428"/>
      <c r="F57" s="194"/>
      <c r="G57" s="472"/>
      <c r="H57" s="473"/>
      <c r="I57" s="473"/>
      <c r="J57" s="474"/>
    </row>
    <row r="58" spans="1:11" ht="12" customHeight="1"/>
    <row r="59" spans="1:11" ht="19.5">
      <c r="A59" s="218"/>
      <c r="B59" s="218"/>
      <c r="C59" s="218"/>
      <c r="D59" s="218"/>
      <c r="E59" s="218"/>
      <c r="F59" s="218"/>
      <c r="G59" s="218"/>
      <c r="H59" s="218"/>
      <c r="I59" s="218"/>
      <c r="J59" s="218"/>
    </row>
    <row r="60" spans="1:11" ht="19.5" customHeight="1">
      <c r="A60" s="218"/>
      <c r="B60" s="198" t="s">
        <v>421</v>
      </c>
      <c r="C60" s="198"/>
      <c r="D60" s="198"/>
      <c r="E60" s="198"/>
      <c r="F60" s="218"/>
      <c r="G60" s="476" t="s">
        <v>626</v>
      </c>
      <c r="H60" s="477"/>
      <c r="I60" s="477"/>
      <c r="J60" s="478"/>
    </row>
    <row r="61" spans="1:11" ht="19.5" customHeight="1">
      <c r="A61" s="218"/>
      <c r="B61" s="198"/>
      <c r="C61" s="198"/>
      <c r="D61" s="198"/>
      <c r="E61" s="198"/>
      <c r="F61" s="218"/>
      <c r="G61" s="479"/>
      <c r="H61" s="464"/>
      <c r="I61" s="464"/>
      <c r="J61" s="480"/>
    </row>
    <row r="62" spans="1:11" ht="12" customHeight="1">
      <c r="B62" s="198"/>
      <c r="C62" s="198"/>
      <c r="D62" s="198"/>
      <c r="E62" s="198"/>
      <c r="G62" s="481"/>
      <c r="H62" s="482"/>
      <c r="I62" s="482"/>
      <c r="J62" s="483"/>
    </row>
    <row r="63" spans="1:11" ht="12" customHeight="1"/>
    <row r="64" spans="1:11" ht="12" customHeight="1"/>
    <row r="65" spans="1:11" ht="19.5" customHeight="1">
      <c r="B65" s="198" t="s">
        <v>430</v>
      </c>
      <c r="C65" s="198"/>
      <c r="D65" s="198"/>
      <c r="E65" s="198"/>
      <c r="F65" s="218"/>
      <c r="G65" s="476" t="s">
        <v>387</v>
      </c>
      <c r="H65" s="477"/>
      <c r="I65" s="477"/>
      <c r="J65" s="478"/>
    </row>
    <row r="66" spans="1:11" ht="19.5" customHeight="1">
      <c r="B66" s="198"/>
      <c r="C66" s="198"/>
      <c r="D66" s="198"/>
      <c r="E66" s="198"/>
      <c r="F66" s="218"/>
      <c r="G66" s="479"/>
      <c r="H66" s="464"/>
      <c r="I66" s="464"/>
      <c r="J66" s="480"/>
    </row>
    <row r="67" spans="1:11" ht="12" customHeight="1">
      <c r="B67" s="198"/>
      <c r="C67" s="198"/>
      <c r="D67" s="198"/>
      <c r="E67" s="198"/>
      <c r="G67" s="481"/>
      <c r="H67" s="482"/>
      <c r="I67" s="482"/>
      <c r="J67" s="483"/>
    </row>
    <row r="68" spans="1:11" ht="12" customHeight="1"/>
    <row r="69" spans="1:11" ht="12" customHeight="1"/>
    <row r="70" spans="1:11" ht="39" customHeight="1">
      <c r="A70" s="197"/>
      <c r="B70" s="197"/>
      <c r="C70" s="197"/>
      <c r="D70" s="197"/>
      <c r="E70" s="197"/>
      <c r="F70" s="197"/>
      <c r="G70" s="197"/>
      <c r="H70" s="197"/>
      <c r="I70" s="197"/>
      <c r="J70" s="197"/>
      <c r="K70" s="197"/>
    </row>
    <row r="71" spans="1:11" ht="12" customHeight="1"/>
    <row r="72" spans="1:11" ht="19.5" customHeight="1">
      <c r="B72" s="198" t="s">
        <v>439</v>
      </c>
      <c r="C72" s="198"/>
      <c r="D72" s="198"/>
      <c r="E72" s="198"/>
      <c r="F72" s="218"/>
      <c r="G72" s="460">
        <v>550</v>
      </c>
      <c r="H72" s="461"/>
      <c r="I72" s="461"/>
      <c r="J72" s="462"/>
    </row>
    <row r="73" spans="1:11" ht="19.5" customHeight="1">
      <c r="B73" s="198"/>
      <c r="C73" s="198"/>
      <c r="D73" s="198"/>
      <c r="E73" s="198"/>
      <c r="F73" s="218"/>
      <c r="G73" s="463"/>
      <c r="H73" s="464"/>
      <c r="I73" s="464"/>
      <c r="J73" s="465"/>
    </row>
    <row r="74" spans="1:11" ht="12" customHeight="1">
      <c r="B74" s="198"/>
      <c r="C74" s="198"/>
      <c r="D74" s="198"/>
      <c r="E74" s="198"/>
      <c r="G74" s="466"/>
      <c r="H74" s="467"/>
      <c r="I74" s="467"/>
      <c r="J74" s="468"/>
    </row>
    <row r="75" spans="1:11" ht="12" customHeight="1"/>
    <row r="76" spans="1:11" ht="12" customHeight="1"/>
    <row r="77" spans="1:11" ht="12" customHeight="1">
      <c r="B77" s="443" t="s">
        <v>448</v>
      </c>
      <c r="C77" s="443"/>
      <c r="D77" s="443"/>
      <c r="E77" s="443"/>
      <c r="G77" s="444" t="s">
        <v>401</v>
      </c>
      <c r="H77" s="445"/>
      <c r="I77" s="445"/>
      <c r="J77" s="446"/>
    </row>
    <row r="78" spans="1:11" ht="12" customHeight="1">
      <c r="B78" s="443"/>
      <c r="C78" s="443"/>
      <c r="D78" s="443"/>
      <c r="E78" s="443"/>
      <c r="G78" s="447"/>
      <c r="H78" s="448"/>
      <c r="I78" s="448"/>
      <c r="J78" s="449"/>
    </row>
    <row r="79" spans="1:11" ht="21.75" customHeight="1">
      <c r="B79" s="443"/>
      <c r="C79" s="443"/>
      <c r="D79" s="443"/>
      <c r="E79" s="443"/>
      <c r="G79" s="450"/>
      <c r="H79" s="451"/>
      <c r="I79" s="451"/>
      <c r="J79" s="452"/>
      <c r="K79" s="219"/>
    </row>
    <row r="80" spans="1:11" ht="12.75">
      <c r="K80" s="219"/>
    </row>
    <row r="81" spans="2:11" ht="18.75">
      <c r="K81" s="206"/>
    </row>
    <row r="82" spans="2:11" ht="12" customHeight="1">
      <c r="B82" s="428" t="s">
        <v>699</v>
      </c>
      <c r="C82" s="428"/>
      <c r="D82" s="428"/>
      <c r="E82" s="428"/>
      <c r="G82" s="453">
        <v>4</v>
      </c>
      <c r="H82" s="453"/>
      <c r="I82" s="453"/>
      <c r="J82" s="453"/>
    </row>
    <row r="83" spans="2:11" ht="12" customHeight="1">
      <c r="B83" s="428"/>
      <c r="C83" s="428"/>
      <c r="D83" s="428"/>
      <c r="E83" s="428"/>
      <c r="G83" s="453"/>
      <c r="H83" s="453"/>
      <c r="I83" s="453"/>
      <c r="J83" s="453"/>
    </row>
    <row r="84" spans="2:11" ht="12" customHeight="1">
      <c r="B84" s="428"/>
      <c r="C84" s="428"/>
      <c r="D84" s="428"/>
      <c r="E84" s="428"/>
      <c r="G84" s="453"/>
      <c r="H84" s="453"/>
      <c r="I84" s="453"/>
      <c r="J84" s="453"/>
    </row>
    <row r="85" spans="2:11" ht="12" customHeight="1"/>
    <row r="86" spans="2:11" ht="12" customHeight="1"/>
    <row r="87" spans="2:11" ht="12" customHeight="1">
      <c r="B87" s="428" t="s">
        <v>548</v>
      </c>
      <c r="C87" s="428"/>
      <c r="D87" s="428"/>
      <c r="E87" s="428"/>
      <c r="G87" s="429">
        <v>650</v>
      </c>
      <c r="H87" s="430"/>
      <c r="I87" s="430"/>
      <c r="J87" s="431"/>
    </row>
    <row r="88" spans="2:11" ht="12" customHeight="1">
      <c r="B88" s="428"/>
      <c r="C88" s="428"/>
      <c r="D88" s="428"/>
      <c r="E88" s="428"/>
      <c r="G88" s="432"/>
      <c r="H88" s="433"/>
      <c r="I88" s="433"/>
      <c r="J88" s="434"/>
    </row>
    <row r="89" spans="2:11" ht="12" customHeight="1">
      <c r="B89" s="428"/>
      <c r="C89" s="428"/>
      <c r="D89" s="428"/>
      <c r="E89" s="428"/>
      <c r="G89" s="435"/>
      <c r="H89" s="436"/>
      <c r="I89" s="436"/>
      <c r="J89" s="437"/>
    </row>
    <row r="90" spans="2:11" ht="12" customHeight="1"/>
    <row r="91" spans="2:11" ht="12" customHeight="1"/>
    <row r="92" spans="2:11" ht="12" customHeight="1"/>
    <row r="93" spans="2:11" ht="12" customHeight="1"/>
    <row r="94" spans="2:11" ht="12" customHeight="1"/>
    <row r="95" spans="2:11" ht="12" customHeight="1"/>
    <row r="96" spans="2:11" ht="12" customHeight="1"/>
    <row r="97" spans="1:10" ht="13.5" thickBot="1"/>
    <row r="98" spans="1:10" ht="12.75">
      <c r="A98" s="220"/>
      <c r="B98" s="221"/>
      <c r="C98" s="221"/>
      <c r="D98" s="221"/>
      <c r="E98" s="221"/>
      <c r="F98" s="221"/>
      <c r="G98" s="221"/>
      <c r="H98" s="221"/>
      <c r="I98" s="221"/>
      <c r="J98" s="222"/>
    </row>
    <row r="99" spans="1:10" ht="19.5" customHeight="1">
      <c r="A99" s="223" t="s">
        <v>465</v>
      </c>
      <c r="B99" s="224"/>
      <c r="C99" s="224"/>
      <c r="D99" s="224"/>
      <c r="E99" s="224"/>
      <c r="F99" s="224"/>
      <c r="G99" s="454">
        <f t="array" ref="G99">INDEX(rango_de_diseño,MATCH(TRUE,rango_de_diseño&gt;=TDPC,0))</f>
        <v>1900</v>
      </c>
      <c r="H99" s="455"/>
      <c r="I99" s="455"/>
      <c r="J99" s="456"/>
    </row>
    <row r="100" spans="1:10" ht="20.25" customHeight="1">
      <c r="A100" s="225"/>
      <c r="B100" s="224"/>
      <c r="C100" s="224"/>
      <c r="D100" s="224"/>
      <c r="E100" s="224"/>
      <c r="F100" s="224"/>
      <c r="G100" s="457"/>
      <c r="H100" s="458"/>
      <c r="I100" s="458"/>
      <c r="J100" s="459"/>
    </row>
    <row r="101" spans="1:10" ht="12.75">
      <c r="A101" s="226"/>
      <c r="B101" s="227"/>
      <c r="C101" s="227"/>
      <c r="D101" s="227"/>
      <c r="E101" s="227"/>
      <c r="F101" s="227"/>
      <c r="G101" s="227"/>
      <c r="H101" s="227"/>
      <c r="I101" s="227"/>
      <c r="J101" s="228"/>
    </row>
    <row r="102" spans="1:10" ht="12.75">
      <c r="A102" s="226"/>
      <c r="B102" s="227"/>
      <c r="C102" s="227"/>
      <c r="D102" s="227"/>
      <c r="E102" s="227"/>
      <c r="F102" s="227"/>
      <c r="G102" s="227"/>
      <c r="H102" s="227"/>
      <c r="I102" s="227"/>
      <c r="J102" s="228"/>
    </row>
    <row r="103" spans="1:10" ht="12" customHeight="1">
      <c r="A103" s="438" t="s">
        <v>474</v>
      </c>
      <c r="B103" s="439"/>
      <c r="C103" s="439"/>
      <c r="D103" s="439"/>
      <c r="E103" s="439"/>
      <c r="F103" s="440"/>
      <c r="G103" s="429">
        <f ca="1">VLOOKUP(TDPCA,rango_espesor,2,FALSE)</f>
        <v>7</v>
      </c>
      <c r="H103" s="430"/>
      <c r="I103" s="430"/>
      <c r="J103" s="441"/>
    </row>
    <row r="104" spans="1:10" ht="26.25" customHeight="1">
      <c r="A104" s="438"/>
      <c r="B104" s="439"/>
      <c r="C104" s="439"/>
      <c r="D104" s="439"/>
      <c r="E104" s="439"/>
      <c r="F104" s="440"/>
      <c r="G104" s="435"/>
      <c r="H104" s="436"/>
      <c r="I104" s="436"/>
      <c r="J104" s="442"/>
    </row>
    <row r="105" spans="1:10" ht="13.5" hidden="1" thickBot="1">
      <c r="A105" s="229"/>
      <c r="B105" s="230"/>
      <c r="C105" s="230"/>
      <c r="D105" s="230"/>
      <c r="E105" s="230"/>
      <c r="F105" s="230"/>
      <c r="G105" s="230"/>
      <c r="H105" s="230"/>
      <c r="I105" s="230"/>
      <c r="J105" s="231"/>
    </row>
    <row r="110" spans="1:10" ht="12" hidden="1" customHeight="1">
      <c r="B110" s="197"/>
    </row>
    <row r="115" spans="4:75" ht="12.75" hidden="1">
      <c r="M115" s="232"/>
      <c r="N115" s="232"/>
      <c r="O115" s="232"/>
      <c r="P115" s="232"/>
      <c r="Q115" s="232"/>
      <c r="R115" s="232"/>
      <c r="S115" s="232"/>
      <c r="T115" s="232"/>
      <c r="V115" s="232"/>
      <c r="W115" s="232"/>
      <c r="X115" s="232"/>
    </row>
    <row r="116" spans="4:75" ht="12.75" hidden="1" customHeight="1">
      <c r="M116" s="233" t="s">
        <v>287</v>
      </c>
      <c r="N116" s="233" t="s">
        <v>288</v>
      </c>
      <c r="O116" s="233" t="s">
        <v>289</v>
      </c>
      <c r="P116" s="233"/>
      <c r="Q116" s="233"/>
      <c r="R116" s="233"/>
      <c r="S116" s="233" t="s">
        <v>290</v>
      </c>
      <c r="T116" s="233"/>
      <c r="V116" s="234" t="s">
        <v>291</v>
      </c>
      <c r="W116" s="234" t="s">
        <v>292</v>
      </c>
      <c r="X116" s="233" t="s">
        <v>293</v>
      </c>
      <c r="Y116" s="233" t="s">
        <v>294</v>
      </c>
      <c r="Z116" s="233" t="s">
        <v>295</v>
      </c>
      <c r="AA116" s="233" t="s">
        <v>296</v>
      </c>
      <c r="AB116" s="233" t="s">
        <v>297</v>
      </c>
      <c r="BQ116" s="194">
        <f>IF(var_categoria="Categoría 1",1,IF(var_categoria="Categoría 2",2,IF(var_categoria="Categoría 3",3,4)))</f>
        <v>3</v>
      </c>
      <c r="BR116" s="194">
        <f>IF(var_juntas="Con Dovelas",1,2)</f>
        <v>1</v>
      </c>
      <c r="BS116" s="194">
        <f>IF(var_borde="Sin Berma",1,2)</f>
        <v>2</v>
      </c>
      <c r="BT116" s="194">
        <f>IF(car_f_soporte="Bajo",1,IF(car_f_soporte="Medio",2,IF(car_f_soporte="Alto",3,4)))</f>
        <v>4</v>
      </c>
      <c r="BU116" s="194">
        <f>IF(mod_f_rotura=550,1,IF(mod_f_rotura=600,2,3))</f>
        <v>3</v>
      </c>
      <c r="BV116" s="235" t="str">
        <f>BQ116&amp;BR116&amp;BS116&amp;BT116&amp;BU116</f>
        <v>31243</v>
      </c>
      <c r="BW116" s="236"/>
    </row>
    <row r="117" spans="4:75" ht="12.75" hidden="1" customHeight="1">
      <c r="M117" s="233"/>
      <c r="N117" s="233"/>
      <c r="O117" s="233" t="s">
        <v>298</v>
      </c>
      <c r="P117" s="233" t="s">
        <v>299</v>
      </c>
      <c r="Q117" s="233"/>
      <c r="R117" s="233" t="s">
        <v>300</v>
      </c>
      <c r="S117" s="233"/>
      <c r="T117" s="233"/>
      <c r="V117" s="234"/>
      <c r="W117" s="234"/>
      <c r="X117" s="233"/>
      <c r="Y117" s="233"/>
      <c r="Z117" s="233"/>
      <c r="AA117" s="233"/>
      <c r="AB117" s="233"/>
      <c r="BM117" s="210" t="str">
        <f ca="1">"TB_"&amp;VLOOKUP(var_codigo_verificacion,Codigo_verificacion,7,FALSE)</f>
        <v>TB_90</v>
      </c>
    </row>
    <row r="118" spans="4:75" ht="38.25" hidden="1">
      <c r="M118" s="233"/>
      <c r="N118" s="233"/>
      <c r="O118" s="233"/>
      <c r="P118" s="237" t="s">
        <v>12</v>
      </c>
      <c r="Q118" s="233" t="s">
        <v>301</v>
      </c>
      <c r="R118" s="233"/>
      <c r="S118" s="233" t="s">
        <v>302</v>
      </c>
      <c r="T118" s="233" t="s">
        <v>303</v>
      </c>
      <c r="V118" s="194" t="s">
        <v>304</v>
      </c>
      <c r="W118" s="205" t="s">
        <v>305</v>
      </c>
      <c r="X118" s="210" t="s">
        <v>306</v>
      </c>
      <c r="Y118" s="210" t="s">
        <v>307</v>
      </c>
      <c r="Z118" s="210" t="s">
        <v>308</v>
      </c>
      <c r="AA118" s="200">
        <v>50</v>
      </c>
      <c r="AB118" s="194">
        <v>129</v>
      </c>
      <c r="AG118" s="194" t="s">
        <v>310</v>
      </c>
      <c r="AH118" s="194" t="s">
        <v>311</v>
      </c>
      <c r="AK118" s="194" t="s">
        <v>310</v>
      </c>
      <c r="AL118" s="194" t="s">
        <v>311</v>
      </c>
      <c r="AO118" s="194" t="s">
        <v>310</v>
      </c>
      <c r="AP118" s="194" t="s">
        <v>311</v>
      </c>
      <c r="AS118" s="194" t="s">
        <v>310</v>
      </c>
      <c r="AT118" s="194" t="s">
        <v>311</v>
      </c>
      <c r="AW118" s="194" t="s">
        <v>310</v>
      </c>
      <c r="AX118" s="194" t="s">
        <v>311</v>
      </c>
      <c r="BA118" s="194" t="s">
        <v>310</v>
      </c>
      <c r="BB118" s="194" t="s">
        <v>311</v>
      </c>
      <c r="BP118" s="238" t="s">
        <v>313</v>
      </c>
      <c r="BQ118" s="238" t="s">
        <v>314</v>
      </c>
      <c r="BR118" s="238" t="s">
        <v>315</v>
      </c>
      <c r="BS118" s="238" t="s">
        <v>316</v>
      </c>
      <c r="BT118" s="238" t="s">
        <v>317</v>
      </c>
      <c r="BU118" s="238" t="s">
        <v>318</v>
      </c>
      <c r="BV118" s="238" t="s">
        <v>319</v>
      </c>
    </row>
    <row r="119" spans="4:75" ht="25.5" hidden="1">
      <c r="M119" s="239" t="s">
        <v>320</v>
      </c>
      <c r="N119" s="202" t="s">
        <v>321</v>
      </c>
      <c r="O119" s="200" t="s">
        <v>322</v>
      </c>
      <c r="P119" s="235" t="s">
        <v>323</v>
      </c>
      <c r="Q119" s="240" t="s">
        <v>324</v>
      </c>
      <c r="R119" s="241">
        <f>25*365*20</f>
        <v>182500</v>
      </c>
      <c r="S119" s="215">
        <v>22</v>
      </c>
      <c r="T119" s="215">
        <v>36</v>
      </c>
      <c r="V119" s="194" t="s">
        <v>325</v>
      </c>
      <c r="W119" s="205" t="s">
        <v>326</v>
      </c>
      <c r="X119" s="210" t="s">
        <v>327</v>
      </c>
      <c r="Y119" s="210" t="s">
        <v>328</v>
      </c>
      <c r="Z119" s="210" t="s">
        <v>329</v>
      </c>
      <c r="AA119" s="200">
        <v>130</v>
      </c>
      <c r="AB119" s="194">
        <v>179</v>
      </c>
      <c r="AF119" s="210" t="s">
        <v>309</v>
      </c>
      <c r="AG119" s="194">
        <v>0.1</v>
      </c>
      <c r="AH119" s="194">
        <v>5.5</v>
      </c>
      <c r="AJ119" s="210" t="s">
        <v>312</v>
      </c>
      <c r="AK119" s="194">
        <v>0.3</v>
      </c>
      <c r="AL119" s="194">
        <v>5.5</v>
      </c>
      <c r="AN119" s="210" t="s">
        <v>330</v>
      </c>
      <c r="AO119" s="194">
        <v>1</v>
      </c>
      <c r="AP119" s="194">
        <v>5.5</v>
      </c>
      <c r="AR119" s="215" t="s">
        <v>331</v>
      </c>
      <c r="AS119" s="194">
        <v>0.8</v>
      </c>
      <c r="AT119" s="194">
        <v>5</v>
      </c>
      <c r="AV119" s="215" t="s">
        <v>332</v>
      </c>
      <c r="AW119" s="194">
        <v>0.2</v>
      </c>
      <c r="AX119" s="194">
        <v>4.5</v>
      </c>
      <c r="AZ119" s="215" t="s">
        <v>333</v>
      </c>
      <c r="BA119" s="194">
        <v>0.6</v>
      </c>
      <c r="BB119" s="194">
        <v>4.5</v>
      </c>
      <c r="BP119" s="235" t="str">
        <f t="shared" ref="BP119:BP182" si="0">BQ119&amp;BR119&amp;BS119&amp;BT119&amp;BU119</f>
        <v>12111</v>
      </c>
      <c r="BQ119" s="194">
        <v>1</v>
      </c>
      <c r="BR119" s="194">
        <v>2</v>
      </c>
      <c r="BS119" s="194">
        <v>1</v>
      </c>
      <c r="BT119" s="194">
        <v>1</v>
      </c>
      <c r="BU119" s="194">
        <v>1</v>
      </c>
      <c r="BV119" s="194">
        <v>1</v>
      </c>
    </row>
    <row r="120" spans="4:75" ht="25.5" hidden="1">
      <c r="M120" s="239" t="s">
        <v>335</v>
      </c>
      <c r="N120" s="202" t="s">
        <v>336</v>
      </c>
      <c r="O120" s="242" t="s">
        <v>337</v>
      </c>
      <c r="P120" s="235" t="s">
        <v>338</v>
      </c>
      <c r="Q120" s="240" t="s">
        <v>339</v>
      </c>
      <c r="R120" s="215" t="s">
        <v>340</v>
      </c>
      <c r="S120" s="215">
        <v>26</v>
      </c>
      <c r="T120" s="215">
        <v>44</v>
      </c>
      <c r="V120" s="194" t="s">
        <v>341</v>
      </c>
      <c r="W120" s="205" t="s">
        <v>342</v>
      </c>
      <c r="X120" s="210" t="s">
        <v>343</v>
      </c>
      <c r="Y120" s="210" t="s">
        <v>344</v>
      </c>
      <c r="Z120" s="210" t="s">
        <v>345</v>
      </c>
      <c r="AA120" s="200">
        <v>180</v>
      </c>
      <c r="AB120" s="194">
        <v>249</v>
      </c>
      <c r="AF120" s="210"/>
      <c r="AG120" s="194">
        <v>1</v>
      </c>
      <c r="AH120" s="194">
        <v>6</v>
      </c>
      <c r="AJ120" s="210"/>
      <c r="AK120" s="194">
        <v>6</v>
      </c>
      <c r="AL120" s="194">
        <v>6</v>
      </c>
      <c r="AN120" s="210"/>
      <c r="AO120" s="194">
        <v>18</v>
      </c>
      <c r="AP120" s="194">
        <v>6</v>
      </c>
      <c r="AR120" s="215"/>
      <c r="AS120" s="194">
        <v>13</v>
      </c>
      <c r="AT120" s="194">
        <v>5.5</v>
      </c>
      <c r="AV120" s="215"/>
      <c r="AW120" s="194">
        <v>4</v>
      </c>
      <c r="AX120" s="194">
        <v>5</v>
      </c>
      <c r="AZ120" s="215"/>
      <c r="BA120" s="194">
        <v>13</v>
      </c>
      <c r="BB120" s="194">
        <v>5</v>
      </c>
      <c r="BP120" s="235" t="str">
        <f t="shared" si="0"/>
        <v>12112</v>
      </c>
      <c r="BQ120" s="194">
        <v>1</v>
      </c>
      <c r="BR120" s="194">
        <v>2</v>
      </c>
      <c r="BS120" s="194">
        <v>1</v>
      </c>
      <c r="BT120" s="194">
        <v>1</v>
      </c>
      <c r="BU120" s="194">
        <v>2</v>
      </c>
      <c r="BV120" s="194">
        <v>2</v>
      </c>
    </row>
    <row r="121" spans="4:75" ht="38.25" hidden="1">
      <c r="M121" s="239" t="s">
        <v>346</v>
      </c>
      <c r="N121" s="202" t="s">
        <v>347</v>
      </c>
      <c r="O121" s="243" t="s">
        <v>348</v>
      </c>
      <c r="P121" s="235" t="s">
        <v>349</v>
      </c>
      <c r="Q121" s="240" t="s">
        <v>350</v>
      </c>
      <c r="R121" s="215" t="s">
        <v>351</v>
      </c>
      <c r="S121" s="215">
        <v>30</v>
      </c>
      <c r="T121" s="215">
        <v>52</v>
      </c>
      <c r="V121" s="194" t="s">
        <v>352</v>
      </c>
      <c r="W121" s="205" t="s">
        <v>353</v>
      </c>
      <c r="X121" s="210" t="s">
        <v>354</v>
      </c>
      <c r="Y121" s="210" t="s">
        <v>355</v>
      </c>
      <c r="Z121" s="210" t="s">
        <v>356</v>
      </c>
      <c r="AA121" s="200">
        <v>250</v>
      </c>
      <c r="AF121" s="210"/>
      <c r="AG121" s="194">
        <v>13</v>
      </c>
      <c r="AH121" s="194">
        <v>6.5</v>
      </c>
      <c r="AJ121" s="210"/>
      <c r="AK121" s="194">
        <v>60</v>
      </c>
      <c r="AL121" s="194">
        <v>6.5</v>
      </c>
      <c r="AN121" s="210"/>
      <c r="AO121" s="194">
        <v>160</v>
      </c>
      <c r="AP121" s="194">
        <v>6.5</v>
      </c>
      <c r="AR121" s="215"/>
      <c r="AS121" s="194">
        <v>130</v>
      </c>
      <c r="AT121" s="194">
        <v>6</v>
      </c>
      <c r="AV121" s="215"/>
      <c r="AW121" s="194">
        <v>57</v>
      </c>
      <c r="AX121" s="194">
        <v>5.5</v>
      </c>
      <c r="AZ121" s="215"/>
      <c r="BA121" s="194">
        <v>150</v>
      </c>
      <c r="BB121" s="194">
        <v>5.5</v>
      </c>
      <c r="BP121" s="235" t="str">
        <f t="shared" si="0"/>
        <v>12113</v>
      </c>
      <c r="BQ121" s="194">
        <v>1</v>
      </c>
      <c r="BR121" s="194">
        <v>2</v>
      </c>
      <c r="BS121" s="194">
        <v>1</v>
      </c>
      <c r="BT121" s="194">
        <v>1</v>
      </c>
      <c r="BU121" s="194">
        <v>3</v>
      </c>
      <c r="BV121" s="194">
        <v>3</v>
      </c>
    </row>
    <row r="122" spans="4:75" ht="38.25" hidden="1">
      <c r="M122" s="239" t="s">
        <v>357</v>
      </c>
      <c r="N122" s="202" t="s">
        <v>358</v>
      </c>
      <c r="O122" s="243" t="s">
        <v>359</v>
      </c>
      <c r="P122" s="235" t="s">
        <v>349</v>
      </c>
      <c r="Q122" s="240" t="s">
        <v>360</v>
      </c>
      <c r="R122" s="215" t="s">
        <v>361</v>
      </c>
      <c r="S122" s="215">
        <v>34</v>
      </c>
      <c r="T122" s="215">
        <v>60</v>
      </c>
      <c r="V122" s="244">
        <f>IF(Tipo_Soporte="muy alto",1,0)</f>
        <v>0</v>
      </c>
      <c r="AA122" s="245">
        <f ca="1">VLOOKUP(Tipo_Soporte,OFFSET(Soporte,,,,6),6,0)</f>
        <v>180</v>
      </c>
      <c r="AF122" s="210"/>
      <c r="AG122" s="194">
        <v>110</v>
      </c>
      <c r="AH122" s="194">
        <v>7</v>
      </c>
      <c r="AJ122" s="210"/>
      <c r="AK122" s="194">
        <v>400</v>
      </c>
      <c r="AL122" s="194">
        <v>7</v>
      </c>
      <c r="AV122" s="215"/>
      <c r="AW122" s="194">
        <v>480</v>
      </c>
      <c r="AX122" s="194">
        <v>6</v>
      </c>
      <c r="BP122" s="235" t="str">
        <f t="shared" si="0"/>
        <v>12121</v>
      </c>
      <c r="BQ122" s="194">
        <v>1</v>
      </c>
      <c r="BR122" s="194">
        <v>2</v>
      </c>
      <c r="BS122" s="194">
        <v>1</v>
      </c>
      <c r="BT122" s="194">
        <v>2</v>
      </c>
      <c r="BU122" s="194">
        <v>1</v>
      </c>
      <c r="BV122" s="194">
        <v>4</v>
      </c>
    </row>
    <row r="123" spans="4:75" ht="12.75" hidden="1">
      <c r="AA123" s="246">
        <f ca="1">LN(vm_sopi)</f>
        <v>5.1929568508902104</v>
      </c>
      <c r="AF123" s="210"/>
      <c r="AG123" s="194">
        <v>620</v>
      </c>
      <c r="AH123" s="194">
        <v>7.5</v>
      </c>
      <c r="AJ123" s="200"/>
      <c r="BP123" s="235" t="str">
        <f t="shared" si="0"/>
        <v>12122</v>
      </c>
      <c r="BQ123" s="194">
        <v>1</v>
      </c>
      <c r="BR123" s="194">
        <v>2</v>
      </c>
      <c r="BS123" s="194">
        <v>1</v>
      </c>
      <c r="BT123" s="194">
        <v>2</v>
      </c>
      <c r="BU123" s="194">
        <v>2</v>
      </c>
      <c r="BV123" s="194">
        <v>5</v>
      </c>
    </row>
    <row r="124" spans="4:75" ht="12.75" hidden="1" customHeight="1">
      <c r="M124" s="247" t="s">
        <v>362</v>
      </c>
      <c r="N124" s="247"/>
      <c r="O124" s="247"/>
      <c r="P124" s="247"/>
      <c r="Q124" s="247"/>
      <c r="R124" s="247"/>
      <c r="S124" s="247"/>
      <c r="T124" s="247"/>
      <c r="W124" s="248" t="s">
        <v>363</v>
      </c>
      <c r="X124" s="239"/>
      <c r="BP124" s="235" t="str">
        <f t="shared" si="0"/>
        <v>12123</v>
      </c>
      <c r="BQ124" s="194">
        <v>1</v>
      </c>
      <c r="BR124" s="194">
        <v>2</v>
      </c>
      <c r="BS124" s="194">
        <v>1</v>
      </c>
      <c r="BT124" s="194">
        <v>2</v>
      </c>
      <c r="BU124" s="194">
        <v>3</v>
      </c>
      <c r="BV124" s="194">
        <v>6</v>
      </c>
    </row>
    <row r="125" spans="4:75" ht="12.75" hidden="1">
      <c r="M125" s="247"/>
      <c r="N125" s="247"/>
      <c r="O125" s="247"/>
      <c r="P125" s="247"/>
      <c r="Q125" s="247"/>
      <c r="R125" s="247"/>
      <c r="S125" s="247"/>
      <c r="T125" s="247"/>
      <c r="W125" s="194" t="s">
        <v>365</v>
      </c>
      <c r="X125" s="244">
        <f>IF(Sel_cond_soporte="Sin Mejoramiento",1,IF(Sel_cond_soporte="Subbase no Tratada",2,3))</f>
        <v>2</v>
      </c>
      <c r="AG125" s="194" t="s">
        <v>310</v>
      </c>
      <c r="AH125" s="194" t="s">
        <v>311</v>
      </c>
      <c r="AK125" s="194" t="s">
        <v>310</v>
      </c>
      <c r="AL125" s="194" t="s">
        <v>311</v>
      </c>
      <c r="AO125" s="194" t="s">
        <v>310</v>
      </c>
      <c r="AP125" s="194" t="s">
        <v>311</v>
      </c>
      <c r="AS125" s="194" t="s">
        <v>310</v>
      </c>
      <c r="AT125" s="194" t="s">
        <v>311</v>
      </c>
      <c r="AW125" s="194" t="s">
        <v>310</v>
      </c>
      <c r="AX125" s="194" t="s">
        <v>311</v>
      </c>
      <c r="BA125" s="194" t="s">
        <v>310</v>
      </c>
      <c r="BB125" s="194" t="s">
        <v>311</v>
      </c>
      <c r="BP125" s="235" t="str">
        <f t="shared" si="0"/>
        <v>12131</v>
      </c>
      <c r="BQ125" s="194">
        <v>1</v>
      </c>
      <c r="BR125" s="194">
        <v>2</v>
      </c>
      <c r="BS125" s="194">
        <v>1</v>
      </c>
      <c r="BT125" s="194">
        <v>3</v>
      </c>
      <c r="BU125" s="194">
        <v>1</v>
      </c>
      <c r="BV125" s="194">
        <v>7</v>
      </c>
    </row>
    <row r="126" spans="4:75" ht="12" hidden="1" customHeight="1">
      <c r="D126" s="249"/>
      <c r="M126" s="247" t="s">
        <v>368</v>
      </c>
      <c r="N126" s="247"/>
      <c r="O126" s="247"/>
      <c r="P126" s="247"/>
      <c r="Q126" s="247"/>
      <c r="R126" s="247"/>
      <c r="S126" s="247"/>
      <c r="T126" s="247"/>
      <c r="W126" s="194" t="s">
        <v>369</v>
      </c>
      <c r="AF126" s="210" t="s">
        <v>366</v>
      </c>
      <c r="AG126" s="194">
        <v>0.5</v>
      </c>
      <c r="AH126" s="194">
        <v>5.5</v>
      </c>
      <c r="AJ126" s="210" t="s">
        <v>367</v>
      </c>
      <c r="AK126" s="194">
        <v>0.1</v>
      </c>
      <c r="AL126" s="194">
        <v>5</v>
      </c>
      <c r="AN126" s="215" t="s">
        <v>370</v>
      </c>
      <c r="AO126" s="194">
        <v>0.4</v>
      </c>
      <c r="AP126" s="194">
        <v>5</v>
      </c>
      <c r="AR126" s="215" t="s">
        <v>371</v>
      </c>
      <c r="AS126" s="194">
        <v>0.2</v>
      </c>
      <c r="AT126" s="194">
        <v>4.5</v>
      </c>
      <c r="AV126" s="215" t="s">
        <v>372</v>
      </c>
      <c r="AW126" s="194">
        <v>1</v>
      </c>
      <c r="AX126" s="194">
        <v>4.5</v>
      </c>
      <c r="AZ126" s="215" t="s">
        <v>373</v>
      </c>
      <c r="BA126" s="194">
        <v>0.1</v>
      </c>
      <c r="BB126" s="194">
        <v>4</v>
      </c>
      <c r="BP126" s="235" t="str">
        <f t="shared" si="0"/>
        <v>12132</v>
      </c>
      <c r="BQ126" s="194">
        <v>1</v>
      </c>
      <c r="BR126" s="194">
        <v>2</v>
      </c>
      <c r="BS126" s="194">
        <v>1</v>
      </c>
      <c r="BT126" s="194">
        <v>3</v>
      </c>
      <c r="BU126" s="194">
        <v>2</v>
      </c>
      <c r="BV126" s="194">
        <v>8</v>
      </c>
    </row>
    <row r="127" spans="4:75" ht="12.75" hidden="1">
      <c r="M127" s="247"/>
      <c r="N127" s="247"/>
      <c r="O127" s="247"/>
      <c r="P127" s="247"/>
      <c r="Q127" s="247"/>
      <c r="R127" s="247"/>
      <c r="S127" s="247"/>
      <c r="T127" s="247"/>
      <c r="W127" s="194" t="s">
        <v>374</v>
      </c>
      <c r="AF127" s="210"/>
      <c r="AG127" s="194">
        <v>8</v>
      </c>
      <c r="AH127" s="194">
        <v>6</v>
      </c>
      <c r="AJ127" s="210"/>
      <c r="AK127" s="194">
        <v>3</v>
      </c>
      <c r="AL127" s="194">
        <v>5.5</v>
      </c>
      <c r="AN127" s="215"/>
      <c r="AO127" s="194">
        <v>9</v>
      </c>
      <c r="AP127" s="194">
        <v>5.5</v>
      </c>
      <c r="AR127" s="215"/>
      <c r="AS127" s="194">
        <v>6</v>
      </c>
      <c r="AT127" s="194">
        <v>5</v>
      </c>
      <c r="AV127" s="215"/>
      <c r="AW127" s="194">
        <v>27</v>
      </c>
      <c r="AX127" s="194">
        <v>5</v>
      </c>
      <c r="AZ127" s="215"/>
      <c r="BA127" s="194">
        <v>5</v>
      </c>
      <c r="BB127" s="194">
        <v>4.5</v>
      </c>
      <c r="BP127" s="235" t="str">
        <f t="shared" si="0"/>
        <v>12133</v>
      </c>
      <c r="BQ127" s="194">
        <v>1</v>
      </c>
      <c r="BR127" s="194">
        <v>2</v>
      </c>
      <c r="BS127" s="194">
        <v>1</v>
      </c>
      <c r="BT127" s="194">
        <v>3</v>
      </c>
      <c r="BU127" s="194">
        <v>3</v>
      </c>
      <c r="BV127" s="194">
        <v>9</v>
      </c>
    </row>
    <row r="128" spans="4:75" ht="12.75" hidden="1">
      <c r="AF128" s="210"/>
      <c r="AG128" s="194">
        <v>76</v>
      </c>
      <c r="AH128" s="194">
        <v>6.5</v>
      </c>
      <c r="AJ128" s="210"/>
      <c r="AK128" s="194">
        <v>36</v>
      </c>
      <c r="AL128" s="194">
        <v>6</v>
      </c>
      <c r="AN128" s="215"/>
      <c r="AO128" s="194">
        <v>98</v>
      </c>
      <c r="AP128" s="194">
        <v>6</v>
      </c>
      <c r="AR128" s="215"/>
      <c r="AS128" s="194">
        <v>73</v>
      </c>
      <c r="AT128" s="194">
        <v>5.5</v>
      </c>
      <c r="AV128" s="215"/>
      <c r="AW128" s="194">
        <v>290</v>
      </c>
      <c r="AX128" s="194">
        <v>5.5</v>
      </c>
      <c r="AZ128" s="215"/>
      <c r="BA128" s="194">
        <v>75</v>
      </c>
      <c r="BB128" s="194">
        <v>5</v>
      </c>
      <c r="BP128" s="235" t="str">
        <f t="shared" si="0"/>
        <v>12211</v>
      </c>
      <c r="BQ128" s="194">
        <v>1</v>
      </c>
      <c r="BR128" s="194">
        <v>2</v>
      </c>
      <c r="BS128" s="194">
        <v>2</v>
      </c>
      <c r="BT128" s="194">
        <v>1</v>
      </c>
      <c r="BU128" s="194">
        <v>1</v>
      </c>
      <c r="BV128" s="194">
        <v>10</v>
      </c>
    </row>
    <row r="129" spans="13:74" ht="12.75" hidden="1">
      <c r="M129" s="233" t="s">
        <v>375</v>
      </c>
      <c r="S129" s="250"/>
      <c r="W129" s="234"/>
      <c r="AF129" s="210"/>
      <c r="AG129" s="194">
        <v>520</v>
      </c>
      <c r="AH129" s="194">
        <v>7</v>
      </c>
      <c r="AJ129" s="210"/>
      <c r="AK129" s="194">
        <v>300</v>
      </c>
      <c r="AL129" s="194">
        <v>6.5</v>
      </c>
      <c r="AN129" s="215"/>
      <c r="AO129" s="194">
        <v>760</v>
      </c>
      <c r="AP129" s="194">
        <v>6.5</v>
      </c>
      <c r="AR129" s="215"/>
      <c r="AS129" s="194">
        <v>610</v>
      </c>
      <c r="AT129" s="194">
        <v>6</v>
      </c>
      <c r="AZ129" s="215"/>
      <c r="BA129" s="194">
        <v>730</v>
      </c>
      <c r="BB129" s="194">
        <v>5.5</v>
      </c>
      <c r="BP129" s="235" t="str">
        <f t="shared" si="0"/>
        <v>12212</v>
      </c>
      <c r="BQ129" s="194">
        <v>1</v>
      </c>
      <c r="BR129" s="194">
        <v>2</v>
      </c>
      <c r="BS129" s="194">
        <v>2</v>
      </c>
      <c r="BT129" s="194">
        <v>1</v>
      </c>
      <c r="BU129" s="194">
        <v>2</v>
      </c>
      <c r="BV129" s="194">
        <v>11</v>
      </c>
    </row>
    <row r="130" spans="13:74" ht="12" hidden="1" customHeight="1">
      <c r="M130" s="233"/>
      <c r="S130" s="250"/>
      <c r="BP130" s="235" t="str">
        <f t="shared" si="0"/>
        <v>12213</v>
      </c>
      <c r="BQ130" s="194">
        <v>1</v>
      </c>
      <c r="BR130" s="194">
        <v>2</v>
      </c>
      <c r="BS130" s="194">
        <v>2</v>
      </c>
      <c r="BT130" s="194">
        <v>1</v>
      </c>
      <c r="BU130" s="194">
        <v>3</v>
      </c>
      <c r="BV130" s="194">
        <v>12</v>
      </c>
    </row>
    <row r="131" spans="13:74" ht="12" hidden="1" customHeight="1">
      <c r="M131" s="233"/>
      <c r="S131" s="250"/>
      <c r="BP131" s="235" t="str">
        <f t="shared" si="0"/>
        <v>12221</v>
      </c>
      <c r="BQ131" s="194">
        <v>1</v>
      </c>
      <c r="BR131" s="194">
        <v>2</v>
      </c>
      <c r="BS131" s="194">
        <v>2</v>
      </c>
      <c r="BT131" s="194">
        <v>2</v>
      </c>
      <c r="BU131" s="194">
        <v>1</v>
      </c>
      <c r="BV131" s="194">
        <v>13</v>
      </c>
    </row>
    <row r="132" spans="13:74" ht="12.75" hidden="1">
      <c r="M132" s="239" t="str">
        <f>IF(B20="Categoría 1","Sin Dovelas","Con Dovelas")</f>
        <v>Con Dovelas</v>
      </c>
      <c r="S132" s="250"/>
      <c r="AG132" s="194" t="s">
        <v>310</v>
      </c>
      <c r="AH132" s="194" t="s">
        <v>311</v>
      </c>
      <c r="AK132" s="194" t="s">
        <v>310</v>
      </c>
      <c r="AL132" s="194" t="s">
        <v>311</v>
      </c>
      <c r="AO132" s="194" t="s">
        <v>310</v>
      </c>
      <c r="AP132" s="194" t="s">
        <v>311</v>
      </c>
      <c r="AS132" s="194" t="s">
        <v>310</v>
      </c>
      <c r="AT132" s="194" t="s">
        <v>311</v>
      </c>
      <c r="AW132" s="194" t="s">
        <v>310</v>
      </c>
      <c r="AX132" s="194" t="s">
        <v>311</v>
      </c>
      <c r="BA132" s="194" t="s">
        <v>310</v>
      </c>
      <c r="BB132" s="194" t="s">
        <v>311</v>
      </c>
      <c r="BP132" s="235" t="str">
        <f t="shared" si="0"/>
        <v>12222</v>
      </c>
      <c r="BQ132" s="194">
        <v>1</v>
      </c>
      <c r="BR132" s="194">
        <v>2</v>
      </c>
      <c r="BS132" s="194">
        <v>2</v>
      </c>
      <c r="BT132" s="194">
        <v>2</v>
      </c>
      <c r="BU132" s="194">
        <v>2</v>
      </c>
      <c r="BV132" s="194">
        <v>14</v>
      </c>
    </row>
    <row r="133" spans="13:74" ht="12.75" hidden="1">
      <c r="M133" s="239" t="s">
        <v>379</v>
      </c>
      <c r="S133" s="250"/>
      <c r="AF133" s="215" t="s">
        <v>376</v>
      </c>
      <c r="AG133" s="194">
        <v>0.1</v>
      </c>
      <c r="AH133" s="194">
        <v>5</v>
      </c>
      <c r="AJ133" s="215" t="s">
        <v>377</v>
      </c>
      <c r="AK133" s="194">
        <v>0.8</v>
      </c>
      <c r="AL133" s="194">
        <v>5</v>
      </c>
      <c r="AN133" s="215" t="s">
        <v>380</v>
      </c>
      <c r="AO133" s="194">
        <v>0.1</v>
      </c>
      <c r="AP133" s="194">
        <v>4.5</v>
      </c>
      <c r="AR133" s="215" t="s">
        <v>381</v>
      </c>
      <c r="AS133" s="194">
        <v>2</v>
      </c>
      <c r="AT133" s="194">
        <v>4.5</v>
      </c>
      <c r="AV133" s="210" t="s">
        <v>382</v>
      </c>
      <c r="AW133" s="194">
        <v>0.2</v>
      </c>
      <c r="AX133" s="194">
        <v>4</v>
      </c>
      <c r="AZ133" s="215" t="s">
        <v>383</v>
      </c>
      <c r="BA133" s="194">
        <v>0.9</v>
      </c>
      <c r="BB133" s="194">
        <v>4</v>
      </c>
      <c r="BP133" s="235" t="str">
        <f t="shared" si="0"/>
        <v>12223</v>
      </c>
      <c r="BQ133" s="194">
        <v>1</v>
      </c>
      <c r="BR133" s="194">
        <v>2</v>
      </c>
      <c r="BS133" s="194">
        <v>2</v>
      </c>
      <c r="BT133" s="194">
        <v>2</v>
      </c>
      <c r="BU133" s="194">
        <v>3</v>
      </c>
      <c r="BV133" s="194">
        <v>15</v>
      </c>
    </row>
    <row r="134" spans="13:74" ht="12.75" hidden="1">
      <c r="S134" s="250"/>
      <c r="AF134" s="215"/>
      <c r="AG134" s="194">
        <v>3</v>
      </c>
      <c r="AH134" s="194">
        <v>5.5</v>
      </c>
      <c r="AJ134" s="215"/>
      <c r="AK134" s="194">
        <v>15</v>
      </c>
      <c r="AL134" s="194">
        <v>5.5</v>
      </c>
      <c r="AN134" s="215"/>
      <c r="AO134" s="194">
        <v>3</v>
      </c>
      <c r="AP134" s="194">
        <v>5</v>
      </c>
      <c r="AR134" s="215"/>
      <c r="AS134" s="194">
        <v>30</v>
      </c>
      <c r="AT134" s="194">
        <v>5</v>
      </c>
      <c r="AV134" s="210"/>
      <c r="AW134" s="194">
        <v>8</v>
      </c>
      <c r="AX134" s="194">
        <v>4.5</v>
      </c>
      <c r="AZ134" s="215"/>
      <c r="BA134" s="194">
        <v>25</v>
      </c>
      <c r="BB134" s="194">
        <v>4.5</v>
      </c>
      <c r="BP134" s="235" t="str">
        <f t="shared" si="0"/>
        <v>12231</v>
      </c>
      <c r="BQ134" s="194">
        <v>1</v>
      </c>
      <c r="BR134" s="194">
        <v>2</v>
      </c>
      <c r="BS134" s="194">
        <v>2</v>
      </c>
      <c r="BT134" s="194">
        <v>3</v>
      </c>
      <c r="BU134" s="194">
        <v>1</v>
      </c>
      <c r="BV134" s="194">
        <v>16</v>
      </c>
    </row>
    <row r="135" spans="13:74" ht="12" hidden="1" customHeight="1">
      <c r="M135" s="233" t="s">
        <v>384</v>
      </c>
      <c r="S135" s="250"/>
      <c r="AF135" s="215"/>
      <c r="AG135" s="194">
        <v>40</v>
      </c>
      <c r="AH135" s="194">
        <v>6</v>
      </c>
      <c r="AJ135" s="215"/>
      <c r="AK135" s="194">
        <v>160</v>
      </c>
      <c r="AL135" s="194">
        <v>6</v>
      </c>
      <c r="AN135" s="215"/>
      <c r="AO135" s="194">
        <v>45</v>
      </c>
      <c r="AP135" s="194">
        <v>5.5</v>
      </c>
      <c r="AR135" s="215"/>
      <c r="AS135" s="194">
        <v>320</v>
      </c>
      <c r="AT135" s="194">
        <v>5.5</v>
      </c>
      <c r="AV135" s="210"/>
      <c r="AW135" s="194">
        <v>130</v>
      </c>
      <c r="AX135" s="194">
        <v>5</v>
      </c>
      <c r="AZ135" s="215"/>
      <c r="BA135" s="194">
        <v>330</v>
      </c>
      <c r="BB135" s="194">
        <v>5</v>
      </c>
      <c r="BP135" s="235" t="str">
        <f t="shared" si="0"/>
        <v>12232</v>
      </c>
      <c r="BQ135" s="194">
        <v>1</v>
      </c>
      <c r="BR135" s="194">
        <v>2</v>
      </c>
      <c r="BS135" s="194">
        <v>2</v>
      </c>
      <c r="BT135" s="194">
        <v>3</v>
      </c>
      <c r="BU135" s="194">
        <v>2</v>
      </c>
      <c r="BV135" s="194">
        <v>17</v>
      </c>
    </row>
    <row r="136" spans="13:74" ht="12" hidden="1" customHeight="1">
      <c r="M136" s="233"/>
      <c r="S136" s="250"/>
      <c r="AF136" s="215"/>
      <c r="AG136" s="194">
        <v>330</v>
      </c>
      <c r="AH136" s="194">
        <v>6.5</v>
      </c>
      <c r="AN136" s="215"/>
      <c r="AO136" s="194">
        <v>430</v>
      </c>
      <c r="AP136" s="194">
        <v>6</v>
      </c>
      <c r="BP136" s="235" t="str">
        <f t="shared" si="0"/>
        <v>12233</v>
      </c>
      <c r="BQ136" s="194">
        <v>1</v>
      </c>
      <c r="BR136" s="194">
        <v>2</v>
      </c>
      <c r="BS136" s="194">
        <v>2</v>
      </c>
      <c r="BT136" s="194">
        <v>3</v>
      </c>
      <c r="BU136" s="194">
        <v>3</v>
      </c>
      <c r="BV136" s="194">
        <v>18</v>
      </c>
    </row>
    <row r="137" spans="13:74" ht="12" hidden="1" customHeight="1">
      <c r="M137" s="233"/>
      <c r="S137" s="250"/>
      <c r="Y137" s="251"/>
      <c r="BP137" s="235" t="str">
        <f t="shared" si="0"/>
        <v>21111</v>
      </c>
      <c r="BQ137" s="194">
        <v>2</v>
      </c>
      <c r="BR137" s="194">
        <v>1</v>
      </c>
      <c r="BS137" s="194">
        <v>1</v>
      </c>
      <c r="BT137" s="194">
        <v>1</v>
      </c>
      <c r="BU137" s="194">
        <v>1</v>
      </c>
      <c r="BV137" s="194">
        <v>19</v>
      </c>
    </row>
    <row r="138" spans="13:74" ht="12.75" hidden="1">
      <c r="M138" s="239" t="s">
        <v>386</v>
      </c>
      <c r="Y138" s="251"/>
      <c r="BP138" s="235" t="str">
        <f t="shared" si="0"/>
        <v>21112</v>
      </c>
      <c r="BQ138" s="194">
        <v>2</v>
      </c>
      <c r="BR138" s="194">
        <v>1</v>
      </c>
      <c r="BS138" s="194">
        <v>1</v>
      </c>
      <c r="BT138" s="194">
        <v>1</v>
      </c>
      <c r="BU138" s="194">
        <v>2</v>
      </c>
      <c r="BV138" s="194">
        <v>20</v>
      </c>
    </row>
    <row r="139" spans="13:74" ht="12.75" hidden="1">
      <c r="M139" s="239" t="s">
        <v>387</v>
      </c>
      <c r="Y139" s="251"/>
      <c r="BP139" s="235" t="str">
        <f t="shared" si="0"/>
        <v>21113</v>
      </c>
      <c r="BQ139" s="194">
        <v>2</v>
      </c>
      <c r="BR139" s="194">
        <v>1</v>
      </c>
      <c r="BS139" s="194">
        <v>1</v>
      </c>
      <c r="BT139" s="194">
        <v>1</v>
      </c>
      <c r="BU139" s="194">
        <v>3</v>
      </c>
      <c r="BV139" s="194">
        <v>21</v>
      </c>
    </row>
    <row r="140" spans="13:74" ht="12.75" hidden="1">
      <c r="Y140" s="251"/>
      <c r="BP140" s="235" t="str">
        <f t="shared" si="0"/>
        <v>21121</v>
      </c>
      <c r="BQ140" s="194">
        <v>2</v>
      </c>
      <c r="BR140" s="194">
        <v>1</v>
      </c>
      <c r="BS140" s="194">
        <v>1</v>
      </c>
      <c r="BT140" s="194">
        <v>2</v>
      </c>
      <c r="BU140" s="194">
        <v>1</v>
      </c>
      <c r="BV140" s="194">
        <v>22</v>
      </c>
    </row>
    <row r="141" spans="13:74" ht="12" hidden="1" customHeight="1">
      <c r="M141" s="233" t="s">
        <v>388</v>
      </c>
      <c r="Y141" s="251"/>
      <c r="BP141" s="235" t="str">
        <f t="shared" si="0"/>
        <v>21122</v>
      </c>
      <c r="BQ141" s="194">
        <v>2</v>
      </c>
      <c r="BR141" s="194">
        <v>1</v>
      </c>
      <c r="BS141" s="194">
        <v>1</v>
      </c>
      <c r="BT141" s="194">
        <v>2</v>
      </c>
      <c r="BU141" s="194">
        <v>2</v>
      </c>
      <c r="BV141" s="194">
        <v>23</v>
      </c>
    </row>
    <row r="142" spans="13:74" ht="12" hidden="1" customHeight="1">
      <c r="M142" s="233"/>
      <c r="Y142" s="251"/>
      <c r="AG142" s="194" t="s">
        <v>310</v>
      </c>
      <c r="AH142" s="194" t="s">
        <v>311</v>
      </c>
      <c r="AK142" s="194" t="s">
        <v>310</v>
      </c>
      <c r="AL142" s="194" t="s">
        <v>311</v>
      </c>
      <c r="AO142" s="194" t="s">
        <v>310</v>
      </c>
      <c r="AP142" s="194" t="s">
        <v>311</v>
      </c>
      <c r="AS142" s="194" t="s">
        <v>310</v>
      </c>
      <c r="AT142" s="194" t="s">
        <v>311</v>
      </c>
      <c r="AW142" s="194" t="s">
        <v>310</v>
      </c>
      <c r="AX142" s="194" t="s">
        <v>311</v>
      </c>
      <c r="BA142" s="194" t="s">
        <v>310</v>
      </c>
      <c r="BB142" s="194" t="s">
        <v>311</v>
      </c>
      <c r="BE142" s="194" t="s">
        <v>310</v>
      </c>
      <c r="BF142" s="194" t="s">
        <v>390</v>
      </c>
      <c r="BI142" s="194" t="s">
        <v>310</v>
      </c>
      <c r="BJ142" s="194" t="s">
        <v>311</v>
      </c>
      <c r="BP142" s="235" t="str">
        <f t="shared" si="0"/>
        <v>21123</v>
      </c>
      <c r="BQ142" s="194">
        <v>2</v>
      </c>
      <c r="BR142" s="194">
        <v>1</v>
      </c>
      <c r="BS142" s="194">
        <v>1</v>
      </c>
      <c r="BT142" s="194">
        <v>2</v>
      </c>
      <c r="BU142" s="194">
        <v>3</v>
      </c>
      <c r="BV142" s="194">
        <v>24</v>
      </c>
    </row>
    <row r="143" spans="13:74" ht="12" hidden="1" customHeight="1">
      <c r="M143" s="233"/>
      <c r="Y143" s="251"/>
      <c r="AF143" s="215" t="s">
        <v>391</v>
      </c>
      <c r="AG143" s="194">
        <v>19</v>
      </c>
      <c r="AH143" s="194">
        <v>7.5</v>
      </c>
      <c r="AJ143" s="215" t="s">
        <v>392</v>
      </c>
      <c r="AK143" s="194">
        <v>11</v>
      </c>
      <c r="AL143" s="194">
        <v>7</v>
      </c>
      <c r="AN143" s="215" t="s">
        <v>393</v>
      </c>
      <c r="AO143" s="194">
        <v>4</v>
      </c>
      <c r="AP143" s="194">
        <v>6.5</v>
      </c>
      <c r="AR143" s="215" t="s">
        <v>394</v>
      </c>
      <c r="AS143" s="194">
        <v>19</v>
      </c>
      <c r="AT143" s="194">
        <v>6.5</v>
      </c>
      <c r="AV143" s="215" t="s">
        <v>395</v>
      </c>
      <c r="AW143" s="194">
        <v>3</v>
      </c>
      <c r="AX143" s="194">
        <v>6</v>
      </c>
      <c r="AZ143" s="215" t="s">
        <v>396</v>
      </c>
      <c r="BA143" s="194">
        <v>14</v>
      </c>
      <c r="BB143" s="194">
        <v>6</v>
      </c>
      <c r="BD143" s="215" t="s">
        <v>397</v>
      </c>
      <c r="BE143" s="194">
        <v>3</v>
      </c>
      <c r="BF143" s="194">
        <v>5.5</v>
      </c>
      <c r="BH143" s="215" t="s">
        <v>398</v>
      </c>
      <c r="BI143" s="194">
        <v>17</v>
      </c>
      <c r="BJ143" s="194">
        <v>5.5</v>
      </c>
      <c r="BP143" s="235" t="str">
        <f t="shared" si="0"/>
        <v>21131</v>
      </c>
      <c r="BQ143" s="194">
        <v>2</v>
      </c>
      <c r="BR143" s="194">
        <v>1</v>
      </c>
      <c r="BS143" s="194">
        <v>1</v>
      </c>
      <c r="BT143" s="194">
        <v>3</v>
      </c>
      <c r="BU143" s="194">
        <v>1</v>
      </c>
      <c r="BV143" s="194">
        <v>25</v>
      </c>
    </row>
    <row r="144" spans="13:74" ht="12.75" hidden="1">
      <c r="M144" s="239" t="s">
        <v>399</v>
      </c>
      <c r="Y144" s="251"/>
      <c r="AF144" s="215"/>
      <c r="AG144" s="194">
        <v>120</v>
      </c>
      <c r="AH144" s="194">
        <v>8</v>
      </c>
      <c r="AJ144" s="215"/>
      <c r="AK144" s="194">
        <v>84</v>
      </c>
      <c r="AL144" s="194">
        <v>7.5</v>
      </c>
      <c r="AN144" s="215"/>
      <c r="AO144" s="194">
        <v>34</v>
      </c>
      <c r="AP144" s="194">
        <v>7</v>
      </c>
      <c r="AR144" s="215"/>
      <c r="AS144" s="194">
        <v>150</v>
      </c>
      <c r="AT144" s="194">
        <v>7</v>
      </c>
      <c r="AV144" s="215"/>
      <c r="AW144" s="194">
        <v>29</v>
      </c>
      <c r="AX144" s="194">
        <v>6.5</v>
      </c>
      <c r="AZ144" s="215"/>
      <c r="BA144" s="194">
        <v>120</v>
      </c>
      <c r="BB144" s="194">
        <v>6.5</v>
      </c>
      <c r="BD144" s="215"/>
      <c r="BE144" s="194">
        <v>41</v>
      </c>
      <c r="BF144" s="194">
        <v>6</v>
      </c>
      <c r="BH144" s="215"/>
      <c r="BI144" s="194">
        <v>160</v>
      </c>
      <c r="BJ144" s="194">
        <v>6</v>
      </c>
      <c r="BP144" s="235" t="str">
        <f t="shared" si="0"/>
        <v>21132</v>
      </c>
      <c r="BQ144" s="194">
        <v>2</v>
      </c>
      <c r="BR144" s="194">
        <v>1</v>
      </c>
      <c r="BS144" s="194">
        <v>1</v>
      </c>
      <c r="BT144" s="194">
        <v>3</v>
      </c>
      <c r="BU144" s="194">
        <v>2</v>
      </c>
      <c r="BV144" s="194">
        <v>26</v>
      </c>
    </row>
    <row r="145" spans="13:74" ht="38.25" hidden="1">
      <c r="M145" s="239" t="s">
        <v>401</v>
      </c>
      <c r="Y145" s="251"/>
      <c r="AF145" s="215"/>
      <c r="AG145" s="194">
        <v>560</v>
      </c>
      <c r="AH145" s="194">
        <v>8.5</v>
      </c>
      <c r="AJ145" s="215"/>
      <c r="AK145" s="194">
        <v>470</v>
      </c>
      <c r="AL145" s="194">
        <v>8</v>
      </c>
      <c r="AN145" s="215"/>
      <c r="AO145" s="194">
        <v>230</v>
      </c>
      <c r="AP145" s="194">
        <v>7.5</v>
      </c>
      <c r="AR145" s="215"/>
      <c r="AS145" s="194">
        <v>890</v>
      </c>
      <c r="AT145" s="194">
        <v>7.5</v>
      </c>
      <c r="AV145" s="215"/>
      <c r="AW145" s="194">
        <v>210</v>
      </c>
      <c r="AX145" s="194">
        <v>7</v>
      </c>
      <c r="AZ145" s="215"/>
      <c r="BA145" s="194">
        <v>770</v>
      </c>
      <c r="BB145" s="194">
        <v>7</v>
      </c>
      <c r="BD145" s="215"/>
      <c r="BE145" s="194">
        <v>320</v>
      </c>
      <c r="BF145" s="194">
        <v>6.5</v>
      </c>
      <c r="BH145" s="215"/>
      <c r="BI145" s="194">
        <v>1100</v>
      </c>
      <c r="BJ145" s="194">
        <v>6.5</v>
      </c>
      <c r="BP145" s="235" t="str">
        <f t="shared" si="0"/>
        <v>21133</v>
      </c>
      <c r="BQ145" s="194">
        <v>2</v>
      </c>
      <c r="BR145" s="194">
        <v>1</v>
      </c>
      <c r="BS145" s="194">
        <v>1</v>
      </c>
      <c r="BT145" s="194">
        <v>3</v>
      </c>
      <c r="BU145" s="194">
        <v>3</v>
      </c>
      <c r="BV145" s="194">
        <v>27</v>
      </c>
    </row>
    <row r="146" spans="13:74" ht="12.75" hidden="1">
      <c r="M146" s="252"/>
      <c r="Y146" s="251"/>
      <c r="AF146" s="215"/>
      <c r="AG146" s="194">
        <v>2400</v>
      </c>
      <c r="AH146" s="194">
        <v>9</v>
      </c>
      <c r="AJ146" s="215"/>
      <c r="AK146" s="194">
        <v>2200</v>
      </c>
      <c r="AL146" s="194">
        <v>8.5</v>
      </c>
      <c r="AN146" s="215"/>
      <c r="AO146" s="194">
        <v>1200</v>
      </c>
      <c r="AP146" s="194">
        <v>8</v>
      </c>
      <c r="AV146" s="215"/>
      <c r="AW146" s="194">
        <v>1100</v>
      </c>
      <c r="AX146" s="194">
        <v>7.5</v>
      </c>
      <c r="AZ146" s="215"/>
      <c r="BA146" s="194">
        <v>4000</v>
      </c>
      <c r="BB146" s="194">
        <v>7.5</v>
      </c>
      <c r="BD146" s="215"/>
      <c r="BE146" s="194">
        <v>1900</v>
      </c>
      <c r="BF146" s="194">
        <v>7</v>
      </c>
      <c r="BP146" s="235" t="str">
        <f t="shared" si="0"/>
        <v>21141</v>
      </c>
      <c r="BQ146" s="194">
        <v>2</v>
      </c>
      <c r="BR146" s="194">
        <v>1</v>
      </c>
      <c r="BS146" s="194">
        <v>1</v>
      </c>
      <c r="BT146" s="194">
        <v>4</v>
      </c>
      <c r="BU146" s="194">
        <v>1</v>
      </c>
      <c r="BV146" s="194">
        <v>28</v>
      </c>
    </row>
    <row r="147" spans="13:74" ht="12" hidden="1" customHeight="1">
      <c r="M147" s="233" t="s">
        <v>402</v>
      </c>
      <c r="BP147" s="235" t="str">
        <f t="shared" si="0"/>
        <v>21142</v>
      </c>
      <c r="BQ147" s="194">
        <v>2</v>
      </c>
      <c r="BR147" s="194">
        <v>1</v>
      </c>
      <c r="BS147" s="194">
        <v>1</v>
      </c>
      <c r="BT147" s="194">
        <v>4</v>
      </c>
      <c r="BU147" s="194">
        <v>2</v>
      </c>
      <c r="BV147" s="194">
        <v>29</v>
      </c>
    </row>
    <row r="148" spans="13:74" ht="12" hidden="1" customHeight="1">
      <c r="M148" s="233"/>
      <c r="BP148" s="235" t="str">
        <f t="shared" si="0"/>
        <v>21143</v>
      </c>
      <c r="BQ148" s="194">
        <v>2</v>
      </c>
      <c r="BR148" s="194">
        <v>1</v>
      </c>
      <c r="BS148" s="194">
        <v>1</v>
      </c>
      <c r="BT148" s="194">
        <v>4</v>
      </c>
      <c r="BU148" s="194">
        <v>3</v>
      </c>
      <c r="BV148" s="194">
        <v>30</v>
      </c>
    </row>
    <row r="149" spans="13:74" ht="12" hidden="1" customHeight="1">
      <c r="M149" s="233"/>
      <c r="AG149" s="194" t="s">
        <v>310</v>
      </c>
      <c r="AH149" s="194" t="s">
        <v>311</v>
      </c>
      <c r="AK149" s="194" t="s">
        <v>310</v>
      </c>
      <c r="AL149" s="194" t="s">
        <v>311</v>
      </c>
      <c r="AO149" s="194" t="s">
        <v>310</v>
      </c>
      <c r="AP149" s="194" t="s">
        <v>311</v>
      </c>
      <c r="AS149" s="194" t="s">
        <v>310</v>
      </c>
      <c r="AT149" s="194" t="s">
        <v>311</v>
      </c>
      <c r="AW149" s="194" t="s">
        <v>310</v>
      </c>
      <c r="AX149" s="194" t="s">
        <v>311</v>
      </c>
      <c r="BA149" s="194" t="s">
        <v>310</v>
      </c>
      <c r="BB149" s="194" t="s">
        <v>311</v>
      </c>
      <c r="BE149" s="194" t="s">
        <v>310</v>
      </c>
      <c r="BF149" s="194" t="s">
        <v>311</v>
      </c>
      <c r="BI149" s="194" t="s">
        <v>310</v>
      </c>
      <c r="BJ149" s="194" t="s">
        <v>311</v>
      </c>
      <c r="BP149" s="235" t="str">
        <f t="shared" si="0"/>
        <v>21211</v>
      </c>
      <c r="BQ149" s="194">
        <v>2</v>
      </c>
      <c r="BR149" s="194">
        <v>1</v>
      </c>
      <c r="BS149" s="194">
        <v>2</v>
      </c>
      <c r="BT149" s="194">
        <v>1</v>
      </c>
      <c r="BU149" s="194">
        <v>1</v>
      </c>
      <c r="BV149" s="194">
        <v>31</v>
      </c>
    </row>
    <row r="150" spans="13:74" ht="12.75" hidden="1">
      <c r="M150" s="239">
        <v>550</v>
      </c>
      <c r="AF150" s="215" t="s">
        <v>404</v>
      </c>
      <c r="AG150" s="194">
        <v>15</v>
      </c>
      <c r="AH150" s="194">
        <v>7</v>
      </c>
      <c r="AJ150" s="215" t="s">
        <v>405</v>
      </c>
      <c r="AK150" s="194">
        <v>8</v>
      </c>
      <c r="AL150" s="194">
        <v>6.5</v>
      </c>
      <c r="AN150" s="215" t="s">
        <v>406</v>
      </c>
      <c r="AO150" s="194">
        <v>24</v>
      </c>
      <c r="AP150" s="194">
        <v>6.5</v>
      </c>
      <c r="AR150" s="215" t="s">
        <v>407</v>
      </c>
      <c r="AS150" s="194">
        <v>11</v>
      </c>
      <c r="AT150" s="194">
        <v>6</v>
      </c>
      <c r="AV150" s="215" t="s">
        <v>408</v>
      </c>
      <c r="AW150" s="194">
        <v>1</v>
      </c>
      <c r="AX150" s="194">
        <v>5.5</v>
      </c>
      <c r="AZ150" s="215" t="s">
        <v>409</v>
      </c>
      <c r="BA150" s="194">
        <v>8</v>
      </c>
      <c r="BB150" s="194">
        <v>5.5</v>
      </c>
      <c r="BD150" s="215" t="s">
        <v>410</v>
      </c>
      <c r="BE150" s="194">
        <v>1</v>
      </c>
      <c r="BF150" s="194">
        <v>5</v>
      </c>
      <c r="BH150" s="215" t="s">
        <v>411</v>
      </c>
      <c r="BI150" s="194">
        <v>8</v>
      </c>
      <c r="BJ150" s="194">
        <v>5</v>
      </c>
      <c r="BP150" s="235" t="str">
        <f t="shared" si="0"/>
        <v>21212</v>
      </c>
      <c r="BQ150" s="194">
        <v>2</v>
      </c>
      <c r="BR150" s="194">
        <v>1</v>
      </c>
      <c r="BS150" s="194">
        <v>2</v>
      </c>
      <c r="BT150" s="194">
        <v>1</v>
      </c>
      <c r="BU150" s="194">
        <v>2</v>
      </c>
      <c r="BV150" s="194">
        <v>32</v>
      </c>
    </row>
    <row r="151" spans="13:74" ht="12.75" hidden="1">
      <c r="M151" s="239">
        <v>600</v>
      </c>
      <c r="AF151" s="215"/>
      <c r="AG151" s="194">
        <v>110</v>
      </c>
      <c r="AH151" s="194">
        <v>7.5</v>
      </c>
      <c r="AJ151" s="215"/>
      <c r="AK151" s="194">
        <v>70</v>
      </c>
      <c r="AL151" s="194">
        <v>7</v>
      </c>
      <c r="AN151" s="215"/>
      <c r="AO151" s="194">
        <v>190</v>
      </c>
      <c r="AP151" s="194">
        <v>7</v>
      </c>
      <c r="AR151" s="215"/>
      <c r="AS151" s="194">
        <v>110</v>
      </c>
      <c r="AT151" s="194">
        <v>6.5</v>
      </c>
      <c r="AV151" s="215"/>
      <c r="AW151" s="194">
        <v>19</v>
      </c>
      <c r="AX151" s="194">
        <v>6</v>
      </c>
      <c r="AZ151" s="215"/>
      <c r="BA151" s="194">
        <v>84</v>
      </c>
      <c r="BB151" s="194">
        <v>6</v>
      </c>
      <c r="BD151" s="215"/>
      <c r="BE151" s="194">
        <v>23</v>
      </c>
      <c r="BF151" s="194">
        <v>5.5</v>
      </c>
      <c r="BH151" s="215"/>
      <c r="BI151" s="194">
        <v>98</v>
      </c>
      <c r="BJ151" s="194">
        <v>5.5</v>
      </c>
      <c r="BP151" s="235" t="str">
        <f t="shared" si="0"/>
        <v>21213</v>
      </c>
      <c r="BQ151" s="194">
        <v>2</v>
      </c>
      <c r="BR151" s="194">
        <v>1</v>
      </c>
      <c r="BS151" s="194">
        <v>2</v>
      </c>
      <c r="BT151" s="194">
        <v>1</v>
      </c>
      <c r="BU151" s="194">
        <v>3</v>
      </c>
      <c r="BV151" s="194">
        <v>33</v>
      </c>
    </row>
    <row r="152" spans="13:74" ht="12.75" hidden="1">
      <c r="AF152" s="215"/>
      <c r="AG152" s="194">
        <v>590</v>
      </c>
      <c r="AH152" s="194">
        <v>8</v>
      </c>
      <c r="AJ152" s="215"/>
      <c r="AK152" s="194">
        <v>440</v>
      </c>
      <c r="AL152" s="194">
        <v>7.5</v>
      </c>
      <c r="AN152" s="215"/>
      <c r="AO152" s="194">
        <v>1100</v>
      </c>
      <c r="AP152" s="194">
        <v>7.5</v>
      </c>
      <c r="AR152" s="215"/>
      <c r="AS152" s="194">
        <v>750</v>
      </c>
      <c r="AT152" s="194">
        <v>7</v>
      </c>
      <c r="AV152" s="215"/>
      <c r="AW152" s="194">
        <v>160</v>
      </c>
      <c r="AX152" s="194">
        <v>6.5</v>
      </c>
      <c r="AZ152" s="215"/>
      <c r="BA152" s="194">
        <v>620</v>
      </c>
      <c r="BB152" s="194">
        <v>6.5</v>
      </c>
      <c r="BD152" s="215"/>
      <c r="BE152" s="194">
        <v>220</v>
      </c>
      <c r="BF152" s="194">
        <v>6</v>
      </c>
      <c r="BH152" s="215"/>
      <c r="BI152" s="194">
        <v>810</v>
      </c>
      <c r="BJ152" s="194">
        <v>6</v>
      </c>
      <c r="BP152" s="235" t="str">
        <f t="shared" si="0"/>
        <v>21221</v>
      </c>
      <c r="BQ152" s="194">
        <v>2</v>
      </c>
      <c r="BR152" s="194">
        <v>1</v>
      </c>
      <c r="BS152" s="194">
        <v>2</v>
      </c>
      <c r="BT152" s="194">
        <v>2</v>
      </c>
      <c r="BU152" s="194">
        <v>1</v>
      </c>
      <c r="BV152" s="194">
        <v>34</v>
      </c>
    </row>
    <row r="153" spans="13:74" ht="12.75" hidden="1">
      <c r="M153" s="244">
        <f>IF(sel_modulo_rotura=550,1,2)</f>
        <v>1</v>
      </c>
      <c r="AF153" s="215"/>
      <c r="AG153" s="194">
        <v>2700</v>
      </c>
      <c r="AH153" s="194">
        <v>8.5</v>
      </c>
      <c r="AJ153" s="215"/>
      <c r="AK153" s="194">
        <v>2300</v>
      </c>
      <c r="AL153" s="194">
        <v>8</v>
      </c>
      <c r="AV153" s="215"/>
      <c r="AW153" s="194">
        <v>1000</v>
      </c>
      <c r="AX153" s="194">
        <v>7</v>
      </c>
      <c r="AZ153" s="215"/>
      <c r="BA153" s="194">
        <v>3600</v>
      </c>
      <c r="BB153" s="194">
        <v>7</v>
      </c>
      <c r="BD153" s="215"/>
      <c r="BE153" s="194">
        <v>1500</v>
      </c>
      <c r="BF153" s="194">
        <v>6.5</v>
      </c>
      <c r="BH153" s="215"/>
      <c r="BI153" s="194">
        <v>5200</v>
      </c>
      <c r="BJ153" s="194">
        <v>6.5</v>
      </c>
      <c r="BP153" s="235" t="str">
        <f t="shared" si="0"/>
        <v>21222</v>
      </c>
      <c r="BQ153" s="194">
        <v>2</v>
      </c>
      <c r="BR153" s="194">
        <v>1</v>
      </c>
      <c r="BS153" s="194">
        <v>2</v>
      </c>
      <c r="BT153" s="194">
        <v>2</v>
      </c>
      <c r="BU153" s="194">
        <v>2</v>
      </c>
      <c r="BV153" s="194">
        <v>35</v>
      </c>
    </row>
    <row r="154" spans="13:74" ht="12.75" hidden="1">
      <c r="BP154" s="235" t="str">
        <f t="shared" si="0"/>
        <v>21223</v>
      </c>
      <c r="BQ154" s="194">
        <v>2</v>
      </c>
      <c r="BR154" s="194">
        <v>1</v>
      </c>
      <c r="BS154" s="194">
        <v>2</v>
      </c>
      <c r="BT154" s="194">
        <v>2</v>
      </c>
      <c r="BU154" s="194">
        <v>3</v>
      </c>
      <c r="BV154" s="194">
        <v>36</v>
      </c>
    </row>
    <row r="155" spans="13:74" ht="12.75" hidden="1">
      <c r="M155" s="253" t="str">
        <f>IF(M153=1,"4 kg/m3","3 kg/m3")</f>
        <v>4 kg/m3</v>
      </c>
      <c r="BP155" s="235" t="str">
        <f t="shared" si="0"/>
        <v>21231</v>
      </c>
      <c r="BQ155" s="194">
        <v>2</v>
      </c>
      <c r="BR155" s="194">
        <v>1</v>
      </c>
      <c r="BS155" s="194">
        <v>2</v>
      </c>
      <c r="BT155" s="194">
        <v>3</v>
      </c>
      <c r="BU155" s="194">
        <v>1</v>
      </c>
      <c r="BV155" s="194">
        <v>37</v>
      </c>
    </row>
    <row r="156" spans="13:74" ht="12.75" hidden="1">
      <c r="AG156" s="194" t="s">
        <v>310</v>
      </c>
      <c r="AH156" s="194" t="s">
        <v>311</v>
      </c>
      <c r="AK156" s="194" t="s">
        <v>310</v>
      </c>
      <c r="AL156" s="194" t="s">
        <v>311</v>
      </c>
      <c r="AO156" s="194" t="s">
        <v>310</v>
      </c>
      <c r="AP156" s="194" t="s">
        <v>311</v>
      </c>
      <c r="AS156" s="194" t="s">
        <v>310</v>
      </c>
      <c r="AT156" s="194" t="s">
        <v>311</v>
      </c>
      <c r="AW156" s="194" t="s">
        <v>310</v>
      </c>
      <c r="AX156" s="194" t="s">
        <v>311</v>
      </c>
      <c r="BA156" s="194" t="s">
        <v>310</v>
      </c>
      <c r="BB156" s="194" t="s">
        <v>311</v>
      </c>
      <c r="BE156" s="194" t="s">
        <v>310</v>
      </c>
      <c r="BF156" s="194" t="s">
        <v>311</v>
      </c>
      <c r="BI156" s="194" t="s">
        <v>310</v>
      </c>
      <c r="BJ156" s="194" t="s">
        <v>311</v>
      </c>
      <c r="BP156" s="235" t="str">
        <f t="shared" si="0"/>
        <v>21232</v>
      </c>
      <c r="BQ156" s="194">
        <v>2</v>
      </c>
      <c r="BR156" s="194">
        <v>1</v>
      </c>
      <c r="BS156" s="194">
        <v>2</v>
      </c>
      <c r="BT156" s="194">
        <v>3</v>
      </c>
      <c r="BU156" s="194">
        <v>2</v>
      </c>
      <c r="BV156" s="194">
        <v>38</v>
      </c>
    </row>
    <row r="157" spans="13:74" ht="12.75" hidden="1">
      <c r="M157" s="244">
        <f>IF(cond_ref="Sin Refuerzo",1,2)</f>
        <v>2</v>
      </c>
      <c r="Y157" s="239"/>
      <c r="AF157" s="215" t="s">
        <v>413</v>
      </c>
      <c r="AG157" s="194">
        <v>9</v>
      </c>
      <c r="AH157" s="194">
        <v>6.5</v>
      </c>
      <c r="AJ157" s="215" t="s">
        <v>414</v>
      </c>
      <c r="AK157" s="194">
        <v>4</v>
      </c>
      <c r="AL157" s="194">
        <v>6</v>
      </c>
      <c r="AN157" s="215" t="s">
        <v>415</v>
      </c>
      <c r="AO157" s="194">
        <v>12</v>
      </c>
      <c r="AP157" s="194">
        <v>6</v>
      </c>
      <c r="AR157" s="215" t="s">
        <v>416</v>
      </c>
      <c r="AS157" s="194">
        <v>5</v>
      </c>
      <c r="AT157" s="194">
        <v>5.5</v>
      </c>
      <c r="AV157" s="215" t="s">
        <v>417</v>
      </c>
      <c r="AW157" s="194">
        <v>9</v>
      </c>
      <c r="AX157" s="194">
        <v>5.5</v>
      </c>
      <c r="AZ157" s="215" t="s">
        <v>418</v>
      </c>
      <c r="BA157" s="194">
        <v>3</v>
      </c>
      <c r="BB157" s="194">
        <v>5</v>
      </c>
      <c r="BD157" s="215" t="s">
        <v>419</v>
      </c>
      <c r="BE157" s="194">
        <v>9</v>
      </c>
      <c r="BF157" s="194">
        <v>5</v>
      </c>
      <c r="BH157" s="215" t="s">
        <v>420</v>
      </c>
      <c r="BI157" s="194">
        <v>42</v>
      </c>
      <c r="BJ157" s="194">
        <v>5</v>
      </c>
      <c r="BP157" s="235" t="str">
        <f t="shared" si="0"/>
        <v>21233</v>
      </c>
      <c r="BQ157" s="194">
        <v>2</v>
      </c>
      <c r="BR157" s="194">
        <v>1</v>
      </c>
      <c r="BS157" s="194">
        <v>2</v>
      </c>
      <c r="BT157" s="194">
        <v>3</v>
      </c>
      <c r="BU157" s="194">
        <v>3</v>
      </c>
      <c r="BV157" s="194">
        <v>39</v>
      </c>
    </row>
    <row r="158" spans="13:74" ht="12.75" hidden="1">
      <c r="AF158" s="215"/>
      <c r="AG158" s="194">
        <v>80</v>
      </c>
      <c r="AH158" s="194">
        <v>7</v>
      </c>
      <c r="AJ158" s="215"/>
      <c r="AK158" s="194">
        <v>43</v>
      </c>
      <c r="AL158" s="194">
        <v>6.5</v>
      </c>
      <c r="AN158" s="215"/>
      <c r="AO158" s="194">
        <v>120</v>
      </c>
      <c r="AP158" s="194">
        <v>6.5</v>
      </c>
      <c r="AR158" s="215"/>
      <c r="AS158" s="194">
        <v>59</v>
      </c>
      <c r="AT158" s="194">
        <v>6</v>
      </c>
      <c r="AV158" s="215"/>
      <c r="AW158" s="194">
        <v>96</v>
      </c>
      <c r="AX158" s="194">
        <v>6</v>
      </c>
      <c r="AZ158" s="215"/>
      <c r="BA158" s="194">
        <v>42</v>
      </c>
      <c r="BB158" s="194">
        <v>5.5</v>
      </c>
      <c r="BD158" s="215"/>
      <c r="BE158" s="194">
        <v>120</v>
      </c>
      <c r="BF158" s="194">
        <v>5.5</v>
      </c>
      <c r="BH158" s="215"/>
      <c r="BI158" s="194">
        <v>450</v>
      </c>
      <c r="BJ158" s="194">
        <v>5.5</v>
      </c>
      <c r="BP158" s="235" t="str">
        <f t="shared" si="0"/>
        <v>21241</v>
      </c>
      <c r="BQ158" s="194">
        <v>2</v>
      </c>
      <c r="BR158" s="194">
        <v>1</v>
      </c>
      <c r="BS158" s="194">
        <v>2</v>
      </c>
      <c r="BT158" s="194">
        <v>4</v>
      </c>
      <c r="BU158" s="194">
        <v>1</v>
      </c>
      <c r="BV158" s="194">
        <v>40</v>
      </c>
    </row>
    <row r="159" spans="13:74" ht="12.75" hidden="1">
      <c r="AF159" s="215"/>
      <c r="AG159" s="194">
        <v>490</v>
      </c>
      <c r="AH159" s="194">
        <v>7.5</v>
      </c>
      <c r="AJ159" s="215"/>
      <c r="AK159" s="194">
        <v>320</v>
      </c>
      <c r="AL159" s="194">
        <v>7</v>
      </c>
      <c r="AN159" s="215"/>
      <c r="AO159" s="194">
        <v>840</v>
      </c>
      <c r="AP159" s="194">
        <v>7</v>
      </c>
      <c r="AR159" s="215"/>
      <c r="AS159" s="194">
        <v>490</v>
      </c>
      <c r="AT159" s="194">
        <v>6.5</v>
      </c>
      <c r="AV159" s="215"/>
      <c r="AW159" s="194">
        <v>710</v>
      </c>
      <c r="AX159" s="194">
        <v>6.5</v>
      </c>
      <c r="AZ159" s="215"/>
      <c r="BA159" s="194">
        <v>380</v>
      </c>
      <c r="BB159" s="194">
        <v>6</v>
      </c>
      <c r="BD159" s="215"/>
      <c r="BE159" s="194">
        <v>970</v>
      </c>
      <c r="BF159" s="194">
        <v>6</v>
      </c>
      <c r="BH159" s="215"/>
      <c r="BI159" s="194">
        <v>3400</v>
      </c>
      <c r="BJ159" s="194">
        <v>6</v>
      </c>
      <c r="BP159" s="235" t="str">
        <f t="shared" si="0"/>
        <v>21242</v>
      </c>
      <c r="BQ159" s="194">
        <v>2</v>
      </c>
      <c r="BR159" s="194">
        <v>1</v>
      </c>
      <c r="BS159" s="194">
        <v>2</v>
      </c>
      <c r="BT159" s="194">
        <v>4</v>
      </c>
      <c r="BU159" s="194">
        <v>2</v>
      </c>
      <c r="BV159" s="194">
        <v>41</v>
      </c>
    </row>
    <row r="160" spans="13:74" ht="12.75" hidden="1">
      <c r="AF160" s="215"/>
      <c r="AG160" s="194">
        <v>2500</v>
      </c>
      <c r="AH160" s="194">
        <v>8</v>
      </c>
      <c r="AJ160" s="215"/>
      <c r="AK160" s="194">
        <v>1900</v>
      </c>
      <c r="AL160" s="194">
        <v>7.5</v>
      </c>
      <c r="AR160" s="215"/>
      <c r="AS160" s="194">
        <v>3100</v>
      </c>
      <c r="AT160" s="194">
        <v>7</v>
      </c>
      <c r="AV160" s="215"/>
      <c r="AW160" s="194">
        <v>4200</v>
      </c>
      <c r="AX160" s="194">
        <v>7</v>
      </c>
      <c r="AZ160" s="215"/>
      <c r="BA160" s="194">
        <v>2600</v>
      </c>
      <c r="BB160" s="194">
        <v>6.5</v>
      </c>
      <c r="BP160" s="235" t="str">
        <f t="shared" si="0"/>
        <v>21243</v>
      </c>
      <c r="BQ160" s="194">
        <v>2</v>
      </c>
      <c r="BR160" s="194">
        <v>1</v>
      </c>
      <c r="BS160" s="194">
        <v>2</v>
      </c>
      <c r="BT160" s="194">
        <v>4</v>
      </c>
      <c r="BU160" s="194">
        <v>3</v>
      </c>
      <c r="BV160" s="194">
        <v>42</v>
      </c>
    </row>
    <row r="161" spans="13:75" ht="19.5" hidden="1">
      <c r="M161" s="218"/>
      <c r="N161" s="218"/>
      <c r="O161" s="218"/>
      <c r="P161" s="218"/>
      <c r="Q161" s="218"/>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c r="AM161" s="218"/>
      <c r="AN161" s="218"/>
      <c r="AO161" s="218"/>
      <c r="AP161" s="218"/>
      <c r="AQ161" s="218"/>
      <c r="AR161" s="218"/>
      <c r="AS161" s="218"/>
      <c r="AT161" s="254"/>
      <c r="AU161" s="218"/>
      <c r="AV161" s="218"/>
      <c r="AW161" s="218"/>
      <c r="AX161" s="218"/>
      <c r="AY161" s="218"/>
      <c r="AZ161" s="218"/>
      <c r="BA161" s="218"/>
      <c r="BB161" s="218"/>
      <c r="BC161" s="218"/>
      <c r="BD161" s="218"/>
      <c r="BE161" s="218"/>
      <c r="BF161" s="218"/>
      <c r="BG161" s="218"/>
      <c r="BH161" s="218"/>
      <c r="BI161" s="218"/>
      <c r="BJ161" s="218"/>
      <c r="BK161" s="218"/>
      <c r="BL161" s="218"/>
      <c r="BM161" s="218"/>
      <c r="BN161" s="218"/>
      <c r="BO161" s="218"/>
      <c r="BP161" s="235" t="str">
        <f t="shared" si="0"/>
        <v>22111</v>
      </c>
      <c r="BQ161" s="194">
        <v>2</v>
      </c>
      <c r="BR161" s="194">
        <v>2</v>
      </c>
      <c r="BS161" s="194">
        <v>1</v>
      </c>
      <c r="BT161" s="194">
        <v>1</v>
      </c>
      <c r="BU161" s="194">
        <v>1</v>
      </c>
      <c r="BV161" s="194">
        <v>43</v>
      </c>
      <c r="BW161" s="218"/>
    </row>
    <row r="162" spans="13:75" ht="19.5" hidden="1">
      <c r="M162" s="218"/>
      <c r="N162" s="218"/>
      <c r="O162" s="218"/>
      <c r="P162" s="218"/>
      <c r="Q162" s="218"/>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c r="AM162" s="218"/>
      <c r="AN162" s="218"/>
      <c r="AO162" s="218"/>
      <c r="AP162" s="218"/>
      <c r="AQ162" s="218"/>
      <c r="AR162" s="218"/>
      <c r="AS162" s="218"/>
      <c r="AT162" s="218"/>
      <c r="AU162" s="218"/>
      <c r="AV162" s="218"/>
      <c r="AW162" s="218"/>
      <c r="AX162" s="218"/>
      <c r="AY162" s="218"/>
      <c r="AZ162" s="218"/>
      <c r="BA162" s="218"/>
      <c r="BB162" s="218"/>
      <c r="BC162" s="218"/>
      <c r="BD162" s="218"/>
      <c r="BE162" s="218"/>
      <c r="BF162" s="218"/>
      <c r="BG162" s="218"/>
      <c r="BH162" s="218"/>
      <c r="BI162" s="218"/>
      <c r="BJ162" s="218"/>
      <c r="BK162" s="218"/>
      <c r="BL162" s="218"/>
      <c r="BM162" s="218"/>
      <c r="BN162" s="218"/>
      <c r="BO162" s="218"/>
      <c r="BP162" s="235" t="str">
        <f t="shared" si="0"/>
        <v>22112</v>
      </c>
      <c r="BQ162" s="194">
        <v>2</v>
      </c>
      <c r="BR162" s="194">
        <v>2</v>
      </c>
      <c r="BS162" s="194">
        <v>1</v>
      </c>
      <c r="BT162" s="194">
        <v>1</v>
      </c>
      <c r="BU162" s="194">
        <v>2</v>
      </c>
      <c r="BV162" s="194">
        <v>44</v>
      </c>
      <c r="BW162" s="218"/>
    </row>
    <row r="163" spans="13:75" ht="19.5" hidden="1">
      <c r="M163" s="218"/>
      <c r="N163" s="218"/>
      <c r="O163" s="218"/>
      <c r="P163" s="218"/>
      <c r="Q163" s="218"/>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c r="AM163" s="218"/>
      <c r="AN163" s="218"/>
      <c r="AO163" s="218"/>
      <c r="AP163" s="218"/>
      <c r="AQ163" s="218"/>
      <c r="AR163" s="218"/>
      <c r="AS163" s="218"/>
      <c r="AT163" s="218"/>
      <c r="AU163" s="218"/>
      <c r="AV163" s="218"/>
      <c r="AW163" s="218"/>
      <c r="AX163" s="218"/>
      <c r="AY163" s="218"/>
      <c r="AZ163" s="218"/>
      <c r="BA163" s="218"/>
      <c r="BB163" s="218"/>
      <c r="BC163" s="218"/>
      <c r="BD163" s="218"/>
      <c r="BE163" s="218"/>
      <c r="BF163" s="218"/>
      <c r="BG163" s="218"/>
      <c r="BH163" s="218"/>
      <c r="BI163" s="218"/>
      <c r="BJ163" s="218"/>
      <c r="BK163" s="218"/>
      <c r="BL163" s="218"/>
      <c r="BM163" s="218"/>
      <c r="BN163" s="218"/>
      <c r="BO163" s="218"/>
      <c r="BP163" s="235" t="str">
        <f t="shared" si="0"/>
        <v>22113</v>
      </c>
      <c r="BQ163" s="194">
        <v>2</v>
      </c>
      <c r="BR163" s="194">
        <v>2</v>
      </c>
      <c r="BS163" s="194">
        <v>1</v>
      </c>
      <c r="BT163" s="194">
        <v>1</v>
      </c>
      <c r="BU163" s="194">
        <v>3</v>
      </c>
      <c r="BV163" s="194">
        <v>45</v>
      </c>
      <c r="BW163" s="218"/>
    </row>
    <row r="164" spans="13:75" ht="12.75" hidden="1">
      <c r="BP164" s="235" t="str">
        <f t="shared" si="0"/>
        <v>22121</v>
      </c>
      <c r="BQ164" s="194">
        <v>2</v>
      </c>
      <c r="BR164" s="194">
        <v>2</v>
      </c>
      <c r="BS164" s="194">
        <v>1</v>
      </c>
      <c r="BT164" s="194">
        <v>2</v>
      </c>
      <c r="BU164" s="194">
        <v>1</v>
      </c>
      <c r="BV164" s="194">
        <v>46</v>
      </c>
    </row>
    <row r="165" spans="13:75" ht="12.75" hidden="1">
      <c r="BP165" s="235" t="str">
        <f t="shared" si="0"/>
        <v>22122</v>
      </c>
      <c r="BQ165" s="194">
        <v>2</v>
      </c>
      <c r="BR165" s="194">
        <v>2</v>
      </c>
      <c r="BS165" s="194">
        <v>1</v>
      </c>
      <c r="BT165" s="194">
        <v>2</v>
      </c>
      <c r="BU165" s="194">
        <v>2</v>
      </c>
      <c r="BV165" s="194">
        <v>47</v>
      </c>
    </row>
    <row r="166" spans="13:75" ht="12.75" hidden="1">
      <c r="BP166" s="235" t="str">
        <f t="shared" si="0"/>
        <v>22123</v>
      </c>
      <c r="BQ166" s="194">
        <v>2</v>
      </c>
      <c r="BR166" s="194">
        <v>2</v>
      </c>
      <c r="BS166" s="194">
        <v>1</v>
      </c>
      <c r="BT166" s="194">
        <v>2</v>
      </c>
      <c r="BU166" s="194">
        <v>3</v>
      </c>
      <c r="BV166" s="194">
        <v>48</v>
      </c>
    </row>
    <row r="167" spans="13:75" ht="12.75" hidden="1">
      <c r="AG167" s="194" t="s">
        <v>310</v>
      </c>
      <c r="AH167" s="194" t="s">
        <v>311</v>
      </c>
      <c r="AK167" s="194" t="s">
        <v>310</v>
      </c>
      <c r="AL167" s="194" t="s">
        <v>311</v>
      </c>
      <c r="AO167" s="194" t="s">
        <v>310</v>
      </c>
      <c r="AP167" s="194" t="s">
        <v>311</v>
      </c>
      <c r="AS167" s="194" t="s">
        <v>310</v>
      </c>
      <c r="AT167" s="194" t="s">
        <v>311</v>
      </c>
      <c r="AW167" s="194" t="s">
        <v>310</v>
      </c>
      <c r="AX167" s="194" t="s">
        <v>311</v>
      </c>
      <c r="BA167" s="194" t="s">
        <v>310</v>
      </c>
      <c r="BB167" s="194" t="s">
        <v>311</v>
      </c>
      <c r="BE167" s="194" t="s">
        <v>310</v>
      </c>
      <c r="BF167" s="194" t="s">
        <v>311</v>
      </c>
      <c r="BI167" s="194" t="s">
        <v>310</v>
      </c>
      <c r="BJ167" s="194" t="s">
        <v>311</v>
      </c>
      <c r="BP167" s="235" t="str">
        <f t="shared" si="0"/>
        <v>22131</v>
      </c>
      <c r="BQ167" s="194">
        <v>2</v>
      </c>
      <c r="BR167" s="194">
        <v>2</v>
      </c>
      <c r="BS167" s="194">
        <v>1</v>
      </c>
      <c r="BT167" s="194">
        <v>3</v>
      </c>
      <c r="BU167" s="194">
        <v>1</v>
      </c>
      <c r="BV167" s="194">
        <v>49</v>
      </c>
    </row>
    <row r="168" spans="13:75" ht="12.75" hidden="1">
      <c r="AF168" s="215" t="s">
        <v>422</v>
      </c>
      <c r="AG168" s="194">
        <v>19</v>
      </c>
      <c r="AH168" s="194">
        <v>7.5</v>
      </c>
      <c r="AJ168" s="215" t="s">
        <v>423</v>
      </c>
      <c r="AK168" s="194">
        <v>11</v>
      </c>
      <c r="AL168" s="194">
        <v>7</v>
      </c>
      <c r="AN168" s="215" t="s">
        <v>424</v>
      </c>
      <c r="AO168" s="194">
        <v>4</v>
      </c>
      <c r="AP168" s="194">
        <v>6.5</v>
      </c>
      <c r="AR168" s="215" t="s">
        <v>425</v>
      </c>
      <c r="AS168" s="194">
        <v>19</v>
      </c>
      <c r="AT168" s="194">
        <v>6.5</v>
      </c>
      <c r="AV168" s="215" t="s">
        <v>426</v>
      </c>
      <c r="AW168" s="194">
        <v>3</v>
      </c>
      <c r="AX168" s="194">
        <v>6</v>
      </c>
      <c r="AZ168" s="215" t="s">
        <v>427</v>
      </c>
      <c r="BA168" s="194">
        <v>14</v>
      </c>
      <c r="BB168" s="194">
        <v>6</v>
      </c>
      <c r="BD168" s="215" t="s">
        <v>428</v>
      </c>
      <c r="BE168" s="194">
        <v>3</v>
      </c>
      <c r="BF168" s="194">
        <v>5.5</v>
      </c>
      <c r="BH168" s="215" t="s">
        <v>429</v>
      </c>
      <c r="BI168" s="194">
        <v>17</v>
      </c>
      <c r="BJ168" s="194">
        <v>5.5</v>
      </c>
      <c r="BP168" s="235" t="str">
        <f t="shared" si="0"/>
        <v>22132</v>
      </c>
      <c r="BQ168" s="194">
        <v>2</v>
      </c>
      <c r="BR168" s="194">
        <v>2</v>
      </c>
      <c r="BS168" s="194">
        <v>1</v>
      </c>
      <c r="BT168" s="194">
        <v>3</v>
      </c>
      <c r="BU168" s="194">
        <v>2</v>
      </c>
      <c r="BV168" s="194">
        <v>50</v>
      </c>
    </row>
    <row r="169" spans="13:75" ht="12.75" hidden="1">
      <c r="AF169" s="215"/>
      <c r="AG169" s="194">
        <v>120</v>
      </c>
      <c r="AH169" s="194">
        <v>8</v>
      </c>
      <c r="AJ169" s="215"/>
      <c r="AK169" s="194">
        <v>84</v>
      </c>
      <c r="AL169" s="194">
        <v>7.5</v>
      </c>
      <c r="AN169" s="215"/>
      <c r="AO169" s="194">
        <v>34</v>
      </c>
      <c r="AP169" s="194">
        <v>7</v>
      </c>
      <c r="AR169" s="215"/>
      <c r="AS169" s="194">
        <v>150</v>
      </c>
      <c r="AT169" s="194">
        <v>7</v>
      </c>
      <c r="AV169" s="215"/>
      <c r="AW169" s="194">
        <v>29</v>
      </c>
      <c r="AX169" s="194">
        <v>6.5</v>
      </c>
      <c r="AZ169" s="215"/>
      <c r="BA169" s="194">
        <v>120</v>
      </c>
      <c r="BB169" s="194">
        <v>6.5</v>
      </c>
      <c r="BD169" s="215"/>
      <c r="BE169" s="194">
        <v>41</v>
      </c>
      <c r="BF169" s="194">
        <v>6</v>
      </c>
      <c r="BH169" s="215"/>
      <c r="BI169" s="194">
        <v>160</v>
      </c>
      <c r="BJ169" s="194">
        <v>6</v>
      </c>
      <c r="BP169" s="235" t="str">
        <f t="shared" si="0"/>
        <v>22133</v>
      </c>
      <c r="BQ169" s="194">
        <v>2</v>
      </c>
      <c r="BR169" s="194">
        <v>2</v>
      </c>
      <c r="BS169" s="194">
        <v>1</v>
      </c>
      <c r="BT169" s="194">
        <v>3</v>
      </c>
      <c r="BU169" s="194">
        <v>3</v>
      </c>
      <c r="BV169" s="194">
        <v>51</v>
      </c>
    </row>
    <row r="170" spans="13:75" ht="12.75" hidden="1">
      <c r="AF170" s="215"/>
      <c r="AG170" s="194">
        <v>560</v>
      </c>
      <c r="AH170" s="194">
        <v>8.5</v>
      </c>
      <c r="AJ170" s="215"/>
      <c r="AK170" s="194">
        <v>470</v>
      </c>
      <c r="AL170" s="194">
        <v>8</v>
      </c>
      <c r="AN170" s="215"/>
      <c r="AO170" s="194">
        <v>230</v>
      </c>
      <c r="AP170" s="194">
        <v>7.5</v>
      </c>
      <c r="AR170" s="215"/>
      <c r="AS170" s="194">
        <v>890</v>
      </c>
      <c r="AT170" s="194">
        <v>7.5</v>
      </c>
      <c r="AV170" s="215"/>
      <c r="AW170" s="194">
        <v>210</v>
      </c>
      <c r="AX170" s="194">
        <v>7</v>
      </c>
      <c r="AZ170" s="215"/>
      <c r="BA170" s="194">
        <v>770</v>
      </c>
      <c r="BB170" s="194">
        <v>7</v>
      </c>
      <c r="BD170" s="215"/>
      <c r="BE170" s="194">
        <v>320</v>
      </c>
      <c r="BF170" s="194">
        <v>6.5</v>
      </c>
      <c r="BH170" s="215"/>
      <c r="BI170" s="194">
        <v>1100</v>
      </c>
      <c r="BJ170" s="194">
        <v>6.5</v>
      </c>
      <c r="BP170" s="235" t="str">
        <f t="shared" si="0"/>
        <v>22141</v>
      </c>
      <c r="BQ170" s="194">
        <v>2</v>
      </c>
      <c r="BR170" s="194">
        <v>2</v>
      </c>
      <c r="BS170" s="194">
        <v>1</v>
      </c>
      <c r="BT170" s="194">
        <v>4</v>
      </c>
      <c r="BU170" s="194">
        <v>1</v>
      </c>
      <c r="BV170" s="194">
        <v>52</v>
      </c>
    </row>
    <row r="171" spans="13:75" ht="12.75" hidden="1">
      <c r="AF171" s="215"/>
      <c r="AG171" s="194">
        <v>2400</v>
      </c>
      <c r="AH171" s="194">
        <v>9</v>
      </c>
      <c r="AJ171" s="215"/>
      <c r="AK171" s="194">
        <v>2200</v>
      </c>
      <c r="AL171" s="194">
        <v>8.5</v>
      </c>
      <c r="AN171" s="215"/>
      <c r="AO171" s="194">
        <v>1200</v>
      </c>
      <c r="AP171" s="194">
        <v>8</v>
      </c>
      <c r="AV171" s="215"/>
      <c r="AW171" s="194">
        <v>1100</v>
      </c>
      <c r="AX171" s="194">
        <v>7.5</v>
      </c>
      <c r="BD171" s="215"/>
      <c r="BE171" s="194">
        <v>1900</v>
      </c>
      <c r="BF171" s="194">
        <v>7</v>
      </c>
      <c r="BP171" s="235" t="str">
        <f t="shared" si="0"/>
        <v>22142</v>
      </c>
      <c r="BQ171" s="194">
        <v>2</v>
      </c>
      <c r="BR171" s="194">
        <v>2</v>
      </c>
      <c r="BS171" s="194">
        <v>1</v>
      </c>
      <c r="BT171" s="194">
        <v>4</v>
      </c>
      <c r="BU171" s="194">
        <v>2</v>
      </c>
      <c r="BV171" s="194">
        <v>53</v>
      </c>
    </row>
    <row r="172" spans="13:75" ht="12.75" hidden="1">
      <c r="BP172" s="235" t="str">
        <f t="shared" si="0"/>
        <v>22143</v>
      </c>
      <c r="BQ172" s="194">
        <v>2</v>
      </c>
      <c r="BR172" s="194">
        <v>2</v>
      </c>
      <c r="BS172" s="194">
        <v>1</v>
      </c>
      <c r="BT172" s="194">
        <v>4</v>
      </c>
      <c r="BU172" s="194">
        <v>3</v>
      </c>
      <c r="BV172" s="194">
        <v>54</v>
      </c>
    </row>
    <row r="173" spans="13:75" ht="12.75" hidden="1">
      <c r="BP173" s="235" t="str">
        <f t="shared" si="0"/>
        <v>22211</v>
      </c>
      <c r="BQ173" s="194">
        <v>2</v>
      </c>
      <c r="BR173" s="194">
        <v>2</v>
      </c>
      <c r="BS173" s="194">
        <v>2</v>
      </c>
      <c r="BT173" s="194">
        <v>1</v>
      </c>
      <c r="BU173" s="194">
        <v>1</v>
      </c>
      <c r="BV173" s="194">
        <v>55</v>
      </c>
    </row>
    <row r="174" spans="13:75" ht="12.75" hidden="1">
      <c r="AG174" s="194" t="s">
        <v>310</v>
      </c>
      <c r="AH174" s="194" t="s">
        <v>311</v>
      </c>
      <c r="AK174" s="194" t="s">
        <v>310</v>
      </c>
      <c r="AL174" s="194" t="s">
        <v>311</v>
      </c>
      <c r="AO174" s="194" t="s">
        <v>310</v>
      </c>
      <c r="AP174" s="194" t="s">
        <v>311</v>
      </c>
      <c r="AS174" s="194" t="s">
        <v>310</v>
      </c>
      <c r="AT174" s="194" t="s">
        <v>311</v>
      </c>
      <c r="AW174" s="194" t="s">
        <v>310</v>
      </c>
      <c r="AX174" s="194" t="s">
        <v>311</v>
      </c>
      <c r="BA174" s="194" t="s">
        <v>310</v>
      </c>
      <c r="BB174" s="194" t="s">
        <v>311</v>
      </c>
      <c r="BE174" s="194" t="s">
        <v>310</v>
      </c>
      <c r="BF174" s="194" t="s">
        <v>311</v>
      </c>
      <c r="BI174" s="194" t="s">
        <v>310</v>
      </c>
      <c r="BJ174" s="194" t="s">
        <v>311</v>
      </c>
      <c r="BP174" s="235" t="str">
        <f t="shared" si="0"/>
        <v>22212</v>
      </c>
      <c r="BQ174" s="194">
        <v>2</v>
      </c>
      <c r="BR174" s="194">
        <v>2</v>
      </c>
      <c r="BS174" s="194">
        <v>2</v>
      </c>
      <c r="BT174" s="194">
        <v>1</v>
      </c>
      <c r="BU174" s="194">
        <v>2</v>
      </c>
      <c r="BV174" s="194">
        <v>56</v>
      </c>
    </row>
    <row r="175" spans="13:75" ht="12.75" hidden="1">
      <c r="AF175" s="215" t="s">
        <v>431</v>
      </c>
      <c r="AG175" s="194">
        <v>15</v>
      </c>
      <c r="AH175" s="194">
        <v>7</v>
      </c>
      <c r="AJ175" s="215" t="s">
        <v>432</v>
      </c>
      <c r="AK175" s="194">
        <v>8</v>
      </c>
      <c r="AL175" s="194">
        <v>6.5</v>
      </c>
      <c r="AN175" s="215" t="s">
        <v>433</v>
      </c>
      <c r="AO175" s="194">
        <v>24</v>
      </c>
      <c r="AP175" s="194">
        <v>6.5</v>
      </c>
      <c r="AR175" s="215" t="s">
        <v>434</v>
      </c>
      <c r="AS175" s="194">
        <v>11</v>
      </c>
      <c r="AT175" s="194">
        <v>6</v>
      </c>
      <c r="AV175" s="215" t="s">
        <v>435</v>
      </c>
      <c r="AW175" s="194">
        <v>1</v>
      </c>
      <c r="AX175" s="194">
        <v>5.5</v>
      </c>
      <c r="AZ175" s="215" t="s">
        <v>436</v>
      </c>
      <c r="BA175" s="194">
        <v>8</v>
      </c>
      <c r="BB175" s="194">
        <v>5.5</v>
      </c>
      <c r="BD175" s="215" t="s">
        <v>437</v>
      </c>
      <c r="BE175" s="194">
        <v>1</v>
      </c>
      <c r="BF175" s="194">
        <v>5</v>
      </c>
      <c r="BH175" s="215" t="s">
        <v>438</v>
      </c>
      <c r="BI175" s="194">
        <v>8</v>
      </c>
      <c r="BJ175" s="194">
        <v>5</v>
      </c>
      <c r="BP175" s="235" t="str">
        <f t="shared" si="0"/>
        <v>22213</v>
      </c>
      <c r="BQ175" s="194">
        <v>2</v>
      </c>
      <c r="BR175" s="194">
        <v>2</v>
      </c>
      <c r="BS175" s="194">
        <v>2</v>
      </c>
      <c r="BT175" s="194">
        <v>1</v>
      </c>
      <c r="BU175" s="194">
        <v>3</v>
      </c>
      <c r="BV175" s="194">
        <v>57</v>
      </c>
    </row>
    <row r="176" spans="13:75" ht="12.75" hidden="1">
      <c r="AF176" s="215"/>
      <c r="AG176" s="194">
        <v>110</v>
      </c>
      <c r="AH176" s="194">
        <v>7.5</v>
      </c>
      <c r="AJ176" s="215"/>
      <c r="AK176" s="194">
        <v>70</v>
      </c>
      <c r="AL176" s="194">
        <v>7</v>
      </c>
      <c r="AN176" s="215"/>
      <c r="AO176" s="194">
        <v>190</v>
      </c>
      <c r="AP176" s="194">
        <v>7</v>
      </c>
      <c r="AR176" s="215"/>
      <c r="AS176" s="194">
        <v>110</v>
      </c>
      <c r="AT176" s="194">
        <v>6.5</v>
      </c>
      <c r="AV176" s="215"/>
      <c r="AW176" s="194">
        <v>19</v>
      </c>
      <c r="AX176" s="194">
        <v>6</v>
      </c>
      <c r="AZ176" s="215"/>
      <c r="BA176" s="194">
        <v>84</v>
      </c>
      <c r="BB176" s="194">
        <v>6</v>
      </c>
      <c r="BD176" s="215"/>
      <c r="BE176" s="194">
        <v>23</v>
      </c>
      <c r="BF176" s="194">
        <v>5.5</v>
      </c>
      <c r="BH176" s="215"/>
      <c r="BI176" s="194">
        <v>98</v>
      </c>
      <c r="BJ176" s="194">
        <v>5.5</v>
      </c>
      <c r="BP176" s="235" t="str">
        <f t="shared" si="0"/>
        <v>22221</v>
      </c>
      <c r="BQ176" s="194">
        <v>2</v>
      </c>
      <c r="BR176" s="194">
        <v>2</v>
      </c>
      <c r="BS176" s="194">
        <v>2</v>
      </c>
      <c r="BT176" s="194">
        <v>2</v>
      </c>
      <c r="BU176" s="194">
        <v>1</v>
      </c>
      <c r="BV176" s="194">
        <v>58</v>
      </c>
    </row>
    <row r="177" spans="32:74" ht="12.75" hidden="1">
      <c r="AF177" s="215"/>
      <c r="AG177" s="194">
        <v>590</v>
      </c>
      <c r="AH177" s="194">
        <v>8</v>
      </c>
      <c r="AJ177" s="215"/>
      <c r="AK177" s="194">
        <v>440</v>
      </c>
      <c r="AL177" s="194">
        <v>7.5</v>
      </c>
      <c r="AN177" s="215"/>
      <c r="AO177" s="194">
        <v>1100</v>
      </c>
      <c r="AP177" s="194">
        <v>7.5</v>
      </c>
      <c r="AR177" s="215"/>
      <c r="AS177" s="194">
        <v>750</v>
      </c>
      <c r="AT177" s="194">
        <v>7</v>
      </c>
      <c r="AV177" s="215"/>
      <c r="AW177" s="194">
        <v>160</v>
      </c>
      <c r="AX177" s="194">
        <v>6.5</v>
      </c>
      <c r="AZ177" s="215"/>
      <c r="BA177" s="194">
        <v>620</v>
      </c>
      <c r="BB177" s="194">
        <v>6.5</v>
      </c>
      <c r="BD177" s="215"/>
      <c r="BE177" s="194">
        <v>220</v>
      </c>
      <c r="BF177" s="194">
        <v>6</v>
      </c>
      <c r="BH177" s="215"/>
      <c r="BI177" s="194">
        <v>810</v>
      </c>
      <c r="BJ177" s="194">
        <v>6</v>
      </c>
      <c r="BP177" s="235" t="str">
        <f t="shared" si="0"/>
        <v>22222</v>
      </c>
      <c r="BQ177" s="194">
        <v>2</v>
      </c>
      <c r="BR177" s="194">
        <v>2</v>
      </c>
      <c r="BS177" s="194">
        <v>2</v>
      </c>
      <c r="BT177" s="194">
        <v>2</v>
      </c>
      <c r="BU177" s="194">
        <v>2</v>
      </c>
      <c r="BV177" s="194">
        <v>59</v>
      </c>
    </row>
    <row r="178" spans="32:74" ht="12.75" hidden="1">
      <c r="AF178" s="215"/>
      <c r="AG178" s="194">
        <v>1900</v>
      </c>
      <c r="AH178" s="194">
        <v>8.5</v>
      </c>
      <c r="AJ178" s="215"/>
      <c r="AK178" s="194">
        <v>1900</v>
      </c>
      <c r="AL178" s="194">
        <v>8</v>
      </c>
      <c r="AR178" s="215"/>
      <c r="AS178" s="194">
        <v>2100</v>
      </c>
      <c r="AT178" s="194">
        <v>7.5</v>
      </c>
      <c r="AV178" s="215"/>
      <c r="AW178" s="194">
        <v>1000</v>
      </c>
      <c r="AX178" s="194">
        <v>7</v>
      </c>
      <c r="AZ178" s="215"/>
      <c r="BA178" s="194">
        <v>1900</v>
      </c>
      <c r="BB178" s="194">
        <v>7</v>
      </c>
      <c r="BD178" s="215"/>
      <c r="BE178" s="194">
        <v>1400</v>
      </c>
      <c r="BF178" s="194">
        <v>6.5</v>
      </c>
      <c r="BH178" s="215"/>
      <c r="BI178" s="194">
        <v>2100</v>
      </c>
      <c r="BJ178" s="194">
        <v>6.5</v>
      </c>
      <c r="BP178" s="235" t="str">
        <f t="shared" si="0"/>
        <v>22223</v>
      </c>
      <c r="BQ178" s="194">
        <v>2</v>
      </c>
      <c r="BR178" s="194">
        <v>2</v>
      </c>
      <c r="BS178" s="194">
        <v>2</v>
      </c>
      <c r="BT178" s="194">
        <v>2</v>
      </c>
      <c r="BU178" s="194">
        <v>3</v>
      </c>
      <c r="BV178" s="194">
        <v>60</v>
      </c>
    </row>
    <row r="179" spans="32:74" ht="12.75" hidden="1">
      <c r="BP179" s="235" t="str">
        <f t="shared" si="0"/>
        <v>22231</v>
      </c>
      <c r="BQ179" s="194">
        <v>2</v>
      </c>
      <c r="BR179" s="194">
        <v>2</v>
      </c>
      <c r="BS179" s="194">
        <v>2</v>
      </c>
      <c r="BT179" s="194">
        <v>3</v>
      </c>
      <c r="BU179" s="194">
        <v>1</v>
      </c>
      <c r="BV179" s="194">
        <v>61</v>
      </c>
    </row>
    <row r="180" spans="32:74" ht="12.75" hidden="1">
      <c r="BP180" s="235" t="str">
        <f t="shared" si="0"/>
        <v>22232</v>
      </c>
      <c r="BQ180" s="194">
        <v>2</v>
      </c>
      <c r="BR180" s="194">
        <v>2</v>
      </c>
      <c r="BS180" s="194">
        <v>2</v>
      </c>
      <c r="BT180" s="194">
        <v>3</v>
      </c>
      <c r="BU180" s="194">
        <v>2</v>
      </c>
      <c r="BV180" s="194">
        <v>62</v>
      </c>
    </row>
    <row r="181" spans="32:74" ht="12.75" hidden="1">
      <c r="AG181" s="194" t="s">
        <v>310</v>
      </c>
      <c r="AH181" s="194" t="s">
        <v>311</v>
      </c>
      <c r="AK181" s="194" t="s">
        <v>310</v>
      </c>
      <c r="AL181" s="194" t="s">
        <v>311</v>
      </c>
      <c r="AO181" s="194" t="s">
        <v>310</v>
      </c>
      <c r="AP181" s="194" t="s">
        <v>311</v>
      </c>
      <c r="AS181" s="194" t="s">
        <v>310</v>
      </c>
      <c r="AT181" s="194" t="s">
        <v>311</v>
      </c>
      <c r="AW181" s="194" t="s">
        <v>310</v>
      </c>
      <c r="AX181" s="194" t="s">
        <v>311</v>
      </c>
      <c r="BA181" s="194" t="s">
        <v>310</v>
      </c>
      <c r="BB181" s="194" t="s">
        <v>311</v>
      </c>
      <c r="BE181" s="194" t="s">
        <v>310</v>
      </c>
      <c r="BF181" s="194" t="s">
        <v>311</v>
      </c>
      <c r="BI181" s="194" t="s">
        <v>310</v>
      </c>
      <c r="BJ181" s="194" t="s">
        <v>311</v>
      </c>
      <c r="BP181" s="235" t="str">
        <f t="shared" si="0"/>
        <v>22233</v>
      </c>
      <c r="BQ181" s="194">
        <v>2</v>
      </c>
      <c r="BR181" s="194">
        <v>2</v>
      </c>
      <c r="BS181" s="194">
        <v>2</v>
      </c>
      <c r="BT181" s="194">
        <v>3</v>
      </c>
      <c r="BU181" s="194">
        <v>3</v>
      </c>
      <c r="BV181" s="194">
        <v>63</v>
      </c>
    </row>
    <row r="182" spans="32:74" ht="12.75" hidden="1">
      <c r="AF182" s="215" t="s">
        <v>440</v>
      </c>
      <c r="AG182" s="194">
        <v>9</v>
      </c>
      <c r="AH182" s="194">
        <v>6.5</v>
      </c>
      <c r="AJ182" s="215" t="s">
        <v>441</v>
      </c>
      <c r="AK182" s="194">
        <v>4</v>
      </c>
      <c r="AL182" s="194">
        <v>6</v>
      </c>
      <c r="AN182" s="215" t="s">
        <v>442</v>
      </c>
      <c r="AO182" s="194">
        <v>12</v>
      </c>
      <c r="AP182" s="194">
        <v>6</v>
      </c>
      <c r="AR182" s="215" t="s">
        <v>443</v>
      </c>
      <c r="AS182" s="194">
        <v>5</v>
      </c>
      <c r="AT182" s="194">
        <v>5.5</v>
      </c>
      <c r="AV182" s="215" t="s">
        <v>444</v>
      </c>
      <c r="AW182" s="194">
        <v>9</v>
      </c>
      <c r="AX182" s="194">
        <v>5.5</v>
      </c>
      <c r="AZ182" s="215" t="s">
        <v>445</v>
      </c>
      <c r="BA182" s="194">
        <v>3</v>
      </c>
      <c r="BB182" s="194">
        <v>5</v>
      </c>
      <c r="BD182" s="215" t="s">
        <v>446</v>
      </c>
      <c r="BE182" s="194">
        <v>9</v>
      </c>
      <c r="BF182" s="194">
        <v>5</v>
      </c>
      <c r="BH182" s="215" t="s">
        <v>447</v>
      </c>
      <c r="BI182" s="194">
        <v>42</v>
      </c>
      <c r="BJ182" s="194">
        <v>5</v>
      </c>
      <c r="BP182" s="235" t="str">
        <f t="shared" si="0"/>
        <v>22241</v>
      </c>
      <c r="BQ182" s="194">
        <v>2</v>
      </c>
      <c r="BR182" s="194">
        <v>2</v>
      </c>
      <c r="BS182" s="194">
        <v>2</v>
      </c>
      <c r="BT182" s="194">
        <v>4</v>
      </c>
      <c r="BU182" s="194">
        <v>1</v>
      </c>
      <c r="BV182" s="194">
        <v>64</v>
      </c>
    </row>
    <row r="183" spans="32:74" ht="12.75" hidden="1">
      <c r="AF183" s="215"/>
      <c r="AG183" s="194">
        <v>80</v>
      </c>
      <c r="AH183" s="194">
        <v>7</v>
      </c>
      <c r="AJ183" s="215"/>
      <c r="AK183" s="194">
        <v>43</v>
      </c>
      <c r="AL183" s="194">
        <v>6.5</v>
      </c>
      <c r="AN183" s="215"/>
      <c r="AO183" s="194">
        <v>120</v>
      </c>
      <c r="AP183" s="194">
        <v>6.5</v>
      </c>
      <c r="AR183" s="215"/>
      <c r="AS183" s="194">
        <v>59</v>
      </c>
      <c r="AT183" s="194">
        <v>6</v>
      </c>
      <c r="AV183" s="215"/>
      <c r="AW183" s="194">
        <v>96</v>
      </c>
      <c r="AX183" s="194">
        <v>6</v>
      </c>
      <c r="AZ183" s="215"/>
      <c r="BA183" s="194">
        <v>42</v>
      </c>
      <c r="BB183" s="194">
        <v>5.5</v>
      </c>
      <c r="BD183" s="215"/>
      <c r="BE183" s="194">
        <v>120</v>
      </c>
      <c r="BF183" s="194">
        <v>5.5</v>
      </c>
      <c r="BH183" s="215"/>
      <c r="BI183" s="194">
        <v>450</v>
      </c>
      <c r="BJ183" s="194">
        <v>5.5</v>
      </c>
      <c r="BP183" s="235" t="str">
        <f t="shared" ref="BP183:BP246" si="1">BQ183&amp;BR183&amp;BS183&amp;BT183&amp;BU183</f>
        <v>22242</v>
      </c>
      <c r="BQ183" s="194">
        <v>2</v>
      </c>
      <c r="BR183" s="194">
        <v>2</v>
      </c>
      <c r="BS183" s="194">
        <v>2</v>
      </c>
      <c r="BT183" s="194">
        <v>4</v>
      </c>
      <c r="BU183" s="194">
        <v>2</v>
      </c>
      <c r="BV183" s="194">
        <v>65</v>
      </c>
    </row>
    <row r="184" spans="32:74" ht="12.75" hidden="1">
      <c r="AF184" s="215"/>
      <c r="AG184" s="194">
        <v>490</v>
      </c>
      <c r="AH184" s="194">
        <v>7.5</v>
      </c>
      <c r="AJ184" s="215"/>
      <c r="AK184" s="194">
        <v>320</v>
      </c>
      <c r="AL184" s="194">
        <v>7</v>
      </c>
      <c r="AN184" s="215"/>
      <c r="AO184" s="194">
        <v>840</v>
      </c>
      <c r="AP184" s="194">
        <v>7</v>
      </c>
      <c r="AR184" s="215"/>
      <c r="AS184" s="194">
        <v>490</v>
      </c>
      <c r="AT184" s="194">
        <v>6.5</v>
      </c>
      <c r="AV184" s="215"/>
      <c r="AW184" s="194">
        <v>650</v>
      </c>
      <c r="AX184" s="194">
        <v>6.5</v>
      </c>
      <c r="AZ184" s="215"/>
      <c r="BA184" s="194">
        <v>380</v>
      </c>
      <c r="BB184" s="194">
        <v>6</v>
      </c>
      <c r="BD184" s="215"/>
      <c r="BE184" s="194">
        <v>700</v>
      </c>
      <c r="BF184" s="194">
        <v>6</v>
      </c>
      <c r="BH184" s="215"/>
      <c r="BI184" s="194">
        <v>970</v>
      </c>
      <c r="BJ184" s="194">
        <v>6</v>
      </c>
      <c r="BP184" s="235" t="str">
        <f t="shared" si="1"/>
        <v>22243</v>
      </c>
      <c r="BQ184" s="194">
        <v>2</v>
      </c>
      <c r="BR184" s="194">
        <v>2</v>
      </c>
      <c r="BS184" s="194">
        <v>2</v>
      </c>
      <c r="BT184" s="194">
        <v>4</v>
      </c>
      <c r="BU184" s="194">
        <v>3</v>
      </c>
      <c r="BV184" s="194">
        <v>66</v>
      </c>
    </row>
    <row r="185" spans="32:74" ht="12.75" hidden="1">
      <c r="AF185" s="215"/>
      <c r="AG185" s="194">
        <v>1300</v>
      </c>
      <c r="AH185" s="194">
        <v>8</v>
      </c>
      <c r="AJ185" s="215"/>
      <c r="AK185" s="194">
        <v>1200</v>
      </c>
      <c r="AL185" s="194">
        <v>7.5</v>
      </c>
      <c r="AN185" s="215"/>
      <c r="AO185" s="194">
        <v>1500</v>
      </c>
      <c r="AP185" s="194">
        <v>7.5</v>
      </c>
      <c r="AR185" s="215"/>
      <c r="AS185" s="194">
        <v>1200</v>
      </c>
      <c r="AT185" s="194">
        <v>7</v>
      </c>
      <c r="AV185" s="215"/>
      <c r="AW185" s="194">
        <v>1100</v>
      </c>
      <c r="AX185" s="194">
        <v>7</v>
      </c>
      <c r="AZ185" s="215"/>
      <c r="BA185" s="194">
        <v>1000</v>
      </c>
      <c r="BB185" s="194">
        <v>6.5</v>
      </c>
      <c r="BD185" s="215"/>
      <c r="BE185" s="194">
        <v>1400</v>
      </c>
      <c r="BF185" s="194">
        <v>6.5</v>
      </c>
      <c r="BH185" s="215"/>
      <c r="BI185" s="194">
        <v>2100</v>
      </c>
      <c r="BJ185" s="194">
        <v>6.5</v>
      </c>
      <c r="BP185" s="235" t="str">
        <f t="shared" si="1"/>
        <v>31111</v>
      </c>
      <c r="BQ185" s="194">
        <v>3</v>
      </c>
      <c r="BR185" s="194">
        <v>1</v>
      </c>
      <c r="BS185" s="194">
        <v>1</v>
      </c>
      <c r="BT185" s="194">
        <v>1</v>
      </c>
      <c r="BU185" s="194">
        <v>1</v>
      </c>
      <c r="BV185" s="194">
        <v>67</v>
      </c>
    </row>
    <row r="186" spans="32:74" ht="12.75" hidden="1">
      <c r="AJ186" s="215"/>
      <c r="AK186" s="194">
        <v>1900</v>
      </c>
      <c r="AL186" s="194">
        <v>8</v>
      </c>
      <c r="AZ186" s="215"/>
      <c r="BA186" s="194">
        <v>1900</v>
      </c>
      <c r="BB186" s="194">
        <v>7</v>
      </c>
      <c r="BP186" s="235" t="str">
        <f t="shared" si="1"/>
        <v>31112</v>
      </c>
      <c r="BQ186" s="194">
        <v>3</v>
      </c>
      <c r="BR186" s="194">
        <v>1</v>
      </c>
      <c r="BS186" s="194">
        <v>1</v>
      </c>
      <c r="BT186" s="194">
        <v>1</v>
      </c>
      <c r="BU186" s="194">
        <v>2</v>
      </c>
      <c r="BV186" s="194">
        <v>68</v>
      </c>
    </row>
    <row r="187" spans="32:74" ht="12.75" hidden="1">
      <c r="BP187" s="235" t="str">
        <f t="shared" si="1"/>
        <v>31113</v>
      </c>
      <c r="BQ187" s="194">
        <v>3</v>
      </c>
      <c r="BR187" s="194">
        <v>1</v>
      </c>
      <c r="BS187" s="194">
        <v>1</v>
      </c>
      <c r="BT187" s="194">
        <v>1</v>
      </c>
      <c r="BU187" s="194">
        <v>3</v>
      </c>
      <c r="BV187" s="194">
        <v>69</v>
      </c>
    </row>
    <row r="188" spans="32:74" ht="12.75" hidden="1">
      <c r="BP188" s="235" t="str">
        <f t="shared" si="1"/>
        <v>31121</v>
      </c>
      <c r="BQ188" s="194">
        <v>3</v>
      </c>
      <c r="BR188" s="194">
        <v>1</v>
      </c>
      <c r="BS188" s="194">
        <v>1</v>
      </c>
      <c r="BT188" s="194">
        <v>2</v>
      </c>
      <c r="BU188" s="194">
        <v>1</v>
      </c>
      <c r="BV188" s="194">
        <v>70</v>
      </c>
    </row>
    <row r="189" spans="32:74" ht="12.75" hidden="1">
      <c r="BP189" s="235" t="str">
        <f t="shared" si="1"/>
        <v>31122</v>
      </c>
      <c r="BQ189" s="194">
        <v>3</v>
      </c>
      <c r="BR189" s="194">
        <v>1</v>
      </c>
      <c r="BS189" s="194">
        <v>1</v>
      </c>
      <c r="BT189" s="194">
        <v>2</v>
      </c>
      <c r="BU189" s="194">
        <v>2</v>
      </c>
      <c r="BV189" s="194">
        <v>71</v>
      </c>
    </row>
    <row r="190" spans="32:74" ht="12.75" hidden="1">
      <c r="BP190" s="235" t="str">
        <f t="shared" si="1"/>
        <v>31123</v>
      </c>
      <c r="BQ190" s="194">
        <v>3</v>
      </c>
      <c r="BR190" s="194">
        <v>1</v>
      </c>
      <c r="BS190" s="194">
        <v>1</v>
      </c>
      <c r="BT190" s="194">
        <v>2</v>
      </c>
      <c r="BU190" s="194">
        <v>3</v>
      </c>
      <c r="BV190" s="194">
        <v>72</v>
      </c>
    </row>
    <row r="191" spans="32:74" ht="12.75" hidden="1">
      <c r="BP191" s="235" t="str">
        <f t="shared" si="1"/>
        <v>31131</v>
      </c>
      <c r="BQ191" s="194">
        <v>3</v>
      </c>
      <c r="BR191" s="194">
        <v>1</v>
      </c>
      <c r="BS191" s="194">
        <v>1</v>
      </c>
      <c r="BT191" s="194">
        <v>3</v>
      </c>
      <c r="BU191" s="194">
        <v>1</v>
      </c>
      <c r="BV191" s="194">
        <v>73</v>
      </c>
    </row>
    <row r="192" spans="32:74" ht="12.75" hidden="1">
      <c r="AG192" s="194" t="s">
        <v>310</v>
      </c>
      <c r="AH192" s="194" t="s">
        <v>311</v>
      </c>
      <c r="AK192" s="194" t="s">
        <v>310</v>
      </c>
      <c r="AL192" s="194" t="s">
        <v>311</v>
      </c>
      <c r="AO192" s="194" t="s">
        <v>310</v>
      </c>
      <c r="AP192" s="194" t="s">
        <v>311</v>
      </c>
      <c r="AS192" s="194" t="s">
        <v>310</v>
      </c>
      <c r="AT192" s="194" t="s">
        <v>311</v>
      </c>
      <c r="AW192" s="194" t="s">
        <v>310</v>
      </c>
      <c r="AX192" s="194" t="s">
        <v>311</v>
      </c>
      <c r="BA192" s="194" t="s">
        <v>310</v>
      </c>
      <c r="BB192" s="194" t="s">
        <v>311</v>
      </c>
      <c r="BE192" s="194" t="s">
        <v>310</v>
      </c>
      <c r="BF192" s="194" t="s">
        <v>311</v>
      </c>
      <c r="BI192" s="194" t="s">
        <v>310</v>
      </c>
      <c r="BJ192" s="194" t="s">
        <v>311</v>
      </c>
      <c r="BP192" s="235" t="str">
        <f t="shared" si="1"/>
        <v>31132</v>
      </c>
      <c r="BQ192" s="194">
        <v>3</v>
      </c>
      <c r="BR192" s="194">
        <v>1</v>
      </c>
      <c r="BS192" s="194">
        <v>1</v>
      </c>
      <c r="BT192" s="194">
        <v>3</v>
      </c>
      <c r="BU192" s="194">
        <v>2</v>
      </c>
      <c r="BV192" s="194">
        <v>74</v>
      </c>
    </row>
    <row r="193" spans="32:74" ht="12.75" hidden="1">
      <c r="AF193" s="215" t="s">
        <v>449</v>
      </c>
      <c r="AG193" s="194">
        <v>120</v>
      </c>
      <c r="AH193" s="194">
        <v>9.5</v>
      </c>
      <c r="AJ193" s="215" t="s">
        <v>450</v>
      </c>
      <c r="AK193" s="194">
        <v>120</v>
      </c>
      <c r="AL193" s="194">
        <v>9</v>
      </c>
      <c r="AN193" s="215" t="s">
        <v>451</v>
      </c>
      <c r="AO193" s="194">
        <v>70</v>
      </c>
      <c r="AP193" s="194">
        <v>8.5</v>
      </c>
      <c r="AR193" s="215" t="s">
        <v>452</v>
      </c>
      <c r="AS193" s="194">
        <v>300</v>
      </c>
      <c r="AT193" s="194">
        <v>8.5</v>
      </c>
      <c r="AV193" s="215" t="s">
        <v>453</v>
      </c>
      <c r="AW193" s="194">
        <v>67</v>
      </c>
      <c r="AX193" s="194">
        <v>8</v>
      </c>
      <c r="AZ193" s="215" t="s">
        <v>454</v>
      </c>
      <c r="BA193" s="194">
        <v>270</v>
      </c>
      <c r="BB193" s="194">
        <v>8</v>
      </c>
      <c r="BD193" s="215" t="s">
        <v>455</v>
      </c>
      <c r="BE193" s="194">
        <v>130</v>
      </c>
      <c r="BF193" s="194">
        <v>7.5</v>
      </c>
      <c r="BH193" s="215" t="s">
        <v>456</v>
      </c>
      <c r="BI193" s="194">
        <v>82</v>
      </c>
      <c r="BJ193" s="194">
        <v>7</v>
      </c>
      <c r="BP193" s="235" t="str">
        <f t="shared" si="1"/>
        <v>31133</v>
      </c>
      <c r="BQ193" s="194">
        <v>3</v>
      </c>
      <c r="BR193" s="194">
        <v>1</v>
      </c>
      <c r="BS193" s="194">
        <v>1</v>
      </c>
      <c r="BT193" s="194">
        <v>3</v>
      </c>
      <c r="BU193" s="194">
        <v>3</v>
      </c>
      <c r="BV193" s="194">
        <v>75</v>
      </c>
    </row>
    <row r="194" spans="32:74" ht="12.75" hidden="1">
      <c r="AF194" s="215"/>
      <c r="AG194" s="194">
        <v>460</v>
      </c>
      <c r="AH194" s="194">
        <v>10</v>
      </c>
      <c r="AJ194" s="215"/>
      <c r="AK194" s="194">
        <v>520</v>
      </c>
      <c r="AL194" s="194">
        <v>9.5</v>
      </c>
      <c r="AN194" s="215"/>
      <c r="AO194" s="194">
        <v>340</v>
      </c>
      <c r="AP194" s="194">
        <v>9</v>
      </c>
      <c r="AR194" s="215"/>
      <c r="AS194" s="194">
        <v>1300</v>
      </c>
      <c r="AT194" s="194">
        <v>9</v>
      </c>
      <c r="AV194" s="215"/>
      <c r="AW194" s="194">
        <v>330</v>
      </c>
      <c r="AX194" s="194">
        <v>8.5</v>
      </c>
      <c r="AZ194" s="215"/>
      <c r="BA194" s="194">
        <v>1200</v>
      </c>
      <c r="BB194" s="194">
        <v>8.5</v>
      </c>
      <c r="BD194" s="215"/>
      <c r="BE194" s="194">
        <v>670</v>
      </c>
      <c r="BF194" s="194">
        <v>8</v>
      </c>
      <c r="BH194" s="215"/>
      <c r="BI194" s="194">
        <v>480</v>
      </c>
      <c r="BJ194" s="194">
        <v>7.5</v>
      </c>
      <c r="BP194" s="235" t="str">
        <f t="shared" si="1"/>
        <v>31141</v>
      </c>
      <c r="BQ194" s="194">
        <v>3</v>
      </c>
      <c r="BR194" s="194">
        <v>1</v>
      </c>
      <c r="BS194" s="194">
        <v>1</v>
      </c>
      <c r="BT194" s="194">
        <v>4</v>
      </c>
      <c r="BU194" s="194">
        <v>1</v>
      </c>
      <c r="BV194" s="194">
        <v>76</v>
      </c>
    </row>
    <row r="195" spans="32:74" ht="12.75" hidden="1">
      <c r="AF195" s="215"/>
      <c r="AG195" s="194">
        <v>1600</v>
      </c>
      <c r="AH195" s="194">
        <v>10.5</v>
      </c>
      <c r="AJ195" s="215"/>
      <c r="AK195" s="194">
        <v>1900</v>
      </c>
      <c r="AL195" s="194">
        <v>10</v>
      </c>
      <c r="AN195" s="215"/>
      <c r="AO195" s="194">
        <v>1300</v>
      </c>
      <c r="AP195" s="194">
        <v>9.5</v>
      </c>
      <c r="AR195" s="215"/>
      <c r="AS195" s="194">
        <v>5100</v>
      </c>
      <c r="AT195" s="194">
        <v>9.5</v>
      </c>
      <c r="AV195" s="215"/>
      <c r="AW195" s="194">
        <v>1400</v>
      </c>
      <c r="AX195" s="194">
        <v>9</v>
      </c>
      <c r="AZ195" s="215"/>
      <c r="BA195" s="194">
        <v>4900</v>
      </c>
      <c r="BB195" s="194">
        <v>9</v>
      </c>
      <c r="BD195" s="215"/>
      <c r="BE195" s="194">
        <v>2900</v>
      </c>
      <c r="BF195" s="194">
        <v>8.5</v>
      </c>
      <c r="BH195" s="215"/>
      <c r="BI195" s="194">
        <v>2300</v>
      </c>
      <c r="BJ195" s="194">
        <v>8</v>
      </c>
      <c r="BP195" s="235" t="str">
        <f t="shared" si="1"/>
        <v>31142</v>
      </c>
      <c r="BQ195" s="194">
        <v>3</v>
      </c>
      <c r="BR195" s="194">
        <v>1</v>
      </c>
      <c r="BS195" s="194">
        <v>1</v>
      </c>
      <c r="BT195" s="194">
        <v>4</v>
      </c>
      <c r="BU195" s="194">
        <v>2</v>
      </c>
      <c r="BV195" s="194">
        <v>77</v>
      </c>
    </row>
    <row r="196" spans="32:74" ht="12.75" hidden="1">
      <c r="AF196" s="215"/>
      <c r="AG196" s="194">
        <v>4900</v>
      </c>
      <c r="AH196" s="194">
        <v>11</v>
      </c>
      <c r="AJ196" s="215"/>
      <c r="AK196" s="194">
        <v>6500</v>
      </c>
      <c r="AL196" s="194">
        <v>10.5</v>
      </c>
      <c r="AN196" s="215"/>
      <c r="AO196" s="194">
        <v>4900</v>
      </c>
      <c r="AP196" s="194">
        <v>10</v>
      </c>
      <c r="AR196" s="215"/>
      <c r="AS196" s="194">
        <v>19100</v>
      </c>
      <c r="AT196" s="194">
        <v>10</v>
      </c>
      <c r="AV196" s="215"/>
      <c r="AW196" s="194">
        <v>5100</v>
      </c>
      <c r="AX196" s="194">
        <v>9.5</v>
      </c>
      <c r="AZ196" s="215"/>
      <c r="BA196" s="194">
        <v>18600</v>
      </c>
      <c r="BB196" s="194">
        <v>9.5</v>
      </c>
      <c r="BD196" s="215"/>
      <c r="BE196" s="194">
        <v>11700</v>
      </c>
      <c r="BF196" s="194">
        <v>9</v>
      </c>
      <c r="BH196" s="215"/>
      <c r="BI196" s="194">
        <v>9700</v>
      </c>
      <c r="BJ196" s="194">
        <v>8.5</v>
      </c>
      <c r="BP196" s="235" t="str">
        <f t="shared" si="1"/>
        <v>31143</v>
      </c>
      <c r="BQ196" s="194">
        <v>3</v>
      </c>
      <c r="BR196" s="194">
        <v>1</v>
      </c>
      <c r="BS196" s="194">
        <v>1</v>
      </c>
      <c r="BT196" s="194">
        <v>4</v>
      </c>
      <c r="BU196" s="194">
        <v>3</v>
      </c>
      <c r="BV196" s="194">
        <v>78</v>
      </c>
    </row>
    <row r="197" spans="32:74" ht="12.75" hidden="1">
      <c r="AN197" s="215"/>
      <c r="AO197" s="194">
        <v>17400</v>
      </c>
      <c r="AP197" s="194">
        <v>10.5</v>
      </c>
      <c r="BP197" s="235" t="str">
        <f t="shared" si="1"/>
        <v>31211</v>
      </c>
      <c r="BQ197" s="194">
        <v>3</v>
      </c>
      <c r="BR197" s="194">
        <v>1</v>
      </c>
      <c r="BS197" s="194">
        <v>2</v>
      </c>
      <c r="BT197" s="194">
        <v>1</v>
      </c>
      <c r="BU197" s="194">
        <v>1</v>
      </c>
      <c r="BV197" s="194">
        <v>79</v>
      </c>
    </row>
    <row r="198" spans="32:74" ht="12.75" hidden="1">
      <c r="BP198" s="235" t="str">
        <f t="shared" si="1"/>
        <v>31212</v>
      </c>
      <c r="BQ198" s="194">
        <v>3</v>
      </c>
      <c r="BR198" s="194">
        <v>1</v>
      </c>
      <c r="BS198" s="194">
        <v>2</v>
      </c>
      <c r="BT198" s="194">
        <v>1</v>
      </c>
      <c r="BU198" s="194">
        <v>2</v>
      </c>
      <c r="BV198" s="194">
        <v>80</v>
      </c>
    </row>
    <row r="199" spans="32:74" ht="12.75" hidden="1">
      <c r="AG199" s="194" t="s">
        <v>310</v>
      </c>
      <c r="AH199" s="194" t="s">
        <v>311</v>
      </c>
      <c r="AK199" s="194" t="s">
        <v>310</v>
      </c>
      <c r="AL199" s="194" t="s">
        <v>311</v>
      </c>
      <c r="AO199" s="194" t="s">
        <v>310</v>
      </c>
      <c r="AP199" s="194" t="s">
        <v>311</v>
      </c>
      <c r="AS199" s="194" t="s">
        <v>310</v>
      </c>
      <c r="AT199" s="194" t="s">
        <v>311</v>
      </c>
      <c r="AW199" s="194" t="s">
        <v>310</v>
      </c>
      <c r="AX199" s="194" t="s">
        <v>311</v>
      </c>
      <c r="BA199" s="194" t="s">
        <v>310</v>
      </c>
      <c r="BB199" s="194" t="s">
        <v>311</v>
      </c>
      <c r="BE199" s="194" t="s">
        <v>310</v>
      </c>
      <c r="BF199" s="194" t="s">
        <v>311</v>
      </c>
      <c r="BI199" s="194" t="s">
        <v>310</v>
      </c>
      <c r="BJ199" s="194" t="s">
        <v>311</v>
      </c>
      <c r="BP199" s="235" t="str">
        <f t="shared" si="1"/>
        <v>31213</v>
      </c>
      <c r="BQ199" s="194">
        <v>3</v>
      </c>
      <c r="BR199" s="194">
        <v>1</v>
      </c>
      <c r="BS199" s="194">
        <v>2</v>
      </c>
      <c r="BT199" s="194">
        <v>1</v>
      </c>
      <c r="BU199" s="194">
        <v>3</v>
      </c>
      <c r="BV199" s="194">
        <v>81</v>
      </c>
    </row>
    <row r="200" spans="32:74" ht="12.75" hidden="1">
      <c r="AF200" s="215" t="s">
        <v>457</v>
      </c>
      <c r="AG200" s="194">
        <v>160</v>
      </c>
      <c r="AH200" s="194">
        <v>9</v>
      </c>
      <c r="AJ200" s="215" t="s">
        <v>458</v>
      </c>
      <c r="AK200" s="194">
        <v>140</v>
      </c>
      <c r="AL200" s="194">
        <v>8.5</v>
      </c>
      <c r="AN200" s="215" t="s">
        <v>459</v>
      </c>
      <c r="AO200" s="194">
        <v>73</v>
      </c>
      <c r="AP200" s="194">
        <v>8</v>
      </c>
      <c r="AR200" s="215" t="s">
        <v>460</v>
      </c>
      <c r="AS200" s="194">
        <v>310</v>
      </c>
      <c r="AT200" s="194">
        <v>8</v>
      </c>
      <c r="AV200" s="215" t="s">
        <v>461</v>
      </c>
      <c r="AW200" s="194">
        <v>370</v>
      </c>
      <c r="AX200" s="194">
        <v>8</v>
      </c>
      <c r="AZ200" s="215" t="s">
        <v>462</v>
      </c>
      <c r="BA200" s="194">
        <v>270</v>
      </c>
      <c r="BB200" s="194">
        <v>7.5</v>
      </c>
      <c r="BD200" s="215" t="s">
        <v>463</v>
      </c>
      <c r="BE200" s="194">
        <v>120</v>
      </c>
      <c r="BF200" s="194">
        <v>7</v>
      </c>
      <c r="BH200" s="215" t="s">
        <v>464</v>
      </c>
      <c r="BI200" s="194">
        <v>67</v>
      </c>
      <c r="BJ200" s="194">
        <v>6.5</v>
      </c>
      <c r="BP200" s="235" t="str">
        <f t="shared" si="1"/>
        <v>31221</v>
      </c>
      <c r="BQ200" s="194">
        <v>3</v>
      </c>
      <c r="BR200" s="194">
        <v>1</v>
      </c>
      <c r="BS200" s="194">
        <v>2</v>
      </c>
      <c r="BT200" s="194">
        <v>2</v>
      </c>
      <c r="BU200" s="194">
        <v>1</v>
      </c>
      <c r="BV200" s="194">
        <v>82</v>
      </c>
    </row>
    <row r="201" spans="32:74" ht="12.75" hidden="1">
      <c r="AF201" s="215"/>
      <c r="AG201" s="194">
        <v>630</v>
      </c>
      <c r="AH201" s="194">
        <v>9.5</v>
      </c>
      <c r="AJ201" s="215"/>
      <c r="AK201" s="194">
        <v>640</v>
      </c>
      <c r="AL201" s="194">
        <v>9</v>
      </c>
      <c r="AN201" s="215"/>
      <c r="AO201" s="194">
        <v>380</v>
      </c>
      <c r="AP201" s="194">
        <v>8.5</v>
      </c>
      <c r="AR201" s="215"/>
      <c r="AS201" s="194">
        <v>1500</v>
      </c>
      <c r="AT201" s="194">
        <v>8.5</v>
      </c>
      <c r="AV201" s="215"/>
      <c r="AW201" s="194">
        <v>1600</v>
      </c>
      <c r="AX201" s="194">
        <v>8.5</v>
      </c>
      <c r="AZ201" s="215"/>
      <c r="BA201" s="194">
        <v>1300</v>
      </c>
      <c r="BB201" s="194">
        <v>8</v>
      </c>
      <c r="BD201" s="215"/>
      <c r="BE201" s="194">
        <v>680</v>
      </c>
      <c r="BF201" s="194">
        <v>7.5</v>
      </c>
      <c r="BH201" s="215"/>
      <c r="BI201" s="194">
        <v>440</v>
      </c>
      <c r="BJ201" s="194">
        <v>7</v>
      </c>
      <c r="BP201" s="235" t="str">
        <f t="shared" si="1"/>
        <v>31222</v>
      </c>
      <c r="BQ201" s="194">
        <v>3</v>
      </c>
      <c r="BR201" s="194">
        <v>1</v>
      </c>
      <c r="BS201" s="194">
        <v>2</v>
      </c>
      <c r="BT201" s="194">
        <v>2</v>
      </c>
      <c r="BU201" s="194">
        <v>2</v>
      </c>
      <c r="BV201" s="194">
        <v>83</v>
      </c>
    </row>
    <row r="202" spans="32:74" ht="12.75" hidden="1">
      <c r="AF202" s="215"/>
      <c r="AG202" s="194">
        <v>2300</v>
      </c>
      <c r="AH202" s="194">
        <v>10</v>
      </c>
      <c r="AJ202" s="215"/>
      <c r="AK202" s="194">
        <v>2500</v>
      </c>
      <c r="AL202" s="194">
        <v>9.5</v>
      </c>
      <c r="AN202" s="215"/>
      <c r="AO202" s="194">
        <v>1700</v>
      </c>
      <c r="AP202" s="194">
        <v>9</v>
      </c>
      <c r="AR202" s="215"/>
      <c r="AS202" s="194">
        <v>6200</v>
      </c>
      <c r="AT202" s="194">
        <v>9</v>
      </c>
      <c r="AV202" s="215"/>
      <c r="AW202" s="194">
        <v>6600</v>
      </c>
      <c r="AX202" s="194">
        <v>9</v>
      </c>
      <c r="AZ202" s="215"/>
      <c r="BA202" s="194">
        <v>5800</v>
      </c>
      <c r="BB202" s="194">
        <v>8.5</v>
      </c>
      <c r="BD202" s="215"/>
      <c r="BE202" s="194">
        <v>3200</v>
      </c>
      <c r="BF202" s="194">
        <v>8</v>
      </c>
      <c r="BH202" s="215"/>
      <c r="BI202" s="194">
        <v>2300</v>
      </c>
      <c r="BJ202" s="194">
        <v>7.5</v>
      </c>
      <c r="BP202" s="235" t="str">
        <f t="shared" si="1"/>
        <v>31223</v>
      </c>
      <c r="BQ202" s="194">
        <v>3</v>
      </c>
      <c r="BR202" s="194">
        <v>1</v>
      </c>
      <c r="BS202" s="194">
        <v>2</v>
      </c>
      <c r="BT202" s="194">
        <v>2</v>
      </c>
      <c r="BU202" s="194">
        <v>3</v>
      </c>
      <c r="BV202" s="194">
        <v>84</v>
      </c>
    </row>
    <row r="203" spans="32:74" ht="12.75" hidden="1">
      <c r="AF203" s="215"/>
      <c r="AG203" s="194">
        <v>7700</v>
      </c>
      <c r="AH203" s="194">
        <v>10.5</v>
      </c>
      <c r="AJ203" s="215"/>
      <c r="AK203" s="194">
        <v>9300</v>
      </c>
      <c r="AL203" s="194">
        <v>10</v>
      </c>
      <c r="AN203" s="215"/>
      <c r="AO203" s="194">
        <v>6500</v>
      </c>
      <c r="AP203" s="194">
        <v>9.5</v>
      </c>
      <c r="BD203" s="215"/>
      <c r="BE203" s="194">
        <v>14100</v>
      </c>
      <c r="BF203" s="194">
        <v>8.5</v>
      </c>
      <c r="BH203" s="215"/>
      <c r="BI203" s="194">
        <v>10800</v>
      </c>
      <c r="BJ203" s="194">
        <v>8</v>
      </c>
      <c r="BP203" s="235" t="str">
        <f t="shared" si="1"/>
        <v>31231</v>
      </c>
      <c r="BQ203" s="194">
        <v>3</v>
      </c>
      <c r="BR203" s="194">
        <v>1</v>
      </c>
      <c r="BS203" s="194">
        <v>2</v>
      </c>
      <c r="BT203" s="194">
        <v>3</v>
      </c>
      <c r="BU203" s="194">
        <v>1</v>
      </c>
      <c r="BV203" s="194">
        <v>85</v>
      </c>
    </row>
    <row r="204" spans="32:74" ht="12.75" hidden="1">
      <c r="BP204" s="235" t="str">
        <f t="shared" si="1"/>
        <v>31232</v>
      </c>
      <c r="BQ204" s="194">
        <v>3</v>
      </c>
      <c r="BR204" s="194">
        <v>1</v>
      </c>
      <c r="BS204" s="194">
        <v>2</v>
      </c>
      <c r="BT204" s="194">
        <v>3</v>
      </c>
      <c r="BU204" s="194">
        <v>2</v>
      </c>
      <c r="BV204" s="194">
        <v>86</v>
      </c>
    </row>
    <row r="205" spans="32:74" ht="12" hidden="1" customHeight="1">
      <c r="BP205" s="235" t="str">
        <f t="shared" si="1"/>
        <v>31233</v>
      </c>
      <c r="BQ205" s="194">
        <v>3</v>
      </c>
      <c r="BR205" s="194">
        <v>1</v>
      </c>
      <c r="BS205" s="194">
        <v>2</v>
      </c>
      <c r="BT205" s="194">
        <v>3</v>
      </c>
      <c r="BU205" s="194">
        <v>3</v>
      </c>
      <c r="BV205" s="194">
        <v>87</v>
      </c>
    </row>
    <row r="206" spans="32:74" ht="12" hidden="1" customHeight="1">
      <c r="AG206" s="194" t="s">
        <v>310</v>
      </c>
      <c r="AH206" s="194" t="s">
        <v>311</v>
      </c>
      <c r="AK206" s="194" t="s">
        <v>310</v>
      </c>
      <c r="AL206" s="194" t="s">
        <v>311</v>
      </c>
      <c r="AO206" s="194" t="s">
        <v>310</v>
      </c>
      <c r="AP206" s="194" t="s">
        <v>311</v>
      </c>
      <c r="AS206" s="194" t="s">
        <v>310</v>
      </c>
      <c r="AT206" s="194" t="s">
        <v>311</v>
      </c>
      <c r="AW206" s="194" t="s">
        <v>310</v>
      </c>
      <c r="AX206" s="194" t="s">
        <v>311</v>
      </c>
      <c r="BA206" s="194" t="s">
        <v>310</v>
      </c>
      <c r="BB206" s="194" t="s">
        <v>311</v>
      </c>
      <c r="BE206" s="194" t="s">
        <v>310</v>
      </c>
      <c r="BF206" s="194" t="s">
        <v>311</v>
      </c>
      <c r="BI206" s="194" t="s">
        <v>310</v>
      </c>
      <c r="BJ206" s="194" t="s">
        <v>311</v>
      </c>
      <c r="BP206" s="235" t="str">
        <f t="shared" si="1"/>
        <v>31241</v>
      </c>
      <c r="BQ206" s="194">
        <v>3</v>
      </c>
      <c r="BR206" s="194">
        <v>1</v>
      </c>
      <c r="BS206" s="194">
        <v>2</v>
      </c>
      <c r="BT206" s="194">
        <v>4</v>
      </c>
      <c r="BU206" s="194">
        <v>1</v>
      </c>
      <c r="BV206" s="194">
        <v>88</v>
      </c>
    </row>
    <row r="207" spans="32:74" ht="12" hidden="1" customHeight="1">
      <c r="AF207" s="215" t="s">
        <v>466</v>
      </c>
      <c r="AG207" s="194">
        <v>160</v>
      </c>
      <c r="AH207" s="194">
        <v>8.5</v>
      </c>
      <c r="AJ207" s="215" t="s">
        <v>467</v>
      </c>
      <c r="AK207" s="194">
        <v>130</v>
      </c>
      <c r="AL207" s="194">
        <v>8</v>
      </c>
      <c r="AN207" s="215" t="s">
        <v>468</v>
      </c>
      <c r="AO207" s="194">
        <v>350</v>
      </c>
      <c r="AP207" s="194">
        <v>8</v>
      </c>
      <c r="AR207" s="215" t="s">
        <v>469</v>
      </c>
      <c r="AS207" s="194">
        <v>250</v>
      </c>
      <c r="AT207" s="194">
        <v>7.5</v>
      </c>
      <c r="AV207" s="215" t="s">
        <v>470</v>
      </c>
      <c r="AW207" s="194">
        <v>52</v>
      </c>
      <c r="AX207" s="194">
        <v>7</v>
      </c>
      <c r="AZ207" s="215" t="s">
        <v>471</v>
      </c>
      <c r="BA207" s="194">
        <v>220</v>
      </c>
      <c r="BB207" s="194">
        <v>7</v>
      </c>
      <c r="BD207" s="215" t="s">
        <v>472</v>
      </c>
      <c r="BE207" s="194">
        <v>83</v>
      </c>
      <c r="BF207" s="194">
        <v>6.5</v>
      </c>
      <c r="BH207" s="215" t="s">
        <v>473</v>
      </c>
      <c r="BI207" s="194">
        <v>320</v>
      </c>
      <c r="BJ207" s="194">
        <v>6.5</v>
      </c>
      <c r="BP207" s="235" t="str">
        <f t="shared" si="1"/>
        <v>31242</v>
      </c>
      <c r="BQ207" s="194">
        <v>3</v>
      </c>
      <c r="BR207" s="194">
        <v>1</v>
      </c>
      <c r="BS207" s="194">
        <v>2</v>
      </c>
      <c r="BT207" s="194">
        <v>4</v>
      </c>
      <c r="BU207" s="194">
        <v>2</v>
      </c>
      <c r="BV207" s="194">
        <v>89</v>
      </c>
    </row>
    <row r="208" spans="32:74" ht="12" hidden="1" customHeight="1">
      <c r="AF208" s="215"/>
      <c r="AG208" s="194">
        <v>700</v>
      </c>
      <c r="AH208" s="194">
        <v>9</v>
      </c>
      <c r="AJ208" s="215"/>
      <c r="AK208" s="194">
        <v>640</v>
      </c>
      <c r="AL208" s="194">
        <v>8.5</v>
      </c>
      <c r="AN208" s="215"/>
      <c r="AO208" s="194">
        <v>1600</v>
      </c>
      <c r="AP208" s="194">
        <v>8.5</v>
      </c>
      <c r="AR208" s="215"/>
      <c r="AS208" s="194">
        <v>1300</v>
      </c>
      <c r="AT208" s="194">
        <v>8</v>
      </c>
      <c r="AV208" s="215"/>
      <c r="AW208" s="194">
        <v>320</v>
      </c>
      <c r="AX208" s="194">
        <v>7.5</v>
      </c>
      <c r="AZ208" s="215"/>
      <c r="BA208" s="194">
        <v>1200</v>
      </c>
      <c r="BB208" s="194">
        <v>7.5</v>
      </c>
      <c r="BD208" s="215"/>
      <c r="BE208" s="194">
        <v>550</v>
      </c>
      <c r="BF208" s="194">
        <v>7</v>
      </c>
      <c r="BH208" s="215"/>
      <c r="BI208" s="194">
        <v>1900</v>
      </c>
      <c r="BJ208" s="194">
        <v>7</v>
      </c>
      <c r="BP208" s="235" t="str">
        <f t="shared" si="1"/>
        <v>31243</v>
      </c>
      <c r="BQ208" s="194">
        <v>3</v>
      </c>
      <c r="BR208" s="194">
        <v>1</v>
      </c>
      <c r="BS208" s="194">
        <v>2</v>
      </c>
      <c r="BT208" s="194">
        <v>4</v>
      </c>
      <c r="BU208" s="194">
        <v>3</v>
      </c>
      <c r="BV208" s="194">
        <v>90</v>
      </c>
    </row>
    <row r="209" spans="32:74" ht="12" hidden="1" customHeight="1">
      <c r="AF209" s="215"/>
      <c r="AG209" s="194">
        <v>2700</v>
      </c>
      <c r="AH209" s="194">
        <v>9.5</v>
      </c>
      <c r="AJ209" s="215"/>
      <c r="AK209" s="194">
        <v>2700</v>
      </c>
      <c r="AL209" s="194">
        <v>9</v>
      </c>
      <c r="AN209" s="215"/>
      <c r="AO209" s="194">
        <v>7000</v>
      </c>
      <c r="AP209" s="194">
        <v>9</v>
      </c>
      <c r="AR209" s="215"/>
      <c r="AS209" s="194">
        <v>6200</v>
      </c>
      <c r="AT209" s="194">
        <v>8.5</v>
      </c>
      <c r="AV209" s="215"/>
      <c r="AW209" s="194">
        <v>1600</v>
      </c>
      <c r="AX209" s="194">
        <v>8</v>
      </c>
      <c r="AZ209" s="215"/>
      <c r="BA209" s="194">
        <v>5700</v>
      </c>
      <c r="BB209" s="194">
        <v>8</v>
      </c>
      <c r="BD209" s="215"/>
      <c r="BE209" s="194">
        <v>2900</v>
      </c>
      <c r="BF209" s="194">
        <v>7.5</v>
      </c>
      <c r="BH209" s="215"/>
      <c r="BI209" s="194">
        <v>9800</v>
      </c>
      <c r="BJ209" s="194">
        <v>7.5</v>
      </c>
      <c r="BP209" s="235" t="str">
        <f t="shared" si="1"/>
        <v>32111</v>
      </c>
      <c r="BQ209" s="194">
        <v>3</v>
      </c>
      <c r="BR209" s="194">
        <v>2</v>
      </c>
      <c r="BS209" s="194">
        <v>1</v>
      </c>
      <c r="BT209" s="194">
        <v>1</v>
      </c>
      <c r="BU209" s="194">
        <v>1</v>
      </c>
      <c r="BV209" s="194">
        <v>91</v>
      </c>
    </row>
    <row r="210" spans="32:74" ht="12" hidden="1" customHeight="1">
      <c r="AF210" s="215"/>
      <c r="AG210" s="194">
        <v>9900</v>
      </c>
      <c r="AH210" s="194">
        <v>10</v>
      </c>
      <c r="AJ210" s="215"/>
      <c r="AK210" s="194">
        <v>10800</v>
      </c>
      <c r="AL210" s="194">
        <v>9.5</v>
      </c>
      <c r="AR210" s="215"/>
      <c r="AS210" s="194">
        <v>11500</v>
      </c>
      <c r="AT210" s="194">
        <v>9</v>
      </c>
      <c r="AV210" s="215"/>
      <c r="AW210" s="194">
        <v>6900</v>
      </c>
      <c r="AX210" s="194">
        <v>8.5</v>
      </c>
      <c r="AZ210" s="215"/>
      <c r="BA210" s="194">
        <v>23700</v>
      </c>
      <c r="BB210" s="194">
        <v>8.5</v>
      </c>
      <c r="BD210" s="215"/>
      <c r="BE210" s="194">
        <v>13800</v>
      </c>
      <c r="BF210" s="194">
        <v>8</v>
      </c>
      <c r="BP210" s="235" t="str">
        <f t="shared" si="1"/>
        <v>32112</v>
      </c>
      <c r="BQ210" s="194">
        <v>3</v>
      </c>
      <c r="BR210" s="194">
        <v>2</v>
      </c>
      <c r="BS210" s="194">
        <v>1</v>
      </c>
      <c r="BT210" s="194">
        <v>1</v>
      </c>
      <c r="BU210" s="194">
        <v>2</v>
      </c>
      <c r="BV210" s="194">
        <v>92</v>
      </c>
    </row>
    <row r="211" spans="32:74" ht="12" hidden="1" customHeight="1">
      <c r="BP211" s="235" t="str">
        <f t="shared" si="1"/>
        <v>32113</v>
      </c>
      <c r="BQ211" s="194">
        <v>3</v>
      </c>
      <c r="BR211" s="194">
        <v>2</v>
      </c>
      <c r="BS211" s="194">
        <v>1</v>
      </c>
      <c r="BT211" s="194">
        <v>1</v>
      </c>
      <c r="BU211" s="194">
        <v>3</v>
      </c>
      <c r="BV211" s="194">
        <v>93</v>
      </c>
    </row>
    <row r="212" spans="32:74" ht="12" hidden="1" customHeight="1">
      <c r="BP212" s="235" t="str">
        <f t="shared" si="1"/>
        <v>32121</v>
      </c>
      <c r="BQ212" s="194">
        <v>3</v>
      </c>
      <c r="BR212" s="194">
        <v>2</v>
      </c>
      <c r="BS212" s="194">
        <v>1</v>
      </c>
      <c r="BT212" s="194">
        <v>2</v>
      </c>
      <c r="BU212" s="194">
        <v>1</v>
      </c>
      <c r="BV212" s="194">
        <v>94</v>
      </c>
    </row>
    <row r="213" spans="32:74" ht="12" hidden="1" customHeight="1">
      <c r="BP213" s="235" t="str">
        <f t="shared" si="1"/>
        <v>32122</v>
      </c>
      <c r="BQ213" s="194">
        <v>3</v>
      </c>
      <c r="BR213" s="194">
        <v>2</v>
      </c>
      <c r="BS213" s="194">
        <v>1</v>
      </c>
      <c r="BT213" s="194">
        <v>2</v>
      </c>
      <c r="BU213" s="194">
        <v>2</v>
      </c>
      <c r="BV213" s="194">
        <v>95</v>
      </c>
    </row>
    <row r="214" spans="32:74" ht="12" hidden="1" customHeight="1">
      <c r="BP214" s="235" t="str">
        <f t="shared" si="1"/>
        <v>32123</v>
      </c>
      <c r="BQ214" s="194">
        <v>3</v>
      </c>
      <c r="BR214" s="194">
        <v>2</v>
      </c>
      <c r="BS214" s="194">
        <v>1</v>
      </c>
      <c r="BT214" s="194">
        <v>2</v>
      </c>
      <c r="BU214" s="194">
        <v>3</v>
      </c>
      <c r="BV214" s="194">
        <v>96</v>
      </c>
    </row>
    <row r="215" spans="32:74" ht="12" hidden="1" customHeight="1">
      <c r="BP215" s="235" t="str">
        <f t="shared" si="1"/>
        <v>32131</v>
      </c>
      <c r="BQ215" s="194">
        <v>3</v>
      </c>
      <c r="BR215" s="194">
        <v>2</v>
      </c>
      <c r="BS215" s="194">
        <v>1</v>
      </c>
      <c r="BT215" s="194">
        <v>3</v>
      </c>
      <c r="BU215" s="194">
        <v>1</v>
      </c>
      <c r="BV215" s="194">
        <v>97</v>
      </c>
    </row>
    <row r="216" spans="32:74" ht="12" hidden="1" customHeight="1">
      <c r="BP216" s="235" t="str">
        <f t="shared" si="1"/>
        <v>32132</v>
      </c>
      <c r="BQ216" s="194">
        <v>3</v>
      </c>
      <c r="BR216" s="194">
        <v>2</v>
      </c>
      <c r="BS216" s="194">
        <v>1</v>
      </c>
      <c r="BT216" s="194">
        <v>3</v>
      </c>
      <c r="BU216" s="194">
        <v>2</v>
      </c>
      <c r="BV216" s="194">
        <v>98</v>
      </c>
    </row>
    <row r="217" spans="32:74" ht="12" hidden="1" customHeight="1">
      <c r="AG217" s="194" t="s">
        <v>310</v>
      </c>
      <c r="AH217" s="194" t="s">
        <v>311</v>
      </c>
      <c r="AK217" s="194" t="s">
        <v>310</v>
      </c>
      <c r="AL217" s="194" t="s">
        <v>311</v>
      </c>
      <c r="AO217" s="194" t="s">
        <v>310</v>
      </c>
      <c r="AP217" s="194" t="s">
        <v>311</v>
      </c>
      <c r="AS217" s="194" t="s">
        <v>310</v>
      </c>
      <c r="AT217" s="194" t="s">
        <v>311</v>
      </c>
      <c r="AW217" s="194" t="s">
        <v>310</v>
      </c>
      <c r="AX217" s="194" t="s">
        <v>311</v>
      </c>
      <c r="BA217" s="194" t="s">
        <v>310</v>
      </c>
      <c r="BB217" s="194" t="s">
        <v>311</v>
      </c>
      <c r="BE217" s="194" t="s">
        <v>310</v>
      </c>
      <c r="BF217" s="194" t="s">
        <v>311</v>
      </c>
      <c r="BI217" s="194" t="s">
        <v>310</v>
      </c>
      <c r="BJ217" s="194" t="s">
        <v>311</v>
      </c>
      <c r="BP217" s="235" t="str">
        <f t="shared" si="1"/>
        <v>32133</v>
      </c>
      <c r="BQ217" s="194">
        <v>3</v>
      </c>
      <c r="BR217" s="194">
        <v>2</v>
      </c>
      <c r="BS217" s="194">
        <v>1</v>
      </c>
      <c r="BT217" s="194">
        <v>3</v>
      </c>
      <c r="BU217" s="194">
        <v>3</v>
      </c>
      <c r="BV217" s="194">
        <v>99</v>
      </c>
    </row>
    <row r="218" spans="32:74" ht="12" hidden="1" customHeight="1">
      <c r="AF218" s="215" t="s">
        <v>475</v>
      </c>
      <c r="AG218" s="194">
        <v>120</v>
      </c>
      <c r="AH218" s="194">
        <v>9.5</v>
      </c>
      <c r="AJ218" s="215" t="s">
        <v>476</v>
      </c>
      <c r="AK218" s="194">
        <v>120</v>
      </c>
      <c r="AL218" s="194">
        <v>9</v>
      </c>
      <c r="AN218" s="215" t="s">
        <v>477</v>
      </c>
      <c r="AO218" s="194">
        <v>70</v>
      </c>
      <c r="AP218" s="194">
        <v>8.5</v>
      </c>
      <c r="AR218" s="215" t="s">
        <v>478</v>
      </c>
      <c r="AS218" s="194">
        <v>56</v>
      </c>
      <c r="AT218" s="194">
        <v>8</v>
      </c>
      <c r="AV218" s="215" t="s">
        <v>479</v>
      </c>
      <c r="AW218" s="194">
        <v>67</v>
      </c>
      <c r="AX218" s="194">
        <v>8</v>
      </c>
      <c r="AZ218" s="215" t="s">
        <v>480</v>
      </c>
      <c r="BA218" s="194">
        <v>270</v>
      </c>
      <c r="BB218" s="194">
        <v>8</v>
      </c>
      <c r="BD218" s="215" t="s">
        <v>481</v>
      </c>
      <c r="BE218" s="194">
        <v>130</v>
      </c>
      <c r="BF218" s="194">
        <v>7.5</v>
      </c>
      <c r="BH218" s="215" t="s">
        <v>482</v>
      </c>
      <c r="BI218" s="194">
        <v>82</v>
      </c>
      <c r="BJ218" s="194">
        <v>7</v>
      </c>
      <c r="BP218" s="235" t="str">
        <f t="shared" si="1"/>
        <v>32141</v>
      </c>
      <c r="BQ218" s="194">
        <v>3</v>
      </c>
      <c r="BR218" s="194">
        <v>2</v>
      </c>
      <c r="BS218" s="194">
        <v>1</v>
      </c>
      <c r="BT218" s="194">
        <v>4</v>
      </c>
      <c r="BU218" s="194">
        <v>1</v>
      </c>
      <c r="BV218" s="194">
        <v>100</v>
      </c>
    </row>
    <row r="219" spans="32:74" ht="12" hidden="1" customHeight="1">
      <c r="AF219" s="215"/>
      <c r="AG219" s="194">
        <v>460</v>
      </c>
      <c r="AH219" s="194">
        <v>10</v>
      </c>
      <c r="AJ219" s="215"/>
      <c r="AK219" s="194">
        <v>520</v>
      </c>
      <c r="AL219" s="194">
        <v>9.5</v>
      </c>
      <c r="AN219" s="215"/>
      <c r="AO219" s="194">
        <v>340</v>
      </c>
      <c r="AP219" s="194">
        <v>9</v>
      </c>
      <c r="AR219" s="215"/>
      <c r="AS219" s="194">
        <v>300</v>
      </c>
      <c r="AT219" s="194">
        <v>8.5</v>
      </c>
      <c r="AV219" s="215"/>
      <c r="AW219" s="194">
        <v>330</v>
      </c>
      <c r="AX219" s="194">
        <v>8.5</v>
      </c>
      <c r="AZ219" s="215"/>
      <c r="BA219" s="194">
        <v>1200</v>
      </c>
      <c r="BB219" s="194">
        <v>8.5</v>
      </c>
      <c r="BD219" s="215"/>
      <c r="BE219" s="194">
        <v>670</v>
      </c>
      <c r="BF219" s="194">
        <v>8</v>
      </c>
      <c r="BH219" s="215"/>
      <c r="BI219" s="194">
        <v>480</v>
      </c>
      <c r="BJ219" s="194">
        <v>7.5</v>
      </c>
      <c r="BP219" s="235" t="str">
        <f t="shared" si="1"/>
        <v>32142</v>
      </c>
      <c r="BQ219" s="194">
        <v>3</v>
      </c>
      <c r="BR219" s="194">
        <v>2</v>
      </c>
      <c r="BS219" s="194">
        <v>1</v>
      </c>
      <c r="BT219" s="194">
        <v>4</v>
      </c>
      <c r="BU219" s="194">
        <v>2</v>
      </c>
      <c r="BV219" s="194">
        <v>101</v>
      </c>
    </row>
    <row r="220" spans="32:74" ht="12" hidden="1" customHeight="1">
      <c r="AF220" s="215"/>
      <c r="AG220" s="194">
        <v>1600</v>
      </c>
      <c r="AH220" s="194">
        <v>10.5</v>
      </c>
      <c r="AJ220" s="215"/>
      <c r="AK220" s="194">
        <v>1900</v>
      </c>
      <c r="AL220" s="194">
        <v>10</v>
      </c>
      <c r="AN220" s="215"/>
      <c r="AO220" s="194">
        <v>1300</v>
      </c>
      <c r="AP220" s="194">
        <v>9.5</v>
      </c>
      <c r="AR220" s="215"/>
      <c r="AS220" s="194">
        <v>1300</v>
      </c>
      <c r="AT220" s="194">
        <v>9</v>
      </c>
      <c r="AV220" s="215"/>
      <c r="AW220" s="194">
        <v>1400</v>
      </c>
      <c r="AX220" s="194">
        <v>9</v>
      </c>
      <c r="AZ220" s="215"/>
      <c r="BA220" s="194">
        <v>2900</v>
      </c>
      <c r="BB220" s="194">
        <v>9</v>
      </c>
      <c r="BD220" s="215"/>
      <c r="BE220" s="194">
        <v>2700</v>
      </c>
      <c r="BF220" s="194">
        <v>8.5</v>
      </c>
      <c r="BH220" s="215"/>
      <c r="BI220" s="194">
        <v>2300</v>
      </c>
      <c r="BJ220" s="194">
        <v>8</v>
      </c>
      <c r="BP220" s="235" t="str">
        <f t="shared" si="1"/>
        <v>32143</v>
      </c>
      <c r="BQ220" s="194">
        <v>3</v>
      </c>
      <c r="BR220" s="194">
        <v>2</v>
      </c>
      <c r="BS220" s="194">
        <v>1</v>
      </c>
      <c r="BT220" s="194">
        <v>4</v>
      </c>
      <c r="BU220" s="194">
        <v>3</v>
      </c>
      <c r="BV220" s="194">
        <v>102</v>
      </c>
    </row>
    <row r="221" spans="32:74" ht="12" hidden="1" customHeight="1">
      <c r="AF221" s="215"/>
      <c r="AG221" s="194">
        <v>2500</v>
      </c>
      <c r="AH221" s="194">
        <v>11</v>
      </c>
      <c r="AJ221" s="215"/>
      <c r="AK221" s="194">
        <v>2900</v>
      </c>
      <c r="AL221" s="194">
        <v>10.5</v>
      </c>
      <c r="AN221" s="215"/>
      <c r="AO221" s="194">
        <v>2800</v>
      </c>
      <c r="AP221" s="194">
        <v>10</v>
      </c>
      <c r="AR221" s="215"/>
      <c r="AS221" s="194">
        <v>2900</v>
      </c>
      <c r="AT221" s="194">
        <v>9.5</v>
      </c>
      <c r="AV221" s="215"/>
      <c r="AW221" s="194">
        <v>2300</v>
      </c>
      <c r="AX221" s="194">
        <v>9.5</v>
      </c>
      <c r="AZ221" s="215"/>
      <c r="BA221" s="194">
        <v>4700</v>
      </c>
      <c r="BB221" s="194">
        <v>9.5</v>
      </c>
      <c r="BD221" s="215"/>
      <c r="BE221" s="194">
        <v>4600</v>
      </c>
      <c r="BF221" s="194">
        <v>9</v>
      </c>
      <c r="BH221" s="215"/>
      <c r="BI221" s="194">
        <v>4700</v>
      </c>
      <c r="BJ221" s="194">
        <v>8.5</v>
      </c>
      <c r="BP221" s="235" t="str">
        <f t="shared" si="1"/>
        <v>32211</v>
      </c>
      <c r="BQ221" s="194">
        <v>3</v>
      </c>
      <c r="BR221" s="194">
        <v>2</v>
      </c>
      <c r="BS221" s="194">
        <v>2</v>
      </c>
      <c r="BT221" s="194">
        <v>1</v>
      </c>
      <c r="BU221" s="194">
        <v>1</v>
      </c>
      <c r="BV221" s="194">
        <v>103</v>
      </c>
    </row>
    <row r="222" spans="32:74" ht="12" hidden="1" customHeight="1">
      <c r="AF222" s="215"/>
      <c r="AG222" s="194">
        <v>3300</v>
      </c>
      <c r="AH222" s="194">
        <v>11.5</v>
      </c>
      <c r="AJ222" s="215"/>
      <c r="AK222" s="194">
        <v>4000</v>
      </c>
      <c r="AL222" s="194">
        <v>11</v>
      </c>
      <c r="AN222" s="215"/>
      <c r="AO222" s="194">
        <v>4000</v>
      </c>
      <c r="AP222" s="194">
        <v>10.5</v>
      </c>
      <c r="AR222" s="215"/>
      <c r="AS222" s="194">
        <v>4300</v>
      </c>
      <c r="AT222" s="194">
        <v>10</v>
      </c>
      <c r="AV222" s="215"/>
      <c r="AW222" s="194">
        <v>3500</v>
      </c>
      <c r="AX222" s="194">
        <v>10</v>
      </c>
      <c r="AZ222" s="215"/>
      <c r="BA222" s="194">
        <v>7700</v>
      </c>
      <c r="BB222" s="194">
        <v>10</v>
      </c>
      <c r="BD222" s="215"/>
      <c r="BE222" s="194">
        <v>8000</v>
      </c>
      <c r="BF222" s="194">
        <v>9.5</v>
      </c>
      <c r="BH222" s="215"/>
      <c r="BI222" s="194">
        <v>8700</v>
      </c>
      <c r="BJ222" s="194">
        <v>9</v>
      </c>
      <c r="BP222" s="235" t="str">
        <f t="shared" si="1"/>
        <v>32212</v>
      </c>
      <c r="BQ222" s="194">
        <v>3</v>
      </c>
      <c r="BR222" s="194">
        <v>2</v>
      </c>
      <c r="BS222" s="194">
        <v>2</v>
      </c>
      <c r="BT222" s="194">
        <v>1</v>
      </c>
      <c r="BU222" s="194">
        <v>2</v>
      </c>
      <c r="BV222" s="194">
        <v>104</v>
      </c>
    </row>
    <row r="223" spans="32:74" ht="12" hidden="1" customHeight="1">
      <c r="AF223" s="215"/>
      <c r="AG223" s="194">
        <v>4400</v>
      </c>
      <c r="AH223" s="194">
        <v>12</v>
      </c>
      <c r="AJ223" s="215"/>
      <c r="AK223" s="194">
        <v>5500</v>
      </c>
      <c r="AL223" s="194">
        <v>11.5</v>
      </c>
      <c r="AN223" s="215"/>
      <c r="AO223" s="194">
        <v>5700</v>
      </c>
      <c r="AP223" s="194">
        <v>11</v>
      </c>
      <c r="AR223" s="215"/>
      <c r="AS223" s="194">
        <v>6300</v>
      </c>
      <c r="AT223" s="194">
        <v>10.5</v>
      </c>
      <c r="AV223" s="215"/>
      <c r="AW223" s="194">
        <v>5300</v>
      </c>
      <c r="AX223" s="194">
        <v>10.5</v>
      </c>
      <c r="BH223" s="239"/>
      <c r="BP223" s="235" t="str">
        <f t="shared" si="1"/>
        <v>32213</v>
      </c>
      <c r="BQ223" s="194">
        <v>3</v>
      </c>
      <c r="BR223" s="194">
        <v>2</v>
      </c>
      <c r="BS223" s="194">
        <v>2</v>
      </c>
      <c r="BT223" s="194">
        <v>1</v>
      </c>
      <c r="BU223" s="194">
        <v>3</v>
      </c>
      <c r="BV223" s="194">
        <v>105</v>
      </c>
    </row>
    <row r="224" spans="32:74" ht="12" hidden="1" customHeight="1">
      <c r="AJ224" s="215"/>
      <c r="AK224" s="194">
        <v>7500</v>
      </c>
      <c r="AL224" s="194">
        <v>12</v>
      </c>
      <c r="AN224" s="215"/>
      <c r="AO224" s="194">
        <v>7900</v>
      </c>
      <c r="AP224" s="194">
        <v>11.5</v>
      </c>
      <c r="AR224" s="215"/>
      <c r="AS224" s="194">
        <v>9200</v>
      </c>
      <c r="AT224" s="194">
        <v>11</v>
      </c>
      <c r="AV224" s="215"/>
      <c r="AW224" s="194">
        <v>8100</v>
      </c>
      <c r="AX224" s="194">
        <v>11</v>
      </c>
      <c r="BP224" s="235" t="str">
        <f t="shared" si="1"/>
        <v>32221</v>
      </c>
      <c r="BQ224" s="194">
        <v>3</v>
      </c>
      <c r="BR224" s="194">
        <v>2</v>
      </c>
      <c r="BS224" s="194">
        <v>2</v>
      </c>
      <c r="BT224" s="194">
        <v>2</v>
      </c>
      <c r="BU224" s="194">
        <v>1</v>
      </c>
      <c r="BV224" s="194">
        <v>106</v>
      </c>
    </row>
    <row r="225" spans="32:74" ht="12" hidden="1" customHeight="1">
      <c r="BP225" s="235" t="str">
        <f t="shared" si="1"/>
        <v>32222</v>
      </c>
      <c r="BQ225" s="194">
        <v>3</v>
      </c>
      <c r="BR225" s="194">
        <v>2</v>
      </c>
      <c r="BS225" s="194">
        <v>2</v>
      </c>
      <c r="BT225" s="194">
        <v>2</v>
      </c>
      <c r="BU225" s="194">
        <v>2</v>
      </c>
      <c r="BV225" s="194">
        <v>107</v>
      </c>
    </row>
    <row r="226" spans="32:74" ht="12" hidden="1" customHeight="1">
      <c r="AG226" s="194" t="s">
        <v>310</v>
      </c>
      <c r="AH226" s="194" t="s">
        <v>311</v>
      </c>
      <c r="AJ226" s="200"/>
      <c r="AK226" s="194" t="s">
        <v>310</v>
      </c>
      <c r="AL226" s="194" t="s">
        <v>311</v>
      </c>
      <c r="AN226" s="200"/>
      <c r="AO226" s="194" t="s">
        <v>310</v>
      </c>
      <c r="AP226" s="194" t="s">
        <v>311</v>
      </c>
      <c r="AS226" s="194" t="s">
        <v>310</v>
      </c>
      <c r="AT226" s="194" t="s">
        <v>311</v>
      </c>
      <c r="AW226" s="194" t="s">
        <v>310</v>
      </c>
      <c r="AX226" s="194" t="s">
        <v>311</v>
      </c>
      <c r="BA226" s="194" t="s">
        <v>310</v>
      </c>
      <c r="BB226" s="194" t="s">
        <v>311</v>
      </c>
      <c r="BE226" s="194" t="s">
        <v>310</v>
      </c>
      <c r="BF226" s="194" t="s">
        <v>311</v>
      </c>
      <c r="BI226" s="194" t="s">
        <v>310</v>
      </c>
      <c r="BJ226" s="194" t="s">
        <v>311</v>
      </c>
      <c r="BP226" s="235" t="str">
        <f t="shared" si="1"/>
        <v>32223</v>
      </c>
      <c r="BQ226" s="194">
        <v>3</v>
      </c>
      <c r="BR226" s="194">
        <v>2</v>
      </c>
      <c r="BS226" s="194">
        <v>2</v>
      </c>
      <c r="BT226" s="194">
        <v>2</v>
      </c>
      <c r="BU226" s="194">
        <v>3</v>
      </c>
      <c r="BV226" s="194">
        <v>108</v>
      </c>
    </row>
    <row r="227" spans="32:74" ht="12" hidden="1" customHeight="1">
      <c r="AF227" s="215" t="s">
        <v>483</v>
      </c>
      <c r="AG227" s="194">
        <v>160</v>
      </c>
      <c r="AH227" s="194">
        <v>9</v>
      </c>
      <c r="AJ227" s="215" t="s">
        <v>484</v>
      </c>
      <c r="AK227" s="194">
        <v>140</v>
      </c>
      <c r="AL227" s="194">
        <v>8.5</v>
      </c>
      <c r="AN227" s="215" t="s">
        <v>485</v>
      </c>
      <c r="AO227" s="194">
        <v>73</v>
      </c>
      <c r="AP227" s="194">
        <v>8</v>
      </c>
      <c r="AR227" s="215" t="s">
        <v>486</v>
      </c>
      <c r="AS227" s="194">
        <v>310</v>
      </c>
      <c r="AT227" s="194">
        <v>8</v>
      </c>
      <c r="AV227" s="215" t="s">
        <v>487</v>
      </c>
      <c r="AW227" s="194">
        <v>67</v>
      </c>
      <c r="AX227" s="194">
        <v>7.5</v>
      </c>
      <c r="AZ227" s="215" t="s">
        <v>488</v>
      </c>
      <c r="BA227" s="194">
        <v>270</v>
      </c>
      <c r="BB227" s="194">
        <v>7.5</v>
      </c>
      <c r="BD227" s="215" t="s">
        <v>489</v>
      </c>
      <c r="BE227" s="194">
        <v>120</v>
      </c>
      <c r="BF227" s="194">
        <v>7</v>
      </c>
      <c r="BH227" s="215" t="s">
        <v>490</v>
      </c>
      <c r="BI227" s="194">
        <v>440</v>
      </c>
      <c r="BJ227" s="194">
        <v>7</v>
      </c>
      <c r="BP227" s="235" t="str">
        <f t="shared" si="1"/>
        <v>32231</v>
      </c>
      <c r="BQ227" s="194">
        <v>3</v>
      </c>
      <c r="BR227" s="194">
        <v>2</v>
      </c>
      <c r="BS227" s="194">
        <v>2</v>
      </c>
      <c r="BT227" s="194">
        <v>3</v>
      </c>
      <c r="BU227" s="194">
        <v>1</v>
      </c>
      <c r="BV227" s="194">
        <v>109</v>
      </c>
    </row>
    <row r="228" spans="32:74" ht="12" hidden="1" customHeight="1">
      <c r="AF228" s="215"/>
      <c r="AG228" s="194">
        <v>630</v>
      </c>
      <c r="AH228" s="194">
        <v>9.5</v>
      </c>
      <c r="AJ228" s="215"/>
      <c r="AK228" s="194">
        <v>640</v>
      </c>
      <c r="AL228" s="194">
        <v>9</v>
      </c>
      <c r="AN228" s="215"/>
      <c r="AO228" s="194">
        <v>380</v>
      </c>
      <c r="AP228" s="194">
        <v>8.5</v>
      </c>
      <c r="AR228" s="215"/>
      <c r="AS228" s="194">
        <v>1300</v>
      </c>
      <c r="AT228" s="194">
        <v>8.5</v>
      </c>
      <c r="AV228" s="215"/>
      <c r="AW228" s="194">
        <v>370</v>
      </c>
      <c r="AX228" s="194">
        <v>8</v>
      </c>
      <c r="AZ228" s="215"/>
      <c r="BA228" s="194">
        <v>1100</v>
      </c>
      <c r="BB228" s="194">
        <v>8</v>
      </c>
      <c r="BD228" s="215"/>
      <c r="BE228" s="194">
        <v>680</v>
      </c>
      <c r="BF228" s="194">
        <v>7.5</v>
      </c>
      <c r="BH228" s="215"/>
      <c r="BI228" s="194">
        <v>1400</v>
      </c>
      <c r="BJ228" s="194">
        <v>7.5</v>
      </c>
      <c r="BP228" s="235" t="str">
        <f t="shared" si="1"/>
        <v>32232</v>
      </c>
      <c r="BQ228" s="194">
        <v>3</v>
      </c>
      <c r="BR228" s="194">
        <v>2</v>
      </c>
      <c r="BS228" s="194">
        <v>2</v>
      </c>
      <c r="BT228" s="194">
        <v>3</v>
      </c>
      <c r="BU228" s="194">
        <v>2</v>
      </c>
      <c r="BV228" s="194">
        <v>110</v>
      </c>
    </row>
    <row r="229" spans="32:74" ht="12" hidden="1" customHeight="1">
      <c r="AF229" s="215"/>
      <c r="AG229" s="194">
        <v>1300</v>
      </c>
      <c r="AH229" s="194">
        <v>10</v>
      </c>
      <c r="AJ229" s="215"/>
      <c r="AK229" s="194">
        <v>1500</v>
      </c>
      <c r="AL229" s="194">
        <v>9.5</v>
      </c>
      <c r="AN229" s="215"/>
      <c r="AO229" s="194">
        <v>1300</v>
      </c>
      <c r="AP229" s="194">
        <v>9</v>
      </c>
      <c r="AR229" s="215"/>
      <c r="AS229" s="194">
        <v>2000</v>
      </c>
      <c r="AT229" s="194">
        <v>9</v>
      </c>
      <c r="AV229" s="215"/>
      <c r="AW229" s="194">
        <v>950</v>
      </c>
      <c r="AX229" s="194">
        <v>8.5</v>
      </c>
      <c r="AZ229" s="215"/>
      <c r="BA229" s="194">
        <v>1800</v>
      </c>
      <c r="BB229" s="194">
        <v>8.5</v>
      </c>
      <c r="BD229" s="215"/>
      <c r="BE229" s="194">
        <v>1500</v>
      </c>
      <c r="BF229" s="194">
        <v>8</v>
      </c>
      <c r="BH229" s="215"/>
      <c r="BI229" s="194">
        <v>2500</v>
      </c>
      <c r="BJ229" s="194">
        <v>8</v>
      </c>
      <c r="BP229" s="235" t="str">
        <f t="shared" si="1"/>
        <v>32233</v>
      </c>
      <c r="BQ229" s="194">
        <v>3</v>
      </c>
      <c r="BR229" s="194">
        <v>2</v>
      </c>
      <c r="BS229" s="194">
        <v>2</v>
      </c>
      <c r="BT229" s="194">
        <v>3</v>
      </c>
      <c r="BU229" s="194">
        <v>3</v>
      </c>
      <c r="BV229" s="194">
        <v>111</v>
      </c>
    </row>
    <row r="230" spans="32:74" ht="12" hidden="1" customHeight="1">
      <c r="AF230" s="215"/>
      <c r="AG230" s="194">
        <v>1800</v>
      </c>
      <c r="AH230" s="194">
        <v>10.5</v>
      </c>
      <c r="AJ230" s="215"/>
      <c r="AK230" s="194">
        <v>2100</v>
      </c>
      <c r="AL230" s="194">
        <v>10</v>
      </c>
      <c r="AN230" s="215"/>
      <c r="AO230" s="194">
        <v>2000</v>
      </c>
      <c r="AP230" s="194">
        <v>9.5</v>
      </c>
      <c r="AR230" s="215"/>
      <c r="AS230" s="194">
        <v>2900</v>
      </c>
      <c r="AT230" s="194">
        <v>9.5</v>
      </c>
      <c r="AV230" s="215"/>
      <c r="AW230" s="194">
        <v>1500</v>
      </c>
      <c r="AX230" s="194">
        <v>9</v>
      </c>
      <c r="AZ230" s="215"/>
      <c r="BA230" s="194">
        <v>2900</v>
      </c>
      <c r="BB230" s="194">
        <v>9</v>
      </c>
      <c r="BD230" s="215"/>
      <c r="BE230" s="194">
        <v>2700</v>
      </c>
      <c r="BF230" s="194">
        <v>8.5</v>
      </c>
      <c r="BH230" s="215"/>
      <c r="BI230" s="194">
        <v>4700</v>
      </c>
      <c r="BJ230" s="194">
        <v>8.5</v>
      </c>
      <c r="BP230" s="235" t="str">
        <f t="shared" si="1"/>
        <v>32241</v>
      </c>
      <c r="BQ230" s="194">
        <v>3</v>
      </c>
      <c r="BR230" s="194">
        <v>2</v>
      </c>
      <c r="BS230" s="194">
        <v>2</v>
      </c>
      <c r="BT230" s="194">
        <v>4</v>
      </c>
      <c r="BU230" s="194">
        <v>1</v>
      </c>
      <c r="BV230" s="194">
        <v>112</v>
      </c>
    </row>
    <row r="231" spans="32:74" ht="12" hidden="1" customHeight="1">
      <c r="AF231" s="215"/>
      <c r="AG231" s="194">
        <v>2500</v>
      </c>
      <c r="AH231" s="194">
        <v>11</v>
      </c>
      <c r="AJ231" s="215"/>
      <c r="AK231" s="194">
        <v>2900</v>
      </c>
      <c r="AL231" s="194">
        <v>10.5</v>
      </c>
      <c r="AN231" s="215"/>
      <c r="AO231" s="194">
        <v>2800</v>
      </c>
      <c r="AP231" s="194">
        <v>10</v>
      </c>
      <c r="AR231" s="215"/>
      <c r="AS231" s="194">
        <v>4300</v>
      </c>
      <c r="AT231" s="194">
        <v>10</v>
      </c>
      <c r="AV231" s="215"/>
      <c r="AW231" s="194">
        <v>2300</v>
      </c>
      <c r="AX231" s="194">
        <v>9.5</v>
      </c>
      <c r="AZ231" s="215"/>
      <c r="BA231" s="194">
        <v>4700</v>
      </c>
      <c r="BB231" s="194">
        <v>9.5</v>
      </c>
      <c r="BD231" s="215"/>
      <c r="BE231" s="194">
        <v>4600</v>
      </c>
      <c r="BF231" s="194">
        <v>9</v>
      </c>
      <c r="BH231" s="215"/>
      <c r="BI231" s="194">
        <v>8700</v>
      </c>
      <c r="BJ231" s="194">
        <v>9</v>
      </c>
      <c r="BP231" s="235" t="str">
        <f t="shared" si="1"/>
        <v>32242</v>
      </c>
      <c r="BQ231" s="194">
        <v>3</v>
      </c>
      <c r="BR231" s="194">
        <v>2</v>
      </c>
      <c r="BS231" s="194">
        <v>2</v>
      </c>
      <c r="BT231" s="194">
        <v>4</v>
      </c>
      <c r="BU231" s="194">
        <v>2</v>
      </c>
      <c r="BV231" s="194">
        <v>113</v>
      </c>
    </row>
    <row r="232" spans="32:74" ht="12" hidden="1" customHeight="1">
      <c r="AF232" s="215"/>
      <c r="AG232" s="194">
        <v>3300</v>
      </c>
      <c r="AH232" s="194">
        <v>11.5</v>
      </c>
      <c r="AJ232" s="215"/>
      <c r="AK232" s="194">
        <v>4000</v>
      </c>
      <c r="AL232" s="194">
        <v>11</v>
      </c>
      <c r="AN232" s="215"/>
      <c r="AO232" s="194">
        <v>4000</v>
      </c>
      <c r="AP232" s="194">
        <v>10.5</v>
      </c>
      <c r="AR232" s="215"/>
      <c r="AS232" s="194">
        <v>6300</v>
      </c>
      <c r="AT232" s="194">
        <v>10.5</v>
      </c>
      <c r="AV232" s="215"/>
      <c r="AW232" s="194">
        <v>3500</v>
      </c>
      <c r="AX232" s="194">
        <v>10</v>
      </c>
      <c r="AZ232" s="215"/>
      <c r="BA232" s="194">
        <v>7700</v>
      </c>
      <c r="BB232" s="194">
        <v>10</v>
      </c>
      <c r="BD232" s="215"/>
      <c r="BE232" s="194">
        <v>8000</v>
      </c>
      <c r="BF232" s="194">
        <v>9.5</v>
      </c>
      <c r="BP232" s="235" t="str">
        <f t="shared" si="1"/>
        <v>32243</v>
      </c>
      <c r="BQ232" s="194">
        <v>3</v>
      </c>
      <c r="BR232" s="194">
        <v>2</v>
      </c>
      <c r="BS232" s="194">
        <v>2</v>
      </c>
      <c r="BT232" s="194">
        <v>4</v>
      </c>
      <c r="BU232" s="194">
        <v>3</v>
      </c>
      <c r="BV232" s="194">
        <v>114</v>
      </c>
    </row>
    <row r="233" spans="32:74" ht="12" hidden="1" customHeight="1">
      <c r="AF233" s="215"/>
      <c r="AG233" s="194">
        <v>4400</v>
      </c>
      <c r="AH233" s="194">
        <v>12</v>
      </c>
      <c r="AJ233" s="215"/>
      <c r="AK233" s="194">
        <v>5500</v>
      </c>
      <c r="AL233" s="194">
        <v>11.5</v>
      </c>
      <c r="AN233" s="215"/>
      <c r="AO233" s="194">
        <v>5700</v>
      </c>
      <c r="AP233" s="194">
        <v>11</v>
      </c>
      <c r="AR233" s="215"/>
      <c r="AS233" s="194">
        <v>9200</v>
      </c>
      <c r="AT233" s="194">
        <v>11</v>
      </c>
      <c r="AV233" s="215"/>
      <c r="AW233" s="194">
        <v>5300</v>
      </c>
      <c r="AX233" s="194">
        <v>10.5</v>
      </c>
      <c r="BP233" s="235" t="str">
        <f t="shared" si="1"/>
        <v>41111</v>
      </c>
      <c r="BQ233" s="194">
        <v>4</v>
      </c>
      <c r="BR233" s="194">
        <v>1</v>
      </c>
      <c r="BS233" s="194">
        <v>1</v>
      </c>
      <c r="BT233" s="194">
        <v>1</v>
      </c>
      <c r="BU233" s="194">
        <v>1</v>
      </c>
      <c r="BV233" s="194">
        <v>115</v>
      </c>
    </row>
    <row r="234" spans="32:74" ht="12" hidden="1" customHeight="1">
      <c r="AJ234" s="215"/>
      <c r="AK234" s="194">
        <v>7500</v>
      </c>
      <c r="AL234" s="194">
        <v>12</v>
      </c>
      <c r="AN234" s="215"/>
      <c r="AO234" s="194">
        <v>7900</v>
      </c>
      <c r="AP234" s="194">
        <v>11.5</v>
      </c>
      <c r="AV234" s="215"/>
      <c r="AW234" s="194">
        <v>8100</v>
      </c>
      <c r="AX234" s="194">
        <v>11</v>
      </c>
      <c r="BP234" s="235" t="str">
        <f t="shared" si="1"/>
        <v>41112</v>
      </c>
      <c r="BQ234" s="194">
        <v>4</v>
      </c>
      <c r="BR234" s="194">
        <v>1</v>
      </c>
      <c r="BS234" s="194">
        <v>1</v>
      </c>
      <c r="BT234" s="194">
        <v>1</v>
      </c>
      <c r="BU234" s="194">
        <v>2</v>
      </c>
      <c r="BV234" s="194">
        <v>116</v>
      </c>
    </row>
    <row r="235" spans="32:74" ht="12" hidden="1" customHeight="1">
      <c r="BP235" s="235" t="str">
        <f t="shared" si="1"/>
        <v>41113</v>
      </c>
      <c r="BQ235" s="194">
        <v>4</v>
      </c>
      <c r="BR235" s="194">
        <v>1</v>
      </c>
      <c r="BS235" s="194">
        <v>1</v>
      </c>
      <c r="BT235" s="194">
        <v>1</v>
      </c>
      <c r="BU235" s="194">
        <v>3</v>
      </c>
      <c r="BV235" s="194">
        <v>117</v>
      </c>
    </row>
    <row r="236" spans="32:74" ht="12" hidden="1" customHeight="1">
      <c r="AG236" s="194" t="s">
        <v>310</v>
      </c>
      <c r="AH236" s="194" t="s">
        <v>311</v>
      </c>
      <c r="AK236" s="194" t="s">
        <v>310</v>
      </c>
      <c r="AL236" s="194" t="s">
        <v>311</v>
      </c>
      <c r="AO236" s="194" t="s">
        <v>310</v>
      </c>
      <c r="AP236" s="194" t="s">
        <v>311</v>
      </c>
      <c r="AS236" s="194" t="s">
        <v>310</v>
      </c>
      <c r="AT236" s="194" t="s">
        <v>311</v>
      </c>
      <c r="AW236" s="194" t="s">
        <v>310</v>
      </c>
      <c r="AX236" s="194" t="s">
        <v>311</v>
      </c>
      <c r="BA236" s="194" t="s">
        <v>310</v>
      </c>
      <c r="BB236" s="194" t="s">
        <v>311</v>
      </c>
      <c r="BE236" s="194" t="s">
        <v>310</v>
      </c>
      <c r="BF236" s="194" t="s">
        <v>311</v>
      </c>
      <c r="BI236" s="194" t="s">
        <v>310</v>
      </c>
      <c r="BJ236" s="194" t="s">
        <v>311</v>
      </c>
      <c r="BP236" s="235" t="str">
        <f t="shared" si="1"/>
        <v>41121</v>
      </c>
      <c r="BQ236" s="194">
        <v>4</v>
      </c>
      <c r="BR236" s="194">
        <v>1</v>
      </c>
      <c r="BS236" s="194">
        <v>1</v>
      </c>
      <c r="BT236" s="194">
        <v>2</v>
      </c>
      <c r="BU236" s="194">
        <v>1</v>
      </c>
      <c r="BV236" s="194">
        <v>118</v>
      </c>
    </row>
    <row r="237" spans="32:74" ht="12" hidden="1" customHeight="1">
      <c r="AF237" s="215" t="s">
        <v>491</v>
      </c>
      <c r="AG237" s="194">
        <v>160</v>
      </c>
      <c r="AH237" s="194">
        <v>8.5</v>
      </c>
      <c r="AJ237" s="215" t="s">
        <v>492</v>
      </c>
      <c r="AK237" s="194">
        <v>130</v>
      </c>
      <c r="AL237" s="194">
        <v>8</v>
      </c>
      <c r="AN237" s="215" t="s">
        <v>493</v>
      </c>
      <c r="AO237" s="194">
        <v>60</v>
      </c>
      <c r="AP237" s="194">
        <v>7.5</v>
      </c>
      <c r="AR237" s="215" t="s">
        <v>494</v>
      </c>
      <c r="AS237" s="194">
        <v>250</v>
      </c>
      <c r="AT237" s="194">
        <v>7.5</v>
      </c>
      <c r="AV237" s="215" t="s">
        <v>495</v>
      </c>
      <c r="AW237" s="194">
        <v>320</v>
      </c>
      <c r="AX237" s="194">
        <v>7.5</v>
      </c>
      <c r="AZ237" s="215" t="s">
        <v>496</v>
      </c>
      <c r="BA237" s="194">
        <v>220</v>
      </c>
      <c r="BB237" s="194">
        <v>7</v>
      </c>
      <c r="BD237" s="215" t="s">
        <v>497</v>
      </c>
      <c r="BE237" s="194">
        <v>510</v>
      </c>
      <c r="BF237" s="194">
        <v>7</v>
      </c>
      <c r="BH237" s="215" t="s">
        <v>498</v>
      </c>
      <c r="BI237" s="194">
        <v>750</v>
      </c>
      <c r="BJ237" s="194">
        <v>7</v>
      </c>
      <c r="BP237" s="235" t="str">
        <f t="shared" si="1"/>
        <v>41122</v>
      </c>
      <c r="BQ237" s="194">
        <v>4</v>
      </c>
      <c r="BR237" s="194">
        <v>1</v>
      </c>
      <c r="BS237" s="194">
        <v>1</v>
      </c>
      <c r="BT237" s="194">
        <v>2</v>
      </c>
      <c r="BU237" s="194">
        <v>2</v>
      </c>
      <c r="BV237" s="194">
        <v>119</v>
      </c>
    </row>
    <row r="238" spans="32:74" ht="12" hidden="1" customHeight="1">
      <c r="AF238" s="215"/>
      <c r="AG238" s="194">
        <v>680</v>
      </c>
      <c r="AH238" s="194">
        <v>9</v>
      </c>
      <c r="AJ238" s="215"/>
      <c r="AK238" s="194">
        <v>640</v>
      </c>
      <c r="AL238" s="194">
        <v>8.5</v>
      </c>
      <c r="AN238" s="215"/>
      <c r="AO238" s="194">
        <v>350</v>
      </c>
      <c r="AP238" s="194">
        <v>8</v>
      </c>
      <c r="AR238" s="215"/>
      <c r="AS238" s="194">
        <v>830</v>
      </c>
      <c r="AT238" s="194">
        <v>8</v>
      </c>
      <c r="AV238" s="215"/>
      <c r="AW238" s="194">
        <v>610</v>
      </c>
      <c r="AX238" s="194">
        <v>8</v>
      </c>
      <c r="AZ238" s="215"/>
      <c r="BA238" s="194">
        <v>640</v>
      </c>
      <c r="BB238" s="194">
        <v>7.5</v>
      </c>
      <c r="BD238" s="215"/>
      <c r="BE238" s="194">
        <v>890</v>
      </c>
      <c r="BF238" s="194">
        <v>7.5</v>
      </c>
      <c r="BH238" s="215"/>
      <c r="BI238" s="194">
        <v>1400</v>
      </c>
      <c r="BJ238" s="194">
        <v>7.5</v>
      </c>
      <c r="BP238" s="235" t="str">
        <f t="shared" si="1"/>
        <v>41123</v>
      </c>
      <c r="BQ238" s="194">
        <v>4</v>
      </c>
      <c r="BR238" s="194">
        <v>1</v>
      </c>
      <c r="BS238" s="194">
        <v>1</v>
      </c>
      <c r="BT238" s="194">
        <v>2</v>
      </c>
      <c r="BU238" s="194">
        <v>3</v>
      </c>
      <c r="BV238" s="194">
        <v>120</v>
      </c>
    </row>
    <row r="239" spans="32:74" ht="12" hidden="1" customHeight="1">
      <c r="AF239" s="215"/>
      <c r="AG239" s="194">
        <v>960</v>
      </c>
      <c r="AH239" s="194">
        <v>9.5</v>
      </c>
      <c r="AJ239" s="215"/>
      <c r="AK239" s="194">
        <v>1000</v>
      </c>
      <c r="AL239" s="194">
        <v>9</v>
      </c>
      <c r="AN239" s="215"/>
      <c r="AO239" s="194">
        <v>900</v>
      </c>
      <c r="AP239" s="194">
        <v>8.5</v>
      </c>
      <c r="AR239" s="215"/>
      <c r="AS239" s="194">
        <v>1300</v>
      </c>
      <c r="AT239" s="194">
        <v>8.5</v>
      </c>
      <c r="AV239" s="215"/>
      <c r="AW239" s="194">
        <v>950</v>
      </c>
      <c r="AX239" s="194">
        <v>8.5</v>
      </c>
      <c r="AZ239" s="215"/>
      <c r="BA239" s="194">
        <v>1100</v>
      </c>
      <c r="BB239" s="194">
        <v>8</v>
      </c>
      <c r="BD239" s="215"/>
      <c r="BE239" s="194">
        <v>1500</v>
      </c>
      <c r="BF239" s="194">
        <v>8</v>
      </c>
      <c r="BH239" s="215"/>
      <c r="BI239" s="194">
        <v>2500</v>
      </c>
      <c r="BJ239" s="194">
        <v>8</v>
      </c>
      <c r="BP239" s="235" t="str">
        <f t="shared" si="1"/>
        <v>41131</v>
      </c>
      <c r="BQ239" s="194">
        <v>4</v>
      </c>
      <c r="BR239" s="194">
        <v>1</v>
      </c>
      <c r="BS239" s="194">
        <v>1</v>
      </c>
      <c r="BT239" s="194">
        <v>3</v>
      </c>
      <c r="BU239" s="194">
        <v>1</v>
      </c>
      <c r="BV239" s="194">
        <v>121</v>
      </c>
    </row>
    <row r="240" spans="32:74" ht="12" hidden="1" customHeight="1">
      <c r="AF240" s="215"/>
      <c r="AG240" s="194">
        <v>1300</v>
      </c>
      <c r="AH240" s="194">
        <v>10</v>
      </c>
      <c r="AJ240" s="215"/>
      <c r="AK240" s="194">
        <v>1500</v>
      </c>
      <c r="AL240" s="194">
        <v>9.5</v>
      </c>
      <c r="AN240" s="215"/>
      <c r="AO240" s="194">
        <v>1300</v>
      </c>
      <c r="AP240" s="194">
        <v>9</v>
      </c>
      <c r="AR240" s="215"/>
      <c r="AS240" s="194">
        <v>2000</v>
      </c>
      <c r="AT240" s="194">
        <v>9</v>
      </c>
      <c r="AV240" s="215"/>
      <c r="AW240" s="194">
        <v>1500</v>
      </c>
      <c r="AX240" s="194">
        <v>9</v>
      </c>
      <c r="AZ240" s="215"/>
      <c r="BA240" s="194">
        <v>1800</v>
      </c>
      <c r="BB240" s="194">
        <v>8.5</v>
      </c>
      <c r="BD240" s="215"/>
      <c r="BE240" s="194">
        <v>2700</v>
      </c>
      <c r="BF240" s="194">
        <v>8.5</v>
      </c>
      <c r="BH240" s="215"/>
      <c r="BI240" s="194">
        <v>4700</v>
      </c>
      <c r="BJ240" s="194">
        <v>8.5</v>
      </c>
      <c r="BP240" s="235" t="str">
        <f t="shared" si="1"/>
        <v>41132</v>
      </c>
      <c r="BQ240" s="194">
        <v>4</v>
      </c>
      <c r="BR240" s="194">
        <v>1</v>
      </c>
      <c r="BS240" s="194">
        <v>1</v>
      </c>
      <c r="BT240" s="194">
        <v>3</v>
      </c>
      <c r="BU240" s="194">
        <v>2</v>
      </c>
      <c r="BV240" s="194">
        <v>122</v>
      </c>
    </row>
    <row r="241" spans="32:74" ht="12" hidden="1" customHeight="1">
      <c r="AF241" s="215"/>
      <c r="AG241" s="194">
        <v>1800</v>
      </c>
      <c r="AH241" s="194">
        <v>10.5</v>
      </c>
      <c r="AJ241" s="215"/>
      <c r="AK241" s="194">
        <v>2100</v>
      </c>
      <c r="AL241" s="194">
        <v>10</v>
      </c>
      <c r="AN241" s="215"/>
      <c r="AO241" s="194">
        <v>2000</v>
      </c>
      <c r="AP241" s="194">
        <v>9.5</v>
      </c>
      <c r="AR241" s="215"/>
      <c r="AS241" s="194">
        <v>2900</v>
      </c>
      <c r="AT241" s="194">
        <v>9.5</v>
      </c>
      <c r="AV241" s="215"/>
      <c r="AW241" s="194">
        <v>2300</v>
      </c>
      <c r="AX241" s="194">
        <v>9.5</v>
      </c>
      <c r="AZ241" s="215"/>
      <c r="BA241" s="194">
        <v>2900</v>
      </c>
      <c r="BB241" s="194">
        <v>9</v>
      </c>
      <c r="BD241" s="215"/>
      <c r="BE241" s="194">
        <v>4600</v>
      </c>
      <c r="BF241" s="194">
        <v>9</v>
      </c>
      <c r="BH241" s="215"/>
      <c r="BI241" s="194">
        <v>8700</v>
      </c>
      <c r="BJ241" s="194">
        <v>9</v>
      </c>
      <c r="BP241" s="235" t="str">
        <f t="shared" si="1"/>
        <v>41133</v>
      </c>
      <c r="BQ241" s="194">
        <v>4</v>
      </c>
      <c r="BR241" s="194">
        <v>1</v>
      </c>
      <c r="BS241" s="194">
        <v>1</v>
      </c>
      <c r="BT241" s="194">
        <v>3</v>
      </c>
      <c r="BU241" s="194">
        <v>3</v>
      </c>
      <c r="BV241" s="194">
        <v>123</v>
      </c>
    </row>
    <row r="242" spans="32:74" ht="12" hidden="1" customHeight="1">
      <c r="AF242" s="215"/>
      <c r="AG242" s="194">
        <v>2500</v>
      </c>
      <c r="AH242" s="194">
        <v>11</v>
      </c>
      <c r="AJ242" s="215"/>
      <c r="AK242" s="194">
        <v>2900</v>
      </c>
      <c r="AL242" s="194">
        <v>10.5</v>
      </c>
      <c r="AN242" s="215"/>
      <c r="AO242" s="194">
        <v>2800</v>
      </c>
      <c r="AP242" s="194">
        <v>10</v>
      </c>
      <c r="AR242" s="215"/>
      <c r="AS242" s="194">
        <v>4300</v>
      </c>
      <c r="AT242" s="194">
        <v>10</v>
      </c>
      <c r="AV242" s="215"/>
      <c r="AW242" s="194">
        <v>3500</v>
      </c>
      <c r="AX242" s="194">
        <v>10</v>
      </c>
      <c r="AZ242" s="215"/>
      <c r="BA242" s="194">
        <v>4700</v>
      </c>
      <c r="BB242" s="194">
        <v>9.5</v>
      </c>
      <c r="BD242" s="215"/>
      <c r="BE242" s="194">
        <v>8000</v>
      </c>
      <c r="BF242" s="194">
        <v>9.5</v>
      </c>
      <c r="BP242" s="235" t="str">
        <f t="shared" si="1"/>
        <v>41141</v>
      </c>
      <c r="BQ242" s="194">
        <v>4</v>
      </c>
      <c r="BR242" s="194">
        <v>1</v>
      </c>
      <c r="BS242" s="194">
        <v>1</v>
      </c>
      <c r="BT242" s="194">
        <v>4</v>
      </c>
      <c r="BU242" s="194">
        <v>1</v>
      </c>
      <c r="BV242" s="194">
        <v>124</v>
      </c>
    </row>
    <row r="243" spans="32:74" ht="12" hidden="1" customHeight="1">
      <c r="AF243" s="215"/>
      <c r="AG243" s="194">
        <v>3300</v>
      </c>
      <c r="AH243" s="194">
        <v>11.5</v>
      </c>
      <c r="AJ243" s="215"/>
      <c r="AK243" s="194">
        <v>4000</v>
      </c>
      <c r="AL243" s="194">
        <v>11</v>
      </c>
      <c r="AN243" s="215"/>
      <c r="AO243" s="194">
        <v>4000</v>
      </c>
      <c r="AP243" s="194">
        <v>10.5</v>
      </c>
      <c r="AR243" s="215"/>
      <c r="AS243" s="194">
        <v>6300</v>
      </c>
      <c r="AT243" s="194">
        <v>10.5</v>
      </c>
      <c r="AV243" s="215"/>
      <c r="AW243" s="194">
        <v>5300</v>
      </c>
      <c r="AX243" s="194">
        <v>10.5</v>
      </c>
      <c r="AZ243" s="215"/>
      <c r="BA243" s="194">
        <v>7700</v>
      </c>
      <c r="BB243" s="194">
        <v>10</v>
      </c>
      <c r="BP243" s="235" t="str">
        <f t="shared" si="1"/>
        <v>41142</v>
      </c>
      <c r="BQ243" s="194">
        <v>4</v>
      </c>
      <c r="BR243" s="194">
        <v>1</v>
      </c>
      <c r="BS243" s="194">
        <v>1</v>
      </c>
      <c r="BT243" s="194">
        <v>4</v>
      </c>
      <c r="BU243" s="194">
        <v>2</v>
      </c>
      <c r="BV243" s="194">
        <v>125</v>
      </c>
    </row>
    <row r="244" spans="32:74" ht="12" hidden="1" customHeight="1">
      <c r="AF244" s="215"/>
      <c r="AG244" s="194">
        <v>4400</v>
      </c>
      <c r="AH244" s="194">
        <v>12</v>
      </c>
      <c r="AJ244" s="215"/>
      <c r="AK244" s="194">
        <v>5500</v>
      </c>
      <c r="AL244" s="194">
        <v>11.5</v>
      </c>
      <c r="AN244" s="215"/>
      <c r="AO244" s="194">
        <v>5700</v>
      </c>
      <c r="AP244" s="194">
        <v>11</v>
      </c>
      <c r="AR244" s="215"/>
      <c r="AS244" s="194">
        <v>9200</v>
      </c>
      <c r="AT244" s="194">
        <v>11</v>
      </c>
      <c r="AV244" s="215"/>
      <c r="AW244" s="194">
        <v>8100</v>
      </c>
      <c r="AX244" s="194">
        <v>11</v>
      </c>
      <c r="BP244" s="235" t="str">
        <f t="shared" si="1"/>
        <v>41143</v>
      </c>
      <c r="BQ244" s="194">
        <v>4</v>
      </c>
      <c r="BR244" s="194">
        <v>1</v>
      </c>
      <c r="BS244" s="194">
        <v>1</v>
      </c>
      <c r="BT244" s="194">
        <v>4</v>
      </c>
      <c r="BU244" s="194">
        <v>3</v>
      </c>
      <c r="BV244" s="194">
        <v>126</v>
      </c>
    </row>
    <row r="245" spans="32:74" ht="12" hidden="1" customHeight="1">
      <c r="AJ245" s="215"/>
      <c r="AK245" s="194">
        <v>7500</v>
      </c>
      <c r="AL245" s="194">
        <v>12</v>
      </c>
      <c r="AN245" s="215"/>
      <c r="AO245" s="194">
        <v>7900</v>
      </c>
      <c r="AP245" s="194">
        <v>11.5</v>
      </c>
      <c r="BP245" s="235" t="str">
        <f t="shared" si="1"/>
        <v>41211</v>
      </c>
      <c r="BQ245" s="194">
        <v>4</v>
      </c>
      <c r="BR245" s="194">
        <v>1</v>
      </c>
      <c r="BS245" s="194">
        <v>2</v>
      </c>
      <c r="BT245" s="194">
        <v>1</v>
      </c>
      <c r="BU245" s="194">
        <v>1</v>
      </c>
      <c r="BV245" s="194">
        <v>127</v>
      </c>
    </row>
    <row r="246" spans="32:74" ht="12" hidden="1" customHeight="1">
      <c r="BP246" s="235" t="str">
        <f t="shared" si="1"/>
        <v>41212</v>
      </c>
      <c r="BQ246" s="194">
        <v>4</v>
      </c>
      <c r="BR246" s="194">
        <v>1</v>
      </c>
      <c r="BS246" s="194">
        <v>2</v>
      </c>
      <c r="BT246" s="194">
        <v>1</v>
      </c>
      <c r="BU246" s="194">
        <v>2</v>
      </c>
      <c r="BV246" s="194">
        <v>128</v>
      </c>
    </row>
    <row r="247" spans="32:74" ht="12" hidden="1" customHeight="1">
      <c r="BP247" s="235" t="str">
        <f t="shared" ref="BP247:BP280" si="2">BQ247&amp;BR247&amp;BS247&amp;BT247&amp;BU247</f>
        <v>41213</v>
      </c>
      <c r="BQ247" s="194">
        <v>4</v>
      </c>
      <c r="BR247" s="194">
        <v>1</v>
      </c>
      <c r="BS247" s="194">
        <v>2</v>
      </c>
      <c r="BT247" s="194">
        <v>1</v>
      </c>
      <c r="BU247" s="194">
        <v>3</v>
      </c>
      <c r="BV247" s="194">
        <v>129</v>
      </c>
    </row>
    <row r="248" spans="32:74" ht="12" hidden="1" customHeight="1">
      <c r="BP248" s="235" t="str">
        <f t="shared" si="2"/>
        <v>41221</v>
      </c>
      <c r="BQ248" s="194">
        <v>4</v>
      </c>
      <c r="BR248" s="194">
        <v>1</v>
      </c>
      <c r="BS248" s="194">
        <v>2</v>
      </c>
      <c r="BT248" s="194">
        <v>2</v>
      </c>
      <c r="BU248" s="194">
        <v>1</v>
      </c>
      <c r="BV248" s="194">
        <v>130</v>
      </c>
    </row>
    <row r="249" spans="32:74" ht="12" hidden="1" customHeight="1">
      <c r="BP249" s="235" t="str">
        <f t="shared" si="2"/>
        <v>41222</v>
      </c>
      <c r="BQ249" s="194">
        <v>4</v>
      </c>
      <c r="BR249" s="194">
        <v>1</v>
      </c>
      <c r="BS249" s="194">
        <v>2</v>
      </c>
      <c r="BT249" s="194">
        <v>2</v>
      </c>
      <c r="BU249" s="194">
        <v>2</v>
      </c>
      <c r="BV249" s="194">
        <v>131</v>
      </c>
    </row>
    <row r="250" spans="32:74" ht="12" hidden="1" customHeight="1">
      <c r="BP250" s="235" t="str">
        <f t="shared" si="2"/>
        <v>41223</v>
      </c>
      <c r="BQ250" s="194">
        <v>4</v>
      </c>
      <c r="BR250" s="194">
        <v>1</v>
      </c>
      <c r="BS250" s="194">
        <v>2</v>
      </c>
      <c r="BT250" s="194">
        <v>2</v>
      </c>
      <c r="BU250" s="194">
        <v>3</v>
      </c>
      <c r="BV250" s="194">
        <v>132</v>
      </c>
    </row>
    <row r="251" spans="32:74" ht="12" hidden="1" customHeight="1">
      <c r="BP251" s="235" t="str">
        <f t="shared" si="2"/>
        <v>41231</v>
      </c>
      <c r="BQ251" s="194">
        <v>4</v>
      </c>
      <c r="BR251" s="194">
        <v>1</v>
      </c>
      <c r="BS251" s="194">
        <v>2</v>
      </c>
      <c r="BT251" s="194">
        <v>3</v>
      </c>
      <c r="BU251" s="194">
        <v>1</v>
      </c>
      <c r="BV251" s="194">
        <v>133</v>
      </c>
    </row>
    <row r="252" spans="32:74" ht="12" hidden="1" customHeight="1">
      <c r="AG252" s="194" t="s">
        <v>310</v>
      </c>
      <c r="AH252" s="194" t="s">
        <v>311</v>
      </c>
      <c r="AK252" s="194" t="s">
        <v>310</v>
      </c>
      <c r="AL252" s="194" t="s">
        <v>311</v>
      </c>
      <c r="AO252" s="194" t="s">
        <v>310</v>
      </c>
      <c r="AP252" s="194" t="s">
        <v>311</v>
      </c>
      <c r="AS252" s="194" t="s">
        <v>310</v>
      </c>
      <c r="AT252" s="194" t="s">
        <v>311</v>
      </c>
      <c r="AW252" s="194" t="s">
        <v>310</v>
      </c>
      <c r="AX252" s="194" t="s">
        <v>311</v>
      </c>
      <c r="BA252" s="194" t="s">
        <v>310</v>
      </c>
      <c r="BB252" s="194" t="s">
        <v>311</v>
      </c>
      <c r="BE252" s="194" t="s">
        <v>310</v>
      </c>
      <c r="BF252" s="194" t="s">
        <v>311</v>
      </c>
      <c r="BI252" s="194" t="s">
        <v>310</v>
      </c>
      <c r="BJ252" s="194" t="s">
        <v>311</v>
      </c>
      <c r="BP252" s="235" t="str">
        <f t="shared" si="2"/>
        <v>41232</v>
      </c>
      <c r="BQ252" s="194">
        <v>4</v>
      </c>
      <c r="BR252" s="194">
        <v>1</v>
      </c>
      <c r="BS252" s="194">
        <v>2</v>
      </c>
      <c r="BT252" s="194">
        <v>3</v>
      </c>
      <c r="BU252" s="194">
        <v>2</v>
      </c>
      <c r="BV252" s="194">
        <v>134</v>
      </c>
    </row>
    <row r="253" spans="32:74" ht="12" hidden="1" customHeight="1">
      <c r="AF253" s="215" t="s">
        <v>499</v>
      </c>
      <c r="AG253" s="194">
        <v>320</v>
      </c>
      <c r="AH253" s="194">
        <v>10.5</v>
      </c>
      <c r="AJ253" s="215" t="s">
        <v>500</v>
      </c>
      <c r="AK253" s="194">
        <v>390</v>
      </c>
      <c r="AL253" s="194">
        <v>10</v>
      </c>
      <c r="AN253" s="215" t="s">
        <v>501</v>
      </c>
      <c r="AO253" s="194">
        <v>280</v>
      </c>
      <c r="AP253" s="194">
        <v>9.5</v>
      </c>
      <c r="AR253" s="215" t="s">
        <v>502</v>
      </c>
      <c r="AS253" s="194">
        <v>260</v>
      </c>
      <c r="AT253" s="194">
        <v>9</v>
      </c>
      <c r="AV253" s="215" t="s">
        <v>503</v>
      </c>
      <c r="AW253" s="194">
        <v>280</v>
      </c>
      <c r="AX253" s="194">
        <v>9</v>
      </c>
      <c r="AZ253" s="215" t="s">
        <v>504</v>
      </c>
      <c r="BA253" s="194">
        <v>250</v>
      </c>
      <c r="BB253" s="194">
        <v>8.5</v>
      </c>
      <c r="BD253" s="215" t="s">
        <v>505</v>
      </c>
      <c r="BE253" s="194">
        <v>130</v>
      </c>
      <c r="BF253" s="194">
        <v>8</v>
      </c>
      <c r="BH253" s="215" t="s">
        <v>506</v>
      </c>
      <c r="BI253" s="194">
        <v>480</v>
      </c>
      <c r="BJ253" s="194">
        <v>8</v>
      </c>
      <c r="BP253" s="235" t="str">
        <f t="shared" si="2"/>
        <v>41233</v>
      </c>
      <c r="BQ253" s="194">
        <v>4</v>
      </c>
      <c r="BR253" s="194">
        <v>1</v>
      </c>
      <c r="BS253" s="194">
        <v>2</v>
      </c>
      <c r="BT253" s="194">
        <v>3</v>
      </c>
      <c r="BU253" s="194">
        <v>3</v>
      </c>
      <c r="BV253" s="194">
        <v>135</v>
      </c>
    </row>
    <row r="254" spans="32:74" ht="12" hidden="1" customHeight="1">
      <c r="AF254" s="215"/>
      <c r="AG254" s="194">
        <v>1000</v>
      </c>
      <c r="AH254" s="194">
        <v>11</v>
      </c>
      <c r="AJ254" s="215"/>
      <c r="AK254" s="194">
        <v>1400</v>
      </c>
      <c r="AL254" s="194">
        <v>10.5</v>
      </c>
      <c r="AN254" s="215"/>
      <c r="AO254" s="194">
        <v>1100</v>
      </c>
      <c r="AP254" s="194">
        <v>10</v>
      </c>
      <c r="AR254" s="215"/>
      <c r="AS254" s="194">
        <v>1100</v>
      </c>
      <c r="AT254" s="194">
        <v>9.5</v>
      </c>
      <c r="AV254" s="215"/>
      <c r="AW254" s="194">
        <v>1100</v>
      </c>
      <c r="AX254" s="194">
        <v>9.5</v>
      </c>
      <c r="AZ254" s="215"/>
      <c r="BA254" s="194">
        <v>1000</v>
      </c>
      <c r="BB254" s="194">
        <v>9</v>
      </c>
      <c r="BD254" s="215"/>
      <c r="BE254" s="194">
        <v>620</v>
      </c>
      <c r="BF254" s="194">
        <v>8.5</v>
      </c>
      <c r="BH254" s="215"/>
      <c r="BI254" s="194">
        <v>2100</v>
      </c>
      <c r="BJ254" s="194">
        <v>8.5</v>
      </c>
      <c r="BP254" s="235" t="str">
        <f t="shared" si="2"/>
        <v>41241</v>
      </c>
      <c r="BQ254" s="194">
        <v>4</v>
      </c>
      <c r="BR254" s="194">
        <v>1</v>
      </c>
      <c r="BS254" s="194">
        <v>2</v>
      </c>
      <c r="BT254" s="194">
        <v>4</v>
      </c>
      <c r="BU254" s="194">
        <v>1</v>
      </c>
      <c r="BV254" s="194">
        <v>136</v>
      </c>
    </row>
    <row r="255" spans="32:74" ht="12" hidden="1" customHeight="1">
      <c r="AF255" s="215"/>
      <c r="AG255" s="194">
        <v>3000</v>
      </c>
      <c r="AH255" s="194">
        <v>11.5</v>
      </c>
      <c r="AJ255" s="215"/>
      <c r="AK255" s="194">
        <v>4300</v>
      </c>
      <c r="AL255" s="194">
        <v>11</v>
      </c>
      <c r="AN255" s="215"/>
      <c r="AO255" s="194">
        <v>3600</v>
      </c>
      <c r="AP255" s="194">
        <v>10.5</v>
      </c>
      <c r="AR255" s="215"/>
      <c r="AS255" s="194">
        <v>4000</v>
      </c>
      <c r="AT255" s="194">
        <v>10</v>
      </c>
      <c r="AV255" s="215"/>
      <c r="AW255" s="194">
        <v>3800</v>
      </c>
      <c r="AX255" s="194">
        <v>10</v>
      </c>
      <c r="AZ255" s="215"/>
      <c r="BA255" s="194">
        <v>900</v>
      </c>
      <c r="BB255" s="194">
        <v>9.5</v>
      </c>
      <c r="BD255" s="215"/>
      <c r="BE255" s="194">
        <v>2500</v>
      </c>
      <c r="BF255" s="194">
        <v>9</v>
      </c>
      <c r="BH255" s="215"/>
      <c r="BI255" s="194">
        <v>8200</v>
      </c>
      <c r="BJ255" s="194">
        <v>9</v>
      </c>
      <c r="BP255" s="235" t="str">
        <f t="shared" si="2"/>
        <v>41242</v>
      </c>
      <c r="BQ255" s="194">
        <v>4</v>
      </c>
      <c r="BR255" s="194">
        <v>1</v>
      </c>
      <c r="BS255" s="194">
        <v>2</v>
      </c>
      <c r="BT255" s="194">
        <v>4</v>
      </c>
      <c r="BU255" s="194">
        <v>2</v>
      </c>
      <c r="BV255" s="194">
        <v>137</v>
      </c>
    </row>
    <row r="256" spans="32:74" ht="12" hidden="1" customHeight="1">
      <c r="AF256" s="215"/>
      <c r="AG256" s="194">
        <v>8200</v>
      </c>
      <c r="AH256" s="194">
        <v>12</v>
      </c>
      <c r="AJ256" s="215"/>
      <c r="AK256" s="194">
        <v>13100</v>
      </c>
      <c r="AL256" s="194">
        <v>11.5</v>
      </c>
      <c r="AN256" s="215"/>
      <c r="AO256" s="194">
        <v>11600</v>
      </c>
      <c r="AP256" s="194">
        <v>11</v>
      </c>
      <c r="AR256" s="215"/>
      <c r="AS256" s="194">
        <v>13800</v>
      </c>
      <c r="AT256" s="194">
        <v>10.5</v>
      </c>
      <c r="AV256" s="215"/>
      <c r="AW256" s="194">
        <v>12400</v>
      </c>
      <c r="AX256" s="194">
        <v>10.5</v>
      </c>
      <c r="AZ256" s="215"/>
      <c r="BA256" s="194">
        <v>13600</v>
      </c>
      <c r="BB256" s="194">
        <v>10</v>
      </c>
      <c r="BD256" s="215"/>
      <c r="BE256" s="194">
        <v>9300</v>
      </c>
      <c r="BF256" s="194">
        <v>9.5</v>
      </c>
      <c r="BH256" s="215"/>
      <c r="BI256" s="194">
        <v>30700</v>
      </c>
      <c r="BJ256" s="194">
        <v>9.5</v>
      </c>
      <c r="BP256" s="235" t="str">
        <f t="shared" si="2"/>
        <v>41243</v>
      </c>
      <c r="BQ256" s="194">
        <v>4</v>
      </c>
      <c r="BR256" s="194">
        <v>1</v>
      </c>
      <c r="BS256" s="194">
        <v>2</v>
      </c>
      <c r="BT256" s="194">
        <v>4</v>
      </c>
      <c r="BU256" s="194">
        <v>3</v>
      </c>
      <c r="BV256" s="194">
        <v>138</v>
      </c>
    </row>
    <row r="257" spans="32:74" ht="12" hidden="1" customHeight="1">
      <c r="AJ257" s="215"/>
      <c r="AK257" s="194">
        <v>40000</v>
      </c>
      <c r="AL257" s="194">
        <v>12</v>
      </c>
      <c r="AN257" s="215"/>
      <c r="AO257" s="194">
        <v>37200</v>
      </c>
      <c r="AP257" s="194">
        <v>11.5</v>
      </c>
      <c r="AR257" s="215"/>
      <c r="AS257" s="194">
        <v>46600</v>
      </c>
      <c r="AT257" s="194">
        <v>11</v>
      </c>
      <c r="AV257" s="215"/>
      <c r="AW257" s="194">
        <v>40400</v>
      </c>
      <c r="AX257" s="194">
        <v>11</v>
      </c>
      <c r="AZ257" s="215"/>
      <c r="BA257" s="194">
        <v>46200</v>
      </c>
      <c r="BB257" s="194">
        <v>10.5</v>
      </c>
      <c r="BD257" s="215"/>
      <c r="BE257" s="194">
        <v>32900</v>
      </c>
      <c r="BF257" s="194">
        <v>10</v>
      </c>
      <c r="BP257" s="235" t="str">
        <f t="shared" si="2"/>
        <v>42111</v>
      </c>
      <c r="BQ257" s="194">
        <v>4</v>
      </c>
      <c r="BR257" s="194">
        <v>2</v>
      </c>
      <c r="BS257" s="194">
        <v>1</v>
      </c>
      <c r="BT257" s="194">
        <v>1</v>
      </c>
      <c r="BU257" s="194">
        <v>1</v>
      </c>
      <c r="BV257" s="194">
        <v>139</v>
      </c>
    </row>
    <row r="258" spans="32:74" ht="12" hidden="1" customHeight="1">
      <c r="AN258" s="239"/>
      <c r="BP258" s="235" t="str">
        <f t="shared" si="2"/>
        <v>42112</v>
      </c>
      <c r="BQ258" s="194">
        <v>4</v>
      </c>
      <c r="BR258" s="194">
        <v>2</v>
      </c>
      <c r="BS258" s="194">
        <v>1</v>
      </c>
      <c r="BT258" s="194">
        <v>1</v>
      </c>
      <c r="BU258" s="194">
        <v>2</v>
      </c>
      <c r="BV258" s="194">
        <v>140</v>
      </c>
    </row>
    <row r="259" spans="32:74" ht="12" hidden="1" customHeight="1">
      <c r="AG259" s="194" t="s">
        <v>310</v>
      </c>
      <c r="AH259" s="194" t="s">
        <v>311</v>
      </c>
      <c r="AK259" s="194" t="s">
        <v>310</v>
      </c>
      <c r="AL259" s="194" t="s">
        <v>311</v>
      </c>
      <c r="AO259" s="194" t="s">
        <v>310</v>
      </c>
      <c r="AP259" s="194" t="s">
        <v>311</v>
      </c>
      <c r="AS259" s="194" t="s">
        <v>310</v>
      </c>
      <c r="AT259" s="194" t="s">
        <v>311</v>
      </c>
      <c r="AW259" s="194" t="s">
        <v>310</v>
      </c>
      <c r="AX259" s="194" t="s">
        <v>311</v>
      </c>
      <c r="BA259" s="194" t="s">
        <v>310</v>
      </c>
      <c r="BB259" s="194" t="s">
        <v>311</v>
      </c>
      <c r="BE259" s="194" t="s">
        <v>310</v>
      </c>
      <c r="BF259" s="194" t="s">
        <v>311</v>
      </c>
      <c r="BI259" s="194" t="s">
        <v>310</v>
      </c>
      <c r="BJ259" s="194" t="s">
        <v>311</v>
      </c>
      <c r="BP259" s="235" t="str">
        <f t="shared" si="2"/>
        <v>42113</v>
      </c>
      <c r="BQ259" s="194">
        <v>4</v>
      </c>
      <c r="BR259" s="194">
        <v>2</v>
      </c>
      <c r="BS259" s="194">
        <v>1</v>
      </c>
      <c r="BT259" s="194">
        <v>1</v>
      </c>
      <c r="BU259" s="194">
        <v>3</v>
      </c>
      <c r="BV259" s="194">
        <v>141</v>
      </c>
    </row>
    <row r="260" spans="32:74" ht="12" hidden="1" customHeight="1">
      <c r="AF260" s="215" t="s">
        <v>507</v>
      </c>
      <c r="AG260" s="194">
        <v>120</v>
      </c>
      <c r="AH260" s="194">
        <v>9.5</v>
      </c>
      <c r="AJ260" s="215" t="s">
        <v>508</v>
      </c>
      <c r="AK260" s="194">
        <v>120</v>
      </c>
      <c r="AL260" s="194">
        <v>9</v>
      </c>
      <c r="AN260" s="215" t="s">
        <v>509</v>
      </c>
      <c r="AO260" s="194">
        <v>340</v>
      </c>
      <c r="AP260" s="194">
        <v>9</v>
      </c>
      <c r="AR260" s="215" t="s">
        <v>510</v>
      </c>
      <c r="AS260" s="194">
        <v>300</v>
      </c>
      <c r="AT260" s="194">
        <v>8.5</v>
      </c>
      <c r="AV260" s="215" t="s">
        <v>511</v>
      </c>
      <c r="AW260" s="194">
        <v>340</v>
      </c>
      <c r="AX260" s="194">
        <v>8.5</v>
      </c>
      <c r="AZ260" s="215" t="s">
        <v>512</v>
      </c>
      <c r="BA260" s="194">
        <v>270</v>
      </c>
      <c r="BB260" s="194">
        <v>8</v>
      </c>
      <c r="BD260" s="215" t="s">
        <v>513</v>
      </c>
      <c r="BE260" s="194">
        <v>130</v>
      </c>
      <c r="BF260" s="194">
        <v>7.5</v>
      </c>
      <c r="BH260" s="215" t="s">
        <v>514</v>
      </c>
      <c r="BI260" s="194">
        <v>490</v>
      </c>
      <c r="BJ260" s="194">
        <v>7.5</v>
      </c>
      <c r="BP260" s="235" t="str">
        <f t="shared" si="2"/>
        <v>42121</v>
      </c>
      <c r="BQ260" s="194">
        <v>4</v>
      </c>
      <c r="BR260" s="194">
        <v>2</v>
      </c>
      <c r="BS260" s="194">
        <v>1</v>
      </c>
      <c r="BT260" s="194">
        <v>2</v>
      </c>
      <c r="BU260" s="194">
        <v>1</v>
      </c>
      <c r="BV260" s="194">
        <v>142</v>
      </c>
    </row>
    <row r="261" spans="32:74" ht="12" hidden="1" customHeight="1">
      <c r="AF261" s="215"/>
      <c r="AG261" s="194">
        <v>480</v>
      </c>
      <c r="AH261" s="194">
        <v>10</v>
      </c>
      <c r="AJ261" s="215"/>
      <c r="AK261" s="194">
        <v>530</v>
      </c>
      <c r="AL261" s="194">
        <v>9.5</v>
      </c>
      <c r="AN261" s="215"/>
      <c r="AO261" s="194">
        <v>1400</v>
      </c>
      <c r="AP261" s="194">
        <v>9.5</v>
      </c>
      <c r="AR261" s="215"/>
      <c r="AS261" s="194">
        <v>1300</v>
      </c>
      <c r="AT261" s="194">
        <v>9</v>
      </c>
      <c r="AV261" s="215"/>
      <c r="AW261" s="194">
        <v>1400</v>
      </c>
      <c r="AX261" s="194">
        <v>9</v>
      </c>
      <c r="AZ261" s="215"/>
      <c r="BA261" s="194">
        <v>1300</v>
      </c>
      <c r="BB261" s="194">
        <v>8.5</v>
      </c>
      <c r="BD261" s="215"/>
      <c r="BE261" s="194">
        <v>690</v>
      </c>
      <c r="BF261" s="194">
        <v>8</v>
      </c>
      <c r="BH261" s="215"/>
      <c r="BI261" s="194">
        <v>2300</v>
      </c>
      <c r="BJ261" s="194">
        <v>8</v>
      </c>
      <c r="BP261" s="235" t="str">
        <f t="shared" si="2"/>
        <v>42122</v>
      </c>
      <c r="BQ261" s="194">
        <v>4</v>
      </c>
      <c r="BR261" s="194">
        <v>2</v>
      </c>
      <c r="BS261" s="194">
        <v>1</v>
      </c>
      <c r="BT261" s="194">
        <v>2</v>
      </c>
      <c r="BU261" s="194">
        <v>2</v>
      </c>
      <c r="BV261" s="194">
        <v>143</v>
      </c>
    </row>
    <row r="262" spans="32:74" ht="12" hidden="1" customHeight="1">
      <c r="AF262" s="215"/>
      <c r="AG262" s="194">
        <v>1600</v>
      </c>
      <c r="AH262" s="194">
        <v>10.5</v>
      </c>
      <c r="AJ262" s="215"/>
      <c r="AK262" s="194">
        <v>1900</v>
      </c>
      <c r="AL262" s="194">
        <v>10</v>
      </c>
      <c r="AN262" s="215"/>
      <c r="AO262" s="194">
        <v>5100</v>
      </c>
      <c r="AP262" s="194">
        <v>10</v>
      </c>
      <c r="AR262" s="215"/>
      <c r="AS262" s="194">
        <v>5200</v>
      </c>
      <c r="AT262" s="194">
        <v>9.5</v>
      </c>
      <c r="AV262" s="215"/>
      <c r="AW262" s="194">
        <v>5200</v>
      </c>
      <c r="AX262" s="194">
        <v>9.5</v>
      </c>
      <c r="AZ262" s="215"/>
      <c r="BA262" s="194">
        <v>5000</v>
      </c>
      <c r="BB262" s="194">
        <v>9</v>
      </c>
      <c r="BD262" s="215"/>
      <c r="BE262" s="194">
        <v>3000</v>
      </c>
      <c r="BF262" s="194">
        <v>8.5</v>
      </c>
      <c r="BH262" s="215"/>
      <c r="BI262" s="194">
        <v>9900</v>
      </c>
      <c r="BJ262" s="194">
        <v>8.5</v>
      </c>
      <c r="BP262" s="235" t="str">
        <f t="shared" si="2"/>
        <v>42123</v>
      </c>
      <c r="BQ262" s="194">
        <v>4</v>
      </c>
      <c r="BR262" s="194">
        <v>2</v>
      </c>
      <c r="BS262" s="194">
        <v>1</v>
      </c>
      <c r="BT262" s="194">
        <v>2</v>
      </c>
      <c r="BU262" s="194">
        <v>3</v>
      </c>
      <c r="BV262" s="194">
        <v>144</v>
      </c>
    </row>
    <row r="263" spans="32:74" ht="12" hidden="1" customHeight="1">
      <c r="AF263" s="215"/>
      <c r="AG263" s="194">
        <v>4900</v>
      </c>
      <c r="AH263" s="194">
        <v>11</v>
      </c>
      <c r="AJ263" s="215"/>
      <c r="AK263" s="194">
        <v>6500</v>
      </c>
      <c r="AL263" s="194">
        <v>10.5</v>
      </c>
      <c r="AN263" s="215"/>
      <c r="AO263" s="194">
        <v>17500</v>
      </c>
      <c r="AP263" s="194">
        <v>10.5</v>
      </c>
      <c r="AR263" s="215"/>
      <c r="AS263" s="194">
        <v>19300</v>
      </c>
      <c r="AT263" s="194">
        <v>10</v>
      </c>
      <c r="AV263" s="215"/>
      <c r="AW263" s="194">
        <v>18400</v>
      </c>
      <c r="AX263" s="194">
        <v>10</v>
      </c>
      <c r="AZ263" s="215"/>
      <c r="BA263" s="194">
        <v>18800</v>
      </c>
      <c r="BB263" s="194">
        <v>9.5</v>
      </c>
      <c r="BD263" s="215"/>
      <c r="BE263" s="194">
        <v>12000</v>
      </c>
      <c r="BF263" s="194">
        <v>9</v>
      </c>
      <c r="BH263" s="215"/>
      <c r="BI263" s="194">
        <v>40200</v>
      </c>
      <c r="BJ263" s="194">
        <v>9</v>
      </c>
      <c r="BP263" s="235" t="str">
        <f t="shared" si="2"/>
        <v>42131</v>
      </c>
      <c r="BQ263" s="194">
        <v>4</v>
      </c>
      <c r="BR263" s="194">
        <v>2</v>
      </c>
      <c r="BS263" s="194">
        <v>1</v>
      </c>
      <c r="BT263" s="194">
        <v>3</v>
      </c>
      <c r="BU263" s="194">
        <v>1</v>
      </c>
      <c r="BV263" s="194">
        <v>145</v>
      </c>
    </row>
    <row r="264" spans="32:74" ht="12" hidden="1" customHeight="1">
      <c r="AF264" s="215"/>
      <c r="AG264" s="194">
        <v>14500</v>
      </c>
      <c r="AH264" s="194">
        <v>11.5</v>
      </c>
      <c r="AJ264" s="215"/>
      <c r="AK264" s="194">
        <v>21400</v>
      </c>
      <c r="AL264" s="194">
        <v>11</v>
      </c>
      <c r="AN264" s="215"/>
      <c r="AO264" s="194">
        <v>53800</v>
      </c>
      <c r="AP264" s="194">
        <v>11</v>
      </c>
      <c r="AR264" s="215"/>
      <c r="AS264" s="194">
        <v>45900</v>
      </c>
      <c r="AT264" s="194">
        <v>10.5</v>
      </c>
      <c r="BD264" s="215"/>
      <c r="BE264" s="194">
        <v>45900</v>
      </c>
      <c r="BF264" s="194">
        <v>9.5</v>
      </c>
      <c r="BP264" s="235" t="str">
        <f t="shared" si="2"/>
        <v>42132</v>
      </c>
      <c r="BQ264" s="194">
        <v>4</v>
      </c>
      <c r="BR264" s="194">
        <v>2</v>
      </c>
      <c r="BS264" s="194">
        <v>1</v>
      </c>
      <c r="BT264" s="194">
        <v>3</v>
      </c>
      <c r="BU264" s="194">
        <v>2</v>
      </c>
      <c r="BV264" s="194">
        <v>146</v>
      </c>
    </row>
    <row r="265" spans="32:74" ht="12" hidden="1" customHeight="1">
      <c r="AF265" s="215"/>
      <c r="AG265" s="194">
        <v>44000</v>
      </c>
      <c r="AH265" s="194">
        <v>12</v>
      </c>
      <c r="AJ265" s="215"/>
      <c r="AK265" s="194">
        <v>65000</v>
      </c>
      <c r="AL265" s="194">
        <v>11.5</v>
      </c>
      <c r="BP265" s="235" t="str">
        <f t="shared" si="2"/>
        <v>42133</v>
      </c>
      <c r="BQ265" s="194">
        <v>4</v>
      </c>
      <c r="BR265" s="194">
        <v>2</v>
      </c>
      <c r="BS265" s="194">
        <v>1</v>
      </c>
      <c r="BT265" s="194">
        <v>3</v>
      </c>
      <c r="BU265" s="194">
        <v>3</v>
      </c>
      <c r="BV265" s="194">
        <v>147</v>
      </c>
    </row>
    <row r="266" spans="32:74" ht="12" hidden="1" customHeight="1">
      <c r="BP266" s="235" t="str">
        <f t="shared" si="2"/>
        <v>42141</v>
      </c>
      <c r="BQ266" s="194">
        <v>4</v>
      </c>
      <c r="BR266" s="194">
        <v>2</v>
      </c>
      <c r="BS266" s="194">
        <v>1</v>
      </c>
      <c r="BT266" s="194">
        <v>4</v>
      </c>
      <c r="BU266" s="194">
        <v>1</v>
      </c>
      <c r="BV266" s="194">
        <v>148</v>
      </c>
    </row>
    <row r="267" spans="32:74" ht="12" hidden="1" customHeight="1">
      <c r="AW267" s="194" t="s">
        <v>310</v>
      </c>
      <c r="AX267" s="194" t="s">
        <v>311</v>
      </c>
      <c r="BA267" s="194" t="s">
        <v>310</v>
      </c>
      <c r="BB267" s="194" t="s">
        <v>311</v>
      </c>
      <c r="BE267" s="194" t="s">
        <v>310</v>
      </c>
      <c r="BF267" s="194" t="s">
        <v>311</v>
      </c>
      <c r="BI267" s="194" t="s">
        <v>310</v>
      </c>
      <c r="BJ267" s="194" t="s">
        <v>311</v>
      </c>
      <c r="BP267" s="235" t="str">
        <f t="shared" si="2"/>
        <v>42142</v>
      </c>
      <c r="BQ267" s="194">
        <v>4</v>
      </c>
      <c r="BR267" s="194">
        <v>2</v>
      </c>
      <c r="BS267" s="194">
        <v>1</v>
      </c>
      <c r="BT267" s="194">
        <v>4</v>
      </c>
      <c r="BU267" s="194">
        <v>2</v>
      </c>
      <c r="BV267" s="194">
        <v>149</v>
      </c>
    </row>
    <row r="268" spans="32:74" ht="12" hidden="1" customHeight="1">
      <c r="AG268" s="194" t="s">
        <v>310</v>
      </c>
      <c r="AH268" s="194" t="s">
        <v>311</v>
      </c>
      <c r="AK268" s="194" t="s">
        <v>310</v>
      </c>
      <c r="AL268" s="194" t="s">
        <v>311</v>
      </c>
      <c r="AO268" s="194" t="s">
        <v>310</v>
      </c>
      <c r="AP268" s="194" t="s">
        <v>311</v>
      </c>
      <c r="AS268" s="194" t="s">
        <v>310</v>
      </c>
      <c r="AT268" s="194" t="s">
        <v>311</v>
      </c>
      <c r="AV268" s="215" t="s">
        <v>515</v>
      </c>
      <c r="AW268" s="194">
        <v>330</v>
      </c>
      <c r="AX268" s="194">
        <v>8</v>
      </c>
      <c r="AZ268" s="215" t="s">
        <v>516</v>
      </c>
      <c r="BA268" s="194">
        <v>240</v>
      </c>
      <c r="BB268" s="194">
        <v>7.5</v>
      </c>
      <c r="BD268" s="215" t="s">
        <v>517</v>
      </c>
      <c r="BE268" s="194">
        <v>620</v>
      </c>
      <c r="BF268" s="194">
        <v>7.5</v>
      </c>
      <c r="BH268" s="215" t="s">
        <v>518</v>
      </c>
      <c r="BI268" s="194">
        <v>400</v>
      </c>
      <c r="BJ268" s="194">
        <v>7</v>
      </c>
      <c r="BP268" s="235" t="str">
        <f t="shared" si="2"/>
        <v>42143</v>
      </c>
      <c r="BQ268" s="194">
        <v>4</v>
      </c>
      <c r="BR268" s="194">
        <v>2</v>
      </c>
      <c r="BS268" s="194">
        <v>1</v>
      </c>
      <c r="BT268" s="194">
        <v>4</v>
      </c>
      <c r="BU268" s="194">
        <v>3</v>
      </c>
      <c r="BV268" s="194">
        <v>150</v>
      </c>
    </row>
    <row r="269" spans="32:74" ht="12" hidden="1" customHeight="1">
      <c r="AF269" s="215" t="s">
        <v>519</v>
      </c>
      <c r="AG269" s="194">
        <v>140</v>
      </c>
      <c r="AH269" s="194">
        <v>9</v>
      </c>
      <c r="AJ269" s="215" t="s">
        <v>520</v>
      </c>
      <c r="AK269" s="194">
        <v>120</v>
      </c>
      <c r="AL269" s="194">
        <v>8.5</v>
      </c>
      <c r="AN269" s="215" t="s">
        <v>521</v>
      </c>
      <c r="AO269" s="194">
        <v>340</v>
      </c>
      <c r="AP269" s="194">
        <v>8.5</v>
      </c>
      <c r="AR269" s="215" t="s">
        <v>522</v>
      </c>
      <c r="AS269" s="194">
        <v>270</v>
      </c>
      <c r="AT269" s="194">
        <v>8</v>
      </c>
      <c r="AV269" s="215"/>
      <c r="AW269" s="194">
        <v>1500</v>
      </c>
      <c r="AX269" s="194">
        <v>8.5</v>
      </c>
      <c r="AZ269" s="215"/>
      <c r="BA269" s="194">
        <v>1200</v>
      </c>
      <c r="BB269" s="194">
        <v>8</v>
      </c>
      <c r="BD269" s="215"/>
      <c r="BE269" s="194">
        <v>3000</v>
      </c>
      <c r="BF269" s="194">
        <v>8</v>
      </c>
      <c r="BH269" s="215"/>
      <c r="BI269" s="194">
        <v>2100</v>
      </c>
      <c r="BJ269" s="194">
        <v>7.5</v>
      </c>
      <c r="BP269" s="235" t="str">
        <f t="shared" si="2"/>
        <v>42211</v>
      </c>
      <c r="BQ269" s="194">
        <v>4</v>
      </c>
      <c r="BR269" s="194">
        <v>2</v>
      </c>
      <c r="BS269" s="194">
        <v>2</v>
      </c>
      <c r="BT269" s="194">
        <v>1</v>
      </c>
      <c r="BU269" s="194">
        <v>1</v>
      </c>
      <c r="BV269" s="194">
        <v>151</v>
      </c>
    </row>
    <row r="270" spans="32:74" ht="12" hidden="1" customHeight="1">
      <c r="AF270" s="215"/>
      <c r="AG270" s="194">
        <v>570</v>
      </c>
      <c r="AH270" s="194">
        <v>9.5</v>
      </c>
      <c r="AJ270" s="215"/>
      <c r="AK270" s="194">
        <v>580</v>
      </c>
      <c r="AL270" s="194">
        <v>9</v>
      </c>
      <c r="AN270" s="215"/>
      <c r="AO270" s="194">
        <v>1500</v>
      </c>
      <c r="AP270" s="194">
        <v>9</v>
      </c>
      <c r="AR270" s="215"/>
      <c r="AS270" s="194">
        <v>1300</v>
      </c>
      <c r="AT270" s="194">
        <v>8.5</v>
      </c>
      <c r="AV270" s="215"/>
      <c r="AW270" s="194">
        <v>5900</v>
      </c>
      <c r="AX270" s="194">
        <v>9</v>
      </c>
      <c r="AZ270" s="215"/>
      <c r="BA270" s="194">
        <v>5300</v>
      </c>
      <c r="BB270" s="194">
        <v>8.5</v>
      </c>
      <c r="BD270" s="215"/>
      <c r="BE270" s="194">
        <v>12700</v>
      </c>
      <c r="BF270" s="194">
        <v>8.5</v>
      </c>
      <c r="BH270" s="215"/>
      <c r="BI270" s="194">
        <v>9800</v>
      </c>
      <c r="BJ270" s="194">
        <v>8</v>
      </c>
      <c r="BP270" s="235" t="str">
        <f t="shared" si="2"/>
        <v>42212</v>
      </c>
      <c r="BQ270" s="194">
        <v>4</v>
      </c>
      <c r="BR270" s="194">
        <v>2</v>
      </c>
      <c r="BS270" s="194">
        <v>2</v>
      </c>
      <c r="BT270" s="194">
        <v>1</v>
      </c>
      <c r="BU270" s="194">
        <v>2</v>
      </c>
      <c r="BV270" s="194">
        <v>152</v>
      </c>
    </row>
    <row r="271" spans="32:74" ht="12" hidden="1" customHeight="1">
      <c r="AF271" s="215"/>
      <c r="AG271" s="194">
        <v>2000</v>
      </c>
      <c r="AH271" s="194">
        <v>10</v>
      </c>
      <c r="AJ271" s="215"/>
      <c r="AK271" s="194">
        <v>2300</v>
      </c>
      <c r="AL271" s="194">
        <v>9.5</v>
      </c>
      <c r="AN271" s="215"/>
      <c r="AO271" s="194">
        <v>5900</v>
      </c>
      <c r="AP271" s="194">
        <v>9.5</v>
      </c>
      <c r="AR271" s="215"/>
      <c r="AS271" s="194">
        <v>5600</v>
      </c>
      <c r="AT271" s="194">
        <v>9</v>
      </c>
      <c r="AV271" s="215"/>
      <c r="AW271" s="194">
        <v>22500</v>
      </c>
      <c r="AX271" s="194">
        <v>9.5</v>
      </c>
      <c r="AZ271" s="215"/>
      <c r="BA271" s="194">
        <v>21400</v>
      </c>
      <c r="BB271" s="194">
        <v>9</v>
      </c>
      <c r="BD271" s="215"/>
      <c r="BE271" s="194">
        <v>44900</v>
      </c>
      <c r="BF271" s="194">
        <v>9</v>
      </c>
      <c r="BH271" s="215"/>
      <c r="BI271" s="194">
        <v>41100</v>
      </c>
      <c r="BJ271" s="194">
        <v>8.5</v>
      </c>
      <c r="BP271" s="235" t="str">
        <f t="shared" si="2"/>
        <v>42213</v>
      </c>
      <c r="BQ271" s="194">
        <v>4</v>
      </c>
      <c r="BR271" s="194">
        <v>2</v>
      </c>
      <c r="BS271" s="194">
        <v>2</v>
      </c>
      <c r="BT271" s="194">
        <v>1</v>
      </c>
      <c r="BU271" s="194">
        <v>3</v>
      </c>
      <c r="BV271" s="194">
        <v>153</v>
      </c>
    </row>
    <row r="272" spans="32:74" ht="12" hidden="1" customHeight="1">
      <c r="AF272" s="215"/>
      <c r="AG272" s="194">
        <v>6700</v>
      </c>
      <c r="AH272" s="194">
        <v>10.5</v>
      </c>
      <c r="AJ272" s="215"/>
      <c r="AK272" s="194">
        <v>8200</v>
      </c>
      <c r="AL272" s="194">
        <v>10</v>
      </c>
      <c r="AN272" s="215"/>
      <c r="AO272" s="194">
        <v>18700</v>
      </c>
      <c r="AP272" s="194">
        <v>10</v>
      </c>
      <c r="AR272" s="215"/>
      <c r="AS272" s="194">
        <v>14700</v>
      </c>
      <c r="AT272" s="194">
        <v>9.5</v>
      </c>
      <c r="AV272" s="215"/>
      <c r="AW272" s="194">
        <v>45200</v>
      </c>
      <c r="AX272" s="194">
        <v>10</v>
      </c>
      <c r="AZ272" s="215"/>
      <c r="BA272" s="194">
        <v>52000</v>
      </c>
      <c r="BB272" s="194">
        <v>9.5</v>
      </c>
      <c r="BP272" s="235" t="str">
        <f t="shared" si="2"/>
        <v>42221</v>
      </c>
      <c r="BQ272" s="194">
        <v>4</v>
      </c>
      <c r="BR272" s="194">
        <v>2</v>
      </c>
      <c r="BS272" s="194">
        <v>2</v>
      </c>
      <c r="BT272" s="194">
        <v>2</v>
      </c>
      <c r="BU272" s="194">
        <v>1</v>
      </c>
      <c r="BV272" s="194">
        <v>154</v>
      </c>
    </row>
    <row r="273" spans="32:74" ht="12" hidden="1" customHeight="1">
      <c r="AF273" s="215"/>
      <c r="AG273" s="194">
        <v>21600</v>
      </c>
      <c r="AH273" s="194">
        <v>11</v>
      </c>
      <c r="AJ273" s="215"/>
      <c r="AK273" s="194">
        <v>24100</v>
      </c>
      <c r="AL273" s="194">
        <v>10.5</v>
      </c>
      <c r="AN273" s="215"/>
      <c r="AO273" s="194">
        <v>31800</v>
      </c>
      <c r="AP273" s="194">
        <v>10.5</v>
      </c>
      <c r="AR273" s="215"/>
      <c r="AS273" s="194">
        <v>25900</v>
      </c>
      <c r="AT273" s="194">
        <v>10</v>
      </c>
      <c r="BP273" s="235" t="str">
        <f t="shared" si="2"/>
        <v>42222</v>
      </c>
      <c r="BQ273" s="194">
        <v>4</v>
      </c>
      <c r="BR273" s="194">
        <v>2</v>
      </c>
      <c r="BS273" s="194">
        <v>2</v>
      </c>
      <c r="BT273" s="194">
        <v>2</v>
      </c>
      <c r="BU273" s="194">
        <v>2</v>
      </c>
      <c r="BV273" s="194">
        <v>155</v>
      </c>
    </row>
    <row r="274" spans="32:74" ht="12" hidden="1" customHeight="1">
      <c r="AF274" s="215"/>
      <c r="AG274" s="194">
        <v>39700</v>
      </c>
      <c r="AH274" s="194">
        <v>11.5</v>
      </c>
      <c r="AJ274" s="215"/>
      <c r="AK274" s="194">
        <v>39600</v>
      </c>
      <c r="AL274" s="194">
        <v>11</v>
      </c>
      <c r="AR274" s="215"/>
      <c r="AS274" s="194">
        <v>45800</v>
      </c>
      <c r="AT274" s="194">
        <v>10.5</v>
      </c>
      <c r="BP274" s="235" t="str">
        <f t="shared" si="2"/>
        <v>42223</v>
      </c>
      <c r="BQ274" s="194">
        <v>4</v>
      </c>
      <c r="BR274" s="194">
        <v>2</v>
      </c>
      <c r="BS274" s="194">
        <v>2</v>
      </c>
      <c r="BT274" s="194">
        <v>2</v>
      </c>
      <c r="BU274" s="194">
        <v>3</v>
      </c>
      <c r="BV274" s="194">
        <v>156</v>
      </c>
    </row>
    <row r="275" spans="32:74" ht="12" hidden="1" customHeight="1">
      <c r="BP275" s="235" t="str">
        <f t="shared" si="2"/>
        <v>42231</v>
      </c>
      <c r="BQ275" s="194">
        <v>4</v>
      </c>
      <c r="BR275" s="194">
        <v>2</v>
      </c>
      <c r="BS275" s="194">
        <v>2</v>
      </c>
      <c r="BT275" s="194">
        <v>3</v>
      </c>
      <c r="BU275" s="194">
        <v>1</v>
      </c>
      <c r="BV275" s="194">
        <v>157</v>
      </c>
    </row>
    <row r="276" spans="32:74" ht="12" hidden="1" customHeight="1">
      <c r="BP276" s="235" t="str">
        <f t="shared" si="2"/>
        <v>42232</v>
      </c>
      <c r="BQ276" s="194">
        <v>4</v>
      </c>
      <c r="BR276" s="194">
        <v>2</v>
      </c>
      <c r="BS276" s="194">
        <v>2</v>
      </c>
      <c r="BT276" s="194">
        <v>3</v>
      </c>
      <c r="BU276" s="194">
        <v>2</v>
      </c>
      <c r="BV276" s="194">
        <v>158</v>
      </c>
    </row>
    <row r="277" spans="32:74" ht="12" hidden="1" customHeight="1">
      <c r="BP277" s="235" t="str">
        <f t="shared" si="2"/>
        <v>42233</v>
      </c>
      <c r="BQ277" s="194">
        <v>4</v>
      </c>
      <c r="BR277" s="194">
        <v>2</v>
      </c>
      <c r="BS277" s="194">
        <v>2</v>
      </c>
      <c r="BT277" s="194">
        <v>3</v>
      </c>
      <c r="BU277" s="194">
        <v>3</v>
      </c>
      <c r="BV277" s="194">
        <v>159</v>
      </c>
    </row>
    <row r="278" spans="32:74" ht="12" hidden="1" customHeight="1">
      <c r="BP278" s="235" t="str">
        <f t="shared" si="2"/>
        <v>42241</v>
      </c>
      <c r="BQ278" s="194">
        <v>4</v>
      </c>
      <c r="BR278" s="194">
        <v>2</v>
      </c>
      <c r="BS278" s="194">
        <v>2</v>
      </c>
      <c r="BT278" s="194">
        <v>4</v>
      </c>
      <c r="BU278" s="194">
        <v>1</v>
      </c>
      <c r="BV278" s="194">
        <v>160</v>
      </c>
    </row>
    <row r="279" spans="32:74" ht="12" hidden="1" customHeight="1">
      <c r="BP279" s="235" t="str">
        <f t="shared" si="2"/>
        <v>42242</v>
      </c>
      <c r="BQ279" s="194">
        <v>4</v>
      </c>
      <c r="BR279" s="194">
        <v>2</v>
      </c>
      <c r="BS279" s="194">
        <v>2</v>
      </c>
      <c r="BT279" s="194">
        <v>4</v>
      </c>
      <c r="BU279" s="194">
        <v>2</v>
      </c>
      <c r="BV279" s="194">
        <v>161</v>
      </c>
    </row>
    <row r="280" spans="32:74" ht="12" hidden="1" customHeight="1">
      <c r="BP280" s="235" t="str">
        <f t="shared" si="2"/>
        <v>42243</v>
      </c>
      <c r="BQ280" s="194">
        <v>4</v>
      </c>
      <c r="BR280" s="194">
        <v>2</v>
      </c>
      <c r="BS280" s="194">
        <v>2</v>
      </c>
      <c r="BT280" s="194">
        <v>4</v>
      </c>
      <c r="BU280" s="194">
        <v>3</v>
      </c>
      <c r="BV280" s="194">
        <v>162</v>
      </c>
    </row>
    <row r="283" spans="32:74" ht="12" hidden="1" customHeight="1">
      <c r="AG283" s="194" t="s">
        <v>310</v>
      </c>
      <c r="AH283" s="194" t="s">
        <v>311</v>
      </c>
      <c r="AK283" s="194" t="s">
        <v>310</v>
      </c>
      <c r="AL283" s="194" t="s">
        <v>311</v>
      </c>
      <c r="AO283" s="194" t="s">
        <v>310</v>
      </c>
      <c r="AP283" s="194" t="s">
        <v>311</v>
      </c>
      <c r="AS283" s="194" t="s">
        <v>310</v>
      </c>
      <c r="AT283" s="194" t="s">
        <v>311</v>
      </c>
      <c r="AW283" s="194" t="s">
        <v>310</v>
      </c>
      <c r="AX283" s="194" t="s">
        <v>311</v>
      </c>
      <c r="BA283" s="194" t="s">
        <v>310</v>
      </c>
      <c r="BB283" s="194" t="s">
        <v>311</v>
      </c>
      <c r="BE283" s="194" t="s">
        <v>310</v>
      </c>
      <c r="BF283" s="194" t="s">
        <v>311</v>
      </c>
      <c r="BI283" s="194" t="s">
        <v>310</v>
      </c>
      <c r="BJ283" s="194" t="s">
        <v>311</v>
      </c>
    </row>
    <row r="284" spans="32:74" ht="12" hidden="1" customHeight="1">
      <c r="AF284" s="215" t="s">
        <v>523</v>
      </c>
      <c r="AG284" s="194">
        <v>320</v>
      </c>
      <c r="AH284" s="194">
        <v>10.5</v>
      </c>
      <c r="AJ284" s="215" t="s">
        <v>524</v>
      </c>
      <c r="AK284" s="194">
        <v>390</v>
      </c>
      <c r="AL284" s="194">
        <v>10</v>
      </c>
      <c r="AN284" s="215" t="s">
        <v>525</v>
      </c>
      <c r="AO284" s="194">
        <v>280</v>
      </c>
      <c r="AP284" s="194">
        <v>9.5</v>
      </c>
      <c r="AR284" s="215" t="s">
        <v>526</v>
      </c>
      <c r="AS284" s="194">
        <v>260</v>
      </c>
      <c r="AT284" s="194">
        <v>9</v>
      </c>
      <c r="AV284" s="215" t="s">
        <v>527</v>
      </c>
      <c r="AW284" s="194">
        <v>280</v>
      </c>
      <c r="AX284" s="194">
        <v>9</v>
      </c>
      <c r="AZ284" s="215" t="s">
        <v>528</v>
      </c>
      <c r="BA284" s="194">
        <v>250</v>
      </c>
      <c r="BB284" s="194">
        <v>8.5</v>
      </c>
      <c r="BD284" s="215" t="s">
        <v>529</v>
      </c>
      <c r="BE284" s="194">
        <v>130</v>
      </c>
      <c r="BF284" s="194">
        <v>8</v>
      </c>
      <c r="BH284" s="215" t="s">
        <v>530</v>
      </c>
      <c r="BI284" s="194">
        <v>480</v>
      </c>
      <c r="BJ284" s="194">
        <v>8</v>
      </c>
    </row>
    <row r="285" spans="32:74" ht="12" hidden="1" customHeight="1">
      <c r="AF285" s="215"/>
      <c r="AG285" s="194">
        <v>1000</v>
      </c>
      <c r="AH285" s="194">
        <v>11</v>
      </c>
      <c r="AJ285" s="215"/>
      <c r="AK285" s="194">
        <v>1400</v>
      </c>
      <c r="AL285" s="194">
        <v>10.5</v>
      </c>
      <c r="AN285" s="215"/>
      <c r="AO285" s="194">
        <v>1100</v>
      </c>
      <c r="AP285" s="194">
        <v>10</v>
      </c>
      <c r="AR285" s="215"/>
      <c r="AS285" s="194">
        <v>1100</v>
      </c>
      <c r="AT285" s="194">
        <v>9.5</v>
      </c>
      <c r="AV285" s="215"/>
      <c r="AW285" s="194">
        <v>1100</v>
      </c>
      <c r="AX285" s="194">
        <v>9.5</v>
      </c>
      <c r="AZ285" s="215"/>
      <c r="BA285" s="194">
        <v>1000</v>
      </c>
      <c r="BB285" s="194">
        <v>9</v>
      </c>
      <c r="BD285" s="215"/>
      <c r="BE285" s="194">
        <v>620</v>
      </c>
      <c r="BF285" s="194">
        <v>8.5</v>
      </c>
      <c r="BH285" s="215"/>
      <c r="BI285" s="194">
        <v>2100</v>
      </c>
      <c r="BJ285" s="194">
        <v>8.5</v>
      </c>
    </row>
    <row r="286" spans="32:74" ht="12" hidden="1" customHeight="1">
      <c r="AF286" s="215"/>
      <c r="AG286" s="194">
        <v>2700</v>
      </c>
      <c r="AH286" s="194">
        <v>11.5</v>
      </c>
      <c r="AJ286" s="215"/>
      <c r="AK286" s="194">
        <v>3300</v>
      </c>
      <c r="AL286" s="194">
        <v>11</v>
      </c>
      <c r="AN286" s="215"/>
      <c r="AO286" s="194">
        <v>3200</v>
      </c>
      <c r="AP286" s="194">
        <v>10.5</v>
      </c>
      <c r="AR286" s="215"/>
      <c r="AS286" s="194">
        <v>3400</v>
      </c>
      <c r="AT286" s="194">
        <v>10</v>
      </c>
      <c r="AV286" s="215"/>
      <c r="AW286" s="194">
        <v>2600</v>
      </c>
      <c r="AX286" s="194">
        <v>10</v>
      </c>
      <c r="AZ286" s="215"/>
      <c r="BA286" s="194">
        <v>3400</v>
      </c>
      <c r="BB286" s="194">
        <v>9.5</v>
      </c>
      <c r="BD286" s="215"/>
      <c r="BE286" s="194">
        <v>2500</v>
      </c>
      <c r="BF286" s="194">
        <v>9</v>
      </c>
      <c r="BH286" s="215"/>
      <c r="BI286" s="194">
        <v>5700</v>
      </c>
      <c r="BJ286" s="194">
        <v>9</v>
      </c>
    </row>
    <row r="287" spans="32:74" ht="12" hidden="1" customHeight="1">
      <c r="AF287" s="215"/>
      <c r="AG287" s="194">
        <v>3600</v>
      </c>
      <c r="AH287" s="194">
        <v>12</v>
      </c>
      <c r="AJ287" s="215"/>
      <c r="AK287" s="194">
        <v>4500</v>
      </c>
      <c r="AL287" s="194">
        <v>11.5</v>
      </c>
      <c r="AN287" s="215"/>
      <c r="AO287" s="194">
        <v>4500</v>
      </c>
      <c r="AP287" s="194">
        <v>11</v>
      </c>
      <c r="AR287" s="215"/>
      <c r="AS287" s="194">
        <v>4900</v>
      </c>
      <c r="AT287" s="194">
        <v>10.5</v>
      </c>
      <c r="AV287" s="215"/>
      <c r="AW287" s="194">
        <v>5900</v>
      </c>
      <c r="AX287" s="194">
        <v>11</v>
      </c>
      <c r="AZ287" s="215"/>
      <c r="BA287" s="194">
        <v>5500</v>
      </c>
      <c r="BB287" s="194">
        <v>10</v>
      </c>
      <c r="BD287" s="215"/>
      <c r="BE287" s="194">
        <v>5500</v>
      </c>
      <c r="BF287" s="194">
        <v>9.5</v>
      </c>
      <c r="BH287" s="215"/>
      <c r="BI287" s="194">
        <v>10200</v>
      </c>
      <c r="BJ287" s="194">
        <v>9.5</v>
      </c>
    </row>
    <row r="288" spans="32:74" ht="12" hidden="1" customHeight="1">
      <c r="AF288" s="215"/>
      <c r="AG288" s="194">
        <v>6300</v>
      </c>
      <c r="AH288" s="194">
        <v>13</v>
      </c>
      <c r="AJ288" s="215"/>
      <c r="AK288" s="194">
        <v>6100</v>
      </c>
      <c r="AL288" s="194">
        <v>12</v>
      </c>
      <c r="AN288" s="215"/>
      <c r="AO288" s="194">
        <v>6300</v>
      </c>
      <c r="AP288" s="194">
        <v>11.5</v>
      </c>
      <c r="AR288" s="215"/>
      <c r="AS288" s="194">
        <v>7200</v>
      </c>
      <c r="AT288" s="194">
        <v>11</v>
      </c>
      <c r="AV288" s="215"/>
      <c r="AW288" s="194">
        <v>12800</v>
      </c>
      <c r="AX288" s="194">
        <v>12</v>
      </c>
      <c r="AZ288" s="215"/>
      <c r="BA288" s="194">
        <v>13600</v>
      </c>
      <c r="BB288" s="194">
        <v>11</v>
      </c>
      <c r="BD288" s="215"/>
      <c r="BE288" s="194">
        <v>9200</v>
      </c>
      <c r="BF288" s="194">
        <v>10</v>
      </c>
      <c r="BH288" s="215"/>
      <c r="BI288" s="194">
        <v>17900</v>
      </c>
      <c r="BJ288" s="194">
        <v>10</v>
      </c>
    </row>
    <row r="289" spans="32:62" ht="12" hidden="1" customHeight="1">
      <c r="AF289" s="215"/>
      <c r="AG289" s="194">
        <v>10800</v>
      </c>
      <c r="AH289" s="194">
        <v>14</v>
      </c>
      <c r="AJ289" s="215"/>
      <c r="AK289" s="194">
        <v>11100</v>
      </c>
      <c r="AL289" s="194">
        <v>13</v>
      </c>
      <c r="AN289" s="215"/>
      <c r="AO289" s="194">
        <v>8800</v>
      </c>
      <c r="AP289" s="194">
        <v>12</v>
      </c>
      <c r="AR289" s="215"/>
      <c r="AS289" s="194">
        <v>10400</v>
      </c>
      <c r="AT289" s="194">
        <v>11.5</v>
      </c>
      <c r="BD289" s="215"/>
      <c r="BE289" s="194">
        <v>24200</v>
      </c>
      <c r="BF289" s="194">
        <v>11</v>
      </c>
    </row>
    <row r="290" spans="32:62" ht="12" hidden="1" customHeight="1">
      <c r="AO290" s="194">
        <v>16800</v>
      </c>
      <c r="AP290" s="194">
        <v>13</v>
      </c>
      <c r="AR290" s="215"/>
      <c r="AS290" s="194">
        <v>14900</v>
      </c>
      <c r="AT290" s="194">
        <v>12</v>
      </c>
    </row>
    <row r="292" spans="32:62" ht="12" hidden="1" customHeight="1">
      <c r="AG292" s="194" t="s">
        <v>310</v>
      </c>
      <c r="AH292" s="194" t="s">
        <v>311</v>
      </c>
      <c r="AK292" s="194" t="s">
        <v>310</v>
      </c>
      <c r="AL292" s="194" t="s">
        <v>311</v>
      </c>
      <c r="AO292" s="194" t="s">
        <v>310</v>
      </c>
      <c r="AP292" s="194" t="s">
        <v>311</v>
      </c>
      <c r="AS292" s="194" t="s">
        <v>310</v>
      </c>
      <c r="AT292" s="194" t="s">
        <v>311</v>
      </c>
      <c r="AW292" s="194" t="s">
        <v>310</v>
      </c>
      <c r="AX292" s="194" t="s">
        <v>311</v>
      </c>
      <c r="BA292" s="194" t="s">
        <v>310</v>
      </c>
      <c r="BB292" s="194" t="s">
        <v>311</v>
      </c>
      <c r="BE292" s="194" t="s">
        <v>310</v>
      </c>
      <c r="BF292" s="194" t="s">
        <v>311</v>
      </c>
      <c r="BI292" s="194" t="s">
        <v>310</v>
      </c>
      <c r="BJ292" s="194" t="s">
        <v>311</v>
      </c>
    </row>
    <row r="293" spans="32:62" ht="12" hidden="1" customHeight="1">
      <c r="AF293" s="215" t="s">
        <v>531</v>
      </c>
      <c r="AG293" s="194">
        <v>120</v>
      </c>
      <c r="AH293" s="194">
        <v>9.5</v>
      </c>
      <c r="AJ293" s="215" t="s">
        <v>532</v>
      </c>
      <c r="AK293" s="194">
        <v>120</v>
      </c>
      <c r="AL293" s="194">
        <v>9</v>
      </c>
      <c r="AN293" s="215" t="s">
        <v>533</v>
      </c>
      <c r="AO293" s="194">
        <v>340</v>
      </c>
      <c r="AP293" s="194">
        <v>9</v>
      </c>
      <c r="AR293" s="215" t="s">
        <v>534</v>
      </c>
      <c r="AS293" s="194">
        <v>300</v>
      </c>
      <c r="AT293" s="194">
        <v>8.5</v>
      </c>
      <c r="AV293" s="215" t="s">
        <v>535</v>
      </c>
      <c r="AW293" s="194">
        <v>340</v>
      </c>
      <c r="AX293" s="194">
        <v>8.5</v>
      </c>
      <c r="AZ293" s="215" t="s">
        <v>536</v>
      </c>
      <c r="BA293" s="194">
        <v>270</v>
      </c>
      <c r="BB293" s="194">
        <v>8</v>
      </c>
      <c r="BD293" s="215" t="s">
        <v>537</v>
      </c>
      <c r="BE293" s="194">
        <v>130</v>
      </c>
      <c r="BF293" s="194">
        <v>7.5</v>
      </c>
      <c r="BH293" s="215" t="s">
        <v>538</v>
      </c>
      <c r="BI293" s="194">
        <v>490</v>
      </c>
      <c r="BJ293" s="194">
        <v>7.5</v>
      </c>
    </row>
    <row r="294" spans="32:62" ht="12" hidden="1" customHeight="1">
      <c r="AF294" s="215"/>
      <c r="AG294" s="194">
        <v>480</v>
      </c>
      <c r="AH294" s="194">
        <v>10</v>
      </c>
      <c r="AJ294" s="215"/>
      <c r="AK294" s="194">
        <v>530</v>
      </c>
      <c r="AL294" s="194">
        <v>9.5</v>
      </c>
      <c r="AN294" s="215"/>
      <c r="AO294" s="194">
        <v>1400</v>
      </c>
      <c r="AP294" s="194">
        <v>9.5</v>
      </c>
      <c r="AR294" s="215"/>
      <c r="AS294" s="194">
        <v>1300</v>
      </c>
      <c r="AT294" s="194">
        <v>9</v>
      </c>
      <c r="AV294" s="215"/>
      <c r="AW294" s="194">
        <v>1100</v>
      </c>
      <c r="AX294" s="194">
        <v>9</v>
      </c>
      <c r="AZ294" s="215"/>
      <c r="BA294" s="194">
        <v>1300</v>
      </c>
      <c r="BB294" s="194">
        <v>8.5</v>
      </c>
      <c r="BD294" s="215"/>
      <c r="BE294" s="194">
        <v>690</v>
      </c>
      <c r="BF294" s="194">
        <v>8</v>
      </c>
      <c r="BH294" s="215"/>
      <c r="BI294" s="194">
        <v>1700</v>
      </c>
      <c r="BJ294" s="194">
        <v>8</v>
      </c>
    </row>
    <row r="295" spans="32:62" ht="12" hidden="1" customHeight="1">
      <c r="AF295" s="215"/>
      <c r="AG295" s="194">
        <v>1500</v>
      </c>
      <c r="AH295" s="194">
        <v>10.5</v>
      </c>
      <c r="AJ295" s="215"/>
      <c r="AK295" s="194">
        <v>1700</v>
      </c>
      <c r="AL295" s="194">
        <v>10</v>
      </c>
      <c r="AN295" s="215"/>
      <c r="AO295" s="194">
        <v>2200</v>
      </c>
      <c r="AP295" s="194">
        <v>10</v>
      </c>
      <c r="AR295" s="215"/>
      <c r="AS295" s="194">
        <v>2300</v>
      </c>
      <c r="AT295" s="194">
        <v>9.5</v>
      </c>
      <c r="AV295" s="215"/>
      <c r="AW295" s="194">
        <v>1700</v>
      </c>
      <c r="AX295" s="194">
        <v>9.5</v>
      </c>
      <c r="AZ295" s="215"/>
      <c r="BA295" s="194">
        <v>2100</v>
      </c>
      <c r="BB295" s="194">
        <v>9</v>
      </c>
      <c r="BD295" s="215"/>
      <c r="BE295" s="194">
        <v>1900</v>
      </c>
      <c r="BF295" s="194">
        <v>8.5</v>
      </c>
      <c r="BH295" s="215"/>
      <c r="BI295" s="194">
        <v>3100</v>
      </c>
      <c r="BJ295" s="194">
        <v>8.5</v>
      </c>
    </row>
    <row r="296" spans="32:62" ht="12" hidden="1" customHeight="1">
      <c r="AF296" s="215"/>
      <c r="AG296" s="194">
        <v>2000</v>
      </c>
      <c r="AH296" s="194">
        <v>11</v>
      </c>
      <c r="AJ296" s="215"/>
      <c r="AK296" s="194">
        <v>2300</v>
      </c>
      <c r="AL296" s="194">
        <v>10.5</v>
      </c>
      <c r="AN296" s="215"/>
      <c r="AO296" s="194">
        <v>3200</v>
      </c>
      <c r="AP296" s="194">
        <v>10.5</v>
      </c>
      <c r="AR296" s="215"/>
      <c r="AS296" s="194">
        <v>3400</v>
      </c>
      <c r="AT296" s="194">
        <v>10</v>
      </c>
      <c r="AV296" s="215"/>
      <c r="AW296" s="194">
        <v>2600</v>
      </c>
      <c r="AX296" s="194">
        <v>10</v>
      </c>
      <c r="AZ296" s="215"/>
      <c r="BA296" s="194">
        <v>3400</v>
      </c>
      <c r="BB296" s="194">
        <v>9.5</v>
      </c>
      <c r="BD296" s="215"/>
      <c r="BE296" s="194">
        <v>3200</v>
      </c>
      <c r="BF296" s="194">
        <v>9</v>
      </c>
      <c r="BH296" s="215"/>
      <c r="BI296" s="194">
        <v>5700</v>
      </c>
      <c r="BJ296" s="194">
        <v>9</v>
      </c>
    </row>
    <row r="297" spans="32:62" ht="12" hidden="1" customHeight="1">
      <c r="AF297" s="215"/>
      <c r="AG297" s="194">
        <v>2700</v>
      </c>
      <c r="AH297" s="194">
        <v>11.5</v>
      </c>
      <c r="AJ297" s="215"/>
      <c r="AK297" s="194">
        <v>3300</v>
      </c>
      <c r="AL297" s="194">
        <v>11</v>
      </c>
      <c r="AN297" s="215"/>
      <c r="AO297" s="194">
        <v>4500</v>
      </c>
      <c r="AP297" s="194">
        <v>11</v>
      </c>
      <c r="AR297" s="215"/>
      <c r="AS297" s="194">
        <v>4900</v>
      </c>
      <c r="AT297" s="194">
        <v>10.5</v>
      </c>
      <c r="AV297" s="215"/>
      <c r="AW297" s="194">
        <v>5900</v>
      </c>
      <c r="AX297" s="194">
        <v>11</v>
      </c>
      <c r="AZ297" s="215"/>
      <c r="BA297" s="194">
        <v>5500</v>
      </c>
      <c r="BB297" s="194">
        <v>10</v>
      </c>
      <c r="BD297" s="215"/>
      <c r="BE297" s="194">
        <v>5500</v>
      </c>
      <c r="BF297" s="194">
        <v>9.5</v>
      </c>
      <c r="BH297" s="215"/>
      <c r="BI297" s="194">
        <v>10200</v>
      </c>
      <c r="BJ297" s="194">
        <v>9.5</v>
      </c>
    </row>
    <row r="298" spans="32:62" ht="12" hidden="1" customHeight="1">
      <c r="AF298" s="215"/>
      <c r="AG298" s="194">
        <v>3600</v>
      </c>
      <c r="AH298" s="194">
        <v>12</v>
      </c>
      <c r="AJ298" s="215"/>
      <c r="AK298" s="194">
        <v>4500</v>
      </c>
      <c r="AL298" s="194">
        <v>11.5</v>
      </c>
      <c r="AN298" s="215"/>
      <c r="AO298" s="194">
        <v>6300</v>
      </c>
      <c r="AP298" s="194">
        <v>11.5</v>
      </c>
      <c r="AR298" s="215"/>
      <c r="AS298" s="194">
        <v>7200</v>
      </c>
      <c r="AT298" s="194">
        <v>11</v>
      </c>
      <c r="AV298" s="215"/>
      <c r="AW298" s="194">
        <v>12800</v>
      </c>
      <c r="AX298" s="194">
        <v>12</v>
      </c>
      <c r="AZ298" s="215"/>
      <c r="BA298" s="194">
        <v>13600</v>
      </c>
      <c r="BB298" s="194">
        <v>11</v>
      </c>
      <c r="BD298" s="215"/>
      <c r="BE298" s="194">
        <v>9200</v>
      </c>
      <c r="BF298" s="194">
        <v>10</v>
      </c>
      <c r="BH298" s="215"/>
      <c r="BI298" s="194">
        <v>17900</v>
      </c>
      <c r="BJ298" s="194">
        <v>10</v>
      </c>
    </row>
    <row r="299" spans="32:62" ht="12" hidden="1" customHeight="1">
      <c r="AF299" s="215"/>
      <c r="AG299" s="194">
        <v>6300</v>
      </c>
      <c r="AH299" s="194">
        <v>13</v>
      </c>
      <c r="AJ299" s="215"/>
      <c r="AK299" s="194">
        <v>6100</v>
      </c>
      <c r="AL299" s="194">
        <v>12</v>
      </c>
      <c r="AN299" s="215"/>
      <c r="AO299" s="194">
        <v>8800</v>
      </c>
      <c r="AP299" s="194">
        <v>12</v>
      </c>
      <c r="AR299" s="215"/>
      <c r="AS299" s="194">
        <v>10400</v>
      </c>
      <c r="AT299" s="194">
        <v>11.5</v>
      </c>
      <c r="BD299" s="215"/>
      <c r="BE299" s="194">
        <v>24200</v>
      </c>
      <c r="BF299" s="194">
        <v>11</v>
      </c>
    </row>
    <row r="300" spans="32:62" ht="12" hidden="1" customHeight="1">
      <c r="AF300" s="215"/>
      <c r="AG300" s="194">
        <v>10800</v>
      </c>
      <c r="AH300" s="194">
        <v>14</v>
      </c>
      <c r="AJ300" s="215"/>
      <c r="AK300" s="194">
        <v>11100</v>
      </c>
      <c r="AL300" s="194">
        <v>13</v>
      </c>
      <c r="AN300" s="215"/>
      <c r="AO300" s="194">
        <v>16800</v>
      </c>
      <c r="AP300" s="194">
        <v>13</v>
      </c>
      <c r="AR300" s="215"/>
      <c r="AS300" s="194">
        <v>14900</v>
      </c>
      <c r="AT300" s="194">
        <v>12</v>
      </c>
    </row>
    <row r="303" spans="32:62" ht="12" hidden="1" customHeight="1">
      <c r="AG303" s="194" t="s">
        <v>310</v>
      </c>
      <c r="AH303" s="194" t="s">
        <v>311</v>
      </c>
      <c r="AK303" s="194" t="s">
        <v>310</v>
      </c>
      <c r="AL303" s="194" t="s">
        <v>311</v>
      </c>
      <c r="AO303" s="194" t="s">
        <v>310</v>
      </c>
      <c r="AP303" s="194" t="s">
        <v>311</v>
      </c>
      <c r="AS303" s="194" t="s">
        <v>310</v>
      </c>
      <c r="AT303" s="194" t="s">
        <v>311</v>
      </c>
      <c r="AW303" s="194" t="s">
        <v>310</v>
      </c>
      <c r="AX303" s="194" t="s">
        <v>311</v>
      </c>
      <c r="BA303" s="194" t="s">
        <v>310</v>
      </c>
      <c r="BB303" s="194" t="s">
        <v>311</v>
      </c>
      <c r="BE303" s="194" t="s">
        <v>310</v>
      </c>
      <c r="BF303" s="194" t="s">
        <v>311</v>
      </c>
      <c r="BI303" s="194" t="s">
        <v>310</v>
      </c>
      <c r="BJ303" s="194" t="s">
        <v>311</v>
      </c>
    </row>
    <row r="304" spans="32:62" ht="12" hidden="1" customHeight="1">
      <c r="AF304" s="215" t="s">
        <v>539</v>
      </c>
      <c r="AG304" s="194">
        <v>140</v>
      </c>
      <c r="AH304" s="194">
        <v>9</v>
      </c>
      <c r="AJ304" s="215" t="s">
        <v>540</v>
      </c>
      <c r="AK304" s="194">
        <v>120</v>
      </c>
      <c r="AL304" s="194">
        <v>8.5</v>
      </c>
      <c r="AN304" s="215" t="s">
        <v>541</v>
      </c>
      <c r="AO304" s="194">
        <v>340</v>
      </c>
      <c r="AP304" s="194">
        <v>8.5</v>
      </c>
      <c r="AR304" s="215" t="s">
        <v>542</v>
      </c>
      <c r="AS304" s="194">
        <v>270</v>
      </c>
      <c r="AT304" s="194">
        <v>8</v>
      </c>
      <c r="AV304" s="210" t="s">
        <v>543</v>
      </c>
      <c r="AW304" s="194">
        <v>330</v>
      </c>
      <c r="AX304" s="194">
        <v>8</v>
      </c>
      <c r="AZ304" s="215" t="s">
        <v>544</v>
      </c>
      <c r="BA304" s="194">
        <v>240</v>
      </c>
      <c r="BB304" s="194">
        <v>7.5</v>
      </c>
      <c r="BD304" s="215" t="s">
        <v>545</v>
      </c>
      <c r="BE304" s="194">
        <v>100</v>
      </c>
      <c r="BF304" s="194">
        <v>7</v>
      </c>
      <c r="BH304" s="215" t="s">
        <v>546</v>
      </c>
      <c r="BI304" s="194">
        <v>400</v>
      </c>
      <c r="BJ304" s="194">
        <v>7</v>
      </c>
    </row>
    <row r="305" spans="32:62" ht="12" hidden="1" customHeight="1">
      <c r="AF305" s="215"/>
      <c r="AG305" s="194">
        <v>570</v>
      </c>
      <c r="AH305" s="194">
        <v>9.5</v>
      </c>
      <c r="AJ305" s="215"/>
      <c r="AK305" s="194">
        <v>80</v>
      </c>
      <c r="AL305" s="194">
        <v>9</v>
      </c>
      <c r="AN305" s="215"/>
      <c r="AO305" s="194">
        <v>1100</v>
      </c>
      <c r="AP305" s="194">
        <v>9</v>
      </c>
      <c r="AR305" s="215"/>
      <c r="AS305" s="194">
        <v>990</v>
      </c>
      <c r="AT305" s="194">
        <v>8.5</v>
      </c>
      <c r="AV305" s="210"/>
      <c r="AW305" s="194">
        <v>720</v>
      </c>
      <c r="AX305" s="194">
        <v>8.5</v>
      </c>
      <c r="AZ305" s="215"/>
      <c r="BA305" s="194">
        <v>770</v>
      </c>
      <c r="BB305" s="194">
        <v>8</v>
      </c>
      <c r="BD305" s="215"/>
      <c r="BE305" s="194">
        <v>620</v>
      </c>
      <c r="BF305" s="194">
        <v>7.5</v>
      </c>
      <c r="BH305" s="215"/>
      <c r="BI305" s="194">
        <v>910</v>
      </c>
      <c r="BJ305" s="194">
        <v>7.5</v>
      </c>
    </row>
    <row r="306" spans="32:62" ht="12" hidden="1" customHeight="1">
      <c r="AF306" s="215"/>
      <c r="AG306" s="194">
        <v>1100</v>
      </c>
      <c r="AH306" s="194">
        <v>10</v>
      </c>
      <c r="AJ306" s="215"/>
      <c r="AK306" s="194">
        <v>1200</v>
      </c>
      <c r="AL306" s="194">
        <v>9.5</v>
      </c>
      <c r="AN306" s="215"/>
      <c r="AO306" s="194">
        <v>1600</v>
      </c>
      <c r="AP306" s="194">
        <v>9.5</v>
      </c>
      <c r="AR306" s="215"/>
      <c r="AS306" s="194">
        <v>1500</v>
      </c>
      <c r="AT306" s="194">
        <v>9</v>
      </c>
      <c r="AV306" s="210"/>
      <c r="AW306" s="194">
        <v>1100</v>
      </c>
      <c r="AX306" s="194">
        <v>9</v>
      </c>
      <c r="AZ306" s="215"/>
      <c r="BA306" s="194">
        <v>1300</v>
      </c>
      <c r="BB306" s="194">
        <v>8.5</v>
      </c>
      <c r="BD306" s="215"/>
      <c r="BE306" s="194">
        <v>1100</v>
      </c>
      <c r="BF306" s="194">
        <v>8</v>
      </c>
      <c r="BH306" s="215"/>
      <c r="BI306" s="194">
        <v>1700</v>
      </c>
      <c r="BJ306" s="194">
        <v>8</v>
      </c>
    </row>
    <row r="307" spans="32:62" ht="12" hidden="1" customHeight="1">
      <c r="AF307" s="215"/>
      <c r="AG307" s="194">
        <v>1500</v>
      </c>
      <c r="AH307" s="194">
        <v>10.5</v>
      </c>
      <c r="AJ307" s="215"/>
      <c r="AK307" s="194">
        <v>1700</v>
      </c>
      <c r="AL307" s="194">
        <v>10</v>
      </c>
      <c r="AN307" s="215"/>
      <c r="AO307" s="194">
        <v>2200</v>
      </c>
      <c r="AP307" s="194">
        <v>10</v>
      </c>
      <c r="AR307" s="215"/>
      <c r="AS307" s="194">
        <v>2300</v>
      </c>
      <c r="AT307" s="194">
        <v>9.5</v>
      </c>
      <c r="AV307" s="210"/>
      <c r="AW307" s="194">
        <v>1700</v>
      </c>
      <c r="AX307" s="194">
        <v>9.5</v>
      </c>
      <c r="AZ307" s="215"/>
      <c r="BA307" s="194">
        <v>2100</v>
      </c>
      <c r="BB307" s="194">
        <v>9</v>
      </c>
      <c r="BD307" s="215"/>
      <c r="BE307" s="194">
        <v>1900</v>
      </c>
      <c r="BF307" s="194">
        <v>8.5</v>
      </c>
      <c r="BH307" s="215"/>
      <c r="BI307" s="194">
        <v>3100</v>
      </c>
      <c r="BJ307" s="194">
        <v>8.5</v>
      </c>
    </row>
    <row r="308" spans="32:62" ht="12" hidden="1" customHeight="1">
      <c r="AF308" s="215"/>
      <c r="AG308" s="194">
        <v>2000</v>
      </c>
      <c r="AH308" s="194">
        <v>11</v>
      </c>
      <c r="AJ308" s="215"/>
      <c r="AK308" s="194">
        <v>2300</v>
      </c>
      <c r="AL308" s="194">
        <v>10.5</v>
      </c>
      <c r="AN308" s="215"/>
      <c r="AO308" s="194">
        <v>3200</v>
      </c>
      <c r="AP308" s="194">
        <v>10.5</v>
      </c>
      <c r="AR308" s="215"/>
      <c r="AS308" s="194">
        <v>3400</v>
      </c>
      <c r="AT308" s="194">
        <v>10</v>
      </c>
      <c r="AV308" s="210"/>
      <c r="AW308" s="194">
        <v>2600</v>
      </c>
      <c r="AX308" s="194">
        <v>10</v>
      </c>
      <c r="AZ308" s="215"/>
      <c r="BA308" s="194">
        <v>3400</v>
      </c>
      <c r="BB308" s="194">
        <v>9.5</v>
      </c>
      <c r="BD308" s="215"/>
      <c r="BE308" s="194">
        <v>3200</v>
      </c>
      <c r="BF308" s="194">
        <v>9</v>
      </c>
      <c r="BH308" s="215"/>
      <c r="BI308" s="194">
        <v>5700</v>
      </c>
      <c r="BJ308" s="194">
        <v>9</v>
      </c>
    </row>
    <row r="309" spans="32:62" ht="12" hidden="1" customHeight="1">
      <c r="AF309" s="215"/>
      <c r="AG309" s="194">
        <v>2700</v>
      </c>
      <c r="AH309" s="194">
        <v>11.5</v>
      </c>
      <c r="AJ309" s="215"/>
      <c r="AK309" s="194">
        <v>3300</v>
      </c>
      <c r="AL309" s="194">
        <v>11</v>
      </c>
      <c r="AN309" s="215"/>
      <c r="AO309" s="194">
        <v>4500</v>
      </c>
      <c r="AP309" s="194">
        <v>11</v>
      </c>
      <c r="AR309" s="215"/>
      <c r="AS309" s="194">
        <v>4900</v>
      </c>
      <c r="AT309" s="194">
        <v>10.5</v>
      </c>
      <c r="AV309" s="210"/>
      <c r="AW309" s="194">
        <v>5900</v>
      </c>
      <c r="AX309" s="194">
        <v>11</v>
      </c>
      <c r="AZ309" s="215"/>
      <c r="BA309" s="194">
        <v>5500</v>
      </c>
      <c r="BB309" s="194">
        <v>10</v>
      </c>
      <c r="BD309" s="215"/>
      <c r="BE309" s="194">
        <v>5500</v>
      </c>
      <c r="BF309" s="194">
        <v>9.5</v>
      </c>
      <c r="BH309" s="215"/>
      <c r="BI309" s="194">
        <v>10200</v>
      </c>
      <c r="BJ309" s="194">
        <v>9.5</v>
      </c>
    </row>
    <row r="310" spans="32:62" ht="12" hidden="1" customHeight="1">
      <c r="AF310" s="215"/>
      <c r="AG310" s="194">
        <v>3600</v>
      </c>
      <c r="AH310" s="194">
        <v>12</v>
      </c>
      <c r="AJ310" s="215"/>
      <c r="AK310" s="194">
        <v>4500</v>
      </c>
      <c r="AL310" s="194">
        <v>11.5</v>
      </c>
      <c r="AN310" s="215"/>
      <c r="AO310" s="194">
        <v>6300</v>
      </c>
      <c r="AP310" s="194">
        <v>11.5</v>
      </c>
      <c r="AR310" s="215"/>
      <c r="AS310" s="194">
        <v>7200</v>
      </c>
      <c r="AT310" s="194">
        <v>11</v>
      </c>
      <c r="AV310" s="210"/>
      <c r="AW310" s="194">
        <v>12800</v>
      </c>
      <c r="AX310" s="194">
        <v>12</v>
      </c>
      <c r="AZ310" s="215"/>
      <c r="BA310" s="194">
        <v>16600</v>
      </c>
      <c r="BB310" s="194">
        <v>11</v>
      </c>
      <c r="BD310" s="215"/>
      <c r="BE310" s="194">
        <v>9200</v>
      </c>
      <c r="BF310" s="194">
        <v>10</v>
      </c>
      <c r="BH310" s="215"/>
      <c r="BI310" s="194">
        <v>17900</v>
      </c>
      <c r="BJ310" s="194">
        <v>10</v>
      </c>
    </row>
    <row r="311" spans="32:62" ht="12" hidden="1" customHeight="1">
      <c r="AF311" s="215"/>
      <c r="AG311" s="194">
        <v>6300</v>
      </c>
      <c r="AH311" s="194">
        <v>13</v>
      </c>
      <c r="AJ311" s="215"/>
      <c r="AK311" s="194">
        <v>6100</v>
      </c>
      <c r="AL311" s="194">
        <v>12</v>
      </c>
      <c r="AN311" s="215"/>
      <c r="AO311" s="194">
        <v>8800</v>
      </c>
      <c r="AP311" s="194">
        <v>12</v>
      </c>
      <c r="AR311" s="215"/>
      <c r="AS311" s="194">
        <v>10400</v>
      </c>
      <c r="AT311" s="194">
        <v>11.5</v>
      </c>
      <c r="BD311" s="215"/>
      <c r="BE311" s="194">
        <v>24200</v>
      </c>
      <c r="BF311" s="194">
        <v>11</v>
      </c>
    </row>
    <row r="312" spans="32:62" ht="12" hidden="1" customHeight="1">
      <c r="AF312" s="215"/>
      <c r="AG312" s="194">
        <v>10800</v>
      </c>
      <c r="AH312" s="194">
        <v>14</v>
      </c>
      <c r="AJ312" s="215"/>
      <c r="AK312" s="194">
        <v>11100</v>
      </c>
      <c r="AL312" s="194">
        <v>13</v>
      </c>
      <c r="AN312" s="215"/>
      <c r="AO312" s="194">
        <v>16800</v>
      </c>
      <c r="AP312" s="194">
        <v>13</v>
      </c>
      <c r="AR312" s="215"/>
      <c r="AS312" s="194">
        <v>14900</v>
      </c>
      <c r="AT312" s="194">
        <v>12</v>
      </c>
    </row>
  </sheetData>
  <sheetProtection algorithmName="SHA-512" hashValue="uJzQPDWwx/YoynxIykNEKoFHbIPrWziiLMqNWUB/dPUBZZQXhu8rpdXtRbs8BnIIhxSMRJq0dexjxIKQ3yfudA==" saltValue="bD3ZW4RZyoZGcBhR0ClptA==" spinCount="100000" sheet="1" objects="1" scenarios="1" selectLockedCells="1"/>
  <mergeCells count="30">
    <mergeCell ref="D11:K11"/>
    <mergeCell ref="A1:I7"/>
    <mergeCell ref="B46:F48"/>
    <mergeCell ref="G24:J25"/>
    <mergeCell ref="D15:H16"/>
    <mergeCell ref="B20:E22"/>
    <mergeCell ref="G20:J22"/>
    <mergeCell ref="G27:J28"/>
    <mergeCell ref="B32:E34"/>
    <mergeCell ref="G32:J34"/>
    <mergeCell ref="G36:J37"/>
    <mergeCell ref="G39:J40"/>
    <mergeCell ref="G42:J43"/>
    <mergeCell ref="G46:J48"/>
    <mergeCell ref="G72:J74"/>
    <mergeCell ref="G56:J57"/>
    <mergeCell ref="B51:E53"/>
    <mergeCell ref="G51:J53"/>
    <mergeCell ref="G65:J67"/>
    <mergeCell ref="G60:J62"/>
    <mergeCell ref="B56:E57"/>
    <mergeCell ref="B87:E89"/>
    <mergeCell ref="G87:J89"/>
    <mergeCell ref="A103:F104"/>
    <mergeCell ref="G103:J104"/>
    <mergeCell ref="B77:E79"/>
    <mergeCell ref="G77:J79"/>
    <mergeCell ref="B82:E84"/>
    <mergeCell ref="G82:J84"/>
    <mergeCell ref="G99:J100"/>
  </mergeCells>
  <dataValidations count="11">
    <dataValidation type="list" allowBlank="1" showInputMessage="1" showErrorMessage="1" sqref="G72" xr:uid="{00000000-0002-0000-0900-000000000000}">
      <formula1>modulo_rotura</formula1>
    </dataValidation>
    <dataValidation type="list" allowBlank="1" showInputMessage="1" showErrorMessage="1" sqref="G77" xr:uid="{00000000-0002-0000-0900-000001000000}">
      <formula1>Condicion_Refuerzo</formula1>
    </dataValidation>
    <dataValidation type="list" allowBlank="1" showInputMessage="1" showErrorMessage="1" sqref="G65" xr:uid="{00000000-0002-0000-0900-000002000000}">
      <formula1>Condicion_borde</formula1>
    </dataValidation>
    <dataValidation type="list" allowBlank="1" showInputMessage="1" showErrorMessage="1" sqref="G60" xr:uid="{00000000-0002-0000-0900-000003000000}">
      <formula1>Condicion_juntas</formula1>
    </dataValidation>
    <dataValidation type="list" allowBlank="1" showInputMessage="1" showErrorMessage="1" sqref="G46" xr:uid="{00000000-0002-0000-0900-000004000000}">
      <formula1>Condiciones_soporte</formula1>
    </dataValidation>
    <dataValidation type="decimal" allowBlank="1" showInputMessage="1" showErrorMessage="1" error="El espesor de la subbase debe estar entre 4 y 12 pulgadas (100 y 300 mm)" sqref="G51" xr:uid="{00000000-0002-0000-0900-000005000000}">
      <formula1>4</formula1>
      <formula2>12</formula2>
    </dataValidation>
    <dataValidation type="list" allowBlank="1" showInputMessage="1" showErrorMessage="1" sqref="B20" xr:uid="{00000000-0002-0000-0900-000006000000}">
      <formula1>Categoría_eje_carga</formula1>
    </dataValidation>
    <dataValidation allowBlank="1" showInputMessage="1" showErrorMessage="1" sqref="H49:H50 F49:F50 H54 F54" xr:uid="{00000000-0002-0000-0900-000007000000}"/>
    <dataValidation type="list" allowBlank="1" showInputMessage="1" showErrorMessage="1" sqref="B32" xr:uid="{00000000-0002-0000-0900-000008000000}">
      <formula1>Soporte</formula1>
    </dataValidation>
    <dataValidation type="decimal" allowBlank="1" showInputMessage="1" showErrorMessage="1" sqref="G82:J84" xr:uid="{00000000-0002-0000-0900-000009000000}">
      <formula1>3</formula1>
      <formula2>4</formula2>
    </dataValidation>
    <dataValidation type="decimal" operator="greaterThan" showInputMessage="1" showErrorMessage="1" sqref="D15:H16" xr:uid="{00000000-0002-0000-0900-00000A000000}">
      <formula1>0</formula1>
    </dataValidation>
  </dataValidations>
  <printOptions horizontalCentered="1"/>
  <pageMargins left="0.70866141732283472" right="0.70866141732283472" top="0.74803149606299213" bottom="0.74803149606299213" header="0.31496062992125984" footer="0.31496062992125984"/>
  <pageSetup scale="51" orientation="portrait" r:id="rId1"/>
  <headerFooter>
    <oddFooter>&amp;CLA MARCA FIBRAPLAS CONCRETE® SON DE USO EXCLUSIVO DE LA EMPRESA ECOPLAS S.A.S.</oddFooter>
  </headerFooter>
  <rowBreaks count="1" manualBreakCount="1">
    <brk id="67"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Hoja4.Selecc_Espesor">
                <anchor moveWithCells="1" sizeWithCells="1">
                  <from>
                    <xdr:col>3</xdr:col>
                    <xdr:colOff>447675</xdr:colOff>
                    <xdr:row>91</xdr:row>
                    <xdr:rowOff>38100</xdr:rowOff>
                  </from>
                  <to>
                    <xdr:col>7</xdr:col>
                    <xdr:colOff>114300</xdr:colOff>
                    <xdr:row>95</xdr:row>
                    <xdr:rowOff>123825</xdr:rowOff>
                  </to>
                </anchor>
              </controlPr>
            </control>
          </mc:Choice>
        </mc:AlternateContent>
        <mc:AlternateContent xmlns:mc="http://schemas.openxmlformats.org/markup-compatibility/2006">
          <mc:Choice Requires="x14">
            <control shapeId="19460" r:id="rId5" name="Button 4">
              <controlPr defaultSize="0" print="0" autoFill="0" autoPict="0" macro="[0]!Menu_Select">
                <anchor moveWithCells="1" sizeWithCells="1">
                  <from>
                    <xdr:col>4</xdr:col>
                    <xdr:colOff>495300</xdr:colOff>
                    <xdr:row>7</xdr:row>
                    <xdr:rowOff>66675</xdr:rowOff>
                  </from>
                  <to>
                    <xdr:col>6</xdr:col>
                    <xdr:colOff>266700</xdr:colOff>
                    <xdr:row>9</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tabColor theme="2" tint="-0.499984740745262"/>
  </sheetPr>
  <dimension ref="A1:AB1195"/>
  <sheetViews>
    <sheetView showGridLines="0" showRowColHeaders="0" view="pageBreakPreview" topLeftCell="C1" zoomScaleNormal="98" zoomScaleSheetLayoutView="100" workbookViewId="0">
      <selection activeCell="G58" sqref="G58:I59"/>
    </sheetView>
  </sheetViews>
  <sheetFormatPr baseColWidth="10" defaultColWidth="0" defaultRowHeight="0" customHeight="1" zeroHeight="1"/>
  <cols>
    <col min="1" max="1" width="6" style="256" customWidth="1"/>
    <col min="2" max="2" width="13" style="256" customWidth="1"/>
    <col min="3" max="4" width="16" style="256" customWidth="1"/>
    <col min="5" max="5" width="16.85546875" style="256" customWidth="1"/>
    <col min="6" max="6" width="11.5703125" style="256" customWidth="1"/>
    <col min="7" max="9" width="16" style="256" customWidth="1"/>
    <col min="10" max="10" width="15.42578125" style="256" customWidth="1"/>
    <col min="11" max="28" width="0" style="256" hidden="1" customWidth="1"/>
    <col min="29" max="16384" width="16" style="256" hidden="1"/>
  </cols>
  <sheetData>
    <row r="1" spans="1:11" ht="14.25" customHeight="1">
      <c r="A1" s="487" t="s">
        <v>579</v>
      </c>
      <c r="B1" s="487"/>
      <c r="C1" s="487"/>
      <c r="D1" s="487"/>
      <c r="E1" s="487"/>
      <c r="F1" s="487"/>
      <c r="G1" s="487"/>
      <c r="H1" s="487"/>
      <c r="I1" s="255"/>
      <c r="J1" s="193"/>
    </row>
    <row r="2" spans="1:11" ht="14.25" customHeight="1">
      <c r="A2" s="487"/>
      <c r="B2" s="487"/>
      <c r="C2" s="487"/>
      <c r="D2" s="487"/>
      <c r="E2" s="487"/>
      <c r="F2" s="487"/>
      <c r="G2" s="487"/>
      <c r="H2" s="487"/>
      <c r="I2" s="255"/>
      <c r="J2" s="193"/>
    </row>
    <row r="3" spans="1:11" ht="15" customHeight="1">
      <c r="A3" s="487"/>
      <c r="B3" s="487"/>
      <c r="C3" s="487"/>
      <c r="D3" s="487"/>
      <c r="E3" s="487"/>
      <c r="F3" s="487"/>
      <c r="G3" s="487"/>
      <c r="H3" s="487"/>
      <c r="I3" s="255"/>
      <c r="J3" s="193"/>
    </row>
    <row r="4" spans="1:11" ht="15" customHeight="1">
      <c r="A4" s="487"/>
      <c r="B4" s="487"/>
      <c r="C4" s="487"/>
      <c r="D4" s="487"/>
      <c r="E4" s="487"/>
      <c r="F4" s="487"/>
      <c r="G4" s="487"/>
      <c r="H4" s="487"/>
      <c r="I4" s="255"/>
      <c r="J4" s="193"/>
    </row>
    <row r="5" spans="1:11" ht="15" customHeight="1">
      <c r="A5" s="487"/>
      <c r="B5" s="487"/>
      <c r="C5" s="487"/>
      <c r="D5" s="487"/>
      <c r="E5" s="487"/>
      <c r="F5" s="487"/>
      <c r="G5" s="487"/>
      <c r="H5" s="487"/>
      <c r="I5" s="255"/>
      <c r="J5" s="193"/>
    </row>
    <row r="6" spans="1:11" ht="15" customHeight="1">
      <c r="A6" s="487"/>
      <c r="B6" s="487"/>
      <c r="C6" s="487"/>
      <c r="D6" s="487"/>
      <c r="E6" s="487"/>
      <c r="F6" s="487"/>
      <c r="G6" s="487"/>
      <c r="H6" s="487"/>
      <c r="I6" s="255"/>
      <c r="J6" s="193"/>
    </row>
    <row r="7" spans="1:11" ht="15.75" customHeight="1">
      <c r="A7" s="487"/>
      <c r="B7" s="487"/>
      <c r="C7" s="487"/>
      <c r="D7" s="487"/>
      <c r="E7" s="487"/>
      <c r="F7" s="487"/>
      <c r="G7" s="487"/>
      <c r="H7" s="487"/>
      <c r="I7" s="255"/>
      <c r="J7" s="193"/>
    </row>
    <row r="8" spans="1:11" s="258" customFormat="1" ht="15.75" customHeight="1">
      <c r="A8" s="257"/>
      <c r="B8" s="257"/>
      <c r="C8" s="257"/>
      <c r="D8" s="257"/>
      <c r="E8" s="257"/>
      <c r="F8" s="257"/>
      <c r="G8" s="257"/>
      <c r="H8" s="257"/>
      <c r="I8" s="257"/>
      <c r="J8" s="196"/>
    </row>
    <row r="9" spans="1:11" s="258" customFormat="1" ht="15.75" customHeight="1">
      <c r="A9" s="257"/>
      <c r="B9" s="257"/>
      <c r="C9" s="257"/>
      <c r="D9" s="257"/>
      <c r="E9" s="257"/>
      <c r="F9" s="257"/>
      <c r="G9" s="257"/>
      <c r="H9" s="257"/>
      <c r="I9" s="257"/>
      <c r="J9" s="196"/>
    </row>
    <row r="10" spans="1:11" s="258" customFormat="1" ht="15.75" customHeight="1">
      <c r="A10" s="257"/>
      <c r="B10" s="257"/>
      <c r="C10" s="257"/>
      <c r="D10" s="257"/>
      <c r="E10" s="257"/>
      <c r="F10" s="257"/>
      <c r="G10" s="257"/>
      <c r="H10" s="257"/>
      <c r="I10" s="257"/>
      <c r="J10" s="196"/>
    </row>
    <row r="11" spans="1:11" s="258" customFormat="1" ht="15.75" customHeight="1">
      <c r="A11" s="257"/>
      <c r="B11" s="257"/>
      <c r="C11" s="257"/>
      <c r="D11" s="257"/>
      <c r="E11" s="257"/>
      <c r="F11" s="257"/>
      <c r="G11" s="257"/>
      <c r="H11" s="257"/>
      <c r="I11" s="257"/>
      <c r="J11" s="196"/>
    </row>
    <row r="12" spans="1:11" s="258" customFormat="1" ht="15.75" customHeight="1">
      <c r="A12" s="198" t="s">
        <v>283</v>
      </c>
      <c r="B12" s="198"/>
      <c r="C12" s="198"/>
      <c r="D12" s="484"/>
      <c r="E12" s="485"/>
      <c r="F12" s="485"/>
      <c r="G12" s="485"/>
      <c r="H12" s="485"/>
      <c r="I12" s="485"/>
      <c r="J12" s="486"/>
    </row>
    <row r="13" spans="1:11" s="258" customFormat="1" ht="15.75" customHeight="1">
      <c r="A13" s="257"/>
      <c r="B13" s="257"/>
      <c r="C13" s="257"/>
      <c r="D13" s="257"/>
      <c r="E13" s="257"/>
      <c r="F13" s="257"/>
      <c r="G13" s="257"/>
      <c r="H13" s="257"/>
      <c r="I13" s="257"/>
      <c r="J13" s="196"/>
    </row>
    <row r="14" spans="1:11" ht="19.5" customHeight="1">
      <c r="A14" s="519" t="s">
        <v>549</v>
      </c>
      <c r="B14" s="519"/>
      <c r="C14" s="519"/>
      <c r="D14" s="519"/>
      <c r="E14" s="519"/>
      <c r="F14" s="519"/>
      <c r="G14" s="519"/>
      <c r="H14" s="519"/>
      <c r="I14" s="519"/>
    </row>
    <row r="15" spans="1:11" ht="27.75" customHeight="1">
      <c r="A15" s="259"/>
      <c r="B15" s="259"/>
      <c r="C15" s="259"/>
      <c r="E15" s="545">
        <v>200000</v>
      </c>
      <c r="F15" s="546"/>
      <c r="G15" s="547"/>
      <c r="H15" s="260"/>
      <c r="I15" s="259"/>
      <c r="J15" s="261"/>
      <c r="K15" s="262"/>
    </row>
    <row r="16" spans="1:11" ht="20.25" customHeight="1">
      <c r="A16" s="259"/>
      <c r="B16" s="259"/>
      <c r="C16" s="259"/>
      <c r="I16" s="259"/>
      <c r="J16" s="263"/>
    </row>
    <row r="17" spans="2:10" ht="15" customHeight="1">
      <c r="J17" s="263"/>
    </row>
    <row r="18" spans="2:10" ht="21" customHeight="1">
      <c r="B18" s="520" t="s">
        <v>550</v>
      </c>
      <c r="C18" s="520"/>
      <c r="D18" s="520"/>
      <c r="E18" s="520"/>
      <c r="F18" s="264"/>
      <c r="G18" s="531">
        <v>150</v>
      </c>
      <c r="H18" s="532"/>
      <c r="I18" s="533"/>
    </row>
    <row r="19" spans="2:10" ht="21" customHeight="1">
      <c r="B19" s="520"/>
      <c r="C19" s="520"/>
      <c r="D19" s="520"/>
      <c r="E19" s="520"/>
      <c r="F19" s="264"/>
      <c r="G19" s="534"/>
      <c r="H19" s="535"/>
      <c r="I19" s="536"/>
    </row>
    <row r="20" spans="2:10" ht="12.75" customHeight="1">
      <c r="B20" s="265"/>
      <c r="C20" s="265"/>
      <c r="D20" s="265"/>
      <c r="E20" s="265"/>
      <c r="G20" s="260"/>
      <c r="H20" s="260"/>
      <c r="I20" s="260"/>
    </row>
    <row r="21" spans="2:10" ht="15.75">
      <c r="B21" s="266"/>
      <c r="C21" s="266"/>
      <c r="D21" s="266"/>
      <c r="E21" s="266"/>
      <c r="F21" s="266"/>
      <c r="G21" s="266"/>
      <c r="H21" s="266"/>
      <c r="I21" s="266"/>
    </row>
    <row r="22" spans="2:10" ht="15.75">
      <c r="B22" s="266"/>
      <c r="C22" s="266"/>
      <c r="D22" s="266"/>
      <c r="E22" s="266"/>
      <c r="F22" s="266"/>
      <c r="G22" s="266"/>
      <c r="H22" s="266"/>
      <c r="I22" s="266"/>
    </row>
    <row r="23" spans="2:10" ht="21" customHeight="1">
      <c r="B23" s="520" t="s">
        <v>551</v>
      </c>
      <c r="C23" s="520"/>
      <c r="D23" s="520"/>
      <c r="E23" s="520"/>
      <c r="F23" s="264"/>
      <c r="G23" s="513">
        <v>4000000</v>
      </c>
      <c r="H23" s="514"/>
      <c r="I23" s="515"/>
    </row>
    <row r="24" spans="2:10" ht="21" customHeight="1">
      <c r="B24" s="520"/>
      <c r="C24" s="520"/>
      <c r="D24" s="520"/>
      <c r="E24" s="520"/>
      <c r="F24" s="264"/>
      <c r="G24" s="516"/>
      <c r="H24" s="517"/>
      <c r="I24" s="518"/>
    </row>
    <row r="25" spans="2:10" ht="12.75" customHeight="1">
      <c r="B25" s="265"/>
      <c r="C25" s="265"/>
      <c r="D25" s="265"/>
      <c r="E25" s="265"/>
      <c r="G25" s="260"/>
      <c r="H25" s="260"/>
      <c r="I25" s="260"/>
    </row>
    <row r="26" spans="2:10" ht="12" customHeight="1"/>
    <row r="27" spans="2:10" ht="12" customHeight="1"/>
    <row r="28" spans="2:10" ht="12" customHeight="1">
      <c r="B28" s="543" t="s">
        <v>577</v>
      </c>
      <c r="C28" s="543"/>
      <c r="D28" s="543"/>
      <c r="E28" s="543"/>
      <c r="F28" s="264"/>
      <c r="G28" s="531">
        <v>4</v>
      </c>
      <c r="H28" s="532"/>
      <c r="I28" s="533"/>
    </row>
    <row r="29" spans="2:10" ht="12" customHeight="1">
      <c r="B29" s="543"/>
      <c r="C29" s="543"/>
      <c r="D29" s="543"/>
      <c r="E29" s="543"/>
      <c r="F29" s="264"/>
      <c r="G29" s="534"/>
      <c r="H29" s="535"/>
      <c r="I29" s="536"/>
    </row>
    <row r="30" spans="2:10" ht="12" customHeight="1">
      <c r="B30" s="265"/>
      <c r="C30" s="265"/>
      <c r="D30" s="265"/>
      <c r="E30" s="265"/>
      <c r="G30" s="260"/>
      <c r="H30" s="260"/>
      <c r="I30" s="260"/>
    </row>
    <row r="31" spans="2:10" ht="12" customHeight="1">
      <c r="B31" s="520"/>
      <c r="C31" s="520"/>
      <c r="D31" s="520"/>
      <c r="E31" s="520"/>
      <c r="F31" s="264"/>
      <c r="G31" s="521"/>
      <c r="H31" s="521"/>
      <c r="I31" s="521"/>
    </row>
    <row r="32" spans="2:10" ht="12" customHeight="1"/>
    <row r="33" spans="1:10" ht="14.25" customHeight="1">
      <c r="B33" s="520" t="s">
        <v>548</v>
      </c>
      <c r="C33" s="520"/>
      <c r="D33" s="520"/>
      <c r="E33" s="520"/>
      <c r="F33" s="264"/>
      <c r="G33" s="522">
        <v>181.74993027852094</v>
      </c>
      <c r="H33" s="522"/>
      <c r="I33" s="522"/>
    </row>
    <row r="34" spans="1:10" ht="24.75" customHeight="1">
      <c r="B34" s="520"/>
      <c r="C34" s="520"/>
      <c r="D34" s="520"/>
      <c r="E34" s="520"/>
      <c r="F34" s="264"/>
      <c r="G34" s="522"/>
      <c r="H34" s="522"/>
      <c r="I34" s="522"/>
    </row>
    <row r="35" spans="1:10" ht="12" customHeight="1">
      <c r="B35" s="265"/>
      <c r="C35" s="265"/>
      <c r="D35" s="265"/>
      <c r="E35" s="265"/>
      <c r="G35" s="260"/>
      <c r="H35" s="260"/>
      <c r="I35" s="260"/>
    </row>
    <row r="36" spans="1:10" ht="12.75" customHeight="1">
      <c r="J36" s="263"/>
    </row>
    <row r="37" spans="1:10" ht="20.25" customHeight="1">
      <c r="A37" s="519"/>
      <c r="B37" s="519"/>
      <c r="C37" s="519"/>
      <c r="D37" s="519"/>
      <c r="E37" s="519"/>
      <c r="F37" s="519"/>
      <c r="G37" s="519"/>
      <c r="H37" s="519"/>
      <c r="I37" s="519"/>
      <c r="J37" s="267"/>
    </row>
    <row r="38" spans="1:10" ht="18.75" customHeight="1">
      <c r="B38" s="512" t="s">
        <v>552</v>
      </c>
      <c r="C38" s="512"/>
      <c r="D38" s="512"/>
      <c r="E38" s="512"/>
      <c r="F38" s="264"/>
      <c r="G38" s="513">
        <v>110</v>
      </c>
      <c r="H38" s="514"/>
      <c r="I38" s="515"/>
      <c r="J38" s="511"/>
    </row>
    <row r="39" spans="1:10" ht="18.75" customHeight="1">
      <c r="B39" s="512"/>
      <c r="C39" s="512"/>
      <c r="D39" s="512"/>
      <c r="E39" s="512"/>
      <c r="F39" s="264"/>
      <c r="G39" s="516"/>
      <c r="H39" s="517"/>
      <c r="I39" s="518"/>
      <c r="J39" s="511"/>
    </row>
    <row r="40" spans="1:10" ht="18.75" customHeight="1">
      <c r="B40" s="265"/>
      <c r="C40" s="265"/>
      <c r="D40" s="265"/>
      <c r="E40" s="265"/>
      <c r="G40" s="260"/>
      <c r="H40" s="260"/>
      <c r="I40" s="260"/>
      <c r="J40" s="267"/>
    </row>
    <row r="41" spans="1:10" ht="14.25" customHeight="1">
      <c r="B41" s="520"/>
      <c r="C41" s="520"/>
      <c r="D41" s="520"/>
      <c r="E41" s="520"/>
      <c r="F41" s="264"/>
      <c r="G41" s="521"/>
      <c r="H41" s="521"/>
      <c r="I41" s="521"/>
      <c r="J41" s="266"/>
    </row>
    <row r="42" spans="1:10" ht="21">
      <c r="A42" s="264"/>
      <c r="B42" s="264"/>
      <c r="C42" s="264"/>
      <c r="D42" s="264"/>
      <c r="E42" s="264"/>
      <c r="F42" s="264"/>
      <c r="G42" s="264"/>
      <c r="H42" s="264"/>
      <c r="I42" s="264"/>
    </row>
    <row r="43" spans="1:10" ht="21" customHeight="1">
      <c r="A43" s="264"/>
      <c r="B43" s="512" t="s">
        <v>553</v>
      </c>
      <c r="C43" s="512"/>
      <c r="D43" s="512"/>
      <c r="E43" s="512"/>
      <c r="F43" s="264"/>
      <c r="G43" s="531">
        <v>85</v>
      </c>
      <c r="H43" s="532"/>
      <c r="I43" s="533"/>
    </row>
    <row r="44" spans="1:10" ht="21" customHeight="1">
      <c r="A44" s="264"/>
      <c r="B44" s="512"/>
      <c r="C44" s="512"/>
      <c r="D44" s="512"/>
      <c r="E44" s="512"/>
      <c r="F44" s="264"/>
      <c r="G44" s="534"/>
      <c r="H44" s="535"/>
      <c r="I44" s="536"/>
    </row>
    <row r="45" spans="1:10" ht="12.75" customHeight="1">
      <c r="B45" s="265"/>
      <c r="C45" s="265"/>
      <c r="D45" s="265"/>
      <c r="E45" s="265"/>
      <c r="G45" s="260"/>
      <c r="H45" s="260"/>
      <c r="I45" s="260"/>
    </row>
    <row r="46" spans="1:10" ht="12" customHeight="1"/>
    <row r="47" spans="1:10" ht="12" customHeight="1"/>
    <row r="48" spans="1:10" ht="19.5" customHeight="1">
      <c r="B48" s="512" t="s">
        <v>554</v>
      </c>
      <c r="C48" s="512"/>
      <c r="D48" s="512"/>
      <c r="E48" s="512"/>
      <c r="F48" s="264"/>
      <c r="G48" s="537">
        <v>0.35</v>
      </c>
      <c r="H48" s="538"/>
      <c r="I48" s="539"/>
    </row>
    <row r="49" spans="1:9" ht="19.5" customHeight="1">
      <c r="B49" s="512"/>
      <c r="C49" s="512"/>
      <c r="D49" s="512"/>
      <c r="E49" s="512"/>
      <c r="F49" s="264"/>
      <c r="G49" s="540"/>
      <c r="H49" s="541"/>
      <c r="I49" s="542"/>
    </row>
    <row r="50" spans="1:9" ht="12" customHeight="1">
      <c r="B50" s="265"/>
      <c r="C50" s="265"/>
      <c r="D50" s="265"/>
      <c r="E50" s="265"/>
      <c r="G50" s="260"/>
      <c r="H50" s="260"/>
      <c r="I50" s="260"/>
    </row>
    <row r="51" spans="1:9" ht="15.75">
      <c r="A51" s="266"/>
      <c r="B51" s="266"/>
      <c r="C51" s="266"/>
      <c r="D51" s="266"/>
      <c r="E51" s="266"/>
      <c r="F51" s="266"/>
      <c r="G51" s="266"/>
      <c r="H51" s="266"/>
      <c r="I51" s="266"/>
    </row>
    <row r="52" spans="1:9" ht="15.75">
      <c r="A52" s="266"/>
      <c r="B52" s="266"/>
      <c r="C52" s="266"/>
      <c r="D52" s="266"/>
      <c r="E52" s="266"/>
      <c r="F52" s="266"/>
      <c r="G52" s="266"/>
      <c r="H52" s="266"/>
      <c r="I52" s="266"/>
    </row>
    <row r="53" spans="1:9" ht="19.5" customHeight="1">
      <c r="A53" s="266"/>
      <c r="B53" s="512" t="s">
        <v>555</v>
      </c>
      <c r="C53" s="512"/>
      <c r="D53" s="512"/>
      <c r="E53" s="512"/>
      <c r="F53" s="264"/>
      <c r="G53" s="531">
        <v>3.2</v>
      </c>
      <c r="H53" s="532"/>
      <c r="I53" s="533"/>
    </row>
    <row r="54" spans="1:9" ht="19.5" customHeight="1">
      <c r="A54" s="266"/>
      <c r="B54" s="512"/>
      <c r="C54" s="512"/>
      <c r="D54" s="512"/>
      <c r="E54" s="512"/>
      <c r="F54" s="264"/>
      <c r="G54" s="534"/>
      <c r="H54" s="535"/>
      <c r="I54" s="536"/>
    </row>
    <row r="55" spans="1:9" ht="15" customHeight="1">
      <c r="A55" s="266"/>
      <c r="B55" s="265"/>
      <c r="C55" s="265"/>
      <c r="D55" s="265"/>
      <c r="E55" s="265"/>
      <c r="G55" s="260"/>
      <c r="H55" s="260"/>
      <c r="I55" s="260"/>
    </row>
    <row r="56" spans="1:9" ht="15.75">
      <c r="A56" s="266"/>
      <c r="B56" s="266"/>
      <c r="C56" s="266"/>
      <c r="D56" s="266"/>
      <c r="E56" s="266"/>
      <c r="F56" s="266"/>
      <c r="G56" s="266"/>
      <c r="H56" s="266"/>
      <c r="I56" s="266"/>
    </row>
    <row r="57" spans="1:9" ht="15.75">
      <c r="A57" s="266"/>
      <c r="B57" s="266"/>
      <c r="C57" s="266"/>
      <c r="D57" s="266"/>
      <c r="E57" s="266"/>
      <c r="F57" s="266"/>
      <c r="G57" s="266"/>
      <c r="H57" s="266"/>
      <c r="I57" s="266"/>
    </row>
    <row r="58" spans="1:9" ht="19.5" customHeight="1">
      <c r="A58" s="266"/>
      <c r="B58" s="512" t="s">
        <v>556</v>
      </c>
      <c r="C58" s="512"/>
      <c r="D58" s="512"/>
      <c r="E58" s="512"/>
      <c r="F58" s="264"/>
      <c r="G58" s="531">
        <v>1</v>
      </c>
      <c r="H58" s="532"/>
      <c r="I58" s="533"/>
    </row>
    <row r="59" spans="1:9" ht="19.5" customHeight="1">
      <c r="A59" s="266"/>
      <c r="B59" s="512"/>
      <c r="C59" s="512"/>
      <c r="D59" s="512"/>
      <c r="E59" s="512"/>
      <c r="F59" s="264"/>
      <c r="G59" s="534"/>
      <c r="H59" s="535"/>
      <c r="I59" s="536"/>
    </row>
    <row r="60" spans="1:9" ht="15" customHeight="1">
      <c r="A60" s="266"/>
      <c r="B60" s="265"/>
      <c r="C60" s="265"/>
      <c r="D60" s="265"/>
      <c r="E60" s="265"/>
      <c r="G60" s="260"/>
      <c r="H60" s="260"/>
      <c r="I60" s="260"/>
    </row>
    <row r="61" spans="1:9" ht="15.75">
      <c r="A61" s="266"/>
      <c r="B61" s="266"/>
      <c r="C61" s="266"/>
      <c r="D61" s="266"/>
      <c r="E61" s="266"/>
      <c r="F61" s="266"/>
      <c r="G61" s="266"/>
      <c r="H61" s="266"/>
      <c r="I61" s="266"/>
    </row>
    <row r="62" spans="1:9" ht="15.75">
      <c r="A62" s="266"/>
      <c r="B62" s="266"/>
      <c r="C62" s="266"/>
      <c r="D62" s="266"/>
      <c r="E62" s="266"/>
      <c r="F62" s="266"/>
      <c r="G62" s="266"/>
      <c r="H62" s="266"/>
      <c r="I62" s="266"/>
    </row>
    <row r="63" spans="1:9" ht="19.5" customHeight="1">
      <c r="A63" s="266"/>
      <c r="B63" s="512" t="s">
        <v>557</v>
      </c>
      <c r="C63" s="512"/>
      <c r="D63" s="512"/>
      <c r="E63" s="512"/>
      <c r="F63" s="264"/>
      <c r="G63" s="531">
        <v>4.5</v>
      </c>
      <c r="H63" s="532"/>
      <c r="I63" s="533"/>
    </row>
    <row r="64" spans="1:9" ht="19.5" customHeight="1">
      <c r="A64" s="266"/>
      <c r="B64" s="512"/>
      <c r="C64" s="512"/>
      <c r="D64" s="512"/>
      <c r="E64" s="512"/>
      <c r="F64" s="264"/>
      <c r="G64" s="534"/>
      <c r="H64" s="535"/>
      <c r="I64" s="536"/>
    </row>
    <row r="65" spans="1:9" ht="15" customHeight="1">
      <c r="A65" s="266"/>
      <c r="B65" s="265"/>
      <c r="C65" s="265"/>
      <c r="D65" s="265"/>
      <c r="E65" s="265"/>
      <c r="G65" s="260"/>
      <c r="H65" s="260"/>
      <c r="I65" s="260"/>
    </row>
    <row r="66" spans="1:9" ht="15.75">
      <c r="A66" s="266"/>
      <c r="B66" s="266"/>
      <c r="C66" s="266"/>
      <c r="D66" s="266"/>
      <c r="E66" s="266"/>
      <c r="F66" s="266"/>
      <c r="G66" s="266"/>
      <c r="H66" s="266"/>
      <c r="I66" s="266"/>
    </row>
    <row r="67" spans="1:9" ht="15.75">
      <c r="A67" s="266"/>
      <c r="B67" s="266"/>
      <c r="C67" s="266"/>
      <c r="D67" s="266"/>
      <c r="E67" s="266"/>
      <c r="F67" s="266"/>
      <c r="G67" s="266"/>
      <c r="H67" s="266"/>
      <c r="I67" s="266"/>
    </row>
    <row r="68" spans="1:9" ht="19.5" customHeight="1">
      <c r="A68" s="266"/>
      <c r="B68" s="512" t="s">
        <v>558</v>
      </c>
      <c r="C68" s="512"/>
      <c r="D68" s="512"/>
      <c r="E68" s="512"/>
      <c r="F68" s="264"/>
      <c r="G68" s="531">
        <v>1.5</v>
      </c>
      <c r="H68" s="532"/>
      <c r="I68" s="533"/>
    </row>
    <row r="69" spans="1:9" ht="21" customHeight="1">
      <c r="A69" s="266"/>
      <c r="B69" s="512"/>
      <c r="C69" s="512"/>
      <c r="D69" s="512"/>
      <c r="E69" s="512"/>
      <c r="F69" s="264"/>
      <c r="G69" s="534"/>
      <c r="H69" s="535"/>
      <c r="I69" s="536"/>
    </row>
    <row r="70" spans="1:9" ht="15" customHeight="1">
      <c r="A70" s="266"/>
      <c r="B70" s="265"/>
      <c r="C70" s="265"/>
      <c r="D70" s="265"/>
      <c r="E70" s="265"/>
      <c r="G70" s="260"/>
      <c r="H70" s="260"/>
      <c r="I70" s="260"/>
    </row>
    <row r="71" spans="1:9" ht="15.75">
      <c r="A71" s="266"/>
      <c r="B71" s="266"/>
      <c r="C71" s="266"/>
      <c r="D71" s="266"/>
      <c r="E71" s="266"/>
      <c r="F71" s="266"/>
      <c r="G71" s="266"/>
      <c r="H71" s="266"/>
      <c r="I71" s="266"/>
    </row>
    <row r="72" spans="1:9" ht="10.5" customHeight="1" thickBot="1">
      <c r="A72" s="544"/>
      <c r="B72" s="544"/>
      <c r="C72" s="544"/>
      <c r="D72" s="544"/>
      <c r="E72" s="544"/>
      <c r="F72" s="544"/>
      <c r="G72" s="544"/>
      <c r="H72" s="544"/>
      <c r="I72" s="268"/>
    </row>
    <row r="73" spans="1:9" ht="13.5" hidden="1" thickBot="1"/>
    <row r="74" spans="1:9" ht="12.75">
      <c r="A74" s="269"/>
      <c r="B74" s="270"/>
      <c r="C74" s="270"/>
      <c r="D74" s="270"/>
      <c r="E74" s="270"/>
      <c r="F74" s="270"/>
      <c r="G74" s="270"/>
      <c r="H74" s="270"/>
      <c r="I74" s="271"/>
    </row>
    <row r="75" spans="1:9" ht="12" customHeight="1">
      <c r="A75" s="523" t="s">
        <v>559</v>
      </c>
      <c r="B75" s="524"/>
      <c r="C75" s="524"/>
      <c r="D75" s="524"/>
      <c r="E75" s="524"/>
      <c r="F75" s="524"/>
      <c r="G75" s="525">
        <f>DESIGN_D__inches</f>
        <v>11.799999999999855</v>
      </c>
      <c r="H75" s="526"/>
      <c r="I75" s="527"/>
    </row>
    <row r="76" spans="1:9" ht="26.25" customHeight="1">
      <c r="A76" s="523"/>
      <c r="B76" s="524"/>
      <c r="C76" s="524"/>
      <c r="D76" s="524"/>
      <c r="E76" s="524"/>
      <c r="F76" s="524"/>
      <c r="G76" s="528"/>
      <c r="H76" s="529"/>
      <c r="I76" s="530"/>
    </row>
    <row r="77" spans="1:9" ht="26.25" customHeight="1" thickBot="1">
      <c r="A77" s="272"/>
      <c r="B77" s="273"/>
      <c r="C77" s="273"/>
      <c r="D77" s="273"/>
      <c r="E77" s="273"/>
      <c r="F77" s="273"/>
      <c r="G77" s="273"/>
      <c r="H77" s="273"/>
      <c r="I77" s="274"/>
    </row>
    <row r="78" spans="1:9" ht="12.75">
      <c r="A78" s="269"/>
      <c r="B78" s="270"/>
      <c r="C78" s="270"/>
      <c r="D78" s="270"/>
      <c r="E78" s="270"/>
      <c r="F78" s="270"/>
      <c r="G78" s="270"/>
      <c r="H78" s="270"/>
      <c r="I78" s="271"/>
    </row>
    <row r="79" spans="1:9" ht="12" customHeight="1">
      <c r="A79" s="523" t="s">
        <v>578</v>
      </c>
      <c r="B79" s="524"/>
      <c r="C79" s="524"/>
      <c r="D79" s="524"/>
      <c r="E79" s="524"/>
      <c r="F79" s="524"/>
      <c r="G79" s="525">
        <f>D_DESIGNR_inches</f>
        <v>10.599999999999881</v>
      </c>
      <c r="H79" s="526"/>
      <c r="I79" s="527"/>
    </row>
    <row r="80" spans="1:9" ht="26.25" customHeight="1">
      <c r="A80" s="523"/>
      <c r="B80" s="524"/>
      <c r="C80" s="524"/>
      <c r="D80" s="524"/>
      <c r="E80" s="524"/>
      <c r="F80" s="524"/>
      <c r="G80" s="528"/>
      <c r="H80" s="529"/>
      <c r="I80" s="530"/>
    </row>
    <row r="81" spans="1:28" ht="26.25" customHeight="1" thickBot="1">
      <c r="A81" s="272"/>
      <c r="B81" s="273"/>
      <c r="C81" s="273"/>
      <c r="D81" s="273"/>
      <c r="E81" s="273"/>
      <c r="F81" s="273"/>
      <c r="G81" s="273"/>
      <c r="H81" s="273"/>
      <c r="I81" s="274"/>
    </row>
    <row r="82" spans="1:28" ht="12" hidden="1" customHeight="1"/>
    <row r="83" spans="1:28" ht="12" hidden="1" customHeight="1"/>
    <row r="84" spans="1:28" ht="12" hidden="1" customHeight="1" thickBot="1"/>
    <row r="85" spans="1:28" ht="12" hidden="1" customHeight="1" thickTop="1" thickBot="1">
      <c r="A85" s="266"/>
      <c r="B85" s="266"/>
      <c r="C85" s="275"/>
      <c r="D85" s="266"/>
      <c r="E85" s="266"/>
      <c r="F85" s="266"/>
      <c r="G85" s="266"/>
      <c r="H85" s="266"/>
      <c r="I85" s="266"/>
      <c r="J85" s="266"/>
      <c r="K85" s="266"/>
      <c r="L85" s="266"/>
      <c r="M85" s="266"/>
      <c r="N85" s="276"/>
      <c r="O85" s="277" t="s">
        <v>560</v>
      </c>
      <c r="P85" s="278">
        <f xml:space="preserve"> LOOKUP(1.01, Y94:Y1194,N94:N1194)</f>
        <v>11.799999999999855</v>
      </c>
      <c r="Q85" s="279"/>
      <c r="R85" s="276"/>
      <c r="S85" s="277" t="s">
        <v>561</v>
      </c>
      <c r="T85" s="278">
        <f xml:space="preserve"> LOOKUP(1.01, AB94:AB1194,N94:N1194)</f>
        <v>10.599999999999881</v>
      </c>
      <c r="U85" s="266"/>
      <c r="V85" s="266"/>
      <c r="W85" s="266"/>
      <c r="X85" s="266"/>
      <c r="Y85" s="266"/>
    </row>
    <row r="86" spans="1:28" ht="12" hidden="1" customHeight="1" thickTop="1">
      <c r="A86" s="266"/>
      <c r="B86" s="266"/>
      <c r="C86" s="275"/>
      <c r="D86" s="266"/>
      <c r="E86" s="266"/>
      <c r="F86" s="266"/>
      <c r="G86" s="266"/>
      <c r="H86" s="266"/>
      <c r="I86" s="266"/>
      <c r="J86" s="266"/>
      <c r="K86" s="266"/>
      <c r="L86" s="266"/>
      <c r="M86" s="266"/>
      <c r="N86" s="266"/>
      <c r="O86" s="280"/>
      <c r="P86" s="281"/>
      <c r="Q86" s="266"/>
      <c r="R86" s="266"/>
      <c r="S86" s="266"/>
      <c r="T86" s="266"/>
      <c r="U86" s="266"/>
      <c r="V86" s="266"/>
      <c r="W86" s="266"/>
      <c r="X86" s="266"/>
      <c r="Y86" s="266"/>
    </row>
    <row r="87" spans="1:28" ht="12" hidden="1" customHeight="1">
      <c r="M87" s="266"/>
      <c r="N87" s="266"/>
      <c r="O87" s="282"/>
      <c r="P87" s="282"/>
      <c r="Q87" s="282"/>
      <c r="R87" s="282"/>
      <c r="S87" s="266"/>
      <c r="T87" s="266"/>
      <c r="U87" s="266"/>
      <c r="V87" s="266"/>
      <c r="W87" s="266"/>
      <c r="X87" s="266"/>
      <c r="Y87" s="266"/>
    </row>
    <row r="88" spans="1:28" ht="12" hidden="1" customHeight="1">
      <c r="M88" s="283"/>
      <c r="N88" s="266"/>
      <c r="O88" s="282"/>
      <c r="P88" s="282"/>
      <c r="Q88" s="266"/>
      <c r="R88" s="282" t="b">
        <f>ISNA(P85)</f>
        <v>0</v>
      </c>
      <c r="S88" s="266"/>
      <c r="T88" s="266"/>
      <c r="U88" s="266"/>
      <c r="V88" s="266"/>
      <c r="W88" s="266"/>
      <c r="X88" s="266"/>
      <c r="Y88" s="266"/>
    </row>
    <row r="89" spans="1:28" ht="12" hidden="1" customHeight="1">
      <c r="M89" s="266"/>
      <c r="N89" s="266" t="s">
        <v>562</v>
      </c>
      <c r="O89" s="284">
        <v>0.01</v>
      </c>
      <c r="P89" s="282"/>
      <c r="Q89" s="282"/>
      <c r="R89" s="282"/>
      <c r="S89" s="266"/>
      <c r="T89" s="266"/>
      <c r="U89" s="266"/>
      <c r="V89" s="266"/>
      <c r="W89" s="266"/>
      <c r="X89" s="266"/>
      <c r="Y89" s="266"/>
    </row>
    <row r="90" spans="1:28" ht="12" hidden="1" customHeight="1">
      <c r="M90" s="266"/>
      <c r="N90" s="266"/>
      <c r="O90" s="282"/>
      <c r="P90" s="282"/>
      <c r="Q90" s="282"/>
      <c r="R90" s="282"/>
      <c r="S90" s="266"/>
      <c r="T90" s="266"/>
      <c r="U90" s="266"/>
      <c r="V90" s="266"/>
      <c r="W90" s="266"/>
      <c r="X90" s="266"/>
      <c r="Y90" s="266"/>
    </row>
    <row r="91" spans="1:28" ht="12" hidden="1" customHeight="1">
      <c r="M91" s="283"/>
      <c r="N91" s="266"/>
      <c r="O91" s="282"/>
      <c r="P91" s="282"/>
      <c r="Q91" s="282"/>
      <c r="R91" s="282"/>
      <c r="S91" s="266"/>
      <c r="T91" s="266"/>
      <c r="U91" s="266"/>
      <c r="V91" s="266"/>
      <c r="W91" s="266"/>
      <c r="X91" s="266"/>
      <c r="Y91" s="266"/>
    </row>
    <row r="92" spans="1:28" ht="12" hidden="1" customHeight="1">
      <c r="M92" s="266"/>
      <c r="N92" s="266"/>
      <c r="O92" s="266"/>
      <c r="P92" s="266"/>
      <c r="Q92" s="266"/>
      <c r="R92" s="266"/>
      <c r="S92" s="266"/>
      <c r="T92" s="266"/>
      <c r="U92" s="266"/>
      <c r="V92" s="266"/>
      <c r="W92" s="266"/>
      <c r="X92" s="266"/>
      <c r="Y92" s="285" t="s">
        <v>563</v>
      </c>
      <c r="AA92" s="266"/>
      <c r="AB92" s="285" t="s">
        <v>563</v>
      </c>
    </row>
    <row r="93" spans="1:28" ht="12" hidden="1" customHeight="1">
      <c r="M93" s="266"/>
      <c r="N93" s="286" t="s">
        <v>564</v>
      </c>
      <c r="O93" s="286" t="s">
        <v>565</v>
      </c>
      <c r="P93" s="286" t="s">
        <v>566</v>
      </c>
      <c r="Q93" s="286" t="s">
        <v>567</v>
      </c>
      <c r="R93" s="286" t="s">
        <v>568</v>
      </c>
      <c r="S93" s="286" t="s">
        <v>569</v>
      </c>
      <c r="T93" s="286" t="s">
        <v>570</v>
      </c>
      <c r="U93" s="286" t="s">
        <v>571</v>
      </c>
      <c r="V93" s="286" t="s">
        <v>572</v>
      </c>
      <c r="W93" s="286" t="s">
        <v>573</v>
      </c>
      <c r="X93" s="286" t="s">
        <v>574</v>
      </c>
      <c r="Y93" s="287" t="s">
        <v>575</v>
      </c>
      <c r="Z93" s="286" t="s">
        <v>576</v>
      </c>
      <c r="AA93" s="286" t="s">
        <v>574</v>
      </c>
      <c r="AB93" s="287" t="s">
        <v>575</v>
      </c>
    </row>
    <row r="94" spans="1:28" ht="12" hidden="1" customHeight="1">
      <c r="M94" s="266"/>
      <c r="N94" s="288">
        <v>5</v>
      </c>
      <c r="O94" s="285">
        <f t="shared" ref="O94:O157" si="0">PCC_MR</f>
        <v>150</v>
      </c>
      <c r="P94" s="289">
        <f t="shared" ref="P94:P157" si="1">PCC_ME</f>
        <v>4000000</v>
      </c>
      <c r="Q94" s="285">
        <f t="shared" ref="Q94:Q157" si="2">K_MODULE</f>
        <v>110</v>
      </c>
      <c r="R94" s="285">
        <f t="shared" ref="R94:R157" si="3">R_</f>
        <v>85</v>
      </c>
      <c r="S94" s="285">
        <f t="shared" ref="S94:S157" si="4">So</f>
        <v>0.35</v>
      </c>
      <c r="T94" s="285">
        <f t="shared" ref="T94:T157" si="5">J_</f>
        <v>3.2</v>
      </c>
      <c r="U94" s="285">
        <f t="shared" ref="U94:U157" si="6">Cd_</f>
        <v>1</v>
      </c>
      <c r="V94" s="285">
        <f t="shared" ref="V94:V157" si="7">Pi</f>
        <v>4.5</v>
      </c>
      <c r="W94" s="285">
        <f t="shared" ref="W94:W157" si="8">Pt</f>
        <v>1.5</v>
      </c>
      <c r="X94" s="289">
        <f t="shared" ref="X94:X157" si="9">10^(-NORMSINV(R94/100)*S94+7.35*LOG10(N94+1)-0.06+((LOG10((V94-W94)/3))/(1+((1.625*10^7)/((N94+1)^8.46))))+((4.22-0.32*W94)*LOG10((O94*U94*((N94^0.75)-1.132))/(215.63*T94*((N94^0.75)-18.42*(Q94/P94)^0.25)))))</f>
        <v>940.57014424357612</v>
      </c>
      <c r="Y94" s="288">
        <f t="shared" ref="Y94:Y157" si="10">+X94/ESALS</f>
        <v>4.7028507212178803E-3</v>
      </c>
      <c r="Z94" s="256">
        <f t="shared" ref="Z94:Z157" si="11">PCC_IMR</f>
        <v>181.74993027852094</v>
      </c>
      <c r="AA94" s="289">
        <f t="shared" ref="AA94:AA157" si="12">10^(-NORMSINV(R94/100)*S94+7.35*LOG10(N94+1)-0.06+((LOG10((V94-W94)/3))/(1+((1.625*10^7)/((N94+1)^8.46))))+((4.22-0.32*W94)*LOG10((Z94*U94*((N94^0.75)-1.132))/(215.63*T94*((N94^0.75)-18.42*(Q94/P94)^0.25)))))</f>
        <v>1928.6063229372025</v>
      </c>
      <c r="AB94" s="288">
        <f t="shared" ref="AB94:AB157" si="13">+AA94/ESALS</f>
        <v>9.643031614686012E-3</v>
      </c>
    </row>
    <row r="95" spans="1:28" ht="12" hidden="1" customHeight="1">
      <c r="M95" s="266"/>
      <c r="N95" s="288">
        <f t="shared" ref="N95:N158" si="14">IF(N94 = "", "", IF(AND(0.995*ESALS&lt;=X94,X94&lt;=1.005*ESALS),"",(N94+D_Step)))</f>
        <v>5.01</v>
      </c>
      <c r="O95" s="285">
        <f t="shared" si="0"/>
        <v>150</v>
      </c>
      <c r="P95" s="289">
        <f t="shared" si="1"/>
        <v>4000000</v>
      </c>
      <c r="Q95" s="285">
        <f t="shared" si="2"/>
        <v>110</v>
      </c>
      <c r="R95" s="285">
        <f t="shared" si="3"/>
        <v>85</v>
      </c>
      <c r="S95" s="285">
        <f t="shared" si="4"/>
        <v>0.35</v>
      </c>
      <c r="T95" s="285">
        <f t="shared" si="5"/>
        <v>3.2</v>
      </c>
      <c r="U95" s="285">
        <f t="shared" si="6"/>
        <v>1</v>
      </c>
      <c r="V95" s="285">
        <f t="shared" si="7"/>
        <v>4.5</v>
      </c>
      <c r="W95" s="285">
        <f t="shared" si="8"/>
        <v>1.5</v>
      </c>
      <c r="X95" s="289">
        <f t="shared" si="9"/>
        <v>951.34451142161788</v>
      </c>
      <c r="Y95" s="288">
        <f t="shared" si="10"/>
        <v>4.7567225571080894E-3</v>
      </c>
      <c r="Z95" s="256">
        <f t="shared" si="11"/>
        <v>181.74993027852094</v>
      </c>
      <c r="AA95" s="289">
        <f t="shared" si="12"/>
        <v>1950.6987875900447</v>
      </c>
      <c r="AB95" s="288">
        <f t="shared" si="13"/>
        <v>9.7534939379502229E-3</v>
      </c>
    </row>
    <row r="96" spans="1:28" ht="12" hidden="1" customHeight="1">
      <c r="M96" s="266"/>
      <c r="N96" s="288">
        <f t="shared" si="14"/>
        <v>5.0199999999999996</v>
      </c>
      <c r="O96" s="285">
        <f t="shared" si="0"/>
        <v>150</v>
      </c>
      <c r="P96" s="289">
        <f t="shared" si="1"/>
        <v>4000000</v>
      </c>
      <c r="Q96" s="285">
        <f t="shared" si="2"/>
        <v>110</v>
      </c>
      <c r="R96" s="285">
        <f t="shared" si="3"/>
        <v>85</v>
      </c>
      <c r="S96" s="285">
        <f t="shared" si="4"/>
        <v>0.35</v>
      </c>
      <c r="T96" s="285">
        <f t="shared" si="5"/>
        <v>3.2</v>
      </c>
      <c r="U96" s="285">
        <f t="shared" si="6"/>
        <v>1</v>
      </c>
      <c r="V96" s="285">
        <f t="shared" si="7"/>
        <v>4.5</v>
      </c>
      <c r="W96" s="285">
        <f t="shared" si="8"/>
        <v>1.5</v>
      </c>
      <c r="X96" s="289">
        <f t="shared" si="9"/>
        <v>962.22700062135186</v>
      </c>
      <c r="Y96" s="288">
        <f t="shared" si="10"/>
        <v>4.811135003106759E-3</v>
      </c>
      <c r="Z96" s="256">
        <f t="shared" si="11"/>
        <v>181.74993027852094</v>
      </c>
      <c r="AA96" s="289">
        <f t="shared" si="12"/>
        <v>1973.0129526827293</v>
      </c>
      <c r="AB96" s="288">
        <f t="shared" si="13"/>
        <v>9.8650647634136463E-3</v>
      </c>
    </row>
    <row r="97" spans="13:28" ht="12" hidden="1" customHeight="1">
      <c r="M97" s="266"/>
      <c r="N97" s="288">
        <f t="shared" si="14"/>
        <v>5.0299999999999994</v>
      </c>
      <c r="O97" s="285">
        <f t="shared" si="0"/>
        <v>150</v>
      </c>
      <c r="P97" s="289">
        <f t="shared" si="1"/>
        <v>4000000</v>
      </c>
      <c r="Q97" s="285">
        <f t="shared" si="2"/>
        <v>110</v>
      </c>
      <c r="R97" s="285">
        <f t="shared" si="3"/>
        <v>85</v>
      </c>
      <c r="S97" s="285">
        <f t="shared" si="4"/>
        <v>0.35</v>
      </c>
      <c r="T97" s="285">
        <f t="shared" si="5"/>
        <v>3.2</v>
      </c>
      <c r="U97" s="285">
        <f t="shared" si="6"/>
        <v>1</v>
      </c>
      <c r="V97" s="285">
        <f t="shared" si="7"/>
        <v>4.5</v>
      </c>
      <c r="W97" s="285">
        <f t="shared" si="8"/>
        <v>1.5</v>
      </c>
      <c r="X97" s="289">
        <f t="shared" si="9"/>
        <v>973.21853171122677</v>
      </c>
      <c r="Y97" s="288">
        <f t="shared" si="10"/>
        <v>4.8660926585561339E-3</v>
      </c>
      <c r="Z97" s="256">
        <f t="shared" si="11"/>
        <v>181.74993027852094</v>
      </c>
      <c r="AA97" s="289">
        <f t="shared" si="12"/>
        <v>1995.5507043734817</v>
      </c>
      <c r="AB97" s="288">
        <f t="shared" si="13"/>
        <v>9.9777535218674093E-3</v>
      </c>
    </row>
    <row r="98" spans="13:28" ht="12" hidden="1" customHeight="1">
      <c r="M98" s="266"/>
      <c r="N98" s="288">
        <f t="shared" si="14"/>
        <v>5.0399999999999991</v>
      </c>
      <c r="O98" s="285">
        <f t="shared" si="0"/>
        <v>150</v>
      </c>
      <c r="P98" s="289">
        <f t="shared" si="1"/>
        <v>4000000</v>
      </c>
      <c r="Q98" s="285">
        <f t="shared" si="2"/>
        <v>110</v>
      </c>
      <c r="R98" s="285">
        <f t="shared" si="3"/>
        <v>85</v>
      </c>
      <c r="S98" s="285">
        <f t="shared" si="4"/>
        <v>0.35</v>
      </c>
      <c r="T98" s="285">
        <f t="shared" si="5"/>
        <v>3.2</v>
      </c>
      <c r="U98" s="285">
        <f t="shared" si="6"/>
        <v>1</v>
      </c>
      <c r="V98" s="285">
        <f t="shared" si="7"/>
        <v>4.5</v>
      </c>
      <c r="W98" s="285">
        <f t="shared" si="8"/>
        <v>1.5</v>
      </c>
      <c r="X98" s="289">
        <f t="shared" si="9"/>
        <v>984.32003095379991</v>
      </c>
      <c r="Y98" s="288">
        <f t="shared" si="10"/>
        <v>4.9216001547689996E-3</v>
      </c>
      <c r="Z98" s="256">
        <f t="shared" si="11"/>
        <v>181.74993027852094</v>
      </c>
      <c r="AA98" s="289">
        <f t="shared" si="12"/>
        <v>2018.3139419314057</v>
      </c>
      <c r="AB98" s="288">
        <f t="shared" si="13"/>
        <v>1.0091569709657029E-2</v>
      </c>
    </row>
    <row r="99" spans="13:28" ht="12" hidden="1" customHeight="1">
      <c r="M99" s="266"/>
      <c r="N99" s="288">
        <f t="shared" si="14"/>
        <v>5.0499999999999989</v>
      </c>
      <c r="O99" s="285">
        <f t="shared" si="0"/>
        <v>150</v>
      </c>
      <c r="P99" s="289">
        <f t="shared" si="1"/>
        <v>4000000</v>
      </c>
      <c r="Q99" s="285">
        <f t="shared" si="2"/>
        <v>110</v>
      </c>
      <c r="R99" s="285">
        <f t="shared" si="3"/>
        <v>85</v>
      </c>
      <c r="S99" s="285">
        <f t="shared" si="4"/>
        <v>0.35</v>
      </c>
      <c r="T99" s="285">
        <f t="shared" si="5"/>
        <v>3.2</v>
      </c>
      <c r="U99" s="285">
        <f t="shared" si="6"/>
        <v>1</v>
      </c>
      <c r="V99" s="285">
        <f t="shared" si="7"/>
        <v>4.5</v>
      </c>
      <c r="W99" s="285">
        <f t="shared" si="8"/>
        <v>1.5</v>
      </c>
      <c r="X99" s="289">
        <f t="shared" si="9"/>
        <v>995.53243104000148</v>
      </c>
      <c r="Y99" s="288">
        <f t="shared" si="10"/>
        <v>4.9776621552000072E-3</v>
      </c>
      <c r="Z99" s="256">
        <f t="shared" si="11"/>
        <v>181.74993027852094</v>
      </c>
      <c r="AA99" s="289">
        <f t="shared" si="12"/>
        <v>2041.3045778067778</v>
      </c>
      <c r="AB99" s="288">
        <f t="shared" si="13"/>
        <v>1.0206522889033889E-2</v>
      </c>
    </row>
    <row r="100" spans="13:28" ht="12" hidden="1" customHeight="1">
      <c r="M100" s="266"/>
      <c r="N100" s="288">
        <f t="shared" si="14"/>
        <v>5.0599999999999987</v>
      </c>
      <c r="O100" s="285">
        <f t="shared" si="0"/>
        <v>150</v>
      </c>
      <c r="P100" s="289">
        <f t="shared" si="1"/>
        <v>4000000</v>
      </c>
      <c r="Q100" s="285">
        <f t="shared" si="2"/>
        <v>110</v>
      </c>
      <c r="R100" s="285">
        <f t="shared" si="3"/>
        <v>85</v>
      </c>
      <c r="S100" s="285">
        <f t="shared" si="4"/>
        <v>0.35</v>
      </c>
      <c r="T100" s="285">
        <f t="shared" si="5"/>
        <v>3.2</v>
      </c>
      <c r="U100" s="285">
        <f t="shared" si="6"/>
        <v>1</v>
      </c>
      <c r="V100" s="285">
        <f t="shared" si="7"/>
        <v>4.5</v>
      </c>
      <c r="W100" s="285">
        <f t="shared" si="8"/>
        <v>1.5</v>
      </c>
      <c r="X100" s="289">
        <f t="shared" si="9"/>
        <v>1006.8566711235217</v>
      </c>
      <c r="Y100" s="288">
        <f t="shared" si="10"/>
        <v>5.0342833556176079E-3</v>
      </c>
      <c r="Z100" s="256">
        <f t="shared" si="11"/>
        <v>181.74993027852094</v>
      </c>
      <c r="AA100" s="289">
        <f t="shared" si="12"/>
        <v>2064.5245377015322</v>
      </c>
      <c r="AB100" s="288">
        <f t="shared" si="13"/>
        <v>1.0322622688507661E-2</v>
      </c>
    </row>
    <row r="101" spans="13:28" ht="12" hidden="1" customHeight="1">
      <c r="M101" s="266"/>
      <c r="N101" s="288">
        <f t="shared" si="14"/>
        <v>5.0699999999999985</v>
      </c>
      <c r="O101" s="285">
        <f t="shared" si="0"/>
        <v>150</v>
      </c>
      <c r="P101" s="289">
        <f t="shared" si="1"/>
        <v>4000000</v>
      </c>
      <c r="Q101" s="285">
        <f t="shared" si="2"/>
        <v>110</v>
      </c>
      <c r="R101" s="285">
        <f t="shared" si="3"/>
        <v>85</v>
      </c>
      <c r="S101" s="285">
        <f t="shared" si="4"/>
        <v>0.35</v>
      </c>
      <c r="T101" s="285">
        <f t="shared" si="5"/>
        <v>3.2</v>
      </c>
      <c r="U101" s="285">
        <f t="shared" si="6"/>
        <v>1</v>
      </c>
      <c r="V101" s="285">
        <f t="shared" si="7"/>
        <v>4.5</v>
      </c>
      <c r="W101" s="285">
        <f t="shared" si="8"/>
        <v>1.5</v>
      </c>
      <c r="X101" s="289">
        <f t="shared" si="9"/>
        <v>1018.2936968553332</v>
      </c>
      <c r="Y101" s="288">
        <f t="shared" si="10"/>
        <v>5.0914684842766665E-3</v>
      </c>
      <c r="Z101" s="256">
        <f t="shared" si="11"/>
        <v>181.74993027852094</v>
      </c>
      <c r="AA101" s="289">
        <f t="shared" si="12"/>
        <v>2087.9757606400435</v>
      </c>
      <c r="AB101" s="288">
        <f t="shared" si="13"/>
        <v>1.0439878803200218E-2</v>
      </c>
    </row>
    <row r="102" spans="13:28" ht="12" hidden="1" customHeight="1">
      <c r="M102" s="266"/>
      <c r="N102" s="288">
        <f t="shared" si="14"/>
        <v>5.0799999999999983</v>
      </c>
      <c r="O102" s="285">
        <f t="shared" si="0"/>
        <v>150</v>
      </c>
      <c r="P102" s="289">
        <f t="shared" si="1"/>
        <v>4000000</v>
      </c>
      <c r="Q102" s="285">
        <f t="shared" si="2"/>
        <v>110</v>
      </c>
      <c r="R102" s="285">
        <f t="shared" si="3"/>
        <v>85</v>
      </c>
      <c r="S102" s="285">
        <f t="shared" si="4"/>
        <v>0.35</v>
      </c>
      <c r="T102" s="285">
        <f t="shared" si="5"/>
        <v>3.2</v>
      </c>
      <c r="U102" s="285">
        <f t="shared" si="6"/>
        <v>1</v>
      </c>
      <c r="V102" s="285">
        <f t="shared" si="7"/>
        <v>4.5</v>
      </c>
      <c r="W102" s="285">
        <f t="shared" si="8"/>
        <v>1.5</v>
      </c>
      <c r="X102" s="289">
        <f t="shared" si="9"/>
        <v>1029.8444604183376</v>
      </c>
      <c r="Y102" s="288">
        <f t="shared" si="10"/>
        <v>5.1492223020916878E-3</v>
      </c>
      <c r="Z102" s="256">
        <f t="shared" si="11"/>
        <v>181.74993027852094</v>
      </c>
      <c r="AA102" s="289">
        <f t="shared" si="12"/>
        <v>2111.6601990401978</v>
      </c>
      <c r="AB102" s="288">
        <f t="shared" si="13"/>
        <v>1.0558300995200989E-2</v>
      </c>
    </row>
    <row r="103" spans="13:28" ht="12" hidden="1" customHeight="1">
      <c r="M103" s="266"/>
      <c r="N103" s="288">
        <f t="shared" si="14"/>
        <v>5.0899999999999981</v>
      </c>
      <c r="O103" s="285">
        <f t="shared" si="0"/>
        <v>150</v>
      </c>
      <c r="P103" s="289">
        <f t="shared" si="1"/>
        <v>4000000</v>
      </c>
      <c r="Q103" s="285">
        <f t="shared" si="2"/>
        <v>110</v>
      </c>
      <c r="R103" s="285">
        <f t="shared" si="3"/>
        <v>85</v>
      </c>
      <c r="S103" s="285">
        <f t="shared" si="4"/>
        <v>0.35</v>
      </c>
      <c r="T103" s="285">
        <f t="shared" si="5"/>
        <v>3.2</v>
      </c>
      <c r="U103" s="285">
        <f t="shared" si="6"/>
        <v>1</v>
      </c>
      <c r="V103" s="285">
        <f t="shared" si="7"/>
        <v>4.5</v>
      </c>
      <c r="W103" s="285">
        <f t="shared" si="8"/>
        <v>1.5</v>
      </c>
      <c r="X103" s="289">
        <f t="shared" si="9"/>
        <v>1041.5099205621468</v>
      </c>
      <c r="Y103" s="288">
        <f t="shared" si="10"/>
        <v>5.2075496028107342E-3</v>
      </c>
      <c r="Z103" s="256">
        <f t="shared" si="11"/>
        <v>181.74993027852094</v>
      </c>
      <c r="AA103" s="289">
        <f t="shared" si="12"/>
        <v>2135.5798187846831</v>
      </c>
      <c r="AB103" s="288">
        <f t="shared" si="13"/>
        <v>1.0677899093923415E-2</v>
      </c>
    </row>
    <row r="104" spans="13:28" ht="12" hidden="1" customHeight="1">
      <c r="M104" s="266"/>
      <c r="N104" s="288">
        <f t="shared" si="14"/>
        <v>5.0999999999999979</v>
      </c>
      <c r="O104" s="285">
        <f t="shared" si="0"/>
        <v>150</v>
      </c>
      <c r="P104" s="289">
        <f t="shared" si="1"/>
        <v>4000000</v>
      </c>
      <c r="Q104" s="285">
        <f t="shared" si="2"/>
        <v>110</v>
      </c>
      <c r="R104" s="285">
        <f t="shared" si="3"/>
        <v>85</v>
      </c>
      <c r="S104" s="285">
        <f t="shared" si="4"/>
        <v>0.35</v>
      </c>
      <c r="T104" s="285">
        <f t="shared" si="5"/>
        <v>3.2</v>
      </c>
      <c r="U104" s="285">
        <f t="shared" si="6"/>
        <v>1</v>
      </c>
      <c r="V104" s="285">
        <f t="shared" si="7"/>
        <v>4.5</v>
      </c>
      <c r="W104" s="285">
        <f t="shared" si="8"/>
        <v>1.5</v>
      </c>
      <c r="X104" s="289">
        <f t="shared" si="9"/>
        <v>1053.2910426379863</v>
      </c>
      <c r="Y104" s="288">
        <f t="shared" si="10"/>
        <v>5.2664552131899316E-3</v>
      </c>
      <c r="Z104" s="256">
        <f t="shared" si="11"/>
        <v>181.74993027852094</v>
      </c>
      <c r="AA104" s="289">
        <f t="shared" si="12"/>
        <v>2159.7365992925675</v>
      </c>
      <c r="AB104" s="288">
        <f t="shared" si="13"/>
        <v>1.0798682996462838E-2</v>
      </c>
    </row>
    <row r="105" spans="13:28" ht="12" hidden="1" customHeight="1">
      <c r="M105" s="266"/>
      <c r="N105" s="288">
        <f t="shared" si="14"/>
        <v>5.1099999999999977</v>
      </c>
      <c r="O105" s="285">
        <f t="shared" si="0"/>
        <v>150</v>
      </c>
      <c r="P105" s="289">
        <f t="shared" si="1"/>
        <v>4000000</v>
      </c>
      <c r="Q105" s="285">
        <f t="shared" si="2"/>
        <v>110</v>
      </c>
      <c r="R105" s="285">
        <f t="shared" si="3"/>
        <v>85</v>
      </c>
      <c r="S105" s="285">
        <f t="shared" si="4"/>
        <v>0.35</v>
      </c>
      <c r="T105" s="285">
        <f t="shared" si="5"/>
        <v>3.2</v>
      </c>
      <c r="U105" s="285">
        <f t="shared" si="6"/>
        <v>1</v>
      </c>
      <c r="V105" s="285">
        <f t="shared" si="7"/>
        <v>4.5</v>
      </c>
      <c r="W105" s="285">
        <f t="shared" si="8"/>
        <v>1.5</v>
      </c>
      <c r="X105" s="289">
        <f t="shared" si="9"/>
        <v>1065.1887986337517</v>
      </c>
      <c r="Y105" s="288">
        <f t="shared" si="10"/>
        <v>5.3259439931687587E-3</v>
      </c>
      <c r="Z105" s="256">
        <f t="shared" si="11"/>
        <v>181.74993027852094</v>
      </c>
      <c r="AA105" s="289">
        <f t="shared" si="12"/>
        <v>2184.1325335911743</v>
      </c>
      <c r="AB105" s="288">
        <f t="shared" si="13"/>
        <v>1.0920662667955871E-2</v>
      </c>
    </row>
    <row r="106" spans="13:28" ht="12" hidden="1" customHeight="1">
      <c r="M106" s="266"/>
      <c r="N106" s="288">
        <f t="shared" si="14"/>
        <v>5.1199999999999974</v>
      </c>
      <c r="O106" s="285">
        <f t="shared" si="0"/>
        <v>150</v>
      </c>
      <c r="P106" s="289">
        <f t="shared" si="1"/>
        <v>4000000</v>
      </c>
      <c r="Q106" s="285">
        <f t="shared" si="2"/>
        <v>110</v>
      </c>
      <c r="R106" s="285">
        <f t="shared" si="3"/>
        <v>85</v>
      </c>
      <c r="S106" s="285">
        <f t="shared" si="4"/>
        <v>0.35</v>
      </c>
      <c r="T106" s="285">
        <f t="shared" si="5"/>
        <v>3.2</v>
      </c>
      <c r="U106" s="285">
        <f t="shared" si="6"/>
        <v>1</v>
      </c>
      <c r="V106" s="285">
        <f t="shared" si="7"/>
        <v>4.5</v>
      </c>
      <c r="W106" s="285">
        <f t="shared" si="8"/>
        <v>1.5</v>
      </c>
      <c r="X106" s="289">
        <f t="shared" si="9"/>
        <v>1077.2041672091677</v>
      </c>
      <c r="Y106" s="288">
        <f t="shared" si="10"/>
        <v>5.3860208360458385E-3</v>
      </c>
      <c r="Z106" s="256">
        <f t="shared" si="11"/>
        <v>181.74993027852094</v>
      </c>
      <c r="AA106" s="289">
        <f t="shared" si="12"/>
        <v>2208.769628388186</v>
      </c>
      <c r="AB106" s="288">
        <f t="shared" si="13"/>
        <v>1.104384814194093E-2</v>
      </c>
    </row>
    <row r="107" spans="13:28" ht="12" hidden="1" customHeight="1">
      <c r="M107" s="266"/>
      <c r="N107" s="288">
        <f t="shared" si="14"/>
        <v>5.1299999999999972</v>
      </c>
      <c r="O107" s="285">
        <f t="shared" si="0"/>
        <v>150</v>
      </c>
      <c r="P107" s="289">
        <f t="shared" si="1"/>
        <v>4000000</v>
      </c>
      <c r="Q107" s="285">
        <f t="shared" si="2"/>
        <v>110</v>
      </c>
      <c r="R107" s="285">
        <f t="shared" si="3"/>
        <v>85</v>
      </c>
      <c r="S107" s="285">
        <f t="shared" si="4"/>
        <v>0.35</v>
      </c>
      <c r="T107" s="285">
        <f t="shared" si="5"/>
        <v>3.2</v>
      </c>
      <c r="U107" s="285">
        <f t="shared" si="6"/>
        <v>1</v>
      </c>
      <c r="V107" s="285">
        <f t="shared" si="7"/>
        <v>4.5</v>
      </c>
      <c r="W107" s="285">
        <f t="shared" si="8"/>
        <v>1.5</v>
      </c>
      <c r="X107" s="289">
        <f t="shared" si="9"/>
        <v>1089.33813373109</v>
      </c>
      <c r="Y107" s="288">
        <f t="shared" si="10"/>
        <v>5.4466906686554501E-3</v>
      </c>
      <c r="Z107" s="256">
        <f t="shared" si="11"/>
        <v>181.74993027852094</v>
      </c>
      <c r="AA107" s="289">
        <f t="shared" si="12"/>
        <v>2233.6499041440215</v>
      </c>
      <c r="AB107" s="288">
        <f t="shared" si="13"/>
        <v>1.1168249520720108E-2</v>
      </c>
    </row>
    <row r="108" spans="13:28" ht="12" hidden="1" customHeight="1">
      <c r="M108" s="266"/>
      <c r="N108" s="288">
        <f t="shared" si="14"/>
        <v>5.139999999999997</v>
      </c>
      <c r="O108" s="285">
        <f t="shared" si="0"/>
        <v>150</v>
      </c>
      <c r="P108" s="289">
        <f t="shared" si="1"/>
        <v>4000000</v>
      </c>
      <c r="Q108" s="285">
        <f t="shared" si="2"/>
        <v>110</v>
      </c>
      <c r="R108" s="285">
        <f t="shared" si="3"/>
        <v>85</v>
      </c>
      <c r="S108" s="285">
        <f t="shared" si="4"/>
        <v>0.35</v>
      </c>
      <c r="T108" s="285">
        <f t="shared" si="5"/>
        <v>3.2</v>
      </c>
      <c r="U108" s="285">
        <f t="shared" si="6"/>
        <v>1</v>
      </c>
      <c r="V108" s="285">
        <f t="shared" si="7"/>
        <v>4.5</v>
      </c>
      <c r="W108" s="285">
        <f t="shared" si="8"/>
        <v>1.5</v>
      </c>
      <c r="X108" s="289">
        <f t="shared" si="9"/>
        <v>1101.5916903089501</v>
      </c>
      <c r="Y108" s="288">
        <f t="shared" si="10"/>
        <v>5.5079584515447507E-3</v>
      </c>
      <c r="Z108" s="256">
        <f t="shared" si="11"/>
        <v>181.74993027852094</v>
      </c>
      <c r="AA108" s="289">
        <f t="shared" si="12"/>
        <v>2258.7753951445197</v>
      </c>
      <c r="AB108" s="288">
        <f t="shared" si="13"/>
        <v>1.12938769757226E-2</v>
      </c>
    </row>
    <row r="109" spans="13:28" ht="12" hidden="1" customHeight="1">
      <c r="M109" s="266"/>
      <c r="N109" s="288">
        <f t="shared" si="14"/>
        <v>5.1499999999999968</v>
      </c>
      <c r="O109" s="285">
        <f t="shared" si="0"/>
        <v>150</v>
      </c>
      <c r="P109" s="289">
        <f t="shared" si="1"/>
        <v>4000000</v>
      </c>
      <c r="Q109" s="285">
        <f t="shared" si="2"/>
        <v>110</v>
      </c>
      <c r="R109" s="285">
        <f t="shared" si="3"/>
        <v>85</v>
      </c>
      <c r="S109" s="285">
        <f t="shared" si="4"/>
        <v>0.35</v>
      </c>
      <c r="T109" s="285">
        <f t="shared" si="5"/>
        <v>3.2</v>
      </c>
      <c r="U109" s="285">
        <f t="shared" si="6"/>
        <v>1</v>
      </c>
      <c r="V109" s="285">
        <f t="shared" si="7"/>
        <v>4.5</v>
      </c>
      <c r="W109" s="285">
        <f t="shared" si="8"/>
        <v>1.5</v>
      </c>
      <c r="X109" s="289">
        <f t="shared" si="9"/>
        <v>1113.9658358303159</v>
      </c>
      <c r="Y109" s="288">
        <f t="shared" si="10"/>
        <v>5.5698291791515791E-3</v>
      </c>
      <c r="Z109" s="256">
        <f t="shared" si="11"/>
        <v>181.74993027852094</v>
      </c>
      <c r="AA109" s="289">
        <f t="shared" si="12"/>
        <v>2284.1481495738512</v>
      </c>
      <c r="AB109" s="288">
        <f t="shared" si="13"/>
        <v>1.1420740747869257E-2</v>
      </c>
    </row>
    <row r="110" spans="13:28" ht="12" hidden="1" customHeight="1">
      <c r="M110" s="266"/>
      <c r="N110" s="288">
        <f t="shared" si="14"/>
        <v>5.1599999999999966</v>
      </c>
      <c r="O110" s="285">
        <f t="shared" si="0"/>
        <v>150</v>
      </c>
      <c r="P110" s="289">
        <f t="shared" si="1"/>
        <v>4000000</v>
      </c>
      <c r="Q110" s="285">
        <f t="shared" si="2"/>
        <v>110</v>
      </c>
      <c r="R110" s="285">
        <f t="shared" si="3"/>
        <v>85</v>
      </c>
      <c r="S110" s="285">
        <f t="shared" si="4"/>
        <v>0.35</v>
      </c>
      <c r="T110" s="285">
        <f t="shared" si="5"/>
        <v>3.2</v>
      </c>
      <c r="U110" s="285">
        <f t="shared" si="6"/>
        <v>1</v>
      </c>
      <c r="V110" s="285">
        <f t="shared" si="7"/>
        <v>4.5</v>
      </c>
      <c r="W110" s="285">
        <f t="shared" si="8"/>
        <v>1.5</v>
      </c>
      <c r="X110" s="289">
        <f t="shared" si="9"/>
        <v>1126.4615759965986</v>
      </c>
      <c r="Y110" s="288">
        <f t="shared" si="10"/>
        <v>5.6323078799829932E-3</v>
      </c>
      <c r="Z110" s="256">
        <f t="shared" si="11"/>
        <v>181.74993027852094</v>
      </c>
      <c r="AA110" s="289">
        <f t="shared" si="12"/>
        <v>2309.7702295877248</v>
      </c>
      <c r="AB110" s="288">
        <f t="shared" si="13"/>
        <v>1.1548851147938624E-2</v>
      </c>
    </row>
    <row r="111" spans="13:28" ht="12" hidden="1" customHeight="1">
      <c r="M111" s="266"/>
      <c r="N111" s="288">
        <f t="shared" si="14"/>
        <v>5.1699999999999964</v>
      </c>
      <c r="O111" s="285">
        <f t="shared" si="0"/>
        <v>150</v>
      </c>
      <c r="P111" s="289">
        <f t="shared" si="1"/>
        <v>4000000</v>
      </c>
      <c r="Q111" s="285">
        <f t="shared" si="2"/>
        <v>110</v>
      </c>
      <c r="R111" s="285">
        <f t="shared" si="3"/>
        <v>85</v>
      </c>
      <c r="S111" s="285">
        <f t="shared" si="4"/>
        <v>0.35</v>
      </c>
      <c r="T111" s="285">
        <f t="shared" si="5"/>
        <v>3.2</v>
      </c>
      <c r="U111" s="285">
        <f t="shared" si="6"/>
        <v>1</v>
      </c>
      <c r="V111" s="285">
        <f t="shared" si="7"/>
        <v>4.5</v>
      </c>
      <c r="W111" s="285">
        <f t="shared" si="8"/>
        <v>1.5</v>
      </c>
      <c r="X111" s="289">
        <f t="shared" si="9"/>
        <v>1139.0799233588639</v>
      </c>
      <c r="Y111" s="288">
        <f t="shared" si="10"/>
        <v>5.695399616794319E-3</v>
      </c>
      <c r="Z111" s="256">
        <f t="shared" si="11"/>
        <v>181.74993027852094</v>
      </c>
      <c r="AA111" s="289">
        <f t="shared" si="12"/>
        <v>2335.6437113868501</v>
      </c>
      <c r="AB111" s="288">
        <f t="shared" si="13"/>
        <v>1.1678218556934251E-2</v>
      </c>
    </row>
    <row r="112" spans="13:28" ht="12" hidden="1" customHeight="1">
      <c r="M112" s="266"/>
      <c r="N112" s="288">
        <f t="shared" si="14"/>
        <v>5.1799999999999962</v>
      </c>
      <c r="O112" s="285">
        <f t="shared" si="0"/>
        <v>150</v>
      </c>
      <c r="P112" s="289">
        <f t="shared" si="1"/>
        <v>4000000</v>
      </c>
      <c r="Q112" s="285">
        <f t="shared" si="2"/>
        <v>110</v>
      </c>
      <c r="R112" s="285">
        <f t="shared" si="3"/>
        <v>85</v>
      </c>
      <c r="S112" s="285">
        <f t="shared" si="4"/>
        <v>0.35</v>
      </c>
      <c r="T112" s="285">
        <f t="shared" si="5"/>
        <v>3.2</v>
      </c>
      <c r="U112" s="285">
        <f t="shared" si="6"/>
        <v>1</v>
      </c>
      <c r="V112" s="285">
        <f t="shared" si="7"/>
        <v>4.5</v>
      </c>
      <c r="W112" s="285">
        <f t="shared" si="8"/>
        <v>1.5</v>
      </c>
      <c r="X112" s="289">
        <f t="shared" si="9"/>
        <v>1151.8218973538314</v>
      </c>
      <c r="Y112" s="288">
        <f t="shared" si="10"/>
        <v>5.7591094867691572E-3</v>
      </c>
      <c r="Z112" s="256">
        <f t="shared" si="11"/>
        <v>181.74993027852094</v>
      </c>
      <c r="AA112" s="289">
        <f t="shared" si="12"/>
        <v>2361.7706852907013</v>
      </c>
      <c r="AB112" s="288">
        <f t="shared" si="13"/>
        <v>1.1808853426453507E-2</v>
      </c>
    </row>
    <row r="113" spans="13:28" ht="12" hidden="1" customHeight="1">
      <c r="M113" s="266"/>
      <c r="N113" s="288">
        <f t="shared" si="14"/>
        <v>5.1899999999999959</v>
      </c>
      <c r="O113" s="285">
        <f t="shared" si="0"/>
        <v>150</v>
      </c>
      <c r="P113" s="289">
        <f t="shared" si="1"/>
        <v>4000000</v>
      </c>
      <c r="Q113" s="285">
        <f t="shared" si="2"/>
        <v>110</v>
      </c>
      <c r="R113" s="285">
        <f t="shared" si="3"/>
        <v>85</v>
      </c>
      <c r="S113" s="285">
        <f t="shared" si="4"/>
        <v>0.35</v>
      </c>
      <c r="T113" s="285">
        <f t="shared" si="5"/>
        <v>3.2</v>
      </c>
      <c r="U113" s="285">
        <f t="shared" si="6"/>
        <v>1</v>
      </c>
      <c r="V113" s="285">
        <f t="shared" si="7"/>
        <v>4.5</v>
      </c>
      <c r="W113" s="285">
        <f t="shared" si="8"/>
        <v>1.5</v>
      </c>
      <c r="X113" s="289">
        <f t="shared" si="9"/>
        <v>1164.6885243399367</v>
      </c>
      <c r="Y113" s="288">
        <f t="shared" si="10"/>
        <v>5.8234426216996838E-3</v>
      </c>
      <c r="Z113" s="256">
        <f t="shared" si="11"/>
        <v>181.74993027852094</v>
      </c>
      <c r="AA113" s="289">
        <f t="shared" si="12"/>
        <v>2388.1532558115164</v>
      </c>
      <c r="AB113" s="288">
        <f t="shared" si="13"/>
        <v>1.1940766279057581E-2</v>
      </c>
    </row>
    <row r="114" spans="13:28" ht="12" hidden="1" customHeight="1">
      <c r="M114" s="266"/>
      <c r="N114" s="288">
        <f t="shared" si="14"/>
        <v>5.1999999999999957</v>
      </c>
      <c r="O114" s="285">
        <f t="shared" si="0"/>
        <v>150</v>
      </c>
      <c r="P114" s="289">
        <f t="shared" si="1"/>
        <v>4000000</v>
      </c>
      <c r="Q114" s="285">
        <f t="shared" si="2"/>
        <v>110</v>
      </c>
      <c r="R114" s="285">
        <f t="shared" si="3"/>
        <v>85</v>
      </c>
      <c r="S114" s="285">
        <f t="shared" si="4"/>
        <v>0.35</v>
      </c>
      <c r="T114" s="285">
        <f t="shared" si="5"/>
        <v>3.2</v>
      </c>
      <c r="U114" s="285">
        <f t="shared" si="6"/>
        <v>1</v>
      </c>
      <c r="V114" s="285">
        <f t="shared" si="7"/>
        <v>4.5</v>
      </c>
      <c r="W114" s="285">
        <f t="shared" si="8"/>
        <v>1.5</v>
      </c>
      <c r="X114" s="289">
        <f t="shared" si="9"/>
        <v>1177.6808376335832</v>
      </c>
      <c r="Y114" s="288">
        <f t="shared" si="10"/>
        <v>5.888404188167916E-3</v>
      </c>
      <c r="Z114" s="256">
        <f t="shared" si="11"/>
        <v>181.74993027852094</v>
      </c>
      <c r="AA114" s="289">
        <f t="shared" si="12"/>
        <v>2414.793541728583</v>
      </c>
      <c r="AB114" s="288">
        <f t="shared" si="13"/>
        <v>1.2073967708642915E-2</v>
      </c>
    </row>
    <row r="115" spans="13:28" ht="12" hidden="1" customHeight="1">
      <c r="M115" s="266"/>
      <c r="N115" s="288">
        <f t="shared" si="14"/>
        <v>5.2099999999999955</v>
      </c>
      <c r="O115" s="285">
        <f t="shared" si="0"/>
        <v>150</v>
      </c>
      <c r="P115" s="289">
        <f t="shared" si="1"/>
        <v>4000000</v>
      </c>
      <c r="Q115" s="285">
        <f t="shared" si="2"/>
        <v>110</v>
      </c>
      <c r="R115" s="285">
        <f t="shared" si="3"/>
        <v>85</v>
      </c>
      <c r="S115" s="285">
        <f t="shared" si="4"/>
        <v>0.35</v>
      </c>
      <c r="T115" s="285">
        <f t="shared" si="5"/>
        <v>3.2</v>
      </c>
      <c r="U115" s="285">
        <f t="shared" si="6"/>
        <v>1</v>
      </c>
      <c r="V115" s="285">
        <f t="shared" si="7"/>
        <v>4.5</v>
      </c>
      <c r="W115" s="285">
        <f t="shared" si="8"/>
        <v>1.5</v>
      </c>
      <c r="X115" s="289">
        <f t="shared" si="9"/>
        <v>1190.7998775455001</v>
      </c>
      <c r="Y115" s="288">
        <f t="shared" si="10"/>
        <v>5.9539993877275E-3</v>
      </c>
      <c r="Z115" s="256">
        <f t="shared" si="11"/>
        <v>181.74993027852094</v>
      </c>
      <c r="AA115" s="289">
        <f t="shared" si="12"/>
        <v>2441.693676162829</v>
      </c>
      <c r="AB115" s="288">
        <f t="shared" si="13"/>
        <v>1.2208468380814144E-2</v>
      </c>
    </row>
    <row r="116" spans="13:28" ht="12" hidden="1" customHeight="1">
      <c r="M116" s="266"/>
      <c r="N116" s="288">
        <f t="shared" si="14"/>
        <v>5.2199999999999953</v>
      </c>
      <c r="O116" s="285">
        <f t="shared" si="0"/>
        <v>150</v>
      </c>
      <c r="P116" s="289">
        <f t="shared" si="1"/>
        <v>4000000</v>
      </c>
      <c r="Q116" s="285">
        <f t="shared" si="2"/>
        <v>110</v>
      </c>
      <c r="R116" s="285">
        <f t="shared" si="3"/>
        <v>85</v>
      </c>
      <c r="S116" s="285">
        <f t="shared" si="4"/>
        <v>0.35</v>
      </c>
      <c r="T116" s="285">
        <f t="shared" si="5"/>
        <v>3.2</v>
      </c>
      <c r="U116" s="285">
        <f t="shared" si="6"/>
        <v>1</v>
      </c>
      <c r="V116" s="285">
        <f t="shared" si="7"/>
        <v>4.5</v>
      </c>
      <c r="W116" s="285">
        <f t="shared" si="8"/>
        <v>1.5</v>
      </c>
      <c r="X116" s="289">
        <f t="shared" si="9"/>
        <v>1204.0466914172457</v>
      </c>
      <c r="Y116" s="288">
        <f t="shared" si="10"/>
        <v>6.0202334570862289E-3</v>
      </c>
      <c r="Z116" s="256">
        <f t="shared" si="11"/>
        <v>181.74993027852094</v>
      </c>
      <c r="AA116" s="289">
        <f t="shared" si="12"/>
        <v>2468.8558066516352</v>
      </c>
      <c r="AB116" s="288">
        <f t="shared" si="13"/>
        <v>1.2344279033258175E-2</v>
      </c>
    </row>
    <row r="117" spans="13:28" ht="12" hidden="1" customHeight="1">
      <c r="M117" s="266"/>
      <c r="N117" s="288">
        <f t="shared" si="14"/>
        <v>5.2299999999999951</v>
      </c>
      <c r="O117" s="285">
        <f t="shared" si="0"/>
        <v>150</v>
      </c>
      <c r="P117" s="289">
        <f t="shared" si="1"/>
        <v>4000000</v>
      </c>
      <c r="Q117" s="285">
        <f t="shared" si="2"/>
        <v>110</v>
      </c>
      <c r="R117" s="285">
        <f t="shared" si="3"/>
        <v>85</v>
      </c>
      <c r="S117" s="285">
        <f t="shared" si="4"/>
        <v>0.35</v>
      </c>
      <c r="T117" s="285">
        <f t="shared" si="5"/>
        <v>3.2</v>
      </c>
      <c r="U117" s="285">
        <f t="shared" si="6"/>
        <v>1</v>
      </c>
      <c r="V117" s="285">
        <f t="shared" si="7"/>
        <v>4.5</v>
      </c>
      <c r="W117" s="285">
        <f t="shared" si="8"/>
        <v>1.5</v>
      </c>
      <c r="X117" s="289">
        <f t="shared" si="9"/>
        <v>1217.4223336578239</v>
      </c>
      <c r="Y117" s="288">
        <f t="shared" si="10"/>
        <v>6.0871116682891194E-3</v>
      </c>
      <c r="Z117" s="256">
        <f t="shared" si="11"/>
        <v>181.74993027852094</v>
      </c>
      <c r="AA117" s="289">
        <f t="shared" si="12"/>
        <v>2496.2820952239463</v>
      </c>
      <c r="AB117" s="288">
        <f t="shared" si="13"/>
        <v>1.2481410476119731E-2</v>
      </c>
    </row>
    <row r="118" spans="13:28" ht="12" hidden="1" customHeight="1">
      <c r="M118" s="266"/>
      <c r="N118" s="288">
        <f t="shared" si="14"/>
        <v>5.2399999999999949</v>
      </c>
      <c r="O118" s="285">
        <f t="shared" si="0"/>
        <v>150</v>
      </c>
      <c r="P118" s="289">
        <f t="shared" si="1"/>
        <v>4000000</v>
      </c>
      <c r="Q118" s="285">
        <f t="shared" si="2"/>
        <v>110</v>
      </c>
      <c r="R118" s="285">
        <f t="shared" si="3"/>
        <v>85</v>
      </c>
      <c r="S118" s="285">
        <f t="shared" si="4"/>
        <v>0.35</v>
      </c>
      <c r="T118" s="285">
        <f t="shared" si="5"/>
        <v>3.2</v>
      </c>
      <c r="U118" s="285">
        <f t="shared" si="6"/>
        <v>1</v>
      </c>
      <c r="V118" s="285">
        <f t="shared" si="7"/>
        <v>4.5</v>
      </c>
      <c r="W118" s="285">
        <f t="shared" si="8"/>
        <v>1.5</v>
      </c>
      <c r="X118" s="289">
        <f t="shared" si="9"/>
        <v>1230.9278657804746</v>
      </c>
      <c r="Y118" s="288">
        <f t="shared" si="10"/>
        <v>6.1546393289023732E-3</v>
      </c>
      <c r="Z118" s="256">
        <f t="shared" si="11"/>
        <v>181.74993027852094</v>
      </c>
      <c r="AA118" s="289">
        <f t="shared" si="12"/>
        <v>2523.9747184756925</v>
      </c>
      <c r="AB118" s="288">
        <f t="shared" si="13"/>
        <v>1.2619873592378462E-2</v>
      </c>
    </row>
    <row r="119" spans="13:28" ht="12" hidden="1" customHeight="1">
      <c r="M119" s="266"/>
      <c r="N119" s="288">
        <f t="shared" si="14"/>
        <v>5.2499999999999947</v>
      </c>
      <c r="O119" s="285">
        <f t="shared" si="0"/>
        <v>150</v>
      </c>
      <c r="P119" s="289">
        <f t="shared" si="1"/>
        <v>4000000</v>
      </c>
      <c r="Q119" s="285">
        <f t="shared" si="2"/>
        <v>110</v>
      </c>
      <c r="R119" s="285">
        <f t="shared" si="3"/>
        <v>85</v>
      </c>
      <c r="S119" s="285">
        <f t="shared" si="4"/>
        <v>0.35</v>
      </c>
      <c r="T119" s="285">
        <f t="shared" si="5"/>
        <v>3.2</v>
      </c>
      <c r="U119" s="285">
        <f t="shared" si="6"/>
        <v>1</v>
      </c>
      <c r="V119" s="285">
        <f t="shared" si="7"/>
        <v>4.5</v>
      </c>
      <c r="W119" s="285">
        <f t="shared" si="8"/>
        <v>1.5</v>
      </c>
      <c r="X119" s="289">
        <f t="shared" si="9"/>
        <v>1244.5643564395566</v>
      </c>
      <c r="Y119" s="288">
        <f t="shared" si="10"/>
        <v>6.222821782197783E-3</v>
      </c>
      <c r="Z119" s="256">
        <f t="shared" si="11"/>
        <v>181.74993027852094</v>
      </c>
      <c r="AA119" s="289">
        <f t="shared" si="12"/>
        <v>2551.9358676454126</v>
      </c>
      <c r="AB119" s="288">
        <f t="shared" si="13"/>
        <v>1.2759679338227062E-2</v>
      </c>
    </row>
    <row r="120" spans="13:28" ht="12" hidden="1" customHeight="1">
      <c r="M120" s="266"/>
      <c r="N120" s="288">
        <f t="shared" si="14"/>
        <v>5.2599999999999945</v>
      </c>
      <c r="O120" s="285">
        <f t="shared" si="0"/>
        <v>150</v>
      </c>
      <c r="P120" s="289">
        <f t="shared" si="1"/>
        <v>4000000</v>
      </c>
      <c r="Q120" s="285">
        <f t="shared" si="2"/>
        <v>110</v>
      </c>
      <c r="R120" s="285">
        <f t="shared" si="3"/>
        <v>85</v>
      </c>
      <c r="S120" s="285">
        <f t="shared" si="4"/>
        <v>0.35</v>
      </c>
      <c r="T120" s="285">
        <f t="shared" si="5"/>
        <v>3.2</v>
      </c>
      <c r="U120" s="285">
        <f t="shared" si="6"/>
        <v>1</v>
      </c>
      <c r="V120" s="285">
        <f t="shared" si="7"/>
        <v>4.5</v>
      </c>
      <c r="W120" s="285">
        <f t="shared" si="8"/>
        <v>1.5</v>
      </c>
      <c r="X120" s="289">
        <f t="shared" si="9"/>
        <v>1258.3328814675924</v>
      </c>
      <c r="Y120" s="288">
        <f t="shared" si="10"/>
        <v>6.2916644073379617E-3</v>
      </c>
      <c r="Z120" s="256">
        <f t="shared" si="11"/>
        <v>181.74993027852094</v>
      </c>
      <c r="AA120" s="289">
        <f t="shared" si="12"/>
        <v>2580.1677486902299</v>
      </c>
      <c r="AB120" s="288">
        <f t="shared" si="13"/>
        <v>1.2900838743451149E-2</v>
      </c>
    </row>
    <row r="121" spans="13:28" ht="12" hidden="1" customHeight="1">
      <c r="M121" s="266"/>
      <c r="N121" s="288">
        <f t="shared" si="14"/>
        <v>5.2699999999999942</v>
      </c>
      <c r="O121" s="285">
        <f t="shared" si="0"/>
        <v>150</v>
      </c>
      <c r="P121" s="289">
        <f t="shared" si="1"/>
        <v>4000000</v>
      </c>
      <c r="Q121" s="285">
        <f t="shared" si="2"/>
        <v>110</v>
      </c>
      <c r="R121" s="285">
        <f t="shared" si="3"/>
        <v>85</v>
      </c>
      <c r="S121" s="285">
        <f t="shared" si="4"/>
        <v>0.35</v>
      </c>
      <c r="T121" s="285">
        <f t="shared" si="5"/>
        <v>3.2</v>
      </c>
      <c r="U121" s="285">
        <f t="shared" si="6"/>
        <v>1</v>
      </c>
      <c r="V121" s="285">
        <f t="shared" si="7"/>
        <v>4.5</v>
      </c>
      <c r="W121" s="285">
        <f t="shared" si="8"/>
        <v>1.5</v>
      </c>
      <c r="X121" s="289">
        <f t="shared" si="9"/>
        <v>1272.2345239124402</v>
      </c>
      <c r="Y121" s="288">
        <f t="shared" si="10"/>
        <v>6.361172619562201E-3</v>
      </c>
      <c r="Z121" s="256">
        <f t="shared" si="11"/>
        <v>181.74993027852094</v>
      </c>
      <c r="AA121" s="289">
        <f t="shared" si="12"/>
        <v>2608.6725823620527</v>
      </c>
      <c r="AB121" s="288">
        <f t="shared" si="13"/>
        <v>1.3043362911810264E-2</v>
      </c>
    </row>
    <row r="122" spans="13:28" ht="12" hidden="1" customHeight="1">
      <c r="M122" s="266"/>
      <c r="N122" s="288">
        <f t="shared" si="14"/>
        <v>5.279999999999994</v>
      </c>
      <c r="O122" s="285">
        <f t="shared" si="0"/>
        <v>150</v>
      </c>
      <c r="P122" s="289">
        <f t="shared" si="1"/>
        <v>4000000</v>
      </c>
      <c r="Q122" s="285">
        <f t="shared" si="2"/>
        <v>110</v>
      </c>
      <c r="R122" s="285">
        <f t="shared" si="3"/>
        <v>85</v>
      </c>
      <c r="S122" s="285">
        <f t="shared" si="4"/>
        <v>0.35</v>
      </c>
      <c r="T122" s="285">
        <f t="shared" si="5"/>
        <v>3.2</v>
      </c>
      <c r="U122" s="285">
        <f t="shared" si="6"/>
        <v>1</v>
      </c>
      <c r="V122" s="285">
        <f t="shared" si="7"/>
        <v>4.5</v>
      </c>
      <c r="W122" s="285">
        <f t="shared" si="8"/>
        <v>1.5</v>
      </c>
      <c r="X122" s="289">
        <f t="shared" si="9"/>
        <v>1286.2703740745983</v>
      </c>
      <c r="Y122" s="288">
        <f t="shared" si="10"/>
        <v>6.4313518703729916E-3</v>
      </c>
      <c r="Z122" s="256">
        <f t="shared" si="11"/>
        <v>181.74993027852094</v>
      </c>
      <c r="AA122" s="289">
        <f t="shared" si="12"/>
        <v>2637.4526042840785</v>
      </c>
      <c r="AB122" s="288">
        <f t="shared" si="13"/>
        <v>1.3187263021420393E-2</v>
      </c>
    </row>
    <row r="123" spans="13:28" ht="12" hidden="1" customHeight="1">
      <c r="M123" s="266"/>
      <c r="N123" s="288">
        <f t="shared" si="14"/>
        <v>5.2899999999999938</v>
      </c>
      <c r="O123" s="285">
        <f t="shared" si="0"/>
        <v>150</v>
      </c>
      <c r="P123" s="289">
        <f t="shared" si="1"/>
        <v>4000000</v>
      </c>
      <c r="Q123" s="285">
        <f t="shared" si="2"/>
        <v>110</v>
      </c>
      <c r="R123" s="285">
        <f t="shared" si="3"/>
        <v>85</v>
      </c>
      <c r="S123" s="285">
        <f t="shared" si="4"/>
        <v>0.35</v>
      </c>
      <c r="T123" s="285">
        <f t="shared" si="5"/>
        <v>3.2</v>
      </c>
      <c r="U123" s="285">
        <f t="shared" si="6"/>
        <v>1</v>
      </c>
      <c r="V123" s="285">
        <f t="shared" si="7"/>
        <v>4.5</v>
      </c>
      <c r="W123" s="285">
        <f t="shared" si="8"/>
        <v>1.5</v>
      </c>
      <c r="X123" s="289">
        <f t="shared" si="9"/>
        <v>1300.4415295446477</v>
      </c>
      <c r="Y123" s="288">
        <f t="shared" si="10"/>
        <v>6.5022076477232382E-3</v>
      </c>
      <c r="Z123" s="256">
        <f t="shared" si="11"/>
        <v>181.74993027852094</v>
      </c>
      <c r="AA123" s="289">
        <f t="shared" si="12"/>
        <v>2666.5100650275754</v>
      </c>
      <c r="AB123" s="288">
        <f t="shared" si="13"/>
        <v>1.3332550325137877E-2</v>
      </c>
    </row>
    <row r="124" spans="13:28" ht="12" hidden="1" customHeight="1">
      <c r="M124" s="266"/>
      <c r="N124" s="288">
        <f t="shared" si="14"/>
        <v>5.2999999999999936</v>
      </c>
      <c r="O124" s="285">
        <f t="shared" si="0"/>
        <v>150</v>
      </c>
      <c r="P124" s="289">
        <f t="shared" si="1"/>
        <v>4000000</v>
      </c>
      <c r="Q124" s="285">
        <f t="shared" si="2"/>
        <v>110</v>
      </c>
      <c r="R124" s="285">
        <f t="shared" si="3"/>
        <v>85</v>
      </c>
      <c r="S124" s="285">
        <f t="shared" si="4"/>
        <v>0.35</v>
      </c>
      <c r="T124" s="285">
        <f t="shared" si="5"/>
        <v>3.2</v>
      </c>
      <c r="U124" s="285">
        <f t="shared" si="6"/>
        <v>1</v>
      </c>
      <c r="V124" s="285">
        <f t="shared" si="7"/>
        <v>4.5</v>
      </c>
      <c r="W124" s="285">
        <f t="shared" si="8"/>
        <v>1.5</v>
      </c>
      <c r="X124" s="289">
        <f t="shared" si="9"/>
        <v>1314.7490952408209</v>
      </c>
      <c r="Y124" s="288">
        <f t="shared" si="10"/>
        <v>6.5737454762041046E-3</v>
      </c>
      <c r="Z124" s="256">
        <f t="shared" si="11"/>
        <v>181.74993027852094</v>
      </c>
      <c r="AA124" s="289">
        <f t="shared" si="12"/>
        <v>2695.8472301888942</v>
      </c>
      <c r="AB124" s="288">
        <f t="shared" si="13"/>
        <v>1.3479236150944471E-2</v>
      </c>
    </row>
    <row r="125" spans="13:28" ht="12" hidden="1" customHeight="1">
      <c r="M125" s="266"/>
      <c r="N125" s="288">
        <f t="shared" si="14"/>
        <v>5.3099999999999934</v>
      </c>
      <c r="O125" s="285">
        <f t="shared" si="0"/>
        <v>150</v>
      </c>
      <c r="P125" s="289">
        <f t="shared" si="1"/>
        <v>4000000</v>
      </c>
      <c r="Q125" s="285">
        <f t="shared" si="2"/>
        <v>110</v>
      </c>
      <c r="R125" s="285">
        <f t="shared" si="3"/>
        <v>85</v>
      </c>
      <c r="S125" s="285">
        <f t="shared" si="4"/>
        <v>0.35</v>
      </c>
      <c r="T125" s="285">
        <f t="shared" si="5"/>
        <v>3.2</v>
      </c>
      <c r="U125" s="285">
        <f t="shared" si="6"/>
        <v>1</v>
      </c>
      <c r="V125" s="285">
        <f t="shared" si="7"/>
        <v>4.5</v>
      </c>
      <c r="W125" s="285">
        <f t="shared" si="8"/>
        <v>1.5</v>
      </c>
      <c r="X125" s="289">
        <f t="shared" si="9"/>
        <v>1329.1941834467505</v>
      </c>
      <c r="Y125" s="288">
        <f t="shared" si="10"/>
        <v>6.6459709172337527E-3</v>
      </c>
      <c r="Z125" s="256">
        <f t="shared" si="11"/>
        <v>181.74993027852094</v>
      </c>
      <c r="AA125" s="289">
        <f t="shared" si="12"/>
        <v>2725.4663804668844</v>
      </c>
      <c r="AB125" s="288">
        <f t="shared" si="13"/>
        <v>1.3627331902334422E-2</v>
      </c>
    </row>
    <row r="126" spans="13:28" ht="12" hidden="1" customHeight="1">
      <c r="M126" s="266"/>
      <c r="N126" s="288">
        <f t="shared" si="14"/>
        <v>5.3199999999999932</v>
      </c>
      <c r="O126" s="285">
        <f t="shared" si="0"/>
        <v>150</v>
      </c>
      <c r="P126" s="289">
        <f t="shared" si="1"/>
        <v>4000000</v>
      </c>
      <c r="Q126" s="285">
        <f t="shared" si="2"/>
        <v>110</v>
      </c>
      <c r="R126" s="285">
        <f t="shared" si="3"/>
        <v>85</v>
      </c>
      <c r="S126" s="285">
        <f t="shared" si="4"/>
        <v>0.35</v>
      </c>
      <c r="T126" s="285">
        <f t="shared" si="5"/>
        <v>3.2</v>
      </c>
      <c r="U126" s="285">
        <f t="shared" si="6"/>
        <v>1</v>
      </c>
      <c r="V126" s="285">
        <f t="shared" si="7"/>
        <v>4.5</v>
      </c>
      <c r="W126" s="285">
        <f t="shared" si="8"/>
        <v>1.5</v>
      </c>
      <c r="X126" s="289">
        <f t="shared" si="9"/>
        <v>1343.7779138492826</v>
      </c>
      <c r="Y126" s="288">
        <f t="shared" si="10"/>
        <v>6.7188895692464135E-3</v>
      </c>
      <c r="Z126" s="256">
        <f t="shared" si="11"/>
        <v>181.74993027852094</v>
      </c>
      <c r="AA126" s="289">
        <f t="shared" si="12"/>
        <v>2755.3698117404306</v>
      </c>
      <c r="AB126" s="288">
        <f t="shared" si="13"/>
        <v>1.3776849058702153E-2</v>
      </c>
    </row>
    <row r="127" spans="13:28" ht="12" hidden="1" customHeight="1">
      <c r="M127" s="266"/>
      <c r="N127" s="288">
        <f t="shared" si="14"/>
        <v>5.329999999999993</v>
      </c>
      <c r="O127" s="285">
        <f t="shared" si="0"/>
        <v>150</v>
      </c>
      <c r="P127" s="289">
        <f t="shared" si="1"/>
        <v>4000000</v>
      </c>
      <c r="Q127" s="285">
        <f t="shared" si="2"/>
        <v>110</v>
      </c>
      <c r="R127" s="285">
        <f t="shared" si="3"/>
        <v>85</v>
      </c>
      <c r="S127" s="285">
        <f t="shared" si="4"/>
        <v>0.35</v>
      </c>
      <c r="T127" s="285">
        <f t="shared" si="5"/>
        <v>3.2</v>
      </c>
      <c r="U127" s="285">
        <f t="shared" si="6"/>
        <v>1</v>
      </c>
      <c r="V127" s="285">
        <f t="shared" si="7"/>
        <v>4.5</v>
      </c>
      <c r="W127" s="285">
        <f t="shared" si="8"/>
        <v>1.5</v>
      </c>
      <c r="X127" s="289">
        <f t="shared" si="9"/>
        <v>1358.5014135764854</v>
      </c>
      <c r="Y127" s="288">
        <f t="shared" si="10"/>
        <v>6.7925070678824268E-3</v>
      </c>
      <c r="Z127" s="256">
        <f t="shared" si="11"/>
        <v>181.74993027852094</v>
      </c>
      <c r="AA127" s="289">
        <f t="shared" si="12"/>
        <v>2785.5598351463723</v>
      </c>
      <c r="AB127" s="288">
        <f t="shared" si="13"/>
        <v>1.3927799175731861E-2</v>
      </c>
    </row>
    <row r="128" spans="13:28" ht="12" hidden="1" customHeight="1">
      <c r="M128" s="266"/>
      <c r="N128" s="288">
        <f t="shared" si="14"/>
        <v>5.3399999999999928</v>
      </c>
      <c r="O128" s="285">
        <f t="shared" si="0"/>
        <v>150</v>
      </c>
      <c r="P128" s="289">
        <f t="shared" si="1"/>
        <v>4000000</v>
      </c>
      <c r="Q128" s="285">
        <f t="shared" si="2"/>
        <v>110</v>
      </c>
      <c r="R128" s="285">
        <f t="shared" si="3"/>
        <v>85</v>
      </c>
      <c r="S128" s="285">
        <f t="shared" si="4"/>
        <v>0.35</v>
      </c>
      <c r="T128" s="285">
        <f t="shared" si="5"/>
        <v>3.2</v>
      </c>
      <c r="U128" s="285">
        <f t="shared" si="6"/>
        <v>1</v>
      </c>
      <c r="V128" s="285">
        <f t="shared" si="7"/>
        <v>4.5</v>
      </c>
      <c r="W128" s="285">
        <f t="shared" si="8"/>
        <v>1.5</v>
      </c>
      <c r="X128" s="289">
        <f t="shared" si="9"/>
        <v>1373.3658172357718</v>
      </c>
      <c r="Y128" s="288">
        <f t="shared" si="10"/>
        <v>6.8668290861788588E-3</v>
      </c>
      <c r="Z128" s="256">
        <f t="shared" si="11"/>
        <v>181.74993027852094</v>
      </c>
      <c r="AA128" s="289">
        <f t="shared" si="12"/>
        <v>2816.0387771577043</v>
      </c>
      <c r="AB128" s="288">
        <f t="shared" si="13"/>
        <v>1.4080193885788522E-2</v>
      </c>
    </row>
    <row r="129" spans="13:28" ht="12" hidden="1" customHeight="1">
      <c r="M129" s="266"/>
      <c r="N129" s="288">
        <f t="shared" si="14"/>
        <v>5.3499999999999925</v>
      </c>
      <c r="O129" s="285">
        <f t="shared" si="0"/>
        <v>150</v>
      </c>
      <c r="P129" s="289">
        <f t="shared" si="1"/>
        <v>4000000</v>
      </c>
      <c r="Q129" s="285">
        <f t="shared" si="2"/>
        <v>110</v>
      </c>
      <c r="R129" s="285">
        <f t="shared" si="3"/>
        <v>85</v>
      </c>
      <c r="S129" s="285">
        <f t="shared" si="4"/>
        <v>0.35</v>
      </c>
      <c r="T129" s="285">
        <f t="shared" si="5"/>
        <v>3.2</v>
      </c>
      <c r="U129" s="285">
        <f t="shared" si="6"/>
        <v>1</v>
      </c>
      <c r="V129" s="285">
        <f t="shared" si="7"/>
        <v>4.5</v>
      </c>
      <c r="W129" s="285">
        <f t="shared" si="8"/>
        <v>1.5</v>
      </c>
      <c r="X129" s="289">
        <f t="shared" si="9"/>
        <v>1388.3722669521594</v>
      </c>
      <c r="Y129" s="288">
        <f t="shared" si="10"/>
        <v>6.9418613347607969E-3</v>
      </c>
      <c r="Z129" s="256">
        <f t="shared" si="11"/>
        <v>181.74993027852094</v>
      </c>
      <c r="AA129" s="289">
        <f t="shared" si="12"/>
        <v>2846.8089796619997</v>
      </c>
      <c r="AB129" s="288">
        <f t="shared" si="13"/>
        <v>1.4234044898309999E-2</v>
      </c>
    </row>
    <row r="130" spans="13:28" ht="12" hidden="1" customHeight="1">
      <c r="M130" s="266"/>
      <c r="N130" s="288">
        <f t="shared" si="14"/>
        <v>5.3599999999999923</v>
      </c>
      <c r="O130" s="285">
        <f t="shared" si="0"/>
        <v>150</v>
      </c>
      <c r="P130" s="289">
        <f t="shared" si="1"/>
        <v>4000000</v>
      </c>
      <c r="Q130" s="285">
        <f t="shared" si="2"/>
        <v>110</v>
      </c>
      <c r="R130" s="285">
        <f t="shared" si="3"/>
        <v>85</v>
      </c>
      <c r="S130" s="285">
        <f t="shared" si="4"/>
        <v>0.35</v>
      </c>
      <c r="T130" s="285">
        <f t="shared" si="5"/>
        <v>3.2</v>
      </c>
      <c r="U130" s="285">
        <f t="shared" si="6"/>
        <v>1</v>
      </c>
      <c r="V130" s="285">
        <f t="shared" si="7"/>
        <v>4.5</v>
      </c>
      <c r="W130" s="285">
        <f t="shared" si="8"/>
        <v>1.5</v>
      </c>
      <c r="X130" s="289">
        <f t="shared" si="9"/>
        <v>1403.5219124066912</v>
      </c>
      <c r="Y130" s="288">
        <f t="shared" si="10"/>
        <v>7.0176095620334555E-3</v>
      </c>
      <c r="Z130" s="256">
        <f t="shared" si="11"/>
        <v>181.74993027852094</v>
      </c>
      <c r="AA130" s="289">
        <f t="shared" si="12"/>
        <v>2877.8728000401852</v>
      </c>
      <c r="AB130" s="288">
        <f t="shared" si="13"/>
        <v>1.4389364000200926E-2</v>
      </c>
    </row>
    <row r="131" spans="13:28" ht="12" hidden="1" customHeight="1">
      <c r="M131" s="266"/>
      <c r="N131" s="288">
        <f t="shared" si="14"/>
        <v>5.3699999999999921</v>
      </c>
      <c r="O131" s="285">
        <f t="shared" si="0"/>
        <v>150</v>
      </c>
      <c r="P131" s="289">
        <f t="shared" si="1"/>
        <v>4000000</v>
      </c>
      <c r="Q131" s="285">
        <f t="shared" si="2"/>
        <v>110</v>
      </c>
      <c r="R131" s="285">
        <f t="shared" si="3"/>
        <v>85</v>
      </c>
      <c r="S131" s="285">
        <f t="shared" si="4"/>
        <v>0.35</v>
      </c>
      <c r="T131" s="285">
        <f t="shared" si="5"/>
        <v>3.2</v>
      </c>
      <c r="U131" s="285">
        <f t="shared" si="6"/>
        <v>1</v>
      </c>
      <c r="V131" s="285">
        <f t="shared" si="7"/>
        <v>4.5</v>
      </c>
      <c r="W131" s="285">
        <f t="shared" si="8"/>
        <v>1.5</v>
      </c>
      <c r="X131" s="289">
        <f t="shared" si="9"/>
        <v>1418.815910874936</v>
      </c>
      <c r="Y131" s="288">
        <f t="shared" si="10"/>
        <v>7.0940795543746795E-3</v>
      </c>
      <c r="Z131" s="256">
        <f t="shared" si="11"/>
        <v>181.74993027852094</v>
      </c>
      <c r="AA131" s="289">
        <f t="shared" si="12"/>
        <v>2909.2326112455157</v>
      </c>
      <c r="AB131" s="288">
        <f t="shared" si="13"/>
        <v>1.4546163056227579E-2</v>
      </c>
    </row>
    <row r="132" spans="13:28" ht="12" hidden="1" customHeight="1">
      <c r="M132" s="266"/>
      <c r="N132" s="288">
        <f t="shared" si="14"/>
        <v>5.3799999999999919</v>
      </c>
      <c r="O132" s="285">
        <f t="shared" si="0"/>
        <v>150</v>
      </c>
      <c r="P132" s="289">
        <f t="shared" si="1"/>
        <v>4000000</v>
      </c>
      <c r="Q132" s="285">
        <f t="shared" si="2"/>
        <v>110</v>
      </c>
      <c r="R132" s="285">
        <f t="shared" si="3"/>
        <v>85</v>
      </c>
      <c r="S132" s="285">
        <f t="shared" si="4"/>
        <v>0.35</v>
      </c>
      <c r="T132" s="285">
        <f t="shared" si="5"/>
        <v>3.2</v>
      </c>
      <c r="U132" s="285">
        <f t="shared" si="6"/>
        <v>1</v>
      </c>
      <c r="V132" s="285">
        <f t="shared" si="7"/>
        <v>4.5</v>
      </c>
      <c r="W132" s="285">
        <f t="shared" si="8"/>
        <v>1.5</v>
      </c>
      <c r="X132" s="289">
        <f t="shared" si="9"/>
        <v>1434.2554272656985</v>
      </c>
      <c r="Y132" s="288">
        <f t="shared" si="10"/>
        <v>7.1712771363284921E-3</v>
      </c>
      <c r="Z132" s="256">
        <f t="shared" si="11"/>
        <v>181.74993027852094</v>
      </c>
      <c r="AA132" s="289">
        <f t="shared" si="12"/>
        <v>2940.8908018829206</v>
      </c>
      <c r="AB132" s="288">
        <f t="shared" si="13"/>
        <v>1.4704454009414603E-2</v>
      </c>
    </row>
    <row r="133" spans="13:28" ht="12" hidden="1" customHeight="1">
      <c r="M133" s="266"/>
      <c r="N133" s="288">
        <f t="shared" si="14"/>
        <v>5.3899999999999917</v>
      </c>
      <c r="O133" s="285">
        <f t="shared" si="0"/>
        <v>150</v>
      </c>
      <c r="P133" s="289">
        <f t="shared" si="1"/>
        <v>4000000</v>
      </c>
      <c r="Q133" s="285">
        <f t="shared" si="2"/>
        <v>110</v>
      </c>
      <c r="R133" s="285">
        <f t="shared" si="3"/>
        <v>85</v>
      </c>
      <c r="S133" s="285">
        <f t="shared" si="4"/>
        <v>0.35</v>
      </c>
      <c r="T133" s="285">
        <f t="shared" si="5"/>
        <v>3.2</v>
      </c>
      <c r="U133" s="285">
        <f t="shared" si="6"/>
        <v>1</v>
      </c>
      <c r="V133" s="285">
        <f t="shared" si="7"/>
        <v>4.5</v>
      </c>
      <c r="W133" s="285">
        <f t="shared" si="8"/>
        <v>1.5</v>
      </c>
      <c r="X133" s="289">
        <f t="shared" si="9"/>
        <v>1449.8416341598206</v>
      </c>
      <c r="Y133" s="288">
        <f t="shared" si="10"/>
        <v>7.2492081707991032E-3</v>
      </c>
      <c r="Z133" s="256">
        <f t="shared" si="11"/>
        <v>181.74993027852094</v>
      </c>
      <c r="AA133" s="289">
        <f t="shared" si="12"/>
        <v>2972.8497762885841</v>
      </c>
      <c r="AB133" s="288">
        <f t="shared" si="13"/>
        <v>1.486424888144292E-2</v>
      </c>
    </row>
    <row r="134" spans="13:28" ht="12" hidden="1" customHeight="1">
      <c r="M134" s="266"/>
      <c r="N134" s="288">
        <f t="shared" si="14"/>
        <v>5.3999999999999915</v>
      </c>
      <c r="O134" s="285">
        <f t="shared" si="0"/>
        <v>150</v>
      </c>
      <c r="P134" s="289">
        <f t="shared" si="1"/>
        <v>4000000</v>
      </c>
      <c r="Q134" s="285">
        <f t="shared" si="2"/>
        <v>110</v>
      </c>
      <c r="R134" s="285">
        <f t="shared" si="3"/>
        <v>85</v>
      </c>
      <c r="S134" s="285">
        <f t="shared" si="4"/>
        <v>0.35</v>
      </c>
      <c r="T134" s="285">
        <f t="shared" si="5"/>
        <v>3.2</v>
      </c>
      <c r="U134" s="285">
        <f t="shared" si="6"/>
        <v>1</v>
      </c>
      <c r="V134" s="285">
        <f t="shared" si="7"/>
        <v>4.5</v>
      </c>
      <c r="W134" s="285">
        <f t="shared" si="8"/>
        <v>1.5</v>
      </c>
      <c r="X134" s="289">
        <f t="shared" si="9"/>
        <v>1465.5757118491576</v>
      </c>
      <c r="Y134" s="288">
        <f t="shared" si="10"/>
        <v>7.327878559245788E-3</v>
      </c>
      <c r="Z134" s="256">
        <f t="shared" si="11"/>
        <v>181.74993027852094</v>
      </c>
      <c r="AA134" s="289">
        <f t="shared" si="12"/>
        <v>3005.1119546098453</v>
      </c>
      <c r="AB134" s="288">
        <f t="shared" si="13"/>
        <v>1.5025559773049226E-2</v>
      </c>
    </row>
    <row r="135" spans="13:28" ht="12" hidden="1" customHeight="1">
      <c r="M135" s="266"/>
      <c r="N135" s="288">
        <f t="shared" si="14"/>
        <v>5.4099999999999913</v>
      </c>
      <c r="O135" s="285">
        <f t="shared" si="0"/>
        <v>150</v>
      </c>
      <c r="P135" s="289">
        <f t="shared" si="1"/>
        <v>4000000</v>
      </c>
      <c r="Q135" s="285">
        <f t="shared" si="2"/>
        <v>110</v>
      </c>
      <c r="R135" s="285">
        <f t="shared" si="3"/>
        <v>85</v>
      </c>
      <c r="S135" s="285">
        <f t="shared" si="4"/>
        <v>0.35</v>
      </c>
      <c r="T135" s="285">
        <f t="shared" si="5"/>
        <v>3.2</v>
      </c>
      <c r="U135" s="285">
        <f t="shared" si="6"/>
        <v>1</v>
      </c>
      <c r="V135" s="285">
        <f t="shared" si="7"/>
        <v>4.5</v>
      </c>
      <c r="W135" s="285">
        <f t="shared" si="8"/>
        <v>1.5</v>
      </c>
      <c r="X135" s="289">
        <f t="shared" si="9"/>
        <v>1481.4588483756274</v>
      </c>
      <c r="Y135" s="288">
        <f t="shared" si="10"/>
        <v>7.4072942418781373E-3</v>
      </c>
      <c r="Z135" s="256">
        <f t="shared" si="11"/>
        <v>181.74993027852094</v>
      </c>
      <c r="AA135" s="289">
        <f t="shared" si="12"/>
        <v>3037.6797728852803</v>
      </c>
      <c r="AB135" s="288">
        <f t="shared" si="13"/>
        <v>1.5188398864426401E-2</v>
      </c>
    </row>
    <row r="136" spans="13:28" ht="12" hidden="1" customHeight="1">
      <c r="M136" s="266"/>
      <c r="N136" s="288">
        <f t="shared" si="14"/>
        <v>5.419999999999991</v>
      </c>
      <c r="O136" s="285">
        <f t="shared" si="0"/>
        <v>150</v>
      </c>
      <c r="P136" s="289">
        <f t="shared" si="1"/>
        <v>4000000</v>
      </c>
      <c r="Q136" s="285">
        <f t="shared" si="2"/>
        <v>110</v>
      </c>
      <c r="R136" s="285">
        <f t="shared" si="3"/>
        <v>85</v>
      </c>
      <c r="S136" s="285">
        <f t="shared" si="4"/>
        <v>0.35</v>
      </c>
      <c r="T136" s="285">
        <f t="shared" si="5"/>
        <v>3.2</v>
      </c>
      <c r="U136" s="285">
        <f t="shared" si="6"/>
        <v>1</v>
      </c>
      <c r="V136" s="285">
        <f t="shared" si="7"/>
        <v>4.5</v>
      </c>
      <c r="W136" s="285">
        <f t="shared" si="8"/>
        <v>1.5</v>
      </c>
      <c r="X136" s="289">
        <f t="shared" si="9"/>
        <v>1497.4922395704962</v>
      </c>
      <c r="Y136" s="288">
        <f t="shared" si="10"/>
        <v>7.4874611978524809E-3</v>
      </c>
      <c r="Z136" s="256">
        <f t="shared" si="11"/>
        <v>181.74993027852094</v>
      </c>
      <c r="AA136" s="289">
        <f t="shared" si="12"/>
        <v>3070.5556831252525</v>
      </c>
      <c r="AB136" s="288">
        <f t="shared" si="13"/>
        <v>1.5352778415626262E-2</v>
      </c>
    </row>
    <row r="137" spans="13:28" ht="12" hidden="1" customHeight="1">
      <c r="M137" s="266"/>
      <c r="N137" s="288">
        <f t="shared" si="14"/>
        <v>5.4299999999999908</v>
      </c>
      <c r="O137" s="285">
        <f t="shared" si="0"/>
        <v>150</v>
      </c>
      <c r="P137" s="289">
        <f t="shared" si="1"/>
        <v>4000000</v>
      </c>
      <c r="Q137" s="285">
        <f t="shared" si="2"/>
        <v>110</v>
      </c>
      <c r="R137" s="285">
        <f t="shared" si="3"/>
        <v>85</v>
      </c>
      <c r="S137" s="285">
        <f t="shared" si="4"/>
        <v>0.35</v>
      </c>
      <c r="T137" s="285">
        <f t="shared" si="5"/>
        <v>3.2</v>
      </c>
      <c r="U137" s="285">
        <f t="shared" si="6"/>
        <v>1</v>
      </c>
      <c r="V137" s="285">
        <f t="shared" si="7"/>
        <v>4.5</v>
      </c>
      <c r="W137" s="285">
        <f t="shared" si="8"/>
        <v>1.5</v>
      </c>
      <c r="X137" s="289">
        <f t="shared" si="9"/>
        <v>1513.6770890937128</v>
      </c>
      <c r="Y137" s="288">
        <f t="shared" si="10"/>
        <v>7.5683854454685635E-3</v>
      </c>
      <c r="Z137" s="256">
        <f t="shared" si="11"/>
        <v>181.74993027852094</v>
      </c>
      <c r="AA137" s="289">
        <f t="shared" si="12"/>
        <v>3103.742153392564</v>
      </c>
      <c r="AB137" s="288">
        <f t="shared" si="13"/>
        <v>1.5518710766962819E-2</v>
      </c>
    </row>
    <row r="138" spans="13:28" ht="12" hidden="1" customHeight="1">
      <c r="M138" s="266"/>
      <c r="N138" s="288">
        <f t="shared" si="14"/>
        <v>5.4399999999999906</v>
      </c>
      <c r="O138" s="285">
        <f t="shared" si="0"/>
        <v>150</v>
      </c>
      <c r="P138" s="289">
        <f t="shared" si="1"/>
        <v>4000000</v>
      </c>
      <c r="Q138" s="285">
        <f t="shared" si="2"/>
        <v>110</v>
      </c>
      <c r="R138" s="285">
        <f t="shared" si="3"/>
        <v>85</v>
      </c>
      <c r="S138" s="285">
        <f t="shared" si="4"/>
        <v>0.35</v>
      </c>
      <c r="T138" s="285">
        <f t="shared" si="5"/>
        <v>3.2</v>
      </c>
      <c r="U138" s="285">
        <f t="shared" si="6"/>
        <v>1</v>
      </c>
      <c r="V138" s="285">
        <f t="shared" si="7"/>
        <v>4.5</v>
      </c>
      <c r="W138" s="285">
        <f t="shared" si="8"/>
        <v>1.5</v>
      </c>
      <c r="X138" s="289">
        <f t="shared" si="9"/>
        <v>1530.0146084734324</v>
      </c>
      <c r="Y138" s="288">
        <f t="shared" si="10"/>
        <v>7.6500730423671622E-3</v>
      </c>
      <c r="Z138" s="256">
        <f t="shared" si="11"/>
        <v>181.74993027852094</v>
      </c>
      <c r="AA138" s="289">
        <f t="shared" si="12"/>
        <v>3137.2416678835125</v>
      </c>
      <c r="AB138" s="288">
        <f t="shared" si="13"/>
        <v>1.5686208339417564E-2</v>
      </c>
    </row>
    <row r="139" spans="13:28" ht="12" hidden="1" customHeight="1">
      <c r="M139" s="266"/>
      <c r="N139" s="288">
        <f t="shared" si="14"/>
        <v>5.4499999999999904</v>
      </c>
      <c r="O139" s="285">
        <f t="shared" si="0"/>
        <v>150</v>
      </c>
      <c r="P139" s="289">
        <f t="shared" si="1"/>
        <v>4000000</v>
      </c>
      <c r="Q139" s="285">
        <f t="shared" si="2"/>
        <v>110</v>
      </c>
      <c r="R139" s="285">
        <f t="shared" si="3"/>
        <v>85</v>
      </c>
      <c r="S139" s="285">
        <f t="shared" si="4"/>
        <v>0.35</v>
      </c>
      <c r="T139" s="285">
        <f t="shared" si="5"/>
        <v>3.2</v>
      </c>
      <c r="U139" s="285">
        <f t="shared" si="6"/>
        <v>1</v>
      </c>
      <c r="V139" s="285">
        <f t="shared" si="7"/>
        <v>4.5</v>
      </c>
      <c r="W139" s="285">
        <f t="shared" si="8"/>
        <v>1.5</v>
      </c>
      <c r="X139" s="289">
        <f t="shared" si="9"/>
        <v>1546.506017145691</v>
      </c>
      <c r="Y139" s="288">
        <f t="shared" si="10"/>
        <v>7.7325300857284552E-3</v>
      </c>
      <c r="Z139" s="256">
        <f t="shared" si="11"/>
        <v>181.74993027852094</v>
      </c>
      <c r="AA139" s="289">
        <f t="shared" si="12"/>
        <v>3171.056727009207</v>
      </c>
      <c r="AB139" s="288">
        <f t="shared" si="13"/>
        <v>1.5855283635046034E-2</v>
      </c>
    </row>
    <row r="140" spans="13:28" ht="12" hidden="1" customHeight="1">
      <c r="M140" s="266"/>
      <c r="N140" s="288">
        <f t="shared" si="14"/>
        <v>5.4599999999999902</v>
      </c>
      <c r="O140" s="285">
        <f t="shared" si="0"/>
        <v>150</v>
      </c>
      <c r="P140" s="289">
        <f t="shared" si="1"/>
        <v>4000000</v>
      </c>
      <c r="Q140" s="285">
        <f t="shared" si="2"/>
        <v>110</v>
      </c>
      <c r="R140" s="285">
        <f t="shared" si="3"/>
        <v>85</v>
      </c>
      <c r="S140" s="285">
        <f t="shared" si="4"/>
        <v>0.35</v>
      </c>
      <c r="T140" s="285">
        <f t="shared" si="5"/>
        <v>3.2</v>
      </c>
      <c r="U140" s="285">
        <f t="shared" si="6"/>
        <v>1</v>
      </c>
      <c r="V140" s="285">
        <f t="shared" si="7"/>
        <v>4.5</v>
      </c>
      <c r="W140" s="285">
        <f t="shared" si="8"/>
        <v>1.5</v>
      </c>
      <c r="X140" s="289">
        <f t="shared" si="9"/>
        <v>1563.1525424941676</v>
      </c>
      <c r="Y140" s="288">
        <f t="shared" si="10"/>
        <v>7.8157627124708379E-3</v>
      </c>
      <c r="Z140" s="256">
        <f t="shared" si="11"/>
        <v>181.74993027852094</v>
      </c>
      <c r="AA140" s="289">
        <f t="shared" si="12"/>
        <v>3205.1898474771365</v>
      </c>
      <c r="AB140" s="288">
        <f t="shared" si="13"/>
        <v>1.6025949237385682E-2</v>
      </c>
    </row>
    <row r="141" spans="13:28" ht="12" hidden="1" customHeight="1">
      <c r="M141" s="266"/>
      <c r="N141" s="288">
        <f t="shared" si="14"/>
        <v>5.46999999999999</v>
      </c>
      <c r="O141" s="285">
        <f t="shared" si="0"/>
        <v>150</v>
      </c>
      <c r="P141" s="289">
        <f t="shared" si="1"/>
        <v>4000000</v>
      </c>
      <c r="Q141" s="285">
        <f t="shared" si="2"/>
        <v>110</v>
      </c>
      <c r="R141" s="285">
        <f t="shared" si="3"/>
        <v>85</v>
      </c>
      <c r="S141" s="285">
        <f t="shared" si="4"/>
        <v>0.35</v>
      </c>
      <c r="T141" s="285">
        <f t="shared" si="5"/>
        <v>3.2</v>
      </c>
      <c r="U141" s="285">
        <f t="shared" si="6"/>
        <v>1</v>
      </c>
      <c r="V141" s="285">
        <f t="shared" si="7"/>
        <v>4.5</v>
      </c>
      <c r="W141" s="285">
        <f t="shared" si="8"/>
        <v>1.5</v>
      </c>
      <c r="X141" s="289">
        <f t="shared" si="9"/>
        <v>1579.9554198901308</v>
      </c>
      <c r="Y141" s="288">
        <f t="shared" si="10"/>
        <v>7.8997770994506545E-3</v>
      </c>
      <c r="Z141" s="256">
        <f t="shared" si="11"/>
        <v>181.74993027852094</v>
      </c>
      <c r="AA141" s="289">
        <f t="shared" si="12"/>
        <v>3239.6435623730677</v>
      </c>
      <c r="AB141" s="288">
        <f t="shared" si="13"/>
        <v>1.619821781186534E-2</v>
      </c>
    </row>
    <row r="142" spans="13:28" ht="12" hidden="1" customHeight="1">
      <c r="M142" s="266"/>
      <c r="N142" s="288">
        <f t="shared" si="14"/>
        <v>5.4799999999999898</v>
      </c>
      <c r="O142" s="285">
        <f t="shared" si="0"/>
        <v>150</v>
      </c>
      <c r="P142" s="289">
        <f t="shared" si="1"/>
        <v>4000000</v>
      </c>
      <c r="Q142" s="285">
        <f t="shared" si="2"/>
        <v>110</v>
      </c>
      <c r="R142" s="285">
        <f t="shared" si="3"/>
        <v>85</v>
      </c>
      <c r="S142" s="285">
        <f t="shared" si="4"/>
        <v>0.35</v>
      </c>
      <c r="T142" s="285">
        <f t="shared" si="5"/>
        <v>3.2</v>
      </c>
      <c r="U142" s="285">
        <f t="shared" si="6"/>
        <v>1</v>
      </c>
      <c r="V142" s="285">
        <f t="shared" si="7"/>
        <v>4.5</v>
      </c>
      <c r="W142" s="285">
        <f t="shared" si="8"/>
        <v>1.5</v>
      </c>
      <c r="X142" s="289">
        <f t="shared" si="9"/>
        <v>1596.9158927325172</v>
      </c>
      <c r="Y142" s="288">
        <f t="shared" si="10"/>
        <v>7.9845794636625861E-3</v>
      </c>
      <c r="Z142" s="256">
        <f t="shared" si="11"/>
        <v>181.74993027852094</v>
      </c>
      <c r="AA142" s="289">
        <f t="shared" si="12"/>
        <v>3274.420421243216</v>
      </c>
      <c r="AB142" s="288">
        <f t="shared" si="13"/>
        <v>1.6372102106216081E-2</v>
      </c>
    </row>
    <row r="143" spans="13:28" ht="12" hidden="1" customHeight="1">
      <c r="M143" s="266"/>
      <c r="N143" s="288">
        <f t="shared" si="14"/>
        <v>5.4899999999999896</v>
      </c>
      <c r="O143" s="285">
        <f t="shared" si="0"/>
        <v>150</v>
      </c>
      <c r="P143" s="289">
        <f t="shared" si="1"/>
        <v>4000000</v>
      </c>
      <c r="Q143" s="285">
        <f t="shared" si="2"/>
        <v>110</v>
      </c>
      <c r="R143" s="285">
        <f t="shared" si="3"/>
        <v>85</v>
      </c>
      <c r="S143" s="285">
        <f t="shared" si="4"/>
        <v>0.35</v>
      </c>
      <c r="T143" s="285">
        <f t="shared" si="5"/>
        <v>3.2</v>
      </c>
      <c r="U143" s="285">
        <f t="shared" si="6"/>
        <v>1</v>
      </c>
      <c r="V143" s="285">
        <f t="shared" si="7"/>
        <v>4.5</v>
      </c>
      <c r="W143" s="285">
        <f t="shared" si="8"/>
        <v>1.5</v>
      </c>
      <c r="X143" s="289">
        <f t="shared" si="9"/>
        <v>1614.0352124881576</v>
      </c>
      <c r="Y143" s="288">
        <f t="shared" si="10"/>
        <v>8.0701760624407887E-3</v>
      </c>
      <c r="Z143" s="256">
        <f t="shared" si="11"/>
        <v>181.74993027852094</v>
      </c>
      <c r="AA143" s="289">
        <f t="shared" si="12"/>
        <v>3309.5229901767234</v>
      </c>
      <c r="AB143" s="288">
        <f t="shared" si="13"/>
        <v>1.6547614950883617E-2</v>
      </c>
    </row>
    <row r="144" spans="13:28" ht="12" hidden="1" customHeight="1">
      <c r="M144" s="266"/>
      <c r="N144" s="288">
        <f t="shared" si="14"/>
        <v>5.4999999999999893</v>
      </c>
      <c r="O144" s="285">
        <f t="shared" si="0"/>
        <v>150</v>
      </c>
      <c r="P144" s="289">
        <f t="shared" si="1"/>
        <v>4000000</v>
      </c>
      <c r="Q144" s="285">
        <f t="shared" si="2"/>
        <v>110</v>
      </c>
      <c r="R144" s="285">
        <f t="shared" si="3"/>
        <v>85</v>
      </c>
      <c r="S144" s="285">
        <f t="shared" si="4"/>
        <v>0.35</v>
      </c>
      <c r="T144" s="285">
        <f t="shared" si="5"/>
        <v>3.2</v>
      </c>
      <c r="U144" s="285">
        <f t="shared" si="6"/>
        <v>1</v>
      </c>
      <c r="V144" s="285">
        <f t="shared" si="7"/>
        <v>4.5</v>
      </c>
      <c r="W144" s="285">
        <f t="shared" si="8"/>
        <v>1.5</v>
      </c>
      <c r="X144" s="289">
        <f t="shared" si="9"/>
        <v>1631.3146387321183</v>
      </c>
      <c r="Y144" s="288">
        <f t="shared" si="10"/>
        <v>8.1565731936605913E-3</v>
      </c>
      <c r="Z144" s="256">
        <f t="shared" si="11"/>
        <v>181.74993027852094</v>
      </c>
      <c r="AA144" s="289">
        <f t="shared" si="12"/>
        <v>3344.9538518884037</v>
      </c>
      <c r="AB144" s="288">
        <f t="shared" si="13"/>
        <v>1.672476925944202E-2</v>
      </c>
    </row>
    <row r="145" spans="13:28" ht="12" hidden="1" customHeight="1">
      <c r="M145" s="266"/>
      <c r="N145" s="288">
        <f t="shared" si="14"/>
        <v>5.5099999999999891</v>
      </c>
      <c r="O145" s="285">
        <f t="shared" si="0"/>
        <v>150</v>
      </c>
      <c r="P145" s="289">
        <f t="shared" si="1"/>
        <v>4000000</v>
      </c>
      <c r="Q145" s="285">
        <f t="shared" si="2"/>
        <v>110</v>
      </c>
      <c r="R145" s="285">
        <f t="shared" si="3"/>
        <v>85</v>
      </c>
      <c r="S145" s="285">
        <f t="shared" si="4"/>
        <v>0.35</v>
      </c>
      <c r="T145" s="285">
        <f t="shared" si="5"/>
        <v>3.2</v>
      </c>
      <c r="U145" s="285">
        <f t="shared" si="6"/>
        <v>1</v>
      </c>
      <c r="V145" s="285">
        <f t="shared" si="7"/>
        <v>4.5</v>
      </c>
      <c r="W145" s="285">
        <f t="shared" si="8"/>
        <v>1.5</v>
      </c>
      <c r="X145" s="289">
        <f t="shared" si="9"/>
        <v>1648.7554391881963</v>
      </c>
      <c r="Y145" s="288">
        <f t="shared" si="10"/>
        <v>8.2437771959409812E-3</v>
      </c>
      <c r="Z145" s="256">
        <f t="shared" si="11"/>
        <v>181.74993027852094</v>
      </c>
      <c r="AA145" s="289">
        <f t="shared" si="12"/>
        <v>3380.7156058017549</v>
      </c>
      <c r="AB145" s="288">
        <f t="shared" si="13"/>
        <v>1.6903578029008774E-2</v>
      </c>
    </row>
    <row r="146" spans="13:28" ht="12" hidden="1" customHeight="1">
      <c r="M146" s="266"/>
      <c r="N146" s="288">
        <f t="shared" si="14"/>
        <v>5.5199999999999889</v>
      </c>
      <c r="O146" s="285">
        <f t="shared" si="0"/>
        <v>150</v>
      </c>
      <c r="P146" s="289">
        <f t="shared" si="1"/>
        <v>4000000</v>
      </c>
      <c r="Q146" s="285">
        <f t="shared" si="2"/>
        <v>110</v>
      </c>
      <c r="R146" s="285">
        <f t="shared" si="3"/>
        <v>85</v>
      </c>
      <c r="S146" s="285">
        <f t="shared" si="4"/>
        <v>0.35</v>
      </c>
      <c r="T146" s="285">
        <f t="shared" si="5"/>
        <v>3.2</v>
      </c>
      <c r="U146" s="285">
        <f t="shared" si="6"/>
        <v>1</v>
      </c>
      <c r="V146" s="285">
        <f t="shared" si="7"/>
        <v>4.5</v>
      </c>
      <c r="W146" s="285">
        <f t="shared" si="8"/>
        <v>1.5</v>
      </c>
      <c r="X146" s="289">
        <f t="shared" si="9"/>
        <v>1666.3588897695897</v>
      </c>
      <c r="Y146" s="288">
        <f t="shared" si="10"/>
        <v>8.3317944488479484E-3</v>
      </c>
      <c r="Z146" s="256">
        <f t="shared" si="11"/>
        <v>181.74993027852094</v>
      </c>
      <c r="AA146" s="289">
        <f t="shared" si="12"/>
        <v>3416.8108681323333</v>
      </c>
      <c r="AB146" s="288">
        <f t="shared" si="13"/>
        <v>1.7084054340661667E-2</v>
      </c>
    </row>
    <row r="147" spans="13:28" ht="12" hidden="1" customHeight="1">
      <c r="M147" s="266"/>
      <c r="N147" s="288">
        <f t="shared" si="14"/>
        <v>5.5299999999999887</v>
      </c>
      <c r="O147" s="285">
        <f t="shared" si="0"/>
        <v>150</v>
      </c>
      <c r="P147" s="289">
        <f t="shared" si="1"/>
        <v>4000000</v>
      </c>
      <c r="Q147" s="285">
        <f t="shared" si="2"/>
        <v>110</v>
      </c>
      <c r="R147" s="285">
        <f t="shared" si="3"/>
        <v>85</v>
      </c>
      <c r="S147" s="285">
        <f t="shared" si="4"/>
        <v>0.35</v>
      </c>
      <c r="T147" s="285">
        <f t="shared" si="5"/>
        <v>3.2</v>
      </c>
      <c r="U147" s="285">
        <f t="shared" si="6"/>
        <v>1</v>
      </c>
      <c r="V147" s="285">
        <f t="shared" si="7"/>
        <v>4.5</v>
      </c>
      <c r="W147" s="285">
        <f t="shared" si="8"/>
        <v>1.5</v>
      </c>
      <c r="X147" s="289">
        <f t="shared" si="9"/>
        <v>1684.126274619661</v>
      </c>
      <c r="Y147" s="288">
        <f t="shared" si="10"/>
        <v>8.4206313730983053E-3</v>
      </c>
      <c r="Z147" s="256">
        <f t="shared" si="11"/>
        <v>181.74993027852094</v>
      </c>
      <c r="AA147" s="289">
        <f t="shared" si="12"/>
        <v>3453.2422719714027</v>
      </c>
      <c r="AB147" s="288">
        <f t="shared" si="13"/>
        <v>1.7266211359857012E-2</v>
      </c>
    </row>
    <row r="148" spans="13:28" ht="12" hidden="1" customHeight="1">
      <c r="M148" s="266"/>
      <c r="N148" s="288">
        <f t="shared" si="14"/>
        <v>5.5399999999999885</v>
      </c>
      <c r="O148" s="285">
        <f t="shared" si="0"/>
        <v>150</v>
      </c>
      <c r="P148" s="289">
        <f t="shared" si="1"/>
        <v>4000000</v>
      </c>
      <c r="Q148" s="285">
        <f t="shared" si="2"/>
        <v>110</v>
      </c>
      <c r="R148" s="285">
        <f t="shared" si="3"/>
        <v>85</v>
      </c>
      <c r="S148" s="285">
        <f t="shared" si="4"/>
        <v>0.35</v>
      </c>
      <c r="T148" s="285">
        <f t="shared" si="5"/>
        <v>3.2</v>
      </c>
      <c r="U148" s="285">
        <f t="shared" si="6"/>
        <v>1</v>
      </c>
      <c r="V148" s="285">
        <f t="shared" si="7"/>
        <v>4.5</v>
      </c>
      <c r="W148" s="285">
        <f t="shared" si="8"/>
        <v>1.5</v>
      </c>
      <c r="X148" s="289">
        <f t="shared" si="9"/>
        <v>1702.0588861528795</v>
      </c>
      <c r="Y148" s="288">
        <f t="shared" si="10"/>
        <v>8.510294430764398E-3</v>
      </c>
      <c r="Z148" s="256">
        <f t="shared" si="11"/>
        <v>181.74993027852094</v>
      </c>
      <c r="AA148" s="289">
        <f t="shared" si="12"/>
        <v>3490.012467369801</v>
      </c>
      <c r="AB148" s="288">
        <f t="shared" si="13"/>
        <v>1.7450062336849006E-2</v>
      </c>
    </row>
    <row r="149" spans="13:28" ht="12" hidden="1" customHeight="1">
      <c r="M149" s="266"/>
      <c r="N149" s="288">
        <f t="shared" si="14"/>
        <v>5.5499999999999883</v>
      </c>
      <c r="O149" s="285">
        <f t="shared" si="0"/>
        <v>150</v>
      </c>
      <c r="P149" s="289">
        <f t="shared" si="1"/>
        <v>4000000</v>
      </c>
      <c r="Q149" s="285">
        <f t="shared" si="2"/>
        <v>110</v>
      </c>
      <c r="R149" s="285">
        <f t="shared" si="3"/>
        <v>85</v>
      </c>
      <c r="S149" s="285">
        <f t="shared" si="4"/>
        <v>0.35</v>
      </c>
      <c r="T149" s="285">
        <f t="shared" si="5"/>
        <v>3.2</v>
      </c>
      <c r="U149" s="285">
        <f t="shared" si="6"/>
        <v>1</v>
      </c>
      <c r="V149" s="285">
        <f t="shared" si="7"/>
        <v>4.5</v>
      </c>
      <c r="W149" s="285">
        <f t="shared" si="8"/>
        <v>1.5</v>
      </c>
      <c r="X149" s="289">
        <f t="shared" si="9"/>
        <v>1720.1580250958668</v>
      </c>
      <c r="Y149" s="288">
        <f t="shared" si="10"/>
        <v>8.600790125479334E-3</v>
      </c>
      <c r="Z149" s="256">
        <f t="shared" si="11"/>
        <v>181.74993027852094</v>
      </c>
      <c r="AA149" s="289">
        <f t="shared" si="12"/>
        <v>3527.1241214221836</v>
      </c>
      <c r="AB149" s="288">
        <f t="shared" si="13"/>
        <v>1.7635620607110918E-2</v>
      </c>
    </row>
    <row r="150" spans="13:28" ht="12" hidden="1" customHeight="1">
      <c r="M150" s="266"/>
      <c r="N150" s="288">
        <f t="shared" si="14"/>
        <v>5.5599999999999881</v>
      </c>
      <c r="O150" s="285">
        <f t="shared" si="0"/>
        <v>150</v>
      </c>
      <c r="P150" s="289">
        <f t="shared" si="1"/>
        <v>4000000</v>
      </c>
      <c r="Q150" s="285">
        <f t="shared" si="2"/>
        <v>110</v>
      </c>
      <c r="R150" s="285">
        <f t="shared" si="3"/>
        <v>85</v>
      </c>
      <c r="S150" s="285">
        <f t="shared" si="4"/>
        <v>0.35</v>
      </c>
      <c r="T150" s="285">
        <f t="shared" si="5"/>
        <v>3.2</v>
      </c>
      <c r="U150" s="285">
        <f t="shared" si="6"/>
        <v>1</v>
      </c>
      <c r="V150" s="285">
        <f t="shared" si="7"/>
        <v>4.5</v>
      </c>
      <c r="W150" s="285">
        <f t="shared" si="8"/>
        <v>1.5</v>
      </c>
      <c r="X150" s="289">
        <f t="shared" si="9"/>
        <v>1738.4250005286503</v>
      </c>
      <c r="Y150" s="288">
        <f t="shared" si="10"/>
        <v>8.6921250026432521E-3</v>
      </c>
      <c r="Z150" s="256">
        <f t="shared" si="11"/>
        <v>181.74993027852094</v>
      </c>
      <c r="AA150" s="289">
        <f t="shared" si="12"/>
        <v>3564.5799183515387</v>
      </c>
      <c r="AB150" s="288">
        <f t="shared" si="13"/>
        <v>1.7822899591757695E-2</v>
      </c>
    </row>
    <row r="151" spans="13:28" ht="12" hidden="1" customHeight="1">
      <c r="M151" s="266"/>
      <c r="N151" s="288">
        <f t="shared" si="14"/>
        <v>5.5699999999999878</v>
      </c>
      <c r="O151" s="285">
        <f t="shared" si="0"/>
        <v>150</v>
      </c>
      <c r="P151" s="289">
        <f t="shared" si="1"/>
        <v>4000000</v>
      </c>
      <c r="Q151" s="285">
        <f t="shared" si="2"/>
        <v>110</v>
      </c>
      <c r="R151" s="285">
        <f t="shared" si="3"/>
        <v>85</v>
      </c>
      <c r="S151" s="285">
        <f t="shared" si="4"/>
        <v>0.35</v>
      </c>
      <c r="T151" s="285">
        <f t="shared" si="5"/>
        <v>3.2</v>
      </c>
      <c r="U151" s="285">
        <f t="shared" si="6"/>
        <v>1</v>
      </c>
      <c r="V151" s="285">
        <f t="shared" si="7"/>
        <v>4.5</v>
      </c>
      <c r="W151" s="285">
        <f t="shared" si="8"/>
        <v>1.5</v>
      </c>
      <c r="X151" s="289">
        <f t="shared" si="9"/>
        <v>1756.8611299259812</v>
      </c>
      <c r="Y151" s="288">
        <f t="shared" si="10"/>
        <v>8.7843056496299064E-3</v>
      </c>
      <c r="Z151" s="256">
        <f t="shared" si="11"/>
        <v>181.74993027852094</v>
      </c>
      <c r="AA151" s="289">
        <f t="shared" si="12"/>
        <v>3602.3825595939725</v>
      </c>
      <c r="AB151" s="288">
        <f t="shared" si="13"/>
        <v>1.8011912797969862E-2</v>
      </c>
    </row>
    <row r="152" spans="13:28" ht="12" hidden="1" customHeight="1">
      <c r="M152" s="266"/>
      <c r="N152" s="288">
        <f t="shared" si="14"/>
        <v>5.5799999999999876</v>
      </c>
      <c r="O152" s="285">
        <f t="shared" si="0"/>
        <v>150</v>
      </c>
      <c r="P152" s="289">
        <f t="shared" si="1"/>
        <v>4000000</v>
      </c>
      <c r="Q152" s="285">
        <f t="shared" si="2"/>
        <v>110</v>
      </c>
      <c r="R152" s="285">
        <f t="shared" si="3"/>
        <v>85</v>
      </c>
      <c r="S152" s="285">
        <f t="shared" si="4"/>
        <v>0.35</v>
      </c>
      <c r="T152" s="285">
        <f t="shared" si="5"/>
        <v>3.2</v>
      </c>
      <c r="U152" s="285">
        <f t="shared" si="6"/>
        <v>1</v>
      </c>
      <c r="V152" s="285">
        <f t="shared" si="7"/>
        <v>4.5</v>
      </c>
      <c r="W152" s="285">
        <f t="shared" si="8"/>
        <v>1.5</v>
      </c>
      <c r="X152" s="289">
        <f t="shared" si="9"/>
        <v>1775.4677391988616</v>
      </c>
      <c r="Y152" s="288">
        <f t="shared" si="10"/>
        <v>8.8773386959943076E-3</v>
      </c>
      <c r="Z152" s="256">
        <f t="shared" si="11"/>
        <v>181.74993027852094</v>
      </c>
      <c r="AA152" s="289">
        <f t="shared" si="12"/>
        <v>3640.5347638838025</v>
      </c>
      <c r="AB152" s="288">
        <f t="shared" si="13"/>
        <v>1.8202673819419011E-2</v>
      </c>
    </row>
    <row r="153" spans="13:28" ht="12" hidden="1" customHeight="1">
      <c r="M153" s="266"/>
      <c r="N153" s="288">
        <f t="shared" si="14"/>
        <v>5.5899999999999874</v>
      </c>
      <c r="O153" s="285">
        <f t="shared" si="0"/>
        <v>150</v>
      </c>
      <c r="P153" s="289">
        <f t="shared" si="1"/>
        <v>4000000</v>
      </c>
      <c r="Q153" s="285">
        <f t="shared" si="2"/>
        <v>110</v>
      </c>
      <c r="R153" s="285">
        <f t="shared" si="3"/>
        <v>85</v>
      </c>
      <c r="S153" s="285">
        <f t="shared" si="4"/>
        <v>0.35</v>
      </c>
      <c r="T153" s="285">
        <f t="shared" si="5"/>
        <v>3.2</v>
      </c>
      <c r="U153" s="285">
        <f t="shared" si="6"/>
        <v>1</v>
      </c>
      <c r="V153" s="285">
        <f t="shared" si="7"/>
        <v>4.5</v>
      </c>
      <c r="W153" s="285">
        <f t="shared" si="8"/>
        <v>1.5</v>
      </c>
      <c r="X153" s="289">
        <f t="shared" si="9"/>
        <v>1794.2461627361861</v>
      </c>
      <c r="Y153" s="288">
        <f t="shared" si="10"/>
        <v>8.9712308136809301E-3</v>
      </c>
      <c r="Z153" s="256">
        <f t="shared" si="11"/>
        <v>181.74993027852094</v>
      </c>
      <c r="AA153" s="289">
        <f t="shared" si="12"/>
        <v>3679.0392673389943</v>
      </c>
      <c r="AB153" s="288">
        <f t="shared" si="13"/>
        <v>1.839519633669497E-2</v>
      </c>
    </row>
    <row r="154" spans="13:28" ht="12" hidden="1" customHeight="1">
      <c r="M154" s="266"/>
      <c r="N154" s="288">
        <f t="shared" si="14"/>
        <v>5.5999999999999872</v>
      </c>
      <c r="O154" s="285">
        <f t="shared" si="0"/>
        <v>150</v>
      </c>
      <c r="P154" s="289">
        <f t="shared" si="1"/>
        <v>4000000</v>
      </c>
      <c r="Q154" s="285">
        <f t="shared" si="2"/>
        <v>110</v>
      </c>
      <c r="R154" s="285">
        <f t="shared" si="3"/>
        <v>85</v>
      </c>
      <c r="S154" s="285">
        <f t="shared" si="4"/>
        <v>0.35</v>
      </c>
      <c r="T154" s="285">
        <f t="shared" si="5"/>
        <v>3.2</v>
      </c>
      <c r="U154" s="285">
        <f t="shared" si="6"/>
        <v>1</v>
      </c>
      <c r="V154" s="285">
        <f t="shared" si="7"/>
        <v>4.5</v>
      </c>
      <c r="W154" s="285">
        <f t="shared" si="8"/>
        <v>1.5</v>
      </c>
      <c r="X154" s="289">
        <f t="shared" si="9"/>
        <v>1813.1977434465293</v>
      </c>
      <c r="Y154" s="288">
        <f t="shared" si="10"/>
        <v>9.0659887172326471E-3</v>
      </c>
      <c r="Z154" s="256">
        <f t="shared" si="11"/>
        <v>181.74993027852094</v>
      </c>
      <c r="AA154" s="289">
        <f t="shared" si="12"/>
        <v>3717.8988235468155</v>
      </c>
      <c r="AB154" s="288">
        <f t="shared" si="13"/>
        <v>1.8589494117734078E-2</v>
      </c>
    </row>
    <row r="155" spans="13:28" ht="12" hidden="1" customHeight="1">
      <c r="M155" s="266"/>
      <c r="N155" s="288">
        <f t="shared" si="14"/>
        <v>5.609999999999987</v>
      </c>
      <c r="O155" s="285">
        <f t="shared" si="0"/>
        <v>150</v>
      </c>
      <c r="P155" s="289">
        <f t="shared" si="1"/>
        <v>4000000</v>
      </c>
      <c r="Q155" s="285">
        <f t="shared" si="2"/>
        <v>110</v>
      </c>
      <c r="R155" s="285">
        <f t="shared" si="3"/>
        <v>85</v>
      </c>
      <c r="S155" s="285">
        <f t="shared" si="4"/>
        <v>0.35</v>
      </c>
      <c r="T155" s="285">
        <f t="shared" si="5"/>
        <v>3.2</v>
      </c>
      <c r="U155" s="285">
        <f t="shared" si="6"/>
        <v>1</v>
      </c>
      <c r="V155" s="285">
        <f t="shared" si="7"/>
        <v>4.5</v>
      </c>
      <c r="W155" s="285">
        <f t="shared" si="8"/>
        <v>1.5</v>
      </c>
      <c r="X155" s="289">
        <f t="shared" si="9"/>
        <v>1832.3238328000862</v>
      </c>
      <c r="Y155" s="288">
        <f t="shared" si="10"/>
        <v>9.1616191640004306E-3</v>
      </c>
      <c r="Z155" s="256">
        <f t="shared" si="11"/>
        <v>181.74993027852094</v>
      </c>
      <c r="AA155" s="289">
        <f t="shared" si="12"/>
        <v>3757.1162036498067</v>
      </c>
      <c r="AB155" s="288">
        <f t="shared" si="13"/>
        <v>1.8785581018249033E-2</v>
      </c>
    </row>
    <row r="156" spans="13:28" ht="12" hidden="1" customHeight="1">
      <c r="M156" s="266"/>
      <c r="N156" s="288">
        <f t="shared" si="14"/>
        <v>5.6199999999999868</v>
      </c>
      <c r="O156" s="285">
        <f t="shared" si="0"/>
        <v>150</v>
      </c>
      <c r="P156" s="289">
        <f t="shared" si="1"/>
        <v>4000000</v>
      </c>
      <c r="Q156" s="285">
        <f t="shared" si="2"/>
        <v>110</v>
      </c>
      <c r="R156" s="285">
        <f t="shared" si="3"/>
        <v>85</v>
      </c>
      <c r="S156" s="285">
        <f t="shared" si="4"/>
        <v>0.35</v>
      </c>
      <c r="T156" s="285">
        <f t="shared" si="5"/>
        <v>3.2</v>
      </c>
      <c r="U156" s="285">
        <f t="shared" si="6"/>
        <v>1</v>
      </c>
      <c r="V156" s="285">
        <f t="shared" si="7"/>
        <v>4.5</v>
      </c>
      <c r="W156" s="285">
        <f t="shared" si="8"/>
        <v>1.5</v>
      </c>
      <c r="X156" s="289">
        <f t="shared" si="9"/>
        <v>1851.6257908707348</v>
      </c>
      <c r="Y156" s="288">
        <f t="shared" si="10"/>
        <v>9.2581289543536734E-3</v>
      </c>
      <c r="Z156" s="256">
        <f t="shared" si="11"/>
        <v>181.74993027852094</v>
      </c>
      <c r="AA156" s="289">
        <f t="shared" si="12"/>
        <v>3796.6941964321095</v>
      </c>
      <c r="AB156" s="288">
        <f t="shared" si="13"/>
        <v>1.8983470982160546E-2</v>
      </c>
    </row>
    <row r="157" spans="13:28" ht="12" hidden="1" customHeight="1">
      <c r="M157" s="266"/>
      <c r="N157" s="288">
        <f t="shared" si="14"/>
        <v>5.6299999999999866</v>
      </c>
      <c r="O157" s="285">
        <f t="shared" si="0"/>
        <v>150</v>
      </c>
      <c r="P157" s="289">
        <f t="shared" si="1"/>
        <v>4000000</v>
      </c>
      <c r="Q157" s="285">
        <f t="shared" si="2"/>
        <v>110</v>
      </c>
      <c r="R157" s="285">
        <f t="shared" si="3"/>
        <v>85</v>
      </c>
      <c r="S157" s="285">
        <f t="shared" si="4"/>
        <v>0.35</v>
      </c>
      <c r="T157" s="285">
        <f t="shared" si="5"/>
        <v>3.2</v>
      </c>
      <c r="U157" s="285">
        <f t="shared" si="6"/>
        <v>1</v>
      </c>
      <c r="V157" s="285">
        <f t="shared" si="7"/>
        <v>4.5</v>
      </c>
      <c r="W157" s="285">
        <f t="shared" si="8"/>
        <v>1.5</v>
      </c>
      <c r="X157" s="289">
        <f t="shared" si="9"/>
        <v>1871.104986378278</v>
      </c>
      <c r="Y157" s="288">
        <f t="shared" si="10"/>
        <v>9.3555249318913892E-3</v>
      </c>
      <c r="Z157" s="256">
        <f t="shared" si="11"/>
        <v>181.74993027852094</v>
      </c>
      <c r="AA157" s="289">
        <f t="shared" si="12"/>
        <v>3836.6356084060035</v>
      </c>
      <c r="AB157" s="288">
        <f t="shared" si="13"/>
        <v>1.9183178042030017E-2</v>
      </c>
    </row>
    <row r="158" spans="13:28" ht="12" hidden="1" customHeight="1">
      <c r="M158" s="266"/>
      <c r="N158" s="288">
        <f t="shared" si="14"/>
        <v>5.6399999999999864</v>
      </c>
      <c r="O158" s="285">
        <f t="shared" ref="O158:O221" si="15">PCC_MR</f>
        <v>150</v>
      </c>
      <c r="P158" s="289">
        <f t="shared" ref="P158:P221" si="16">PCC_ME</f>
        <v>4000000</v>
      </c>
      <c r="Q158" s="285">
        <f t="shared" ref="Q158:Q221" si="17">K_MODULE</f>
        <v>110</v>
      </c>
      <c r="R158" s="285">
        <f t="shared" ref="R158:R221" si="18">R_</f>
        <v>85</v>
      </c>
      <c r="S158" s="285">
        <f t="shared" ref="S158:S221" si="19">So</f>
        <v>0.35</v>
      </c>
      <c r="T158" s="285">
        <f t="shared" ref="T158:T221" si="20">J_</f>
        <v>3.2</v>
      </c>
      <c r="U158" s="285">
        <f t="shared" ref="U158:U221" si="21">Cd_</f>
        <v>1</v>
      </c>
      <c r="V158" s="285">
        <f t="shared" ref="V158:V221" si="22">Pi</f>
        <v>4.5</v>
      </c>
      <c r="W158" s="285">
        <f t="shared" ref="W158:W221" si="23">Pt</f>
        <v>1.5</v>
      </c>
      <c r="X158" s="289">
        <f t="shared" ref="X158:X221" si="24">10^(-NORMSINV(R158/100)*S158+7.35*LOG10(N158+1)-0.06+((LOG10((V158-W158)/3))/(1+((1.625*10^7)/((N158+1)^8.46))))+((4.22-0.32*W158)*LOG10((O158*U158*((N158^0.75)-1.132))/(215.63*T158*((N158^0.75)-18.42*(Q158/P158)^0.25)))))</f>
        <v>1890.7627967308349</v>
      </c>
      <c r="Y158" s="288">
        <f t="shared" ref="Y158:Y221" si="25">+X158/ESALS</f>
        <v>9.4538139836541739E-3</v>
      </c>
      <c r="Z158" s="256">
        <f t="shared" ref="Z158:Z221" si="26">PCC_IMR</f>
        <v>181.74993027852094</v>
      </c>
      <c r="AA158" s="289">
        <f t="shared" ref="AA158:AA221" si="27">10^(-NORMSINV(R158/100)*S158+7.35*LOG10(N158+1)-0.06+((LOG10((V158-W158)/3))/(1+((1.625*10^7)/((N158+1)^8.46))))+((4.22-0.32*W158)*LOG10((Z158*U158*((N158^0.75)-1.132))/(215.63*T158*((N158^0.75)-18.42*(Q158/P158)^0.25)))))</f>
        <v>3876.9432638988656</v>
      </c>
      <c r="AB158" s="288">
        <f t="shared" ref="AB158:AB221" si="28">+AA158/ESALS</f>
        <v>1.9384716319494327E-2</v>
      </c>
    </row>
    <row r="159" spans="13:28" ht="12" hidden="1" customHeight="1">
      <c r="M159" s="266"/>
      <c r="N159" s="288">
        <f t="shared" ref="N159:N222" si="29">IF(N158 = "", "", IF(AND(0.995*ESALS&lt;=X158,X158&lt;=1.005*ESALS),"",(N158+D_Step)))</f>
        <v>5.6499999999999861</v>
      </c>
      <c r="O159" s="285">
        <f t="shared" si="15"/>
        <v>150</v>
      </c>
      <c r="P159" s="289">
        <f t="shared" si="16"/>
        <v>4000000</v>
      </c>
      <c r="Q159" s="285">
        <f t="shared" si="17"/>
        <v>110</v>
      </c>
      <c r="R159" s="285">
        <f t="shared" si="18"/>
        <v>85</v>
      </c>
      <c r="S159" s="285">
        <f t="shared" si="19"/>
        <v>0.35</v>
      </c>
      <c r="T159" s="285">
        <f t="shared" si="20"/>
        <v>3.2</v>
      </c>
      <c r="U159" s="285">
        <f t="shared" si="21"/>
        <v>1</v>
      </c>
      <c r="V159" s="285">
        <f t="shared" si="22"/>
        <v>4.5</v>
      </c>
      <c r="W159" s="285">
        <f t="shared" si="23"/>
        <v>1.5</v>
      </c>
      <c r="X159" s="289">
        <f t="shared" si="24"/>
        <v>1910.6006080673001</v>
      </c>
      <c r="Y159" s="288">
        <f t="shared" si="25"/>
        <v>9.5530030403365006E-3</v>
      </c>
      <c r="Z159" s="256">
        <f t="shared" si="26"/>
        <v>181.74993027852094</v>
      </c>
      <c r="AA159" s="289">
        <f t="shared" si="27"/>
        <v>3917.6200051402302</v>
      </c>
      <c r="AB159" s="288">
        <f t="shared" si="28"/>
        <v>1.958810002570115E-2</v>
      </c>
    </row>
    <row r="160" spans="13:28" ht="12" hidden="1" customHeight="1">
      <c r="M160" s="266"/>
      <c r="N160" s="288">
        <f t="shared" si="29"/>
        <v>5.6599999999999859</v>
      </c>
      <c r="O160" s="285">
        <f t="shared" si="15"/>
        <v>150</v>
      </c>
      <c r="P160" s="289">
        <f t="shared" si="16"/>
        <v>4000000</v>
      </c>
      <c r="Q160" s="285">
        <f t="shared" si="17"/>
        <v>110</v>
      </c>
      <c r="R160" s="285">
        <f t="shared" si="18"/>
        <v>85</v>
      </c>
      <c r="S160" s="285">
        <f t="shared" si="19"/>
        <v>0.35</v>
      </c>
      <c r="T160" s="285">
        <f t="shared" si="20"/>
        <v>3.2</v>
      </c>
      <c r="U160" s="285">
        <f t="shared" si="21"/>
        <v>1</v>
      </c>
      <c r="V160" s="285">
        <f t="shared" si="22"/>
        <v>4.5</v>
      </c>
      <c r="W160" s="285">
        <f t="shared" si="23"/>
        <v>1.5</v>
      </c>
      <c r="X160" s="289">
        <f t="shared" si="24"/>
        <v>1930.6198153000773</v>
      </c>
      <c r="Y160" s="288">
        <f t="shared" si="25"/>
        <v>9.6530990765003859E-3</v>
      </c>
      <c r="Z160" s="256">
        <f t="shared" si="26"/>
        <v>181.74993027852094</v>
      </c>
      <c r="AA160" s="289">
        <f t="shared" si="27"/>
        <v>3958.6686923493812</v>
      </c>
      <c r="AB160" s="288">
        <f t="shared" si="28"/>
        <v>1.9793343461746906E-2</v>
      </c>
    </row>
    <row r="161" spans="13:28" ht="12" hidden="1" customHeight="1">
      <c r="M161" s="266"/>
      <c r="N161" s="288">
        <f t="shared" si="29"/>
        <v>5.6699999999999857</v>
      </c>
      <c r="O161" s="285">
        <f t="shared" si="15"/>
        <v>150</v>
      </c>
      <c r="P161" s="289">
        <f t="shared" si="16"/>
        <v>4000000</v>
      </c>
      <c r="Q161" s="285">
        <f t="shared" si="17"/>
        <v>110</v>
      </c>
      <c r="R161" s="285">
        <f t="shared" si="18"/>
        <v>85</v>
      </c>
      <c r="S161" s="285">
        <f t="shared" si="19"/>
        <v>0.35</v>
      </c>
      <c r="T161" s="285">
        <f t="shared" si="20"/>
        <v>3.2</v>
      </c>
      <c r="U161" s="285">
        <f t="shared" si="21"/>
        <v>1</v>
      </c>
      <c r="V161" s="285">
        <f t="shared" si="22"/>
        <v>4.5</v>
      </c>
      <c r="W161" s="285">
        <f t="shared" si="23"/>
        <v>1.5</v>
      </c>
      <c r="X161" s="289">
        <f t="shared" si="24"/>
        <v>1950.8218221578311</v>
      </c>
      <c r="Y161" s="288">
        <f t="shared" si="25"/>
        <v>9.754109110789156E-3</v>
      </c>
      <c r="Z161" s="256">
        <f t="shared" si="26"/>
        <v>181.74993027852094</v>
      </c>
      <c r="AA161" s="289">
        <f t="shared" si="27"/>
        <v>4000.0922038230756</v>
      </c>
      <c r="AB161" s="288">
        <f t="shared" si="28"/>
        <v>2.0000461019115377E-2</v>
      </c>
    </row>
    <row r="162" spans="13:28" ht="12" hidden="1" customHeight="1">
      <c r="M162" s="266"/>
      <c r="N162" s="288">
        <f t="shared" si="29"/>
        <v>5.6799999999999855</v>
      </c>
      <c r="O162" s="285">
        <f t="shared" si="15"/>
        <v>150</v>
      </c>
      <c r="P162" s="289">
        <f t="shared" si="16"/>
        <v>4000000</v>
      </c>
      <c r="Q162" s="285">
        <f t="shared" si="17"/>
        <v>110</v>
      </c>
      <c r="R162" s="285">
        <f t="shared" si="18"/>
        <v>85</v>
      </c>
      <c r="S162" s="285">
        <f t="shared" si="19"/>
        <v>0.35</v>
      </c>
      <c r="T162" s="285">
        <f t="shared" si="20"/>
        <v>3.2</v>
      </c>
      <c r="U162" s="285">
        <f t="shared" si="21"/>
        <v>1</v>
      </c>
      <c r="V162" s="285">
        <f t="shared" si="22"/>
        <v>4.5</v>
      </c>
      <c r="W162" s="285">
        <f t="shared" si="23"/>
        <v>1.5</v>
      </c>
      <c r="X162" s="289">
        <f t="shared" si="24"/>
        <v>1971.2080412284688</v>
      </c>
      <c r="Y162" s="288">
        <f t="shared" si="25"/>
        <v>9.8560402061423445E-3</v>
      </c>
      <c r="Z162" s="256">
        <f t="shared" si="26"/>
        <v>181.74993027852094</v>
      </c>
      <c r="AA162" s="289">
        <f t="shared" si="27"/>
        <v>4041.8934360236021</v>
      </c>
      <c r="AB162" s="288">
        <f t="shared" si="28"/>
        <v>2.0209467180118009E-2</v>
      </c>
    </row>
    <row r="163" spans="13:28" ht="12" hidden="1" customHeight="1">
      <c r="M163" s="266"/>
      <c r="N163" s="288">
        <f t="shared" si="29"/>
        <v>5.6899999999999853</v>
      </c>
      <c r="O163" s="285">
        <f t="shared" si="15"/>
        <v>150</v>
      </c>
      <c r="P163" s="289">
        <f t="shared" si="16"/>
        <v>4000000</v>
      </c>
      <c r="Q163" s="285">
        <f t="shared" si="17"/>
        <v>110</v>
      </c>
      <c r="R163" s="285">
        <f t="shared" si="18"/>
        <v>85</v>
      </c>
      <c r="S163" s="285">
        <f t="shared" si="19"/>
        <v>0.35</v>
      </c>
      <c r="T163" s="285">
        <f t="shared" si="20"/>
        <v>3.2</v>
      </c>
      <c r="U163" s="285">
        <f t="shared" si="21"/>
        <v>1</v>
      </c>
      <c r="V163" s="285">
        <f t="shared" si="22"/>
        <v>4.5</v>
      </c>
      <c r="W163" s="285">
        <f t="shared" si="23"/>
        <v>1.5</v>
      </c>
      <c r="X163" s="289">
        <f t="shared" si="24"/>
        <v>1991.779894002246</v>
      </c>
      <c r="Y163" s="288">
        <f t="shared" si="25"/>
        <v>9.9588994700112298E-3</v>
      </c>
      <c r="Z163" s="256">
        <f t="shared" si="26"/>
        <v>181.74993027852094</v>
      </c>
      <c r="AA163" s="289">
        <f t="shared" si="27"/>
        <v>4084.0753036672472</v>
      </c>
      <c r="AB163" s="288">
        <f t="shared" si="28"/>
        <v>2.0420376518336236E-2</v>
      </c>
    </row>
    <row r="164" spans="13:28" ht="12" hidden="1" customHeight="1">
      <c r="M164" s="266"/>
      <c r="N164" s="288">
        <f t="shared" si="29"/>
        <v>5.6999999999999851</v>
      </c>
      <c r="O164" s="285">
        <f t="shared" si="15"/>
        <v>150</v>
      </c>
      <c r="P164" s="289">
        <f t="shared" si="16"/>
        <v>4000000</v>
      </c>
      <c r="Q164" s="285">
        <f t="shared" si="17"/>
        <v>110</v>
      </c>
      <c r="R164" s="285">
        <f t="shared" si="18"/>
        <v>85</v>
      </c>
      <c r="S164" s="285">
        <f t="shared" si="19"/>
        <v>0.35</v>
      </c>
      <c r="T164" s="285">
        <f t="shared" si="20"/>
        <v>3.2</v>
      </c>
      <c r="U164" s="285">
        <f t="shared" si="21"/>
        <v>1</v>
      </c>
      <c r="V164" s="285">
        <f t="shared" si="22"/>
        <v>4.5</v>
      </c>
      <c r="W164" s="285">
        <f t="shared" si="23"/>
        <v>1.5</v>
      </c>
      <c r="X164" s="289">
        <f t="shared" si="24"/>
        <v>2012.5388109150203</v>
      </c>
      <c r="Y164" s="288">
        <f t="shared" si="25"/>
        <v>1.0062694054575102E-2</v>
      </c>
      <c r="Z164" s="256">
        <f t="shared" si="26"/>
        <v>181.74993027852094</v>
      </c>
      <c r="AA164" s="289">
        <f t="shared" si="27"/>
        <v>4126.6407398128895</v>
      </c>
      <c r="AB164" s="288">
        <f t="shared" si="28"/>
        <v>2.0633203699064448E-2</v>
      </c>
    </row>
    <row r="165" spans="13:28" ht="12" hidden="1" customHeight="1">
      <c r="M165" s="266"/>
      <c r="N165" s="288">
        <f t="shared" si="29"/>
        <v>5.7099999999999849</v>
      </c>
      <c r="O165" s="285">
        <f t="shared" si="15"/>
        <v>150</v>
      </c>
      <c r="P165" s="289">
        <f t="shared" si="16"/>
        <v>4000000</v>
      </c>
      <c r="Q165" s="285">
        <f t="shared" si="17"/>
        <v>110</v>
      </c>
      <c r="R165" s="285">
        <f t="shared" si="18"/>
        <v>85</v>
      </c>
      <c r="S165" s="285">
        <f t="shared" si="19"/>
        <v>0.35</v>
      </c>
      <c r="T165" s="285">
        <f t="shared" si="20"/>
        <v>3.2</v>
      </c>
      <c r="U165" s="285">
        <f t="shared" si="21"/>
        <v>1</v>
      </c>
      <c r="V165" s="285">
        <f t="shared" si="22"/>
        <v>4.5</v>
      </c>
      <c r="W165" s="285">
        <f t="shared" si="23"/>
        <v>1.5</v>
      </c>
      <c r="X165" s="289">
        <f t="shared" si="24"/>
        <v>2033.4862313916294</v>
      </c>
      <c r="Y165" s="288">
        <f t="shared" si="25"/>
        <v>1.0167431156958147E-2</v>
      </c>
      <c r="Z165" s="256">
        <f t="shared" si="26"/>
        <v>181.74993027852094</v>
      </c>
      <c r="AA165" s="289">
        <f t="shared" si="27"/>
        <v>4169.5926959510498</v>
      </c>
      <c r="AB165" s="288">
        <f t="shared" si="28"/>
        <v>2.084796347975525E-2</v>
      </c>
    </row>
    <row r="166" spans="13:28" ht="12" hidden="1" customHeight="1">
      <c r="M166" s="266"/>
      <c r="N166" s="288">
        <f t="shared" si="29"/>
        <v>5.7199999999999847</v>
      </c>
      <c r="O166" s="285">
        <f t="shared" si="15"/>
        <v>150</v>
      </c>
      <c r="P166" s="289">
        <f t="shared" si="16"/>
        <v>4000000</v>
      </c>
      <c r="Q166" s="285">
        <f t="shared" si="17"/>
        <v>110</v>
      </c>
      <c r="R166" s="285">
        <f t="shared" si="18"/>
        <v>85</v>
      </c>
      <c r="S166" s="285">
        <f t="shared" si="19"/>
        <v>0.35</v>
      </c>
      <c r="T166" s="285">
        <f t="shared" si="20"/>
        <v>3.2</v>
      </c>
      <c r="U166" s="285">
        <f t="shared" si="21"/>
        <v>1</v>
      </c>
      <c r="V166" s="285">
        <f t="shared" si="22"/>
        <v>4.5</v>
      </c>
      <c r="W166" s="285">
        <f t="shared" si="23"/>
        <v>1.5</v>
      </c>
      <c r="X166" s="289">
        <f t="shared" si="24"/>
        <v>2054.6236038894563</v>
      </c>
      <c r="Y166" s="288">
        <f t="shared" si="25"/>
        <v>1.0273118019447282E-2</v>
      </c>
      <c r="Z166" s="256">
        <f t="shared" si="26"/>
        <v>181.74993027852094</v>
      </c>
      <c r="AA166" s="289">
        <f t="shared" si="27"/>
        <v>4212.9341420931396</v>
      </c>
      <c r="AB166" s="288">
        <f t="shared" si="28"/>
        <v>2.1064670710465697E-2</v>
      </c>
    </row>
    <row r="167" spans="13:28" ht="12" hidden="1" customHeight="1">
      <c r="M167" s="266"/>
      <c r="N167" s="288">
        <f t="shared" si="29"/>
        <v>5.7299999999999844</v>
      </c>
      <c r="O167" s="285">
        <f t="shared" si="15"/>
        <v>150</v>
      </c>
      <c r="P167" s="289">
        <f t="shared" si="16"/>
        <v>4000000</v>
      </c>
      <c r="Q167" s="285">
        <f t="shared" si="17"/>
        <v>110</v>
      </c>
      <c r="R167" s="285">
        <f t="shared" si="18"/>
        <v>85</v>
      </c>
      <c r="S167" s="285">
        <f t="shared" si="19"/>
        <v>0.35</v>
      </c>
      <c r="T167" s="285">
        <f t="shared" si="20"/>
        <v>3.2</v>
      </c>
      <c r="U167" s="285">
        <f t="shared" si="21"/>
        <v>1</v>
      </c>
      <c r="V167" s="285">
        <f t="shared" si="22"/>
        <v>4.5</v>
      </c>
      <c r="W167" s="285">
        <f t="shared" si="23"/>
        <v>1.5</v>
      </c>
      <c r="X167" s="289">
        <f t="shared" si="24"/>
        <v>2075.9523859421315</v>
      </c>
      <c r="Y167" s="288">
        <f t="shared" si="25"/>
        <v>1.0379761929710657E-2</v>
      </c>
      <c r="Z167" s="256">
        <f t="shared" si="26"/>
        <v>181.74993027852094</v>
      </c>
      <c r="AA167" s="289">
        <f t="shared" si="27"/>
        <v>4256.668066861097</v>
      </c>
      <c r="AB167" s="288">
        <f t="shared" si="28"/>
        <v>2.1283340334305484E-2</v>
      </c>
    </row>
    <row r="168" spans="13:28" ht="12" hidden="1" customHeight="1">
      <c r="M168" s="266"/>
      <c r="N168" s="288">
        <f t="shared" si="29"/>
        <v>5.7399999999999842</v>
      </c>
      <c r="O168" s="285">
        <f t="shared" si="15"/>
        <v>150</v>
      </c>
      <c r="P168" s="289">
        <f t="shared" si="16"/>
        <v>4000000</v>
      </c>
      <c r="Q168" s="285">
        <f t="shared" si="17"/>
        <v>110</v>
      </c>
      <c r="R168" s="285">
        <f t="shared" si="18"/>
        <v>85</v>
      </c>
      <c r="S168" s="285">
        <f t="shared" si="19"/>
        <v>0.35</v>
      </c>
      <c r="T168" s="285">
        <f t="shared" si="20"/>
        <v>3.2</v>
      </c>
      <c r="U168" s="285">
        <f t="shared" si="21"/>
        <v>1</v>
      </c>
      <c r="V168" s="285">
        <f t="shared" si="22"/>
        <v>4.5</v>
      </c>
      <c r="W168" s="285">
        <f t="shared" si="23"/>
        <v>1.5</v>
      </c>
      <c r="X168" s="289">
        <f t="shared" si="24"/>
        <v>2097.4740442033417</v>
      </c>
      <c r="Y168" s="288">
        <f t="shared" si="25"/>
        <v>1.0487370221016708E-2</v>
      </c>
      <c r="Z168" s="256">
        <f t="shared" si="26"/>
        <v>181.74993027852094</v>
      </c>
      <c r="AA168" s="289">
        <f t="shared" si="27"/>
        <v>4300.7974775772409</v>
      </c>
      <c r="AB168" s="288">
        <f t="shared" si="28"/>
        <v>2.1503987387886205E-2</v>
      </c>
    </row>
    <row r="169" spans="13:28" ht="12" hidden="1" customHeight="1">
      <c r="M169" s="266"/>
      <c r="N169" s="288">
        <f t="shared" si="29"/>
        <v>5.749999999999984</v>
      </c>
      <c r="O169" s="285">
        <f t="shared" si="15"/>
        <v>150</v>
      </c>
      <c r="P169" s="289">
        <f t="shared" si="16"/>
        <v>4000000</v>
      </c>
      <c r="Q169" s="285">
        <f t="shared" si="17"/>
        <v>110</v>
      </c>
      <c r="R169" s="285">
        <f t="shared" si="18"/>
        <v>85</v>
      </c>
      <c r="S169" s="285">
        <f t="shared" si="19"/>
        <v>0.35</v>
      </c>
      <c r="T169" s="285">
        <f t="shared" si="20"/>
        <v>3.2</v>
      </c>
      <c r="U169" s="285">
        <f t="shared" si="21"/>
        <v>1</v>
      </c>
      <c r="V169" s="285">
        <f t="shared" si="22"/>
        <v>4.5</v>
      </c>
      <c r="W169" s="285">
        <f t="shared" si="23"/>
        <v>1.5</v>
      </c>
      <c r="X169" s="289">
        <f t="shared" si="24"/>
        <v>2119.1900544908563</v>
      </c>
      <c r="Y169" s="288">
        <f t="shared" si="25"/>
        <v>1.0595950272454281E-2</v>
      </c>
      <c r="Z169" s="256">
        <f t="shared" si="26"/>
        <v>181.74993027852094</v>
      </c>
      <c r="AA169" s="289">
        <f t="shared" si="27"/>
        <v>4345.3254003544962</v>
      </c>
      <c r="AB169" s="288">
        <f t="shared" si="28"/>
        <v>2.172662700177248E-2</v>
      </c>
    </row>
    <row r="170" spans="13:28" ht="12" hidden="1" customHeight="1">
      <c r="M170" s="266"/>
      <c r="N170" s="288">
        <f t="shared" si="29"/>
        <v>5.7599999999999838</v>
      </c>
      <c r="O170" s="285">
        <f t="shared" si="15"/>
        <v>150</v>
      </c>
      <c r="P170" s="289">
        <f t="shared" si="16"/>
        <v>4000000</v>
      </c>
      <c r="Q170" s="285">
        <f t="shared" si="17"/>
        <v>110</v>
      </c>
      <c r="R170" s="285">
        <f t="shared" si="18"/>
        <v>85</v>
      </c>
      <c r="S170" s="285">
        <f t="shared" si="19"/>
        <v>0.35</v>
      </c>
      <c r="T170" s="285">
        <f t="shared" si="20"/>
        <v>3.2</v>
      </c>
      <c r="U170" s="285">
        <f t="shared" si="21"/>
        <v>1</v>
      </c>
      <c r="V170" s="285">
        <f t="shared" si="22"/>
        <v>4.5</v>
      </c>
      <c r="W170" s="285">
        <f t="shared" si="23"/>
        <v>1.5</v>
      </c>
      <c r="X170" s="289">
        <f t="shared" si="24"/>
        <v>2141.1019018306515</v>
      </c>
      <c r="Y170" s="288">
        <f t="shared" si="25"/>
        <v>1.0705509509153258E-2</v>
      </c>
      <c r="Z170" s="256">
        <f t="shared" si="26"/>
        <v>181.74993027852094</v>
      </c>
      <c r="AA170" s="289">
        <f t="shared" si="27"/>
        <v>4390.254880186907</v>
      </c>
      <c r="AB170" s="288">
        <f t="shared" si="28"/>
        <v>2.1951274400934535E-2</v>
      </c>
    </row>
    <row r="171" spans="13:28" ht="12" hidden="1" customHeight="1">
      <c r="M171" s="266"/>
      <c r="N171" s="288">
        <f t="shared" si="29"/>
        <v>5.7699999999999836</v>
      </c>
      <c r="O171" s="285">
        <f t="shared" si="15"/>
        <v>150</v>
      </c>
      <c r="P171" s="289">
        <f t="shared" si="16"/>
        <v>4000000</v>
      </c>
      <c r="Q171" s="285">
        <f t="shared" si="17"/>
        <v>110</v>
      </c>
      <c r="R171" s="285">
        <f t="shared" si="18"/>
        <v>85</v>
      </c>
      <c r="S171" s="285">
        <f t="shared" si="19"/>
        <v>0.35</v>
      </c>
      <c r="T171" s="285">
        <f t="shared" si="20"/>
        <v>3.2</v>
      </c>
      <c r="U171" s="285">
        <f t="shared" si="21"/>
        <v>1</v>
      </c>
      <c r="V171" s="285">
        <f t="shared" si="22"/>
        <v>4.5</v>
      </c>
      <c r="W171" s="285">
        <f t="shared" si="23"/>
        <v>1.5</v>
      </c>
      <c r="X171" s="289">
        <f t="shared" si="24"/>
        <v>2163.2110805012117</v>
      </c>
      <c r="Y171" s="288">
        <f t="shared" si="25"/>
        <v>1.0816055402506058E-2</v>
      </c>
      <c r="Z171" s="256">
        <f t="shared" si="26"/>
        <v>181.74993027852094</v>
      </c>
      <c r="AA171" s="289">
        <f t="shared" si="27"/>
        <v>4435.5889810404769</v>
      </c>
      <c r="AB171" s="288">
        <f t="shared" si="28"/>
        <v>2.2177944905202383E-2</v>
      </c>
    </row>
    <row r="172" spans="13:28" ht="12" hidden="1" customHeight="1">
      <c r="M172" s="266"/>
      <c r="N172" s="288">
        <f t="shared" si="29"/>
        <v>5.7799999999999834</v>
      </c>
      <c r="O172" s="285">
        <f t="shared" si="15"/>
        <v>150</v>
      </c>
      <c r="P172" s="289">
        <f t="shared" si="16"/>
        <v>4000000</v>
      </c>
      <c r="Q172" s="285">
        <f t="shared" si="17"/>
        <v>110</v>
      </c>
      <c r="R172" s="285">
        <f t="shared" si="18"/>
        <v>85</v>
      </c>
      <c r="S172" s="285">
        <f t="shared" si="19"/>
        <v>0.35</v>
      </c>
      <c r="T172" s="285">
        <f t="shared" si="20"/>
        <v>3.2</v>
      </c>
      <c r="U172" s="285">
        <f t="shared" si="21"/>
        <v>1</v>
      </c>
      <c r="V172" s="285">
        <f t="shared" si="22"/>
        <v>4.5</v>
      </c>
      <c r="W172" s="285">
        <f t="shared" si="23"/>
        <v>1.5</v>
      </c>
      <c r="X172" s="289">
        <f t="shared" si="24"/>
        <v>2185.5190940779516</v>
      </c>
      <c r="Y172" s="288">
        <f t="shared" si="25"/>
        <v>1.0927595470389758E-2</v>
      </c>
      <c r="Z172" s="256">
        <f t="shared" si="26"/>
        <v>181.74993027852094</v>
      </c>
      <c r="AA172" s="289">
        <f t="shared" si="27"/>
        <v>4481.3307859442148</v>
      </c>
      <c r="AB172" s="288">
        <f t="shared" si="28"/>
        <v>2.2406653929721073E-2</v>
      </c>
    </row>
    <row r="173" spans="13:28" ht="12" hidden="1" customHeight="1">
      <c r="M173" s="266"/>
      <c r="N173" s="288">
        <f t="shared" si="29"/>
        <v>5.7899999999999832</v>
      </c>
      <c r="O173" s="285">
        <f t="shared" si="15"/>
        <v>150</v>
      </c>
      <c r="P173" s="289">
        <f t="shared" si="16"/>
        <v>4000000</v>
      </c>
      <c r="Q173" s="285">
        <f t="shared" si="17"/>
        <v>110</v>
      </c>
      <c r="R173" s="285">
        <f t="shared" si="18"/>
        <v>85</v>
      </c>
      <c r="S173" s="285">
        <f t="shared" si="19"/>
        <v>0.35</v>
      </c>
      <c r="T173" s="285">
        <f t="shared" si="20"/>
        <v>3.2</v>
      </c>
      <c r="U173" s="285">
        <f t="shared" si="21"/>
        <v>1</v>
      </c>
      <c r="V173" s="285">
        <f t="shared" si="22"/>
        <v>4.5</v>
      </c>
      <c r="W173" s="285">
        <f t="shared" si="23"/>
        <v>1.5</v>
      </c>
      <c r="X173" s="289">
        <f t="shared" si="24"/>
        <v>2208.0274554778216</v>
      </c>
      <c r="Y173" s="288">
        <f t="shared" si="25"/>
        <v>1.1040137277389108E-2</v>
      </c>
      <c r="Z173" s="256">
        <f t="shared" si="26"/>
        <v>181.74993027852094</v>
      </c>
      <c r="AA173" s="289">
        <f t="shared" si="27"/>
        <v>4527.483397081638</v>
      </c>
      <c r="AB173" s="288">
        <f t="shared" si="28"/>
        <v>2.263741698540819E-2</v>
      </c>
    </row>
    <row r="174" spans="13:28" ht="12" hidden="1" customHeight="1">
      <c r="M174" s="266"/>
      <c r="N174" s="288">
        <f t="shared" si="29"/>
        <v>5.7999999999999829</v>
      </c>
      <c r="O174" s="285">
        <f t="shared" si="15"/>
        <v>150</v>
      </c>
      <c r="P174" s="289">
        <f t="shared" si="16"/>
        <v>4000000</v>
      </c>
      <c r="Q174" s="285">
        <f t="shared" si="17"/>
        <v>110</v>
      </c>
      <c r="R174" s="285">
        <f t="shared" si="18"/>
        <v>85</v>
      </c>
      <c r="S174" s="285">
        <f t="shared" si="19"/>
        <v>0.35</v>
      </c>
      <c r="T174" s="285">
        <f t="shared" si="20"/>
        <v>3.2</v>
      </c>
      <c r="U174" s="285">
        <f t="shared" si="21"/>
        <v>1</v>
      </c>
      <c r="V174" s="285">
        <f t="shared" si="22"/>
        <v>4.5</v>
      </c>
      <c r="W174" s="285">
        <f t="shared" si="23"/>
        <v>1.5</v>
      </c>
      <c r="X174" s="289">
        <f t="shared" si="24"/>
        <v>2230.7376870040453</v>
      </c>
      <c r="Y174" s="288">
        <f t="shared" si="25"/>
        <v>1.1153688435020227E-2</v>
      </c>
      <c r="Z174" s="256">
        <f t="shared" si="26"/>
        <v>181.74993027852094</v>
      </c>
      <c r="AA174" s="289">
        <f t="shared" si="27"/>
        <v>4574.0499358824845</v>
      </c>
      <c r="AB174" s="288">
        <f t="shared" si="28"/>
        <v>2.2870249679412424E-2</v>
      </c>
    </row>
    <row r="175" spans="13:28" ht="12" hidden="1" customHeight="1">
      <c r="M175" s="266"/>
      <c r="N175" s="288">
        <f t="shared" si="29"/>
        <v>5.8099999999999827</v>
      </c>
      <c r="O175" s="285">
        <f t="shared" si="15"/>
        <v>150</v>
      </c>
      <c r="P175" s="289">
        <f t="shared" si="16"/>
        <v>4000000</v>
      </c>
      <c r="Q175" s="285">
        <f t="shared" si="17"/>
        <v>110</v>
      </c>
      <c r="R175" s="285">
        <f t="shared" si="18"/>
        <v>85</v>
      </c>
      <c r="S175" s="285">
        <f t="shared" si="19"/>
        <v>0.35</v>
      </c>
      <c r="T175" s="285">
        <f t="shared" si="20"/>
        <v>3.2</v>
      </c>
      <c r="U175" s="285">
        <f t="shared" si="21"/>
        <v>1</v>
      </c>
      <c r="V175" s="285">
        <f t="shared" si="22"/>
        <v>4.5</v>
      </c>
      <c r="W175" s="285">
        <f t="shared" si="23"/>
        <v>1.5</v>
      </c>
      <c r="X175" s="289">
        <f t="shared" si="24"/>
        <v>2253.6513203909899</v>
      </c>
      <c r="Y175" s="288">
        <f t="shared" si="25"/>
        <v>1.126825660195495E-2</v>
      </c>
      <c r="Z175" s="256">
        <f t="shared" si="26"/>
        <v>181.74993027852094</v>
      </c>
      <c r="AA175" s="289">
        <f t="shared" si="27"/>
        <v>4621.0335431147441</v>
      </c>
      <c r="AB175" s="288">
        <f t="shared" si="28"/>
        <v>2.3105167715573721E-2</v>
      </c>
    </row>
    <row r="176" spans="13:28" ht="12" hidden="1" customHeight="1">
      <c r="M176" s="266"/>
      <c r="N176" s="288">
        <f t="shared" si="29"/>
        <v>5.8199999999999825</v>
      </c>
      <c r="O176" s="285">
        <f t="shared" si="15"/>
        <v>150</v>
      </c>
      <c r="P176" s="289">
        <f t="shared" si="16"/>
        <v>4000000</v>
      </c>
      <c r="Q176" s="285">
        <f t="shared" si="17"/>
        <v>110</v>
      </c>
      <c r="R176" s="285">
        <f t="shared" si="18"/>
        <v>85</v>
      </c>
      <c r="S176" s="285">
        <f t="shared" si="19"/>
        <v>0.35</v>
      </c>
      <c r="T176" s="285">
        <f t="shared" si="20"/>
        <v>3.2</v>
      </c>
      <c r="U176" s="285">
        <f t="shared" si="21"/>
        <v>1</v>
      </c>
      <c r="V176" s="285">
        <f t="shared" si="22"/>
        <v>4.5</v>
      </c>
      <c r="W176" s="285">
        <f t="shared" si="23"/>
        <v>1.5</v>
      </c>
      <c r="X176" s="289">
        <f t="shared" si="24"/>
        <v>2276.7698968492523</v>
      </c>
      <c r="Y176" s="288">
        <f t="shared" si="25"/>
        <v>1.1383849484246261E-2</v>
      </c>
      <c r="Z176" s="256">
        <f t="shared" si="26"/>
        <v>181.74993027852094</v>
      </c>
      <c r="AA176" s="289">
        <f t="shared" si="27"/>
        <v>4668.4373789770498</v>
      </c>
      <c r="AB176" s="288">
        <f t="shared" si="28"/>
        <v>2.334218689488525E-2</v>
      </c>
    </row>
    <row r="177" spans="13:28" ht="12" hidden="1" customHeight="1">
      <c r="M177" s="266"/>
      <c r="N177" s="288">
        <f t="shared" si="29"/>
        <v>5.8299999999999823</v>
      </c>
      <c r="O177" s="285">
        <f t="shared" si="15"/>
        <v>150</v>
      </c>
      <c r="P177" s="289">
        <f t="shared" si="16"/>
        <v>4000000</v>
      </c>
      <c r="Q177" s="285">
        <f t="shared" si="17"/>
        <v>110</v>
      </c>
      <c r="R177" s="285">
        <f t="shared" si="18"/>
        <v>85</v>
      </c>
      <c r="S177" s="285">
        <f t="shared" si="19"/>
        <v>0.35</v>
      </c>
      <c r="T177" s="285">
        <f t="shared" si="20"/>
        <v>3.2</v>
      </c>
      <c r="U177" s="285">
        <f t="shared" si="21"/>
        <v>1</v>
      </c>
      <c r="V177" s="285">
        <f t="shared" si="22"/>
        <v>4.5</v>
      </c>
      <c r="W177" s="285">
        <f t="shared" si="23"/>
        <v>1.5</v>
      </c>
      <c r="X177" s="289">
        <f t="shared" si="24"/>
        <v>2300.0949671107937</v>
      </c>
      <c r="Y177" s="288">
        <f t="shared" si="25"/>
        <v>1.1500474835553968E-2</v>
      </c>
      <c r="Z177" s="256">
        <f t="shared" si="26"/>
        <v>181.74993027852094</v>
      </c>
      <c r="AA177" s="289">
        <f t="shared" si="27"/>
        <v>4716.2646231913059</v>
      </c>
      <c r="AB177" s="288">
        <f t="shared" si="28"/>
        <v>2.358132311595653E-2</v>
      </c>
    </row>
    <row r="178" spans="13:28" ht="12" hidden="1" customHeight="1">
      <c r="M178" s="266"/>
      <c r="N178" s="288">
        <f t="shared" si="29"/>
        <v>5.8399999999999821</v>
      </c>
      <c r="O178" s="285">
        <f t="shared" si="15"/>
        <v>150</v>
      </c>
      <c r="P178" s="289">
        <f t="shared" si="16"/>
        <v>4000000</v>
      </c>
      <c r="Q178" s="285">
        <f t="shared" si="17"/>
        <v>110</v>
      </c>
      <c r="R178" s="285">
        <f t="shared" si="18"/>
        <v>85</v>
      </c>
      <c r="S178" s="285">
        <f t="shared" si="19"/>
        <v>0.35</v>
      </c>
      <c r="T178" s="285">
        <f t="shared" si="20"/>
        <v>3.2</v>
      </c>
      <c r="U178" s="285">
        <f t="shared" si="21"/>
        <v>1</v>
      </c>
      <c r="V178" s="285">
        <f t="shared" si="22"/>
        <v>4.5</v>
      </c>
      <c r="W178" s="285">
        <f t="shared" si="23"/>
        <v>1.5</v>
      </c>
      <c r="X178" s="289">
        <f t="shared" si="24"/>
        <v>2323.6280914743452</v>
      </c>
      <c r="Y178" s="288">
        <f t="shared" si="25"/>
        <v>1.1618140457371726E-2</v>
      </c>
      <c r="Z178" s="256">
        <f t="shared" si="26"/>
        <v>181.74993027852094</v>
      </c>
      <c r="AA178" s="289">
        <f t="shared" si="27"/>
        <v>4764.5184750956796</v>
      </c>
      <c r="AB178" s="288">
        <f t="shared" si="28"/>
        <v>2.3822592375478398E-2</v>
      </c>
    </row>
    <row r="179" spans="13:28" ht="12" hidden="1" customHeight="1">
      <c r="M179" s="266"/>
      <c r="N179" s="288">
        <f t="shared" si="29"/>
        <v>5.8499999999999819</v>
      </c>
      <c r="O179" s="285">
        <f t="shared" si="15"/>
        <v>150</v>
      </c>
      <c r="P179" s="289">
        <f t="shared" si="16"/>
        <v>4000000</v>
      </c>
      <c r="Q179" s="285">
        <f t="shared" si="17"/>
        <v>110</v>
      </c>
      <c r="R179" s="285">
        <f t="shared" si="18"/>
        <v>85</v>
      </c>
      <c r="S179" s="285">
        <f t="shared" si="19"/>
        <v>0.35</v>
      </c>
      <c r="T179" s="285">
        <f t="shared" si="20"/>
        <v>3.2</v>
      </c>
      <c r="U179" s="285">
        <f t="shared" si="21"/>
        <v>1</v>
      </c>
      <c r="V179" s="285">
        <f t="shared" si="22"/>
        <v>4.5</v>
      </c>
      <c r="W179" s="285">
        <f t="shared" si="23"/>
        <v>1.5</v>
      </c>
      <c r="X179" s="289">
        <f t="shared" si="24"/>
        <v>2347.3708398508393</v>
      </c>
      <c r="Y179" s="288">
        <f t="shared" si="25"/>
        <v>1.1736854199254196E-2</v>
      </c>
      <c r="Z179" s="256">
        <f t="shared" si="26"/>
        <v>181.74993027852094</v>
      </c>
      <c r="AA179" s="289">
        <f t="shared" si="27"/>
        <v>4813.2021537378832</v>
      </c>
      <c r="AB179" s="288">
        <f t="shared" si="28"/>
        <v>2.4066010768689416E-2</v>
      </c>
    </row>
    <row r="180" spans="13:28" ht="12" hidden="1" customHeight="1">
      <c r="M180" s="266"/>
      <c r="N180" s="288">
        <f t="shared" si="29"/>
        <v>5.8599999999999817</v>
      </c>
      <c r="O180" s="285">
        <f t="shared" si="15"/>
        <v>150</v>
      </c>
      <c r="P180" s="289">
        <f t="shared" si="16"/>
        <v>4000000</v>
      </c>
      <c r="Q180" s="285">
        <f t="shared" si="17"/>
        <v>110</v>
      </c>
      <c r="R180" s="285">
        <f t="shared" si="18"/>
        <v>85</v>
      </c>
      <c r="S180" s="285">
        <f t="shared" si="19"/>
        <v>0.35</v>
      </c>
      <c r="T180" s="285">
        <f t="shared" si="20"/>
        <v>3.2</v>
      </c>
      <c r="U180" s="285">
        <f t="shared" si="21"/>
        <v>1</v>
      </c>
      <c r="V180" s="285">
        <f t="shared" si="22"/>
        <v>4.5</v>
      </c>
      <c r="W180" s="285">
        <f t="shared" si="23"/>
        <v>1.5</v>
      </c>
      <c r="X180" s="289">
        <f t="shared" si="24"/>
        <v>2371.3247918091047</v>
      </c>
      <c r="Y180" s="288">
        <f t="shared" si="25"/>
        <v>1.1856623959045524E-2</v>
      </c>
      <c r="Z180" s="256">
        <f t="shared" si="26"/>
        <v>181.74993027852094</v>
      </c>
      <c r="AA180" s="289">
        <f t="shared" si="27"/>
        <v>4862.3188979688084</v>
      </c>
      <c r="AB180" s="288">
        <f t="shared" si="28"/>
        <v>2.4311594489844043E-2</v>
      </c>
    </row>
    <row r="181" spans="13:28" ht="12" hidden="1" customHeight="1">
      <c r="M181" s="266"/>
      <c r="N181" s="288">
        <f t="shared" si="29"/>
        <v>5.8699999999999815</v>
      </c>
      <c r="O181" s="285">
        <f t="shared" si="15"/>
        <v>150</v>
      </c>
      <c r="P181" s="289">
        <f t="shared" si="16"/>
        <v>4000000</v>
      </c>
      <c r="Q181" s="285">
        <f t="shared" si="17"/>
        <v>110</v>
      </c>
      <c r="R181" s="285">
        <f t="shared" si="18"/>
        <v>85</v>
      </c>
      <c r="S181" s="285">
        <f t="shared" si="19"/>
        <v>0.35</v>
      </c>
      <c r="T181" s="285">
        <f t="shared" si="20"/>
        <v>3.2</v>
      </c>
      <c r="U181" s="285">
        <f t="shared" si="21"/>
        <v>1</v>
      </c>
      <c r="V181" s="285">
        <f t="shared" si="22"/>
        <v>4.5</v>
      </c>
      <c r="W181" s="285">
        <f t="shared" si="23"/>
        <v>1.5</v>
      </c>
      <c r="X181" s="289">
        <f t="shared" si="24"/>
        <v>2395.4915366216442</v>
      </c>
      <c r="Y181" s="288">
        <f t="shared" si="25"/>
        <v>1.1977457683108221E-2</v>
      </c>
      <c r="Z181" s="256">
        <f t="shared" si="26"/>
        <v>181.74993027852094</v>
      </c>
      <c r="AA181" s="289">
        <f t="shared" si="27"/>
        <v>4911.8719665363433</v>
      </c>
      <c r="AB181" s="288">
        <f t="shared" si="28"/>
        <v>2.4559359832681718E-2</v>
      </c>
    </row>
    <row r="182" spans="13:28" ht="12" hidden="1" customHeight="1">
      <c r="M182" s="266"/>
      <c r="N182" s="288">
        <f t="shared" si="29"/>
        <v>5.8799999999999812</v>
      </c>
      <c r="O182" s="285">
        <f t="shared" si="15"/>
        <v>150</v>
      </c>
      <c r="P182" s="289">
        <f t="shared" si="16"/>
        <v>4000000</v>
      </c>
      <c r="Q182" s="285">
        <f t="shared" si="17"/>
        <v>110</v>
      </c>
      <c r="R182" s="285">
        <f t="shared" si="18"/>
        <v>85</v>
      </c>
      <c r="S182" s="285">
        <f t="shared" si="19"/>
        <v>0.35</v>
      </c>
      <c r="T182" s="285">
        <f t="shared" si="20"/>
        <v>3.2</v>
      </c>
      <c r="U182" s="285">
        <f t="shared" si="21"/>
        <v>1</v>
      </c>
      <c r="V182" s="285">
        <f t="shared" si="22"/>
        <v>4.5</v>
      </c>
      <c r="W182" s="285">
        <f t="shared" si="23"/>
        <v>1.5</v>
      </c>
      <c r="X182" s="289">
        <f t="shared" si="24"/>
        <v>2419.8726733106041</v>
      </c>
      <c r="Y182" s="288">
        <f t="shared" si="25"/>
        <v>1.2099363366553021E-2</v>
      </c>
      <c r="Z182" s="256">
        <f t="shared" si="26"/>
        <v>181.74993027852094</v>
      </c>
      <c r="AA182" s="289">
        <f t="shared" si="27"/>
        <v>4961.8646381797071</v>
      </c>
      <c r="AB182" s="288">
        <f t="shared" si="28"/>
        <v>2.4809323190898534E-2</v>
      </c>
    </row>
    <row r="183" spans="13:28" ht="12" hidden="1" customHeight="1">
      <c r="M183" s="266"/>
      <c r="N183" s="288">
        <f t="shared" si="29"/>
        <v>5.889999999999981</v>
      </c>
      <c r="O183" s="285">
        <f t="shared" si="15"/>
        <v>150</v>
      </c>
      <c r="P183" s="289">
        <f t="shared" si="16"/>
        <v>4000000</v>
      </c>
      <c r="Q183" s="285">
        <f t="shared" si="17"/>
        <v>110</v>
      </c>
      <c r="R183" s="285">
        <f t="shared" si="18"/>
        <v>85</v>
      </c>
      <c r="S183" s="285">
        <f t="shared" si="19"/>
        <v>0.35</v>
      </c>
      <c r="T183" s="285">
        <f t="shared" si="20"/>
        <v>3.2</v>
      </c>
      <c r="U183" s="285">
        <f t="shared" si="21"/>
        <v>1</v>
      </c>
      <c r="V183" s="285">
        <f t="shared" si="22"/>
        <v>4.5</v>
      </c>
      <c r="W183" s="285">
        <f t="shared" si="23"/>
        <v>1.5</v>
      </c>
      <c r="X183" s="289">
        <f t="shared" si="24"/>
        <v>2444.4698106938463</v>
      </c>
      <c r="Y183" s="288">
        <f t="shared" si="25"/>
        <v>1.2222349053469231E-2</v>
      </c>
      <c r="Z183" s="256">
        <f t="shared" si="26"/>
        <v>181.74993027852094</v>
      </c>
      <c r="AA183" s="289">
        <f t="shared" si="27"/>
        <v>5012.3002117238984</v>
      </c>
      <c r="AB183" s="288">
        <f t="shared" si="28"/>
        <v>2.5061501058619491E-2</v>
      </c>
    </row>
    <row r="184" spans="13:28" ht="12" hidden="1" customHeight="1">
      <c r="M184" s="266"/>
      <c r="N184" s="288">
        <f t="shared" si="29"/>
        <v>5.8999999999999808</v>
      </c>
      <c r="O184" s="285">
        <f t="shared" si="15"/>
        <v>150</v>
      </c>
      <c r="P184" s="289">
        <f t="shared" si="16"/>
        <v>4000000</v>
      </c>
      <c r="Q184" s="285">
        <f t="shared" si="17"/>
        <v>110</v>
      </c>
      <c r="R184" s="285">
        <f t="shared" si="18"/>
        <v>85</v>
      </c>
      <c r="S184" s="285">
        <f t="shared" si="19"/>
        <v>0.35</v>
      </c>
      <c r="T184" s="285">
        <f t="shared" si="20"/>
        <v>3.2</v>
      </c>
      <c r="U184" s="285">
        <f t="shared" si="21"/>
        <v>1</v>
      </c>
      <c r="V184" s="285">
        <f t="shared" si="22"/>
        <v>4.5</v>
      </c>
      <c r="W184" s="285">
        <f t="shared" si="23"/>
        <v>1.5</v>
      </c>
      <c r="X184" s="289">
        <f t="shared" si="24"/>
        <v>2469.2845674312307</v>
      </c>
      <c r="Y184" s="288">
        <f t="shared" si="25"/>
        <v>1.2346422837156153E-2</v>
      </c>
      <c r="Z184" s="256">
        <f t="shared" si="26"/>
        <v>181.74993027852094</v>
      </c>
      <c r="AA184" s="289">
        <f t="shared" si="27"/>
        <v>5063.1820061746084</v>
      </c>
      <c r="AB184" s="288">
        <f t="shared" si="28"/>
        <v>2.5315910030873041E-2</v>
      </c>
    </row>
    <row r="185" spans="13:28" ht="12" hidden="1" customHeight="1">
      <c r="M185" s="266"/>
      <c r="N185" s="288">
        <f t="shared" si="29"/>
        <v>5.9099999999999806</v>
      </c>
      <c r="O185" s="285">
        <f t="shared" si="15"/>
        <v>150</v>
      </c>
      <c r="P185" s="289">
        <f t="shared" si="16"/>
        <v>4000000</v>
      </c>
      <c r="Q185" s="285">
        <f t="shared" si="17"/>
        <v>110</v>
      </c>
      <c r="R185" s="285">
        <f t="shared" si="18"/>
        <v>85</v>
      </c>
      <c r="S185" s="285">
        <f t="shared" si="19"/>
        <v>0.35</v>
      </c>
      <c r="T185" s="285">
        <f t="shared" si="20"/>
        <v>3.2</v>
      </c>
      <c r="U185" s="285">
        <f t="shared" si="21"/>
        <v>1</v>
      </c>
      <c r="V185" s="285">
        <f t="shared" si="22"/>
        <v>4.5</v>
      </c>
      <c r="W185" s="285">
        <f t="shared" si="23"/>
        <v>1.5</v>
      </c>
      <c r="X185" s="289">
        <f t="shared" si="24"/>
        <v>2494.3185720710335</v>
      </c>
      <c r="Y185" s="288">
        <f t="shared" si="25"/>
        <v>1.2471592860355167E-2</v>
      </c>
      <c r="Z185" s="256">
        <f t="shared" si="26"/>
        <v>181.74993027852094</v>
      </c>
      <c r="AA185" s="289">
        <f t="shared" si="27"/>
        <v>5114.5133608133283</v>
      </c>
      <c r="AB185" s="288">
        <f t="shared" si="28"/>
        <v>2.5572566804066641E-2</v>
      </c>
    </row>
    <row r="186" spans="13:28" ht="12" hidden="1" customHeight="1">
      <c r="M186" s="266"/>
      <c r="N186" s="288">
        <f t="shared" si="29"/>
        <v>5.9199999999999804</v>
      </c>
      <c r="O186" s="285">
        <f t="shared" si="15"/>
        <v>150</v>
      </c>
      <c r="P186" s="289">
        <f t="shared" si="16"/>
        <v>4000000</v>
      </c>
      <c r="Q186" s="285">
        <f t="shared" si="17"/>
        <v>110</v>
      </c>
      <c r="R186" s="285">
        <f t="shared" si="18"/>
        <v>85</v>
      </c>
      <c r="S186" s="285">
        <f t="shared" si="19"/>
        <v>0.35</v>
      </c>
      <c r="T186" s="285">
        <f t="shared" si="20"/>
        <v>3.2</v>
      </c>
      <c r="U186" s="285">
        <f t="shared" si="21"/>
        <v>1</v>
      </c>
      <c r="V186" s="285">
        <f t="shared" si="22"/>
        <v>4.5</v>
      </c>
      <c r="W186" s="285">
        <f t="shared" si="23"/>
        <v>1.5</v>
      </c>
      <c r="X186" s="289">
        <f t="shared" si="24"/>
        <v>2519.5734630964903</v>
      </c>
      <c r="Y186" s="288">
        <f t="shared" si="25"/>
        <v>1.2597867315482451E-2</v>
      </c>
      <c r="Z186" s="256">
        <f t="shared" si="26"/>
        <v>181.74993027852094</v>
      </c>
      <c r="AA186" s="289">
        <f t="shared" si="27"/>
        <v>5166.2976352928808</v>
      </c>
      <c r="AB186" s="288">
        <f t="shared" si="28"/>
        <v>2.5831488176464405E-2</v>
      </c>
    </row>
    <row r="187" spans="13:28" ht="12" hidden="1" customHeight="1">
      <c r="M187" s="266"/>
      <c r="N187" s="288">
        <f t="shared" si="29"/>
        <v>5.9299999999999802</v>
      </c>
      <c r="O187" s="285">
        <f t="shared" si="15"/>
        <v>150</v>
      </c>
      <c r="P187" s="289">
        <f t="shared" si="16"/>
        <v>4000000</v>
      </c>
      <c r="Q187" s="285">
        <f t="shared" si="17"/>
        <v>110</v>
      </c>
      <c r="R187" s="285">
        <f t="shared" si="18"/>
        <v>85</v>
      </c>
      <c r="S187" s="285">
        <f t="shared" si="19"/>
        <v>0.35</v>
      </c>
      <c r="T187" s="285">
        <f t="shared" si="20"/>
        <v>3.2</v>
      </c>
      <c r="U187" s="285">
        <f t="shared" si="21"/>
        <v>1</v>
      </c>
      <c r="V187" s="285">
        <f t="shared" si="22"/>
        <v>4.5</v>
      </c>
      <c r="W187" s="285">
        <f t="shared" si="23"/>
        <v>1.5</v>
      </c>
      <c r="X187" s="289">
        <f t="shared" si="24"/>
        <v>2545.0508889725165</v>
      </c>
      <c r="Y187" s="288">
        <f t="shared" si="25"/>
        <v>1.2725254444862583E-2</v>
      </c>
      <c r="Z187" s="256">
        <f t="shared" si="26"/>
        <v>181.74993027852094</v>
      </c>
      <c r="AA187" s="289">
        <f t="shared" si="27"/>
        <v>5218.5382097331776</v>
      </c>
      <c r="AB187" s="288">
        <f t="shared" si="28"/>
        <v>2.6092691048665888E-2</v>
      </c>
    </row>
    <row r="188" spans="13:28" ht="12" hidden="1" customHeight="1">
      <c r="M188" s="266"/>
      <c r="N188" s="288">
        <f t="shared" si="29"/>
        <v>5.93999999999998</v>
      </c>
      <c r="O188" s="285">
        <f t="shared" si="15"/>
        <v>150</v>
      </c>
      <c r="P188" s="289">
        <f t="shared" si="16"/>
        <v>4000000</v>
      </c>
      <c r="Q188" s="285">
        <f t="shared" si="17"/>
        <v>110</v>
      </c>
      <c r="R188" s="285">
        <f t="shared" si="18"/>
        <v>85</v>
      </c>
      <c r="S188" s="285">
        <f t="shared" si="19"/>
        <v>0.35</v>
      </c>
      <c r="T188" s="285">
        <f t="shared" si="20"/>
        <v>3.2</v>
      </c>
      <c r="U188" s="285">
        <f t="shared" si="21"/>
        <v>1</v>
      </c>
      <c r="V188" s="285">
        <f t="shared" si="22"/>
        <v>4.5</v>
      </c>
      <c r="W188" s="285">
        <f t="shared" si="23"/>
        <v>1.5</v>
      </c>
      <c r="X188" s="289">
        <f t="shared" si="24"/>
        <v>2570.7525081926096</v>
      </c>
      <c r="Y188" s="288">
        <f t="shared" si="25"/>
        <v>1.2853762540963048E-2</v>
      </c>
      <c r="Z188" s="256">
        <f t="shared" si="26"/>
        <v>181.74993027852094</v>
      </c>
      <c r="AA188" s="289">
        <f t="shared" si="27"/>
        <v>5271.2384848173442</v>
      </c>
      <c r="AB188" s="288">
        <f t="shared" si="28"/>
        <v>2.6356192424086721E-2</v>
      </c>
    </row>
    <row r="189" spans="13:28" ht="12" hidden="1" customHeight="1">
      <c r="M189" s="266"/>
      <c r="N189" s="288">
        <f t="shared" si="29"/>
        <v>5.9499999999999797</v>
      </c>
      <c r="O189" s="285">
        <f t="shared" si="15"/>
        <v>150</v>
      </c>
      <c r="P189" s="289">
        <f t="shared" si="16"/>
        <v>4000000</v>
      </c>
      <c r="Q189" s="285">
        <f t="shared" si="17"/>
        <v>110</v>
      </c>
      <c r="R189" s="285">
        <f t="shared" si="18"/>
        <v>85</v>
      </c>
      <c r="S189" s="285">
        <f t="shared" si="19"/>
        <v>0.35</v>
      </c>
      <c r="T189" s="285">
        <f t="shared" si="20"/>
        <v>3.2</v>
      </c>
      <c r="U189" s="285">
        <f t="shared" si="21"/>
        <v>1</v>
      </c>
      <c r="V189" s="285">
        <f t="shared" si="22"/>
        <v>4.5</v>
      </c>
      <c r="W189" s="285">
        <f t="shared" si="23"/>
        <v>1.5</v>
      </c>
      <c r="X189" s="289">
        <f t="shared" si="24"/>
        <v>2596.6799893258194</v>
      </c>
      <c r="Y189" s="288">
        <f t="shared" si="25"/>
        <v>1.2983399946629098E-2</v>
      </c>
      <c r="Z189" s="256">
        <f t="shared" si="26"/>
        <v>181.74993027852094</v>
      </c>
      <c r="AA189" s="289">
        <f t="shared" si="27"/>
        <v>5324.4018818881314</v>
      </c>
      <c r="AB189" s="288">
        <f t="shared" si="28"/>
        <v>2.6622009409440657E-2</v>
      </c>
    </row>
    <row r="190" spans="13:28" ht="12" hidden="1" customHeight="1">
      <c r="M190" s="266"/>
      <c r="N190" s="288">
        <f t="shared" si="29"/>
        <v>5.9599999999999795</v>
      </c>
      <c r="O190" s="285">
        <f t="shared" si="15"/>
        <v>150</v>
      </c>
      <c r="P190" s="289">
        <f t="shared" si="16"/>
        <v>4000000</v>
      </c>
      <c r="Q190" s="285">
        <f t="shared" si="17"/>
        <v>110</v>
      </c>
      <c r="R190" s="285">
        <f t="shared" si="18"/>
        <v>85</v>
      </c>
      <c r="S190" s="285">
        <f t="shared" si="19"/>
        <v>0.35</v>
      </c>
      <c r="T190" s="285">
        <f t="shared" si="20"/>
        <v>3.2</v>
      </c>
      <c r="U190" s="285">
        <f t="shared" si="21"/>
        <v>1</v>
      </c>
      <c r="V190" s="285">
        <f t="shared" si="22"/>
        <v>4.5</v>
      </c>
      <c r="W190" s="285">
        <f t="shared" si="23"/>
        <v>1.5</v>
      </c>
      <c r="X190" s="289">
        <f t="shared" si="24"/>
        <v>2622.8350110640094</v>
      </c>
      <c r="Y190" s="288">
        <f t="shared" si="25"/>
        <v>1.3114175055320048E-2</v>
      </c>
      <c r="Z190" s="256">
        <f t="shared" si="26"/>
        <v>181.74993027852094</v>
      </c>
      <c r="AA190" s="289">
        <f t="shared" si="27"/>
        <v>5378.0318430447232</v>
      </c>
      <c r="AB190" s="288">
        <f t="shared" si="28"/>
        <v>2.6890159215223617E-2</v>
      </c>
    </row>
    <row r="191" spans="13:28" ht="12" hidden="1" customHeight="1">
      <c r="M191" s="266"/>
      <c r="N191" s="288">
        <f t="shared" si="29"/>
        <v>5.9699999999999793</v>
      </c>
      <c r="O191" s="285">
        <f t="shared" si="15"/>
        <v>150</v>
      </c>
      <c r="P191" s="289">
        <f t="shared" si="16"/>
        <v>4000000</v>
      </c>
      <c r="Q191" s="285">
        <f t="shared" si="17"/>
        <v>110</v>
      </c>
      <c r="R191" s="285">
        <f t="shared" si="18"/>
        <v>85</v>
      </c>
      <c r="S191" s="285">
        <f t="shared" si="19"/>
        <v>0.35</v>
      </c>
      <c r="T191" s="285">
        <f t="shared" si="20"/>
        <v>3.2</v>
      </c>
      <c r="U191" s="285">
        <f t="shared" si="21"/>
        <v>1</v>
      </c>
      <c r="V191" s="285">
        <f t="shared" si="22"/>
        <v>4.5</v>
      </c>
      <c r="W191" s="285">
        <f t="shared" si="23"/>
        <v>1.5</v>
      </c>
      <c r="X191" s="289">
        <f t="shared" si="24"/>
        <v>2649.2192622691077</v>
      </c>
      <c r="Y191" s="288">
        <f t="shared" si="25"/>
        <v>1.3246096311345538E-2</v>
      </c>
      <c r="Z191" s="256">
        <f t="shared" si="26"/>
        <v>181.74993027852094</v>
      </c>
      <c r="AA191" s="289">
        <f t="shared" si="27"/>
        <v>5432.1318312396852</v>
      </c>
      <c r="AB191" s="288">
        <f t="shared" si="28"/>
        <v>2.7160659156198426E-2</v>
      </c>
    </row>
    <row r="192" spans="13:28" ht="12" hidden="1" customHeight="1">
      <c r="M192" s="266"/>
      <c r="N192" s="288">
        <f t="shared" si="29"/>
        <v>5.9799999999999791</v>
      </c>
      <c r="O192" s="285">
        <f t="shared" si="15"/>
        <v>150</v>
      </c>
      <c r="P192" s="289">
        <f t="shared" si="16"/>
        <v>4000000</v>
      </c>
      <c r="Q192" s="285">
        <f t="shared" si="17"/>
        <v>110</v>
      </c>
      <c r="R192" s="285">
        <f t="shared" si="18"/>
        <v>85</v>
      </c>
      <c r="S192" s="285">
        <f t="shared" si="19"/>
        <v>0.35</v>
      </c>
      <c r="T192" s="285">
        <f t="shared" si="20"/>
        <v>3.2</v>
      </c>
      <c r="U192" s="285">
        <f t="shared" si="21"/>
        <v>1</v>
      </c>
      <c r="V192" s="285">
        <f t="shared" si="22"/>
        <v>4.5</v>
      </c>
      <c r="W192" s="285">
        <f t="shared" si="23"/>
        <v>1.5</v>
      </c>
      <c r="X192" s="289">
        <f t="shared" si="24"/>
        <v>2675.8344420206718</v>
      </c>
      <c r="Y192" s="288">
        <f t="shared" si="25"/>
        <v>1.3379172210103358E-2</v>
      </c>
      <c r="Z192" s="256">
        <f t="shared" si="26"/>
        <v>181.74993027852094</v>
      </c>
      <c r="AA192" s="289">
        <f t="shared" si="27"/>
        <v>5486.7053303764851</v>
      </c>
      <c r="AB192" s="288">
        <f t="shared" si="28"/>
        <v>2.7433526651882426E-2</v>
      </c>
    </row>
    <row r="193" spans="13:28" ht="12" hidden="1" customHeight="1">
      <c r="M193" s="266"/>
      <c r="N193" s="288">
        <f t="shared" si="29"/>
        <v>5.9899999999999789</v>
      </c>
      <c r="O193" s="285">
        <f t="shared" si="15"/>
        <v>150</v>
      </c>
      <c r="P193" s="289">
        <f t="shared" si="16"/>
        <v>4000000</v>
      </c>
      <c r="Q193" s="285">
        <f t="shared" si="17"/>
        <v>110</v>
      </c>
      <c r="R193" s="285">
        <f t="shared" si="18"/>
        <v>85</v>
      </c>
      <c r="S193" s="285">
        <f t="shared" si="19"/>
        <v>0.35</v>
      </c>
      <c r="T193" s="285">
        <f t="shared" si="20"/>
        <v>3.2</v>
      </c>
      <c r="U193" s="285">
        <f t="shared" si="21"/>
        <v>1</v>
      </c>
      <c r="V193" s="285">
        <f t="shared" si="22"/>
        <v>4.5</v>
      </c>
      <c r="W193" s="285">
        <f t="shared" si="23"/>
        <v>1.5</v>
      </c>
      <c r="X193" s="289">
        <f t="shared" si="24"/>
        <v>2702.6822596634915</v>
      </c>
      <c r="Y193" s="288">
        <f t="shared" si="25"/>
        <v>1.3513411298317457E-2</v>
      </c>
      <c r="Z193" s="256">
        <f t="shared" si="26"/>
        <v>181.74993027852094</v>
      </c>
      <c r="AA193" s="289">
        <f t="shared" si="27"/>
        <v>5541.7558454070777</v>
      </c>
      <c r="AB193" s="288">
        <f t="shared" si="28"/>
        <v>2.770877922703539E-2</v>
      </c>
    </row>
    <row r="194" spans="13:28" ht="12" hidden="1" customHeight="1">
      <c r="M194" s="266"/>
      <c r="N194" s="288">
        <f t="shared" si="29"/>
        <v>5.9999999999999787</v>
      </c>
      <c r="O194" s="285">
        <f t="shared" si="15"/>
        <v>150</v>
      </c>
      <c r="P194" s="289">
        <f t="shared" si="16"/>
        <v>4000000</v>
      </c>
      <c r="Q194" s="285">
        <f t="shared" si="17"/>
        <v>110</v>
      </c>
      <c r="R194" s="285">
        <f t="shared" si="18"/>
        <v>85</v>
      </c>
      <c r="S194" s="285">
        <f t="shared" si="19"/>
        <v>0.35</v>
      </c>
      <c r="T194" s="285">
        <f t="shared" si="20"/>
        <v>3.2</v>
      </c>
      <c r="U194" s="285">
        <f t="shared" si="21"/>
        <v>1</v>
      </c>
      <c r="V194" s="285">
        <f t="shared" si="22"/>
        <v>4.5</v>
      </c>
      <c r="W194" s="285">
        <f t="shared" si="23"/>
        <v>1.5</v>
      </c>
      <c r="X194" s="289">
        <f t="shared" si="24"/>
        <v>2729.7644348554068</v>
      </c>
      <c r="Y194" s="288">
        <f t="shared" si="25"/>
        <v>1.3648822174277033E-2</v>
      </c>
      <c r="Z194" s="256">
        <f t="shared" si="26"/>
        <v>181.74993027852094</v>
      </c>
      <c r="AA194" s="289">
        <f t="shared" si="27"/>
        <v>5597.2869024299798</v>
      </c>
      <c r="AB194" s="288">
        <f t="shared" si="28"/>
        <v>2.79864345121499E-2</v>
      </c>
    </row>
    <row r="195" spans="13:28" ht="12" hidden="1" customHeight="1">
      <c r="M195" s="266"/>
      <c r="N195" s="288">
        <f t="shared" si="29"/>
        <v>6.0099999999999785</v>
      </c>
      <c r="O195" s="285">
        <f t="shared" si="15"/>
        <v>150</v>
      </c>
      <c r="P195" s="289">
        <f t="shared" si="16"/>
        <v>4000000</v>
      </c>
      <c r="Q195" s="285">
        <f t="shared" si="17"/>
        <v>110</v>
      </c>
      <c r="R195" s="285">
        <f t="shared" si="18"/>
        <v>85</v>
      </c>
      <c r="S195" s="285">
        <f t="shared" si="19"/>
        <v>0.35</v>
      </c>
      <c r="T195" s="285">
        <f t="shared" si="20"/>
        <v>3.2</v>
      </c>
      <c r="U195" s="285">
        <f t="shared" si="21"/>
        <v>1</v>
      </c>
      <c r="V195" s="285">
        <f t="shared" si="22"/>
        <v>4.5</v>
      </c>
      <c r="W195" s="285">
        <f t="shared" si="23"/>
        <v>1.5</v>
      </c>
      <c r="X195" s="289">
        <f t="shared" si="24"/>
        <v>2757.0826976152853</v>
      </c>
      <c r="Y195" s="288">
        <f t="shared" si="25"/>
        <v>1.3785413488076426E-2</v>
      </c>
      <c r="Z195" s="256">
        <f t="shared" si="26"/>
        <v>181.74993027852094</v>
      </c>
      <c r="AA195" s="289">
        <f t="shared" si="27"/>
        <v>5653.3020487886151</v>
      </c>
      <c r="AB195" s="288">
        <f t="shared" si="28"/>
        <v>2.8266510243943076E-2</v>
      </c>
    </row>
    <row r="196" spans="13:28" ht="12" hidden="1" customHeight="1">
      <c r="M196" s="266"/>
      <c r="N196" s="288">
        <f t="shared" si="29"/>
        <v>6.0199999999999783</v>
      </c>
      <c r="O196" s="285">
        <f t="shared" si="15"/>
        <v>150</v>
      </c>
      <c r="P196" s="289">
        <f t="shared" si="16"/>
        <v>4000000</v>
      </c>
      <c r="Q196" s="285">
        <f t="shared" si="17"/>
        <v>110</v>
      </c>
      <c r="R196" s="285">
        <f t="shared" si="18"/>
        <v>85</v>
      </c>
      <c r="S196" s="285">
        <f t="shared" si="19"/>
        <v>0.35</v>
      </c>
      <c r="T196" s="285">
        <f t="shared" si="20"/>
        <v>3.2</v>
      </c>
      <c r="U196" s="285">
        <f t="shared" si="21"/>
        <v>1</v>
      </c>
      <c r="V196" s="285">
        <f t="shared" si="22"/>
        <v>4.5</v>
      </c>
      <c r="W196" s="285">
        <f t="shared" si="23"/>
        <v>1.5</v>
      </c>
      <c r="X196" s="289">
        <f t="shared" si="24"/>
        <v>2784.6387883711104</v>
      </c>
      <c r="Y196" s="288">
        <f t="shared" si="25"/>
        <v>1.3923193941855552E-2</v>
      </c>
      <c r="Z196" s="256">
        <f t="shared" si="26"/>
        <v>181.74993027852094</v>
      </c>
      <c r="AA196" s="289">
        <f t="shared" si="27"/>
        <v>5709.8048531699324</v>
      </c>
      <c r="AB196" s="288">
        <f t="shared" si="28"/>
        <v>2.8549024265849661E-2</v>
      </c>
    </row>
    <row r="197" spans="13:28" ht="12" hidden="1" customHeight="1">
      <c r="M197" s="266"/>
      <c r="N197" s="288">
        <f t="shared" si="29"/>
        <v>6.029999999999978</v>
      </c>
      <c r="O197" s="285">
        <f t="shared" si="15"/>
        <v>150</v>
      </c>
      <c r="P197" s="289">
        <f t="shared" si="16"/>
        <v>4000000</v>
      </c>
      <c r="Q197" s="285">
        <f t="shared" si="17"/>
        <v>110</v>
      </c>
      <c r="R197" s="285">
        <f t="shared" si="18"/>
        <v>85</v>
      </c>
      <c r="S197" s="285">
        <f t="shared" si="19"/>
        <v>0.35</v>
      </c>
      <c r="T197" s="285">
        <f t="shared" si="20"/>
        <v>3.2</v>
      </c>
      <c r="U197" s="285">
        <f t="shared" si="21"/>
        <v>1</v>
      </c>
      <c r="V197" s="285">
        <f t="shared" si="22"/>
        <v>4.5</v>
      </c>
      <c r="W197" s="285">
        <f t="shared" si="23"/>
        <v>1.5</v>
      </c>
      <c r="X197" s="289">
        <f t="shared" si="24"/>
        <v>2812.4344580082711</v>
      </c>
      <c r="Y197" s="288">
        <f t="shared" si="25"/>
        <v>1.4062172290041355E-2</v>
      </c>
      <c r="Z197" s="256">
        <f t="shared" si="26"/>
        <v>181.74993027852094</v>
      </c>
      <c r="AA197" s="289">
        <f t="shared" si="27"/>
        <v>5766.7989057034865</v>
      </c>
      <c r="AB197" s="288">
        <f t="shared" si="28"/>
        <v>2.8833994528517433E-2</v>
      </c>
    </row>
    <row r="198" spans="13:28" ht="12" hidden="1" customHeight="1">
      <c r="M198" s="266"/>
      <c r="N198" s="288">
        <f t="shared" si="29"/>
        <v>6.0399999999999778</v>
      </c>
      <c r="O198" s="285">
        <f t="shared" si="15"/>
        <v>150</v>
      </c>
      <c r="P198" s="289">
        <f t="shared" si="16"/>
        <v>4000000</v>
      </c>
      <c r="Q198" s="285">
        <f t="shared" si="17"/>
        <v>110</v>
      </c>
      <c r="R198" s="285">
        <f t="shared" si="18"/>
        <v>85</v>
      </c>
      <c r="S198" s="285">
        <f t="shared" si="19"/>
        <v>0.35</v>
      </c>
      <c r="T198" s="285">
        <f t="shared" si="20"/>
        <v>3.2</v>
      </c>
      <c r="U198" s="285">
        <f t="shared" si="21"/>
        <v>1</v>
      </c>
      <c r="V198" s="285">
        <f t="shared" si="22"/>
        <v>4.5</v>
      </c>
      <c r="W198" s="285">
        <f t="shared" si="23"/>
        <v>1.5</v>
      </c>
      <c r="X198" s="289">
        <f t="shared" si="24"/>
        <v>2840.471467917992</v>
      </c>
      <c r="Y198" s="288">
        <f t="shared" si="25"/>
        <v>1.4202357339589959E-2</v>
      </c>
      <c r="Z198" s="256">
        <f t="shared" si="26"/>
        <v>181.74993027852094</v>
      </c>
      <c r="AA198" s="289">
        <f t="shared" si="27"/>
        <v>5824.2878180606049</v>
      </c>
      <c r="AB198" s="288">
        <f t="shared" si="28"/>
        <v>2.9121439090303024E-2</v>
      </c>
    </row>
    <row r="199" spans="13:28" ht="12" hidden="1" customHeight="1">
      <c r="M199" s="266"/>
      <c r="N199" s="288">
        <f t="shared" si="29"/>
        <v>6.0499999999999776</v>
      </c>
      <c r="O199" s="285">
        <f t="shared" si="15"/>
        <v>150</v>
      </c>
      <c r="P199" s="289">
        <f t="shared" si="16"/>
        <v>4000000</v>
      </c>
      <c r="Q199" s="285">
        <f t="shared" si="17"/>
        <v>110</v>
      </c>
      <c r="R199" s="285">
        <f t="shared" si="18"/>
        <v>85</v>
      </c>
      <c r="S199" s="285">
        <f t="shared" si="19"/>
        <v>0.35</v>
      </c>
      <c r="T199" s="285">
        <f t="shared" si="20"/>
        <v>3.2</v>
      </c>
      <c r="U199" s="285">
        <f t="shared" si="21"/>
        <v>1</v>
      </c>
      <c r="V199" s="285">
        <f t="shared" si="22"/>
        <v>4.5</v>
      </c>
      <c r="W199" s="285">
        <f t="shared" si="23"/>
        <v>1.5</v>
      </c>
      <c r="X199" s="289">
        <f t="shared" si="24"/>
        <v>2868.7515900459284</v>
      </c>
      <c r="Y199" s="288">
        <f t="shared" si="25"/>
        <v>1.4343757950229642E-2</v>
      </c>
      <c r="Z199" s="256">
        <f t="shared" si="26"/>
        <v>181.74993027852094</v>
      </c>
      <c r="AA199" s="289">
        <f t="shared" si="27"/>
        <v>5882.2752235541448</v>
      </c>
      <c r="AB199" s="288">
        <f t="shared" si="28"/>
        <v>2.9411376117770723E-2</v>
      </c>
    </row>
    <row r="200" spans="13:28" ht="12" hidden="1" customHeight="1">
      <c r="M200" s="266"/>
      <c r="N200" s="288">
        <f t="shared" si="29"/>
        <v>6.0599999999999774</v>
      </c>
      <c r="O200" s="285">
        <f t="shared" si="15"/>
        <v>150</v>
      </c>
      <c r="P200" s="289">
        <f t="shared" si="16"/>
        <v>4000000</v>
      </c>
      <c r="Q200" s="285">
        <f t="shared" si="17"/>
        <v>110</v>
      </c>
      <c r="R200" s="285">
        <f t="shared" si="18"/>
        <v>85</v>
      </c>
      <c r="S200" s="285">
        <f t="shared" si="19"/>
        <v>0.35</v>
      </c>
      <c r="T200" s="285">
        <f t="shared" si="20"/>
        <v>3.2</v>
      </c>
      <c r="U200" s="285">
        <f t="shared" si="21"/>
        <v>1</v>
      </c>
      <c r="V200" s="285">
        <f t="shared" si="22"/>
        <v>4.5</v>
      </c>
      <c r="W200" s="285">
        <f t="shared" si="23"/>
        <v>1.5</v>
      </c>
      <c r="X200" s="289">
        <f t="shared" si="24"/>
        <v>2897.2766069408867</v>
      </c>
      <c r="Y200" s="288">
        <f t="shared" si="25"/>
        <v>1.4486383034704434E-2</v>
      </c>
      <c r="Z200" s="256">
        <f t="shared" si="26"/>
        <v>181.74993027852094</v>
      </c>
      <c r="AA200" s="289">
        <f t="shared" si="27"/>
        <v>5940.764777238368</v>
      </c>
      <c r="AB200" s="288">
        <f t="shared" si="28"/>
        <v>2.9703823886191839E-2</v>
      </c>
    </row>
    <row r="201" spans="13:28" ht="12" hidden="1" customHeight="1">
      <c r="M201" s="266"/>
      <c r="N201" s="288">
        <f t="shared" si="29"/>
        <v>6.0699999999999772</v>
      </c>
      <c r="O201" s="285">
        <f t="shared" si="15"/>
        <v>150</v>
      </c>
      <c r="P201" s="289">
        <f t="shared" si="16"/>
        <v>4000000</v>
      </c>
      <c r="Q201" s="285">
        <f t="shared" si="17"/>
        <v>110</v>
      </c>
      <c r="R201" s="285">
        <f t="shared" si="18"/>
        <v>85</v>
      </c>
      <c r="S201" s="285">
        <f t="shared" si="19"/>
        <v>0.35</v>
      </c>
      <c r="T201" s="285">
        <f t="shared" si="20"/>
        <v>3.2</v>
      </c>
      <c r="U201" s="285">
        <f t="shared" si="21"/>
        <v>1</v>
      </c>
      <c r="V201" s="285">
        <f t="shared" si="22"/>
        <v>4.5</v>
      </c>
      <c r="W201" s="285">
        <f t="shared" si="23"/>
        <v>1.5</v>
      </c>
      <c r="X201" s="289">
        <f t="shared" si="24"/>
        <v>2926.0483118037632</v>
      </c>
      <c r="Y201" s="288">
        <f t="shared" si="25"/>
        <v>1.4630241559018816E-2</v>
      </c>
      <c r="Z201" s="256">
        <f t="shared" si="26"/>
        <v>181.74993027852094</v>
      </c>
      <c r="AA201" s="289">
        <f t="shared" si="27"/>
        <v>5999.7601560092335</v>
      </c>
      <c r="AB201" s="288">
        <f t="shared" si="28"/>
        <v>2.9998800780046166E-2</v>
      </c>
    </row>
    <row r="202" spans="13:28" ht="12" hidden="1" customHeight="1">
      <c r="M202" s="266"/>
      <c r="N202" s="288">
        <f t="shared" si="29"/>
        <v>6.079999999999977</v>
      </c>
      <c r="O202" s="285">
        <f t="shared" si="15"/>
        <v>150</v>
      </c>
      <c r="P202" s="289">
        <f t="shared" si="16"/>
        <v>4000000</v>
      </c>
      <c r="Q202" s="285">
        <f t="shared" si="17"/>
        <v>110</v>
      </c>
      <c r="R202" s="285">
        <f t="shared" si="18"/>
        <v>85</v>
      </c>
      <c r="S202" s="285">
        <f t="shared" si="19"/>
        <v>0.35</v>
      </c>
      <c r="T202" s="285">
        <f t="shared" si="20"/>
        <v>3.2</v>
      </c>
      <c r="U202" s="285">
        <f t="shared" si="21"/>
        <v>1</v>
      </c>
      <c r="V202" s="285">
        <f t="shared" si="22"/>
        <v>4.5</v>
      </c>
      <c r="W202" s="285">
        <f t="shared" si="23"/>
        <v>1.5</v>
      </c>
      <c r="X202" s="289">
        <f t="shared" si="24"/>
        <v>2955.0685085365963</v>
      </c>
      <c r="Y202" s="288">
        <f t="shared" si="25"/>
        <v>1.477534254268298E-2</v>
      </c>
      <c r="Z202" s="256">
        <f t="shared" si="26"/>
        <v>181.74993027852094</v>
      </c>
      <c r="AA202" s="289">
        <f t="shared" si="27"/>
        <v>6059.2650587050639</v>
      </c>
      <c r="AB202" s="288">
        <f t="shared" si="28"/>
        <v>3.0296325293525321E-2</v>
      </c>
    </row>
    <row r="203" spans="13:28" ht="12" hidden="1" customHeight="1">
      <c r="M203" s="266"/>
      <c r="N203" s="288">
        <f t="shared" si="29"/>
        <v>6.0899999999999768</v>
      </c>
      <c r="O203" s="285">
        <f t="shared" si="15"/>
        <v>150</v>
      </c>
      <c r="P203" s="289">
        <f t="shared" si="16"/>
        <v>4000000</v>
      </c>
      <c r="Q203" s="285">
        <f t="shared" si="17"/>
        <v>110</v>
      </c>
      <c r="R203" s="285">
        <f t="shared" si="18"/>
        <v>85</v>
      </c>
      <c r="S203" s="285">
        <f t="shared" si="19"/>
        <v>0.35</v>
      </c>
      <c r="T203" s="285">
        <f t="shared" si="20"/>
        <v>3.2</v>
      </c>
      <c r="U203" s="285">
        <f t="shared" si="21"/>
        <v>1</v>
      </c>
      <c r="V203" s="285">
        <f t="shared" si="22"/>
        <v>4.5</v>
      </c>
      <c r="W203" s="285">
        <f t="shared" si="23"/>
        <v>1.5</v>
      </c>
      <c r="X203" s="289">
        <f t="shared" si="24"/>
        <v>2984.3390117917547</v>
      </c>
      <c r="Y203" s="288">
        <f t="shared" si="25"/>
        <v>1.4921695058958774E-2</v>
      </c>
      <c r="Z203" s="256">
        <f t="shared" si="26"/>
        <v>181.74993027852094</v>
      </c>
      <c r="AA203" s="289">
        <f t="shared" si="27"/>
        <v>6119.2832062073503</v>
      </c>
      <c r="AB203" s="288">
        <f t="shared" si="28"/>
        <v>3.0596416031036751E-2</v>
      </c>
    </row>
    <row r="204" spans="13:28" ht="12" hidden="1" customHeight="1">
      <c r="M204" s="266"/>
      <c r="N204" s="288">
        <f t="shared" si="29"/>
        <v>6.0999999999999766</v>
      </c>
      <c r="O204" s="285">
        <f t="shared" si="15"/>
        <v>150</v>
      </c>
      <c r="P204" s="289">
        <f t="shared" si="16"/>
        <v>4000000</v>
      </c>
      <c r="Q204" s="285">
        <f t="shared" si="17"/>
        <v>110</v>
      </c>
      <c r="R204" s="285">
        <f t="shared" si="18"/>
        <v>85</v>
      </c>
      <c r="S204" s="285">
        <f t="shared" si="19"/>
        <v>0.35</v>
      </c>
      <c r="T204" s="285">
        <f t="shared" si="20"/>
        <v>3.2</v>
      </c>
      <c r="U204" s="285">
        <f t="shared" si="21"/>
        <v>1</v>
      </c>
      <c r="V204" s="285">
        <f t="shared" si="22"/>
        <v>4.5</v>
      </c>
      <c r="W204" s="285">
        <f t="shared" si="23"/>
        <v>1.5</v>
      </c>
      <c r="X204" s="289">
        <f t="shared" si="24"/>
        <v>3013.8616470213569</v>
      </c>
      <c r="Y204" s="288">
        <f t="shared" si="25"/>
        <v>1.5069308235106785E-2</v>
      </c>
      <c r="Z204" s="256">
        <f t="shared" si="26"/>
        <v>181.74993027852094</v>
      </c>
      <c r="AA204" s="289">
        <f t="shared" si="27"/>
        <v>6179.818341542079</v>
      </c>
      <c r="AB204" s="288">
        <f t="shared" si="28"/>
        <v>3.0899091707710394E-2</v>
      </c>
    </row>
    <row r="205" spans="13:28" ht="12" hidden="1" customHeight="1">
      <c r="M205" s="266"/>
      <c r="N205" s="288">
        <f t="shared" si="29"/>
        <v>6.1099999999999763</v>
      </c>
      <c r="O205" s="285">
        <f t="shared" si="15"/>
        <v>150</v>
      </c>
      <c r="P205" s="289">
        <f t="shared" si="16"/>
        <v>4000000</v>
      </c>
      <c r="Q205" s="285">
        <f t="shared" si="17"/>
        <v>110</v>
      </c>
      <c r="R205" s="285">
        <f t="shared" si="18"/>
        <v>85</v>
      </c>
      <c r="S205" s="285">
        <f t="shared" si="19"/>
        <v>0.35</v>
      </c>
      <c r="T205" s="285">
        <f t="shared" si="20"/>
        <v>3.2</v>
      </c>
      <c r="U205" s="285">
        <f t="shared" si="21"/>
        <v>1</v>
      </c>
      <c r="V205" s="285">
        <f t="shared" si="22"/>
        <v>4.5</v>
      </c>
      <c r="W205" s="285">
        <f t="shared" si="23"/>
        <v>1.5</v>
      </c>
      <c r="X205" s="289">
        <f t="shared" si="24"/>
        <v>3043.6382505268261</v>
      </c>
      <c r="Y205" s="288">
        <f t="shared" si="25"/>
        <v>1.5218191252634131E-2</v>
      </c>
      <c r="Z205" s="256">
        <f t="shared" si="26"/>
        <v>181.74993027852094</v>
      </c>
      <c r="AA205" s="289">
        <f t="shared" si="27"/>
        <v>6240.8742299813357</v>
      </c>
      <c r="AB205" s="288">
        <f t="shared" si="28"/>
        <v>3.1204371149906679E-2</v>
      </c>
    </row>
    <row r="206" spans="13:28" ht="12" hidden="1" customHeight="1">
      <c r="M206" s="266"/>
      <c r="N206" s="288">
        <f t="shared" si="29"/>
        <v>6.1199999999999761</v>
      </c>
      <c r="O206" s="285">
        <f t="shared" si="15"/>
        <v>150</v>
      </c>
      <c r="P206" s="289">
        <f t="shared" si="16"/>
        <v>4000000</v>
      </c>
      <c r="Q206" s="285">
        <f t="shared" si="17"/>
        <v>110</v>
      </c>
      <c r="R206" s="285">
        <f t="shared" si="18"/>
        <v>85</v>
      </c>
      <c r="S206" s="285">
        <f t="shared" si="19"/>
        <v>0.35</v>
      </c>
      <c r="T206" s="285">
        <f t="shared" si="20"/>
        <v>3.2</v>
      </c>
      <c r="U206" s="285">
        <f t="shared" si="21"/>
        <v>1</v>
      </c>
      <c r="V206" s="285">
        <f t="shared" si="22"/>
        <v>4.5</v>
      </c>
      <c r="W206" s="285">
        <f t="shared" si="23"/>
        <v>1.5</v>
      </c>
      <c r="X206" s="289">
        <f t="shared" si="24"/>
        <v>3073.6706695085277</v>
      </c>
      <c r="Y206" s="288">
        <f t="shared" si="25"/>
        <v>1.5368353347542638E-2</v>
      </c>
      <c r="Z206" s="256">
        <f t="shared" si="26"/>
        <v>181.74993027852094</v>
      </c>
      <c r="AA206" s="289">
        <f t="shared" si="27"/>
        <v>6302.4546591451708</v>
      </c>
      <c r="AB206" s="288">
        <f t="shared" si="28"/>
        <v>3.1512273295725854E-2</v>
      </c>
    </row>
    <row r="207" spans="13:28" ht="12" hidden="1" customHeight="1">
      <c r="M207" s="266"/>
      <c r="N207" s="288">
        <f t="shared" si="29"/>
        <v>6.1299999999999759</v>
      </c>
      <c r="O207" s="285">
        <f t="shared" si="15"/>
        <v>150</v>
      </c>
      <c r="P207" s="289">
        <f t="shared" si="16"/>
        <v>4000000</v>
      </c>
      <c r="Q207" s="285">
        <f t="shared" si="17"/>
        <v>110</v>
      </c>
      <c r="R207" s="285">
        <f t="shared" si="18"/>
        <v>85</v>
      </c>
      <c r="S207" s="285">
        <f t="shared" si="19"/>
        <v>0.35</v>
      </c>
      <c r="T207" s="285">
        <f t="shared" si="20"/>
        <v>3.2</v>
      </c>
      <c r="U207" s="285">
        <f t="shared" si="21"/>
        <v>1</v>
      </c>
      <c r="V207" s="285">
        <f t="shared" si="22"/>
        <v>4.5</v>
      </c>
      <c r="W207" s="285">
        <f t="shared" si="23"/>
        <v>1.5</v>
      </c>
      <c r="X207" s="289">
        <f t="shared" si="24"/>
        <v>3103.9607621156438</v>
      </c>
      <c r="Y207" s="288">
        <f t="shared" si="25"/>
        <v>1.551980381057822E-2</v>
      </c>
      <c r="Z207" s="256">
        <f t="shared" si="26"/>
        <v>181.74993027852094</v>
      </c>
      <c r="AA207" s="289">
        <f t="shared" si="27"/>
        <v>6364.5634391037647</v>
      </c>
      <c r="AB207" s="288">
        <f t="shared" si="28"/>
        <v>3.1822817195518827E-2</v>
      </c>
    </row>
    <row r="208" spans="13:28" ht="12" hidden="1" customHeight="1">
      <c r="M208" s="266"/>
      <c r="N208" s="288">
        <f t="shared" si="29"/>
        <v>6.1399999999999757</v>
      </c>
      <c r="O208" s="285">
        <f t="shared" si="15"/>
        <v>150</v>
      </c>
      <c r="P208" s="289">
        <f t="shared" si="16"/>
        <v>4000000</v>
      </c>
      <c r="Q208" s="285">
        <f t="shared" si="17"/>
        <v>110</v>
      </c>
      <c r="R208" s="285">
        <f t="shared" si="18"/>
        <v>85</v>
      </c>
      <c r="S208" s="285">
        <f t="shared" si="19"/>
        <v>0.35</v>
      </c>
      <c r="T208" s="285">
        <f t="shared" si="20"/>
        <v>3.2</v>
      </c>
      <c r="U208" s="285">
        <f t="shared" si="21"/>
        <v>1</v>
      </c>
      <c r="V208" s="285">
        <f t="shared" si="22"/>
        <v>4.5</v>
      </c>
      <c r="W208" s="285">
        <f t="shared" si="23"/>
        <v>1.5</v>
      </c>
      <c r="X208" s="289">
        <f t="shared" si="24"/>
        <v>3134.510397496279</v>
      </c>
      <c r="Y208" s="288">
        <f t="shared" si="25"/>
        <v>1.5672551987481395E-2</v>
      </c>
      <c r="Z208" s="256">
        <f t="shared" si="26"/>
        <v>181.74993027852094</v>
      </c>
      <c r="AA208" s="289">
        <f t="shared" si="27"/>
        <v>6427.2044024801653</v>
      </c>
      <c r="AB208" s="288">
        <f t="shared" si="28"/>
        <v>3.2136022012400824E-2</v>
      </c>
    </row>
    <row r="209" spans="13:28" ht="12" hidden="1" customHeight="1">
      <c r="M209" s="266"/>
      <c r="N209" s="288">
        <f t="shared" si="29"/>
        <v>6.1499999999999755</v>
      </c>
      <c r="O209" s="285">
        <f t="shared" si="15"/>
        <v>150</v>
      </c>
      <c r="P209" s="289">
        <f t="shared" si="16"/>
        <v>4000000</v>
      </c>
      <c r="Q209" s="285">
        <f t="shared" si="17"/>
        <v>110</v>
      </c>
      <c r="R209" s="285">
        <f t="shared" si="18"/>
        <v>85</v>
      </c>
      <c r="S209" s="285">
        <f t="shared" si="19"/>
        <v>0.35</v>
      </c>
      <c r="T209" s="285">
        <f t="shared" si="20"/>
        <v>3.2</v>
      </c>
      <c r="U209" s="285">
        <f t="shared" si="21"/>
        <v>1</v>
      </c>
      <c r="V209" s="285">
        <f t="shared" si="22"/>
        <v>4.5</v>
      </c>
      <c r="W209" s="285">
        <f t="shared" si="23"/>
        <v>1.5</v>
      </c>
      <c r="X209" s="289">
        <f t="shared" si="24"/>
        <v>3165.3214558474847</v>
      </c>
      <c r="Y209" s="288">
        <f t="shared" si="25"/>
        <v>1.5826607279237424E-2</v>
      </c>
      <c r="Z209" s="256">
        <f t="shared" si="26"/>
        <v>181.74993027852094</v>
      </c>
      <c r="AA209" s="289">
        <f t="shared" si="27"/>
        <v>6490.3814045530116</v>
      </c>
      <c r="AB209" s="288">
        <f t="shared" si="28"/>
        <v>3.2451907022765056E-2</v>
      </c>
    </row>
    <row r="210" spans="13:28" ht="12" hidden="1" customHeight="1">
      <c r="M210" s="266"/>
      <c r="N210" s="288">
        <f t="shared" si="29"/>
        <v>6.1599999999999753</v>
      </c>
      <c r="O210" s="285">
        <f t="shared" si="15"/>
        <v>150</v>
      </c>
      <c r="P210" s="289">
        <f t="shared" si="16"/>
        <v>4000000</v>
      </c>
      <c r="Q210" s="285">
        <f t="shared" si="17"/>
        <v>110</v>
      </c>
      <c r="R210" s="285">
        <f t="shared" si="18"/>
        <v>85</v>
      </c>
      <c r="S210" s="285">
        <f t="shared" si="19"/>
        <v>0.35</v>
      </c>
      <c r="T210" s="285">
        <f t="shared" si="20"/>
        <v>3.2</v>
      </c>
      <c r="U210" s="285">
        <f t="shared" si="21"/>
        <v>1</v>
      </c>
      <c r="V210" s="285">
        <f t="shared" si="22"/>
        <v>4.5</v>
      </c>
      <c r="W210" s="285">
        <f t="shared" si="23"/>
        <v>1.5</v>
      </c>
      <c r="X210" s="289">
        <f t="shared" si="24"/>
        <v>3196.3958284657347</v>
      </c>
      <c r="Y210" s="288">
        <f t="shared" si="25"/>
        <v>1.5981979142328673E-2</v>
      </c>
      <c r="Z210" s="256">
        <f t="shared" si="26"/>
        <v>181.74993027852094</v>
      </c>
      <c r="AA210" s="289">
        <f t="shared" si="27"/>
        <v>6554.0983233598072</v>
      </c>
      <c r="AB210" s="288">
        <f t="shared" si="28"/>
        <v>3.2770491616799034E-2</v>
      </c>
    </row>
    <row r="211" spans="13:28" ht="12" hidden="1" customHeight="1">
      <c r="M211" s="266"/>
      <c r="N211" s="288">
        <f t="shared" si="29"/>
        <v>6.1699999999999751</v>
      </c>
      <c r="O211" s="285">
        <f t="shared" si="15"/>
        <v>150</v>
      </c>
      <c r="P211" s="289">
        <f t="shared" si="16"/>
        <v>4000000</v>
      </c>
      <c r="Q211" s="285">
        <f t="shared" si="17"/>
        <v>110</v>
      </c>
      <c r="R211" s="285">
        <f t="shared" si="18"/>
        <v>85</v>
      </c>
      <c r="S211" s="285">
        <f t="shared" si="19"/>
        <v>0.35</v>
      </c>
      <c r="T211" s="285">
        <f t="shared" si="20"/>
        <v>3.2</v>
      </c>
      <c r="U211" s="285">
        <f t="shared" si="21"/>
        <v>1</v>
      </c>
      <c r="V211" s="285">
        <f t="shared" si="22"/>
        <v>4.5</v>
      </c>
      <c r="W211" s="285">
        <f t="shared" si="23"/>
        <v>1.5</v>
      </c>
      <c r="X211" s="289">
        <f t="shared" si="24"/>
        <v>3227.735417797373</v>
      </c>
      <c r="Y211" s="288">
        <f t="shared" si="25"/>
        <v>1.6138677088986864E-2</v>
      </c>
      <c r="Z211" s="256">
        <f t="shared" si="26"/>
        <v>181.74993027852094</v>
      </c>
      <c r="AA211" s="289">
        <f t="shared" si="27"/>
        <v>6618.3590598005458</v>
      </c>
      <c r="AB211" s="288">
        <f t="shared" si="28"/>
        <v>3.3091795299002726E-2</v>
      </c>
    </row>
    <row r="212" spans="13:28" ht="12" hidden="1" customHeight="1">
      <c r="M212" s="266"/>
      <c r="N212" s="288">
        <f t="shared" si="29"/>
        <v>6.1799999999999748</v>
      </c>
      <c r="O212" s="285">
        <f t="shared" si="15"/>
        <v>150</v>
      </c>
      <c r="P212" s="289">
        <f t="shared" si="16"/>
        <v>4000000</v>
      </c>
      <c r="Q212" s="285">
        <f t="shared" si="17"/>
        <v>110</v>
      </c>
      <c r="R212" s="285">
        <f t="shared" si="18"/>
        <v>85</v>
      </c>
      <c r="S212" s="285">
        <f t="shared" si="19"/>
        <v>0.35</v>
      </c>
      <c r="T212" s="285">
        <f t="shared" si="20"/>
        <v>3.2</v>
      </c>
      <c r="U212" s="285">
        <f t="shared" si="21"/>
        <v>1</v>
      </c>
      <c r="V212" s="285">
        <f t="shared" si="22"/>
        <v>4.5</v>
      </c>
      <c r="W212" s="285">
        <f t="shared" si="23"/>
        <v>1.5</v>
      </c>
      <c r="X212" s="289">
        <f t="shared" si="24"/>
        <v>3259.3421374892605</v>
      </c>
      <c r="Y212" s="288">
        <f t="shared" si="25"/>
        <v>1.6296710687446304E-2</v>
      </c>
      <c r="Z212" s="256">
        <f t="shared" si="26"/>
        <v>181.74993027852094</v>
      </c>
      <c r="AA212" s="289">
        <f t="shared" si="27"/>
        <v>6683.167537741444</v>
      </c>
      <c r="AB212" s="288">
        <f t="shared" si="28"/>
        <v>3.341583768870722E-2</v>
      </c>
    </row>
    <row r="213" spans="13:28" ht="12" hidden="1" customHeight="1">
      <c r="M213" s="266"/>
      <c r="N213" s="288">
        <f t="shared" si="29"/>
        <v>6.1899999999999746</v>
      </c>
      <c r="O213" s="285">
        <f t="shared" si="15"/>
        <v>150</v>
      </c>
      <c r="P213" s="289">
        <f t="shared" si="16"/>
        <v>4000000</v>
      </c>
      <c r="Q213" s="285">
        <f t="shared" si="17"/>
        <v>110</v>
      </c>
      <c r="R213" s="285">
        <f t="shared" si="18"/>
        <v>85</v>
      </c>
      <c r="S213" s="285">
        <f t="shared" si="19"/>
        <v>0.35</v>
      </c>
      <c r="T213" s="285">
        <f t="shared" si="20"/>
        <v>3.2</v>
      </c>
      <c r="U213" s="285">
        <f t="shared" si="21"/>
        <v>1</v>
      </c>
      <c r="V213" s="285">
        <f t="shared" si="22"/>
        <v>4.5</v>
      </c>
      <c r="W213" s="285">
        <f t="shared" si="23"/>
        <v>1.5</v>
      </c>
      <c r="X213" s="289">
        <f t="shared" si="24"/>
        <v>3291.2179124396162</v>
      </c>
      <c r="Y213" s="288">
        <f t="shared" si="25"/>
        <v>1.645608956219808E-2</v>
      </c>
      <c r="Z213" s="256">
        <f t="shared" si="26"/>
        <v>181.74993027852094</v>
      </c>
      <c r="AA213" s="289">
        <f t="shared" si="27"/>
        <v>6748.5277041192621</v>
      </c>
      <c r="AB213" s="288">
        <f t="shared" si="28"/>
        <v>3.3742638520596308E-2</v>
      </c>
    </row>
    <row r="214" spans="13:28" ht="12" hidden="1" customHeight="1">
      <c r="M214" s="266"/>
      <c r="N214" s="288">
        <f t="shared" si="29"/>
        <v>6.1999999999999744</v>
      </c>
      <c r="O214" s="285">
        <f t="shared" si="15"/>
        <v>150</v>
      </c>
      <c r="P214" s="289">
        <f t="shared" si="16"/>
        <v>4000000</v>
      </c>
      <c r="Q214" s="285">
        <f t="shared" si="17"/>
        <v>110</v>
      </c>
      <c r="R214" s="285">
        <f t="shared" si="18"/>
        <v>85</v>
      </c>
      <c r="S214" s="285">
        <f t="shared" si="19"/>
        <v>0.35</v>
      </c>
      <c r="T214" s="285">
        <f t="shared" si="20"/>
        <v>3.2</v>
      </c>
      <c r="U214" s="285">
        <f t="shared" si="21"/>
        <v>1</v>
      </c>
      <c r="V214" s="285">
        <f t="shared" si="22"/>
        <v>4.5</v>
      </c>
      <c r="W214" s="285">
        <f t="shared" si="23"/>
        <v>1.5</v>
      </c>
      <c r="X214" s="289">
        <f t="shared" si="24"/>
        <v>3323.3646788490087</v>
      </c>
      <c r="Y214" s="288">
        <f t="shared" si="25"/>
        <v>1.6616823394245042E-2</v>
      </c>
      <c r="Z214" s="256">
        <f t="shared" si="26"/>
        <v>181.74993027852094</v>
      </c>
      <c r="AA214" s="289">
        <f t="shared" si="27"/>
        <v>6814.443529045855</v>
      </c>
      <c r="AB214" s="288">
        <f t="shared" si="28"/>
        <v>3.4072217645229275E-2</v>
      </c>
    </row>
    <row r="215" spans="13:28" ht="12" hidden="1" customHeight="1">
      <c r="M215" s="266"/>
      <c r="N215" s="288">
        <f t="shared" si="29"/>
        <v>6.2099999999999742</v>
      </c>
      <c r="O215" s="285">
        <f t="shared" si="15"/>
        <v>150</v>
      </c>
      <c r="P215" s="289">
        <f t="shared" si="16"/>
        <v>4000000</v>
      </c>
      <c r="Q215" s="285">
        <f t="shared" si="17"/>
        <v>110</v>
      </c>
      <c r="R215" s="285">
        <f t="shared" si="18"/>
        <v>85</v>
      </c>
      <c r="S215" s="285">
        <f t="shared" si="19"/>
        <v>0.35</v>
      </c>
      <c r="T215" s="285">
        <f t="shared" si="20"/>
        <v>3.2</v>
      </c>
      <c r="U215" s="285">
        <f t="shared" si="21"/>
        <v>1</v>
      </c>
      <c r="V215" s="285">
        <f t="shared" si="22"/>
        <v>4.5</v>
      </c>
      <c r="W215" s="285">
        <f t="shared" si="23"/>
        <v>1.5</v>
      </c>
      <c r="X215" s="289">
        <f t="shared" si="24"/>
        <v>3355.7843842714856</v>
      </c>
      <c r="Y215" s="288">
        <f t="shared" si="25"/>
        <v>1.6778921921357427E-2</v>
      </c>
      <c r="Z215" s="256">
        <f t="shared" si="26"/>
        <v>181.74993027852094</v>
      </c>
      <c r="AA215" s="289">
        <f t="shared" si="27"/>
        <v>6880.9190059129687</v>
      </c>
      <c r="AB215" s="288">
        <f t="shared" si="28"/>
        <v>3.4404595029564847E-2</v>
      </c>
    </row>
    <row r="216" spans="13:28" ht="12" hidden="1" customHeight="1">
      <c r="M216" s="266"/>
      <c r="N216" s="288">
        <f t="shared" si="29"/>
        <v>6.219999999999974</v>
      </c>
      <c r="O216" s="285">
        <f t="shared" si="15"/>
        <v>150</v>
      </c>
      <c r="P216" s="289">
        <f t="shared" si="16"/>
        <v>4000000</v>
      </c>
      <c r="Q216" s="285">
        <f t="shared" si="17"/>
        <v>110</v>
      </c>
      <c r="R216" s="285">
        <f t="shared" si="18"/>
        <v>85</v>
      </c>
      <c r="S216" s="285">
        <f t="shared" si="19"/>
        <v>0.35</v>
      </c>
      <c r="T216" s="285">
        <f t="shared" si="20"/>
        <v>3.2</v>
      </c>
      <c r="U216" s="285">
        <f t="shared" si="21"/>
        <v>1</v>
      </c>
      <c r="V216" s="285">
        <f t="shared" si="22"/>
        <v>4.5</v>
      </c>
      <c r="W216" s="285">
        <f t="shared" si="23"/>
        <v>1.5</v>
      </c>
      <c r="X216" s="289">
        <f t="shared" si="24"/>
        <v>3388.4789876659029</v>
      </c>
      <c r="Y216" s="288">
        <f t="shared" si="25"/>
        <v>1.6942394938329514E-2</v>
      </c>
      <c r="Z216" s="256">
        <f t="shared" si="26"/>
        <v>181.74993027852094</v>
      </c>
      <c r="AA216" s="289">
        <f t="shared" si="27"/>
        <v>6947.9581514974761</v>
      </c>
      <c r="AB216" s="288">
        <f t="shared" si="28"/>
        <v>3.4739790757487378E-2</v>
      </c>
    </row>
    <row r="217" spans="13:28" ht="12" hidden="1" customHeight="1">
      <c r="M217" s="266"/>
      <c r="N217" s="288">
        <f t="shared" si="29"/>
        <v>6.2299999999999738</v>
      </c>
      <c r="O217" s="285">
        <f t="shared" si="15"/>
        <v>150</v>
      </c>
      <c r="P217" s="289">
        <f t="shared" si="16"/>
        <v>4000000</v>
      </c>
      <c r="Q217" s="285">
        <f t="shared" si="17"/>
        <v>110</v>
      </c>
      <c r="R217" s="285">
        <f t="shared" si="18"/>
        <v>85</v>
      </c>
      <c r="S217" s="285">
        <f t="shared" si="19"/>
        <v>0.35</v>
      </c>
      <c r="T217" s="285">
        <f t="shared" si="20"/>
        <v>3.2</v>
      </c>
      <c r="U217" s="285">
        <f t="shared" si="21"/>
        <v>1</v>
      </c>
      <c r="V217" s="285">
        <f t="shared" si="22"/>
        <v>4.5</v>
      </c>
      <c r="W217" s="285">
        <f t="shared" si="23"/>
        <v>1.5</v>
      </c>
      <c r="X217" s="289">
        <f t="shared" si="24"/>
        <v>3421.4504594473851</v>
      </c>
      <c r="Y217" s="288">
        <f t="shared" si="25"/>
        <v>1.7107252297236926E-2</v>
      </c>
      <c r="Z217" s="256">
        <f t="shared" si="26"/>
        <v>181.74993027852094</v>
      </c>
      <c r="AA217" s="289">
        <f t="shared" si="27"/>
        <v>7015.5650060669996</v>
      </c>
      <c r="AB217" s="288">
        <f t="shared" si="28"/>
        <v>3.5077825030334998E-2</v>
      </c>
    </row>
    <row r="218" spans="13:28" ht="12" hidden="1" customHeight="1">
      <c r="M218" s="266"/>
      <c r="N218" s="288">
        <f t="shared" si="29"/>
        <v>6.2399999999999736</v>
      </c>
      <c r="O218" s="285">
        <f t="shared" si="15"/>
        <v>150</v>
      </c>
      <c r="P218" s="289">
        <f t="shared" si="16"/>
        <v>4000000</v>
      </c>
      <c r="Q218" s="285">
        <f t="shared" si="17"/>
        <v>110</v>
      </c>
      <c r="R218" s="285">
        <f t="shared" si="18"/>
        <v>85</v>
      </c>
      <c r="S218" s="285">
        <f t="shared" si="19"/>
        <v>0.35</v>
      </c>
      <c r="T218" s="285">
        <f t="shared" si="20"/>
        <v>3.2</v>
      </c>
      <c r="U218" s="285">
        <f t="shared" si="21"/>
        <v>1</v>
      </c>
      <c r="V218" s="285">
        <f t="shared" si="22"/>
        <v>4.5</v>
      </c>
      <c r="W218" s="285">
        <f t="shared" si="23"/>
        <v>1.5</v>
      </c>
      <c r="X218" s="289">
        <f t="shared" si="24"/>
        <v>3454.7007815389402</v>
      </c>
      <c r="Y218" s="288">
        <f t="shared" si="25"/>
        <v>1.72735039076947E-2</v>
      </c>
      <c r="Z218" s="256">
        <f t="shared" si="26"/>
        <v>181.74993027852094</v>
      </c>
      <c r="AA218" s="289">
        <f t="shared" si="27"/>
        <v>7083.7436334856448</v>
      </c>
      <c r="AB218" s="288">
        <f t="shared" si="28"/>
        <v>3.5418718167428226E-2</v>
      </c>
    </row>
    <row r="219" spans="13:28" ht="12" hidden="1" customHeight="1">
      <c r="M219" s="266"/>
      <c r="N219" s="288">
        <f t="shared" si="29"/>
        <v>6.2499999999999734</v>
      </c>
      <c r="O219" s="285">
        <f t="shared" si="15"/>
        <v>150</v>
      </c>
      <c r="P219" s="289">
        <f t="shared" si="16"/>
        <v>4000000</v>
      </c>
      <c r="Q219" s="285">
        <f t="shared" si="17"/>
        <v>110</v>
      </c>
      <c r="R219" s="285">
        <f t="shared" si="18"/>
        <v>85</v>
      </c>
      <c r="S219" s="285">
        <f t="shared" si="19"/>
        <v>0.35</v>
      </c>
      <c r="T219" s="285">
        <f t="shared" si="20"/>
        <v>3.2</v>
      </c>
      <c r="U219" s="285">
        <f t="shared" si="21"/>
        <v>1</v>
      </c>
      <c r="V219" s="285">
        <f t="shared" si="22"/>
        <v>4.5</v>
      </c>
      <c r="W219" s="285">
        <f t="shared" si="23"/>
        <v>1.5</v>
      </c>
      <c r="X219" s="289">
        <f t="shared" si="24"/>
        <v>3488.231947423325</v>
      </c>
      <c r="Y219" s="288">
        <f t="shared" si="25"/>
        <v>1.7441159737116626E-2</v>
      </c>
      <c r="Z219" s="256">
        <f t="shared" si="26"/>
        <v>181.74993027852094</v>
      </c>
      <c r="AA219" s="289">
        <f t="shared" si="27"/>
        <v>7152.4981213203364</v>
      </c>
      <c r="AB219" s="288">
        <f t="shared" si="28"/>
        <v>3.576249060660168E-2</v>
      </c>
    </row>
    <row r="220" spans="13:28" ht="12" hidden="1" customHeight="1">
      <c r="M220" s="266"/>
      <c r="N220" s="288">
        <f t="shared" si="29"/>
        <v>6.2599999999999731</v>
      </c>
      <c r="O220" s="285">
        <f t="shared" si="15"/>
        <v>150</v>
      </c>
      <c r="P220" s="289">
        <f t="shared" si="16"/>
        <v>4000000</v>
      </c>
      <c r="Q220" s="285">
        <f t="shared" si="17"/>
        <v>110</v>
      </c>
      <c r="R220" s="285">
        <f t="shared" si="18"/>
        <v>85</v>
      </c>
      <c r="S220" s="285">
        <f t="shared" si="19"/>
        <v>0.35</v>
      </c>
      <c r="T220" s="285">
        <f t="shared" si="20"/>
        <v>3.2</v>
      </c>
      <c r="U220" s="285">
        <f t="shared" si="21"/>
        <v>1</v>
      </c>
      <c r="V220" s="285">
        <f t="shared" si="22"/>
        <v>4.5</v>
      </c>
      <c r="W220" s="285">
        <f t="shared" si="23"/>
        <v>1.5</v>
      </c>
      <c r="X220" s="289">
        <f t="shared" si="24"/>
        <v>3522.0459621949112</v>
      </c>
      <c r="Y220" s="288">
        <f t="shared" si="25"/>
        <v>1.7610229810974556E-2</v>
      </c>
      <c r="Z220" s="256">
        <f t="shared" si="26"/>
        <v>181.74993027852094</v>
      </c>
      <c r="AA220" s="289">
        <f t="shared" si="27"/>
        <v>7221.832580947289</v>
      </c>
      <c r="AB220" s="288">
        <f t="shared" si="28"/>
        <v>3.6109162904736446E-2</v>
      </c>
    </row>
    <row r="221" spans="13:28" ht="12" hidden="1" customHeight="1">
      <c r="M221" s="266"/>
      <c r="N221" s="288">
        <f t="shared" si="29"/>
        <v>6.2699999999999729</v>
      </c>
      <c r="O221" s="285">
        <f t="shared" si="15"/>
        <v>150</v>
      </c>
      <c r="P221" s="289">
        <f t="shared" si="16"/>
        <v>4000000</v>
      </c>
      <c r="Q221" s="285">
        <f t="shared" si="17"/>
        <v>110</v>
      </c>
      <c r="R221" s="285">
        <f t="shared" si="18"/>
        <v>85</v>
      </c>
      <c r="S221" s="285">
        <f t="shared" si="19"/>
        <v>0.35</v>
      </c>
      <c r="T221" s="285">
        <f t="shared" si="20"/>
        <v>3.2</v>
      </c>
      <c r="U221" s="285">
        <f t="shared" si="21"/>
        <v>1</v>
      </c>
      <c r="V221" s="285">
        <f t="shared" si="22"/>
        <v>4.5</v>
      </c>
      <c r="W221" s="285">
        <f t="shared" si="23"/>
        <v>1.5</v>
      </c>
      <c r="X221" s="289">
        <f t="shared" si="24"/>
        <v>3556.1448426119241</v>
      </c>
      <c r="Y221" s="288">
        <f t="shared" si="25"/>
        <v>1.778072421305962E-2</v>
      </c>
      <c r="Z221" s="256">
        <f t="shared" si="26"/>
        <v>181.74993027852094</v>
      </c>
      <c r="AA221" s="289">
        <f t="shared" si="27"/>
        <v>7291.7511476589789</v>
      </c>
      <c r="AB221" s="288">
        <f t="shared" si="28"/>
        <v>3.6458755738294893E-2</v>
      </c>
    </row>
    <row r="222" spans="13:28" ht="12" hidden="1" customHeight="1">
      <c r="M222" s="266"/>
      <c r="N222" s="288">
        <f t="shared" si="29"/>
        <v>6.2799999999999727</v>
      </c>
      <c r="O222" s="285">
        <f t="shared" ref="O222:O285" si="30">PCC_MR</f>
        <v>150</v>
      </c>
      <c r="P222" s="289">
        <f t="shared" ref="P222:P285" si="31">PCC_ME</f>
        <v>4000000</v>
      </c>
      <c r="Q222" s="285">
        <f t="shared" ref="Q222:Q285" si="32">K_MODULE</f>
        <v>110</v>
      </c>
      <c r="R222" s="285">
        <f t="shared" ref="R222:R285" si="33">R_</f>
        <v>85</v>
      </c>
      <c r="S222" s="285">
        <f t="shared" ref="S222:S285" si="34">So</f>
        <v>0.35</v>
      </c>
      <c r="T222" s="285">
        <f t="shared" ref="T222:T285" si="35">J_</f>
        <v>3.2</v>
      </c>
      <c r="U222" s="285">
        <f t="shared" ref="U222:U285" si="36">Cd_</f>
        <v>1</v>
      </c>
      <c r="V222" s="285">
        <f t="shared" ref="V222:V285" si="37">Pi</f>
        <v>4.5</v>
      </c>
      <c r="W222" s="285">
        <f t="shared" ref="W222:W285" si="38">Pt</f>
        <v>1.5</v>
      </c>
      <c r="X222" s="289">
        <f t="shared" ref="X222:X285" si="39">10^(-NORMSINV(R222/100)*S222+7.35*LOG10(N222+1)-0.06+((LOG10((V222-W222)/3))/(1+((1.625*10^7)/((N222+1)^8.46))))+((4.22-0.32*W222)*LOG10((O222*U222*((N222^0.75)-1.132))/(215.63*T222*((N222^0.75)-18.42*(Q222/P222)^0.25)))))</f>
        <v>3590.5306171485922</v>
      </c>
      <c r="Y222" s="288">
        <f t="shared" ref="Y222:Y285" si="40">+X222/ESALS</f>
        <v>1.795265308574296E-2</v>
      </c>
      <c r="Z222" s="256">
        <f t="shared" ref="Z222:Z285" si="41">PCC_IMR</f>
        <v>181.74993027852094</v>
      </c>
      <c r="AA222" s="289">
        <f t="shared" ref="AA222:AA285" si="42">10^(-NORMSINV(R222/100)*S222+7.35*LOG10(N222+1)-0.06+((LOG10((V222-W222)/3))/(1+((1.625*10^7)/((N222+1)^8.46))))+((4.22-0.32*W222)*LOG10((Z222*U222*((N222^0.75)-1.132))/(215.63*T222*((N222^0.75)-18.42*(Q222/P222)^0.25)))))</f>
        <v>7362.2579807712036</v>
      </c>
      <c r="AB222" s="288">
        <f t="shared" ref="AB222:AB285" si="43">+AA222/ESALS</f>
        <v>3.6811289903856015E-2</v>
      </c>
    </row>
    <row r="223" spans="13:28" ht="12" hidden="1" customHeight="1">
      <c r="M223" s="266"/>
      <c r="N223" s="288">
        <f t="shared" ref="N223:N286" si="44">IF(N222 = "", "", IF(AND(0.995*ESALS&lt;=X222,X222&lt;=1.005*ESALS),"",(N222+D_Step)))</f>
        <v>6.2899999999999725</v>
      </c>
      <c r="O223" s="285">
        <f t="shared" si="30"/>
        <v>150</v>
      </c>
      <c r="P223" s="289">
        <f t="shared" si="31"/>
        <v>4000000</v>
      </c>
      <c r="Q223" s="285">
        <f t="shared" si="32"/>
        <v>110</v>
      </c>
      <c r="R223" s="285">
        <f t="shared" si="33"/>
        <v>85</v>
      </c>
      <c r="S223" s="285">
        <f t="shared" si="34"/>
        <v>0.35</v>
      </c>
      <c r="T223" s="285">
        <f t="shared" si="35"/>
        <v>3.2</v>
      </c>
      <c r="U223" s="285">
        <f t="shared" si="36"/>
        <v>1</v>
      </c>
      <c r="V223" s="285">
        <f t="shared" si="37"/>
        <v>4.5</v>
      </c>
      <c r="W223" s="285">
        <f t="shared" si="38"/>
        <v>1.5</v>
      </c>
      <c r="X223" s="289">
        <f t="shared" si="39"/>
        <v>3625.2053260477669</v>
      </c>
      <c r="Y223" s="288">
        <f t="shared" si="40"/>
        <v>1.8126026630238833E-2</v>
      </c>
      <c r="Z223" s="256">
        <f t="shared" si="41"/>
        <v>181.74993027852094</v>
      </c>
      <c r="AA223" s="289">
        <f t="shared" si="42"/>
        <v>7433.3572637308353</v>
      </c>
      <c r="AB223" s="288">
        <f t="shared" si="43"/>
        <v>3.716678631865418E-2</v>
      </c>
    </row>
    <row r="224" spans="13:28" ht="12" hidden="1" customHeight="1">
      <c r="M224" s="266"/>
      <c r="N224" s="288">
        <f t="shared" si="44"/>
        <v>6.2999999999999723</v>
      </c>
      <c r="O224" s="285">
        <f t="shared" si="30"/>
        <v>150</v>
      </c>
      <c r="P224" s="289">
        <f t="shared" si="31"/>
        <v>4000000</v>
      </c>
      <c r="Q224" s="285">
        <f t="shared" si="32"/>
        <v>110</v>
      </c>
      <c r="R224" s="285">
        <f t="shared" si="33"/>
        <v>85</v>
      </c>
      <c r="S224" s="285">
        <f t="shared" si="34"/>
        <v>0.35</v>
      </c>
      <c r="T224" s="285">
        <f t="shared" si="35"/>
        <v>3.2</v>
      </c>
      <c r="U224" s="285">
        <f t="shared" si="36"/>
        <v>1</v>
      </c>
      <c r="V224" s="285">
        <f t="shared" si="37"/>
        <v>4.5</v>
      </c>
      <c r="W224" s="285">
        <f t="shared" si="38"/>
        <v>1.5</v>
      </c>
      <c r="X224" s="289">
        <f t="shared" si="39"/>
        <v>3660.1710213734063</v>
      </c>
      <c r="Y224" s="288">
        <f t="shared" si="40"/>
        <v>1.830085510686703E-2</v>
      </c>
      <c r="Z224" s="256">
        <f t="shared" si="41"/>
        <v>181.74993027852094</v>
      </c>
      <c r="AA224" s="289">
        <f t="shared" si="42"/>
        <v>7505.0532042235627</v>
      </c>
      <c r="AB224" s="288">
        <f t="shared" si="43"/>
        <v>3.752526602111781E-2</v>
      </c>
    </row>
    <row r="225" spans="13:28" ht="12" hidden="1" customHeight="1">
      <c r="M225" s="266"/>
      <c r="N225" s="288">
        <f t="shared" si="44"/>
        <v>6.3099999999999721</v>
      </c>
      <c r="O225" s="285">
        <f t="shared" si="30"/>
        <v>150</v>
      </c>
      <c r="P225" s="289">
        <f t="shared" si="31"/>
        <v>4000000</v>
      </c>
      <c r="Q225" s="285">
        <f t="shared" si="32"/>
        <v>110</v>
      </c>
      <c r="R225" s="285">
        <f t="shared" si="33"/>
        <v>85</v>
      </c>
      <c r="S225" s="285">
        <f t="shared" si="34"/>
        <v>0.35</v>
      </c>
      <c r="T225" s="285">
        <f t="shared" si="35"/>
        <v>3.2</v>
      </c>
      <c r="U225" s="285">
        <f t="shared" si="36"/>
        <v>1</v>
      </c>
      <c r="V225" s="285">
        <f t="shared" si="37"/>
        <v>4.5</v>
      </c>
      <c r="W225" s="285">
        <f t="shared" si="38"/>
        <v>1.5</v>
      </c>
      <c r="X225" s="289">
        <f t="shared" si="39"/>
        <v>3695.4297670634101</v>
      </c>
      <c r="Y225" s="288">
        <f t="shared" si="40"/>
        <v>1.847714883531705E-2</v>
      </c>
      <c r="Z225" s="256">
        <f t="shared" si="41"/>
        <v>181.74993027852094</v>
      </c>
      <c r="AA225" s="289">
        <f t="shared" si="42"/>
        <v>7577.350034282169</v>
      </c>
      <c r="AB225" s="288">
        <f t="shared" si="43"/>
        <v>3.7886750171410848E-2</v>
      </c>
    </row>
    <row r="226" spans="13:28" ht="12" hidden="1" customHeight="1">
      <c r="M226" s="266"/>
      <c r="N226" s="288">
        <f t="shared" si="44"/>
        <v>6.3199999999999719</v>
      </c>
      <c r="O226" s="285">
        <f t="shared" si="30"/>
        <v>150</v>
      </c>
      <c r="P226" s="289">
        <f t="shared" si="31"/>
        <v>4000000</v>
      </c>
      <c r="Q226" s="285">
        <f t="shared" si="32"/>
        <v>110</v>
      </c>
      <c r="R226" s="285">
        <f t="shared" si="33"/>
        <v>85</v>
      </c>
      <c r="S226" s="285">
        <f t="shared" si="34"/>
        <v>0.35</v>
      </c>
      <c r="T226" s="285">
        <f t="shared" si="35"/>
        <v>3.2</v>
      </c>
      <c r="U226" s="285">
        <f t="shared" si="36"/>
        <v>1</v>
      </c>
      <c r="V226" s="285">
        <f t="shared" si="37"/>
        <v>4.5</v>
      </c>
      <c r="W226" s="285">
        <f t="shared" si="38"/>
        <v>1.5</v>
      </c>
      <c r="X226" s="289">
        <f t="shared" si="39"/>
        <v>3730.9836389825932</v>
      </c>
      <c r="Y226" s="288">
        <f t="shared" si="40"/>
        <v>1.8654918194912967E-2</v>
      </c>
      <c r="Z226" s="256">
        <f t="shared" si="41"/>
        <v>181.74993027852094</v>
      </c>
      <c r="AA226" s="289">
        <f t="shared" si="42"/>
        <v>7650.2520103951583</v>
      </c>
      <c r="AB226" s="288">
        <f t="shared" si="43"/>
        <v>3.8251260051975794E-2</v>
      </c>
    </row>
    <row r="227" spans="13:28" ht="12" hidden="1" customHeight="1">
      <c r="M227" s="266"/>
      <c r="N227" s="288">
        <f t="shared" si="44"/>
        <v>6.3299999999999716</v>
      </c>
      <c r="O227" s="285">
        <f t="shared" si="30"/>
        <v>150</v>
      </c>
      <c r="P227" s="289">
        <f t="shared" si="31"/>
        <v>4000000</v>
      </c>
      <c r="Q227" s="285">
        <f t="shared" si="32"/>
        <v>110</v>
      </c>
      <c r="R227" s="285">
        <f t="shared" si="33"/>
        <v>85</v>
      </c>
      <c r="S227" s="285">
        <f t="shared" si="34"/>
        <v>0.35</v>
      </c>
      <c r="T227" s="285">
        <f t="shared" si="35"/>
        <v>3.2</v>
      </c>
      <c r="U227" s="285">
        <f t="shared" si="36"/>
        <v>1</v>
      </c>
      <c r="V227" s="285">
        <f t="shared" si="37"/>
        <v>4.5</v>
      </c>
      <c r="W227" s="285">
        <f t="shared" si="38"/>
        <v>1.5</v>
      </c>
      <c r="X227" s="289">
        <f t="shared" si="39"/>
        <v>3766.8347249757676</v>
      </c>
      <c r="Y227" s="288">
        <f t="shared" si="40"/>
        <v>1.8834173624878839E-2</v>
      </c>
      <c r="Z227" s="256">
        <f t="shared" si="41"/>
        <v>181.74993027852094</v>
      </c>
      <c r="AA227" s="289">
        <f t="shared" si="42"/>
        <v>7723.763413615603</v>
      </c>
      <c r="AB227" s="288">
        <f t="shared" si="43"/>
        <v>3.8618817068078015E-2</v>
      </c>
    </row>
    <row r="228" spans="13:28" ht="12" hidden="1" customHeight="1">
      <c r="M228" s="266"/>
      <c r="N228" s="288">
        <f t="shared" si="44"/>
        <v>6.3399999999999714</v>
      </c>
      <c r="O228" s="285">
        <f t="shared" si="30"/>
        <v>150</v>
      </c>
      <c r="P228" s="289">
        <f t="shared" si="31"/>
        <v>4000000</v>
      </c>
      <c r="Q228" s="285">
        <f t="shared" si="32"/>
        <v>110</v>
      </c>
      <c r="R228" s="285">
        <f t="shared" si="33"/>
        <v>85</v>
      </c>
      <c r="S228" s="285">
        <f t="shared" si="34"/>
        <v>0.35</v>
      </c>
      <c r="T228" s="285">
        <f t="shared" si="35"/>
        <v>3.2</v>
      </c>
      <c r="U228" s="285">
        <f t="shared" si="36"/>
        <v>1</v>
      </c>
      <c r="V228" s="285">
        <f t="shared" si="37"/>
        <v>4.5</v>
      </c>
      <c r="W228" s="285">
        <f t="shared" si="38"/>
        <v>1.5</v>
      </c>
      <c r="X228" s="289">
        <f t="shared" si="39"/>
        <v>3802.9851249210114</v>
      </c>
      <c r="Y228" s="288">
        <f t="shared" si="40"/>
        <v>1.9014925624605057E-2</v>
      </c>
      <c r="Z228" s="256">
        <f t="shared" si="41"/>
        <v>181.74993027852094</v>
      </c>
      <c r="AA228" s="289">
        <f t="shared" si="42"/>
        <v>7797.8885496703688</v>
      </c>
      <c r="AB228" s="288">
        <f t="shared" si="43"/>
        <v>3.8989442748351845E-2</v>
      </c>
    </row>
    <row r="229" spans="13:28" ht="12" hidden="1" customHeight="1">
      <c r="M229" s="266"/>
      <c r="N229" s="288">
        <f t="shared" si="44"/>
        <v>6.3499999999999712</v>
      </c>
      <c r="O229" s="285">
        <f t="shared" si="30"/>
        <v>150</v>
      </c>
      <c r="P229" s="289">
        <f t="shared" si="31"/>
        <v>4000000</v>
      </c>
      <c r="Q229" s="285">
        <f t="shared" si="32"/>
        <v>110</v>
      </c>
      <c r="R229" s="285">
        <f t="shared" si="33"/>
        <v>85</v>
      </c>
      <c r="S229" s="285">
        <f t="shared" si="34"/>
        <v>0.35</v>
      </c>
      <c r="T229" s="285">
        <f t="shared" si="35"/>
        <v>3.2</v>
      </c>
      <c r="U229" s="285">
        <f t="shared" si="36"/>
        <v>1</v>
      </c>
      <c r="V229" s="285">
        <f t="shared" si="37"/>
        <v>4.5</v>
      </c>
      <c r="W229" s="285">
        <f t="shared" si="38"/>
        <v>1.5</v>
      </c>
      <c r="X229" s="289">
        <f t="shared" si="39"/>
        <v>3839.4369507831912</v>
      </c>
      <c r="Y229" s="288">
        <f t="shared" si="40"/>
        <v>1.9197184753915957E-2</v>
      </c>
      <c r="Z229" s="256">
        <f t="shared" si="41"/>
        <v>181.74993027852094</v>
      </c>
      <c r="AA229" s="289">
        <f t="shared" si="42"/>
        <v>7872.6317490698602</v>
      </c>
      <c r="AB229" s="288">
        <f t="shared" si="43"/>
        <v>3.9363158745349298E-2</v>
      </c>
    </row>
    <row r="230" spans="13:28" ht="12" hidden="1" customHeight="1">
      <c r="M230" s="266"/>
      <c r="N230" s="288">
        <f t="shared" si="44"/>
        <v>6.359999999999971</v>
      </c>
      <c r="O230" s="285">
        <f t="shared" si="30"/>
        <v>150</v>
      </c>
      <c r="P230" s="289">
        <f t="shared" si="31"/>
        <v>4000000</v>
      </c>
      <c r="Q230" s="285">
        <f t="shared" si="32"/>
        <v>110</v>
      </c>
      <c r="R230" s="285">
        <f t="shared" si="33"/>
        <v>85</v>
      </c>
      <c r="S230" s="285">
        <f t="shared" si="34"/>
        <v>0.35</v>
      </c>
      <c r="T230" s="285">
        <f t="shared" si="35"/>
        <v>3.2</v>
      </c>
      <c r="U230" s="285">
        <f t="shared" si="36"/>
        <v>1</v>
      </c>
      <c r="V230" s="285">
        <f t="shared" si="37"/>
        <v>4.5</v>
      </c>
      <c r="W230" s="285">
        <f t="shared" si="38"/>
        <v>1.5</v>
      </c>
      <c r="X230" s="289">
        <f t="shared" si="39"/>
        <v>3876.1923266674748</v>
      </c>
      <c r="Y230" s="288">
        <f t="shared" si="40"/>
        <v>1.9380961633337374E-2</v>
      </c>
      <c r="Z230" s="256">
        <f t="shared" si="41"/>
        <v>181.74993027852094</v>
      </c>
      <c r="AA230" s="289">
        <f t="shared" si="42"/>
        <v>7947.9973672177603</v>
      </c>
      <c r="AB230" s="288">
        <f t="shared" si="43"/>
        <v>3.97399868360888E-2</v>
      </c>
    </row>
    <row r="231" spans="13:28" ht="12" hidden="1" customHeight="1">
      <c r="M231" s="266"/>
      <c r="N231" s="288">
        <f t="shared" si="44"/>
        <v>6.3699999999999708</v>
      </c>
      <c r="O231" s="285">
        <f t="shared" si="30"/>
        <v>150</v>
      </c>
      <c r="P231" s="289">
        <f t="shared" si="31"/>
        <v>4000000</v>
      </c>
      <c r="Q231" s="285">
        <f t="shared" si="32"/>
        <v>110</v>
      </c>
      <c r="R231" s="285">
        <f t="shared" si="33"/>
        <v>85</v>
      </c>
      <c r="S231" s="285">
        <f t="shared" si="34"/>
        <v>0.35</v>
      </c>
      <c r="T231" s="285">
        <f t="shared" si="35"/>
        <v>3.2</v>
      </c>
      <c r="U231" s="285">
        <f t="shared" si="36"/>
        <v>1</v>
      </c>
      <c r="V231" s="285">
        <f t="shared" si="37"/>
        <v>4.5</v>
      </c>
      <c r="W231" s="285">
        <f t="shared" si="38"/>
        <v>1.5</v>
      </c>
      <c r="X231" s="289">
        <f t="shared" si="39"/>
        <v>3913.2533888732059</v>
      </c>
      <c r="Y231" s="288">
        <f t="shared" si="40"/>
        <v>1.9566266944366029E-2</v>
      </c>
      <c r="Z231" s="256">
        <f t="shared" si="41"/>
        <v>181.74993027852094</v>
      </c>
      <c r="AA231" s="289">
        <f t="shared" si="42"/>
        <v>8023.9897845214127</v>
      </c>
      <c r="AB231" s="288">
        <f t="shared" si="43"/>
        <v>4.0119948922607063E-2</v>
      </c>
    </row>
    <row r="232" spans="13:28" ht="12" hidden="1" customHeight="1">
      <c r="M232" s="266"/>
      <c r="N232" s="288">
        <f t="shared" si="44"/>
        <v>6.3799999999999706</v>
      </c>
      <c r="O232" s="285">
        <f t="shared" si="30"/>
        <v>150</v>
      </c>
      <c r="P232" s="289">
        <f t="shared" si="31"/>
        <v>4000000</v>
      </c>
      <c r="Q232" s="285">
        <f t="shared" si="32"/>
        <v>110</v>
      </c>
      <c r="R232" s="285">
        <f t="shared" si="33"/>
        <v>85</v>
      </c>
      <c r="S232" s="285">
        <f t="shared" si="34"/>
        <v>0.35</v>
      </c>
      <c r="T232" s="285">
        <f t="shared" si="35"/>
        <v>3.2</v>
      </c>
      <c r="U232" s="285">
        <f t="shared" si="36"/>
        <v>1</v>
      </c>
      <c r="V232" s="285">
        <f t="shared" si="37"/>
        <v>4.5</v>
      </c>
      <c r="W232" s="285">
        <f t="shared" si="38"/>
        <v>1.5</v>
      </c>
      <c r="X232" s="289">
        <f t="shared" si="39"/>
        <v>3950.6222859477543</v>
      </c>
      <c r="Y232" s="288">
        <f t="shared" si="40"/>
        <v>1.9753111429738773E-2</v>
      </c>
      <c r="Z232" s="256">
        <f t="shared" si="41"/>
        <v>181.74993027852094</v>
      </c>
      <c r="AA232" s="289">
        <f t="shared" si="42"/>
        <v>8100.6134065024589</v>
      </c>
      <c r="AB232" s="288">
        <f t="shared" si="43"/>
        <v>4.0503067032512295E-2</v>
      </c>
    </row>
    <row r="233" spans="13:28" ht="12" hidden="1" customHeight="1">
      <c r="M233" s="266"/>
      <c r="N233" s="288">
        <f t="shared" si="44"/>
        <v>6.3899999999999704</v>
      </c>
      <c r="O233" s="285">
        <f t="shared" si="30"/>
        <v>150</v>
      </c>
      <c r="P233" s="289">
        <f t="shared" si="31"/>
        <v>4000000</v>
      </c>
      <c r="Q233" s="285">
        <f t="shared" si="32"/>
        <v>110</v>
      </c>
      <c r="R233" s="285">
        <f t="shared" si="33"/>
        <v>85</v>
      </c>
      <c r="S233" s="285">
        <f t="shared" si="34"/>
        <v>0.35</v>
      </c>
      <c r="T233" s="285">
        <f t="shared" si="35"/>
        <v>3.2</v>
      </c>
      <c r="U233" s="285">
        <f t="shared" si="36"/>
        <v>1</v>
      </c>
      <c r="V233" s="285">
        <f t="shared" si="37"/>
        <v>4.5</v>
      </c>
      <c r="W233" s="285">
        <f t="shared" si="38"/>
        <v>1.5</v>
      </c>
      <c r="X233" s="289">
        <f t="shared" si="39"/>
        <v>3988.3011787407381</v>
      </c>
      <c r="Y233" s="288">
        <f t="shared" si="40"/>
        <v>1.9941505893703689E-2</v>
      </c>
      <c r="Z233" s="256">
        <f t="shared" si="41"/>
        <v>181.74993027852094</v>
      </c>
      <c r="AA233" s="289">
        <f t="shared" si="42"/>
        <v>8177.8726639077377</v>
      </c>
      <c r="AB233" s="288">
        <f t="shared" si="43"/>
        <v>4.0889363319538685E-2</v>
      </c>
    </row>
    <row r="234" spans="13:28" ht="12" hidden="1" customHeight="1">
      <c r="M234" s="266"/>
      <c r="N234" s="288">
        <f t="shared" si="44"/>
        <v>6.3999999999999702</v>
      </c>
      <c r="O234" s="285">
        <f t="shared" si="30"/>
        <v>150</v>
      </c>
      <c r="P234" s="289">
        <f t="shared" si="31"/>
        <v>4000000</v>
      </c>
      <c r="Q234" s="285">
        <f t="shared" si="32"/>
        <v>110</v>
      </c>
      <c r="R234" s="285">
        <f t="shared" si="33"/>
        <v>85</v>
      </c>
      <c r="S234" s="285">
        <f t="shared" si="34"/>
        <v>0.35</v>
      </c>
      <c r="T234" s="285">
        <f t="shared" si="35"/>
        <v>3.2</v>
      </c>
      <c r="U234" s="285">
        <f t="shared" si="36"/>
        <v>1</v>
      </c>
      <c r="V234" s="285">
        <f t="shared" si="37"/>
        <v>4.5</v>
      </c>
      <c r="W234" s="285">
        <f t="shared" si="38"/>
        <v>1.5</v>
      </c>
      <c r="X234" s="289">
        <f t="shared" si="39"/>
        <v>4026.2922404582409</v>
      </c>
      <c r="Y234" s="288">
        <f t="shared" si="40"/>
        <v>2.0131461202291204E-2</v>
      </c>
      <c r="Z234" s="256">
        <f t="shared" si="41"/>
        <v>181.74993027852094</v>
      </c>
      <c r="AA234" s="289">
        <f t="shared" si="42"/>
        <v>8255.7720128206238</v>
      </c>
      <c r="AB234" s="288">
        <f t="shared" si="43"/>
        <v>4.1278860064103119E-2</v>
      </c>
    </row>
    <row r="235" spans="13:28" ht="12" hidden="1" customHeight="1">
      <c r="M235" s="266"/>
      <c r="N235" s="288">
        <f t="shared" si="44"/>
        <v>6.4099999999999699</v>
      </c>
      <c r="O235" s="285">
        <f t="shared" si="30"/>
        <v>150</v>
      </c>
      <c r="P235" s="289">
        <f t="shared" si="31"/>
        <v>4000000</v>
      </c>
      <c r="Q235" s="285">
        <f t="shared" si="32"/>
        <v>110</v>
      </c>
      <c r="R235" s="285">
        <f t="shared" si="33"/>
        <v>85</v>
      </c>
      <c r="S235" s="285">
        <f t="shared" si="34"/>
        <v>0.35</v>
      </c>
      <c r="T235" s="285">
        <f t="shared" si="35"/>
        <v>3.2</v>
      </c>
      <c r="U235" s="285">
        <f t="shared" si="36"/>
        <v>1</v>
      </c>
      <c r="V235" s="285">
        <f t="shared" si="37"/>
        <v>4.5</v>
      </c>
      <c r="W235" s="285">
        <f t="shared" si="38"/>
        <v>1.5</v>
      </c>
      <c r="X235" s="289">
        <f t="shared" si="39"/>
        <v>4064.5976567172675</v>
      </c>
      <c r="Y235" s="288">
        <f t="shared" si="40"/>
        <v>2.0322988283586339E-2</v>
      </c>
      <c r="Z235" s="256">
        <f t="shared" si="41"/>
        <v>181.74993027852094</v>
      </c>
      <c r="AA235" s="289">
        <f t="shared" si="42"/>
        <v>8334.3159347726632</v>
      </c>
      <c r="AB235" s="288">
        <f t="shared" si="43"/>
        <v>4.167157967386332E-2</v>
      </c>
    </row>
    <row r="236" spans="13:28" ht="12" hidden="1" customHeight="1">
      <c r="M236" s="266"/>
      <c r="N236" s="288">
        <f t="shared" si="44"/>
        <v>6.4199999999999697</v>
      </c>
      <c r="O236" s="285">
        <f t="shared" si="30"/>
        <v>150</v>
      </c>
      <c r="P236" s="289">
        <f t="shared" si="31"/>
        <v>4000000</v>
      </c>
      <c r="Q236" s="285">
        <f t="shared" si="32"/>
        <v>110</v>
      </c>
      <c r="R236" s="285">
        <f t="shared" si="33"/>
        <v>85</v>
      </c>
      <c r="S236" s="285">
        <f t="shared" si="34"/>
        <v>0.35</v>
      </c>
      <c r="T236" s="285">
        <f t="shared" si="35"/>
        <v>3.2</v>
      </c>
      <c r="U236" s="285">
        <f t="shared" si="36"/>
        <v>1</v>
      </c>
      <c r="V236" s="285">
        <f t="shared" si="37"/>
        <v>4.5</v>
      </c>
      <c r="W236" s="285">
        <f t="shared" si="38"/>
        <v>1.5</v>
      </c>
      <c r="X236" s="289">
        <f t="shared" si="39"/>
        <v>4103.219625600379</v>
      </c>
      <c r="Y236" s="288">
        <f t="shared" si="40"/>
        <v>2.0516098128001894E-2</v>
      </c>
      <c r="Z236" s="256">
        <f t="shared" si="41"/>
        <v>181.74993027852094</v>
      </c>
      <c r="AA236" s="289">
        <f t="shared" si="42"/>
        <v>8413.5089368556401</v>
      </c>
      <c r="AB236" s="288">
        <f t="shared" si="43"/>
        <v>4.2067544684278202E-2</v>
      </c>
    </row>
    <row r="237" spans="13:28" ht="12" hidden="1" customHeight="1">
      <c r="M237" s="266"/>
      <c r="N237" s="288">
        <f t="shared" si="44"/>
        <v>6.4299999999999695</v>
      </c>
      <c r="O237" s="285">
        <f t="shared" si="30"/>
        <v>150</v>
      </c>
      <c r="P237" s="289">
        <f t="shared" si="31"/>
        <v>4000000</v>
      </c>
      <c r="Q237" s="285">
        <f t="shared" si="32"/>
        <v>110</v>
      </c>
      <c r="R237" s="285">
        <f t="shared" si="33"/>
        <v>85</v>
      </c>
      <c r="S237" s="285">
        <f t="shared" si="34"/>
        <v>0.35</v>
      </c>
      <c r="T237" s="285">
        <f t="shared" si="35"/>
        <v>3.2</v>
      </c>
      <c r="U237" s="285">
        <f t="shared" si="36"/>
        <v>1</v>
      </c>
      <c r="V237" s="285">
        <f t="shared" si="37"/>
        <v>4.5</v>
      </c>
      <c r="W237" s="285">
        <f t="shared" si="38"/>
        <v>1.5</v>
      </c>
      <c r="X237" s="289">
        <f t="shared" si="39"/>
        <v>4142.1603577104779</v>
      </c>
      <c r="Y237" s="288">
        <f t="shared" si="40"/>
        <v>2.0710801788552391E-2</v>
      </c>
      <c r="Z237" s="256">
        <f t="shared" si="41"/>
        <v>181.74993027852094</v>
      </c>
      <c r="AA237" s="289">
        <f t="shared" si="42"/>
        <v>8493.3555518337544</v>
      </c>
      <c r="AB237" s="288">
        <f t="shared" si="43"/>
        <v>4.2466777759168774E-2</v>
      </c>
    </row>
    <row r="238" spans="13:28" ht="12" hidden="1" customHeight="1">
      <c r="M238" s="266"/>
      <c r="N238" s="288">
        <f t="shared" si="44"/>
        <v>6.4399999999999693</v>
      </c>
      <c r="O238" s="285">
        <f t="shared" si="30"/>
        <v>150</v>
      </c>
      <c r="P238" s="289">
        <f t="shared" si="31"/>
        <v>4000000</v>
      </c>
      <c r="Q238" s="285">
        <f t="shared" si="32"/>
        <v>110</v>
      </c>
      <c r="R238" s="285">
        <f t="shared" si="33"/>
        <v>85</v>
      </c>
      <c r="S238" s="285">
        <f t="shared" si="34"/>
        <v>0.35</v>
      </c>
      <c r="T238" s="285">
        <f t="shared" si="35"/>
        <v>3.2</v>
      </c>
      <c r="U238" s="285">
        <f t="shared" si="36"/>
        <v>1</v>
      </c>
      <c r="V238" s="285">
        <f t="shared" si="37"/>
        <v>4.5</v>
      </c>
      <c r="W238" s="285">
        <f t="shared" si="38"/>
        <v>1.5</v>
      </c>
      <c r="X238" s="289">
        <f t="shared" si="39"/>
        <v>4181.4220762257837</v>
      </c>
      <c r="Y238" s="288">
        <f t="shared" si="40"/>
        <v>2.090711038112892E-2</v>
      </c>
      <c r="Z238" s="256">
        <f t="shared" si="41"/>
        <v>181.74993027852094</v>
      </c>
      <c r="AA238" s="289">
        <f t="shared" si="42"/>
        <v>8573.8603382565634</v>
      </c>
      <c r="AB238" s="288">
        <f t="shared" si="43"/>
        <v>4.2869301691282814E-2</v>
      </c>
    </row>
    <row r="239" spans="13:28" ht="12" hidden="1" customHeight="1">
      <c r="M239" s="266"/>
      <c r="N239" s="288">
        <f t="shared" si="44"/>
        <v>6.4499999999999691</v>
      </c>
      <c r="O239" s="285">
        <f t="shared" si="30"/>
        <v>150</v>
      </c>
      <c r="P239" s="289">
        <f t="shared" si="31"/>
        <v>4000000</v>
      </c>
      <c r="Q239" s="285">
        <f t="shared" si="32"/>
        <v>110</v>
      </c>
      <c r="R239" s="285">
        <f t="shared" si="33"/>
        <v>85</v>
      </c>
      <c r="S239" s="285">
        <f t="shared" si="34"/>
        <v>0.35</v>
      </c>
      <c r="T239" s="285">
        <f t="shared" si="35"/>
        <v>3.2</v>
      </c>
      <c r="U239" s="285">
        <f t="shared" si="36"/>
        <v>1</v>
      </c>
      <c r="V239" s="285">
        <f t="shared" si="37"/>
        <v>4.5</v>
      </c>
      <c r="W239" s="285">
        <f t="shared" si="38"/>
        <v>1.5</v>
      </c>
      <c r="X239" s="289">
        <f t="shared" si="39"/>
        <v>4221.0070169548972</v>
      </c>
      <c r="Y239" s="288">
        <f t="shared" si="40"/>
        <v>2.1105035084774487E-2</v>
      </c>
      <c r="Z239" s="256">
        <f t="shared" si="41"/>
        <v>181.74993027852094</v>
      </c>
      <c r="AA239" s="289">
        <f t="shared" si="42"/>
        <v>8655.0278805717189</v>
      </c>
      <c r="AB239" s="288">
        <f t="shared" si="43"/>
        <v>4.3275139402858598E-2</v>
      </c>
    </row>
    <row r="240" spans="13:28" ht="12" hidden="1" customHeight="1">
      <c r="M240" s="266"/>
      <c r="N240" s="288">
        <f t="shared" si="44"/>
        <v>6.4599999999999689</v>
      </c>
      <c r="O240" s="285">
        <f t="shared" si="30"/>
        <v>150</v>
      </c>
      <c r="P240" s="289">
        <f t="shared" si="31"/>
        <v>4000000</v>
      </c>
      <c r="Q240" s="285">
        <f t="shared" si="32"/>
        <v>110</v>
      </c>
      <c r="R240" s="285">
        <f t="shared" si="33"/>
        <v>85</v>
      </c>
      <c r="S240" s="285">
        <f t="shared" si="34"/>
        <v>0.35</v>
      </c>
      <c r="T240" s="285">
        <f t="shared" si="35"/>
        <v>3.2</v>
      </c>
      <c r="U240" s="285">
        <f t="shared" si="36"/>
        <v>1</v>
      </c>
      <c r="V240" s="285">
        <f t="shared" si="37"/>
        <v>4.5</v>
      </c>
      <c r="W240" s="285">
        <f t="shared" si="38"/>
        <v>1.5</v>
      </c>
      <c r="X240" s="289">
        <f t="shared" si="39"/>
        <v>4260.9174283921866</v>
      </c>
      <c r="Y240" s="288">
        <f t="shared" si="40"/>
        <v>2.1304587141960932E-2</v>
      </c>
      <c r="Z240" s="256">
        <f t="shared" si="41"/>
        <v>181.74993027852094</v>
      </c>
      <c r="AA240" s="289">
        <f t="shared" si="42"/>
        <v>8736.8627892386139</v>
      </c>
      <c r="AB240" s="288">
        <f t="shared" si="43"/>
        <v>4.3684313946193071E-2</v>
      </c>
    </row>
    <row r="241" spans="13:28" ht="12" hidden="1" customHeight="1">
      <c r="M241" s="266"/>
      <c r="N241" s="288">
        <f t="shared" si="44"/>
        <v>6.4699999999999687</v>
      </c>
      <c r="O241" s="285">
        <f t="shared" si="30"/>
        <v>150</v>
      </c>
      <c r="P241" s="289">
        <f t="shared" si="31"/>
        <v>4000000</v>
      </c>
      <c r="Q241" s="285">
        <f t="shared" si="32"/>
        <v>110</v>
      </c>
      <c r="R241" s="285">
        <f t="shared" si="33"/>
        <v>85</v>
      </c>
      <c r="S241" s="285">
        <f t="shared" si="34"/>
        <v>0.35</v>
      </c>
      <c r="T241" s="285">
        <f t="shared" si="35"/>
        <v>3.2</v>
      </c>
      <c r="U241" s="285">
        <f t="shared" si="36"/>
        <v>1</v>
      </c>
      <c r="V241" s="285">
        <f t="shared" si="37"/>
        <v>4.5</v>
      </c>
      <c r="W241" s="285">
        <f t="shared" si="38"/>
        <v>1.5</v>
      </c>
      <c r="X241" s="289">
        <f t="shared" si="39"/>
        <v>4301.1555717731835</v>
      </c>
      <c r="Y241" s="288">
        <f t="shared" si="40"/>
        <v>2.1505777858865916E-2</v>
      </c>
      <c r="Z241" s="256">
        <f t="shared" si="41"/>
        <v>181.74993027852094</v>
      </c>
      <c r="AA241" s="289">
        <f t="shared" si="42"/>
        <v>8819.3697008419531</v>
      </c>
      <c r="AB241" s="288">
        <f t="shared" si="43"/>
        <v>4.4096848504209765E-2</v>
      </c>
    </row>
    <row r="242" spans="13:28" ht="12" hidden="1" customHeight="1">
      <c r="M242" s="266"/>
      <c r="N242" s="288">
        <f t="shared" si="44"/>
        <v>6.4799999999999685</v>
      </c>
      <c r="O242" s="285">
        <f t="shared" si="30"/>
        <v>150</v>
      </c>
      <c r="P242" s="289">
        <f t="shared" si="31"/>
        <v>4000000</v>
      </c>
      <c r="Q242" s="285">
        <f t="shared" si="32"/>
        <v>110</v>
      </c>
      <c r="R242" s="285">
        <f t="shared" si="33"/>
        <v>85</v>
      </c>
      <c r="S242" s="285">
        <f t="shared" si="34"/>
        <v>0.35</v>
      </c>
      <c r="T242" s="285">
        <f t="shared" si="35"/>
        <v>3.2</v>
      </c>
      <c r="U242" s="285">
        <f t="shared" si="36"/>
        <v>1</v>
      </c>
      <c r="V242" s="285">
        <f t="shared" si="37"/>
        <v>4.5</v>
      </c>
      <c r="W242" s="285">
        <f t="shared" si="38"/>
        <v>1.5</v>
      </c>
      <c r="X242" s="289">
        <f t="shared" si="39"/>
        <v>4341.7237211302372</v>
      </c>
      <c r="Y242" s="288">
        <f t="shared" si="40"/>
        <v>2.1708618605651184E-2</v>
      </c>
      <c r="Z242" s="256">
        <f t="shared" si="41"/>
        <v>181.74993027852094</v>
      </c>
      <c r="AA242" s="289">
        <f t="shared" si="42"/>
        <v>8902.553278205869</v>
      </c>
      <c r="AB242" s="288">
        <f t="shared" si="43"/>
        <v>4.4512766391029343E-2</v>
      </c>
    </row>
    <row r="243" spans="13:28" ht="12" hidden="1" customHeight="1">
      <c r="M243" s="266"/>
      <c r="N243" s="288">
        <f t="shared" si="44"/>
        <v>6.4899999999999682</v>
      </c>
      <c r="O243" s="285">
        <f t="shared" si="30"/>
        <v>150</v>
      </c>
      <c r="P243" s="289">
        <f t="shared" si="31"/>
        <v>4000000</v>
      </c>
      <c r="Q243" s="285">
        <f t="shared" si="32"/>
        <v>110</v>
      </c>
      <c r="R243" s="285">
        <f t="shared" si="33"/>
        <v>85</v>
      </c>
      <c r="S243" s="285">
        <f t="shared" si="34"/>
        <v>0.35</v>
      </c>
      <c r="T243" s="285">
        <f t="shared" si="35"/>
        <v>3.2</v>
      </c>
      <c r="U243" s="285">
        <f t="shared" si="36"/>
        <v>1</v>
      </c>
      <c r="V243" s="285">
        <f t="shared" si="37"/>
        <v>4.5</v>
      </c>
      <c r="W243" s="285">
        <f t="shared" si="38"/>
        <v>1.5</v>
      </c>
      <c r="X243" s="289">
        <f t="shared" si="39"/>
        <v>4382.6241633483432</v>
      </c>
      <c r="Y243" s="288">
        <f t="shared" si="40"/>
        <v>2.1913120816741717E-2</v>
      </c>
      <c r="Z243" s="256">
        <f t="shared" si="41"/>
        <v>181.74993027852094</v>
      </c>
      <c r="AA243" s="289">
        <f t="shared" si="42"/>
        <v>8986.4182105083964</v>
      </c>
      <c r="AB243" s="288">
        <f t="shared" si="43"/>
        <v>4.4932091052541985E-2</v>
      </c>
    </row>
    <row r="244" spans="13:28" ht="12" hidden="1" customHeight="1">
      <c r="M244" s="266"/>
      <c r="N244" s="288">
        <f t="shared" si="44"/>
        <v>6.499999999999968</v>
      </c>
      <c r="O244" s="285">
        <f t="shared" si="30"/>
        <v>150</v>
      </c>
      <c r="P244" s="289">
        <f t="shared" si="31"/>
        <v>4000000</v>
      </c>
      <c r="Q244" s="285">
        <f t="shared" si="32"/>
        <v>110</v>
      </c>
      <c r="R244" s="285">
        <f t="shared" si="33"/>
        <v>85</v>
      </c>
      <c r="S244" s="285">
        <f t="shared" si="34"/>
        <v>0.35</v>
      </c>
      <c r="T244" s="285">
        <f t="shared" si="35"/>
        <v>3.2</v>
      </c>
      <c r="U244" s="285">
        <f t="shared" si="36"/>
        <v>1</v>
      </c>
      <c r="V244" s="285">
        <f t="shared" si="37"/>
        <v>4.5</v>
      </c>
      <c r="W244" s="285">
        <f t="shared" si="38"/>
        <v>1.5</v>
      </c>
      <c r="X244" s="289">
        <f t="shared" si="39"/>
        <v>4423.8591982210992</v>
      </c>
      <c r="Y244" s="288">
        <f t="shared" si="40"/>
        <v>2.2119295991105497E-2</v>
      </c>
      <c r="Z244" s="256">
        <f t="shared" si="41"/>
        <v>181.74993027852094</v>
      </c>
      <c r="AA244" s="289">
        <f t="shared" si="42"/>
        <v>9070.9692133962144</v>
      </c>
      <c r="AB244" s="288">
        <f t="shared" si="43"/>
        <v>4.5354846066981071E-2</v>
      </c>
    </row>
    <row r="245" spans="13:28" ht="12" hidden="1" customHeight="1">
      <c r="M245" s="266"/>
      <c r="N245" s="288">
        <f t="shared" si="44"/>
        <v>6.5099999999999678</v>
      </c>
      <c r="O245" s="285">
        <f t="shared" si="30"/>
        <v>150</v>
      </c>
      <c r="P245" s="289">
        <f t="shared" si="31"/>
        <v>4000000</v>
      </c>
      <c r="Q245" s="285">
        <f t="shared" si="32"/>
        <v>110</v>
      </c>
      <c r="R245" s="285">
        <f t="shared" si="33"/>
        <v>85</v>
      </c>
      <c r="S245" s="285">
        <f t="shared" si="34"/>
        <v>0.35</v>
      </c>
      <c r="T245" s="285">
        <f t="shared" si="35"/>
        <v>3.2</v>
      </c>
      <c r="U245" s="285">
        <f t="shared" si="36"/>
        <v>1</v>
      </c>
      <c r="V245" s="285">
        <f t="shared" si="37"/>
        <v>4.5</v>
      </c>
      <c r="W245" s="285">
        <f t="shared" si="38"/>
        <v>1.5</v>
      </c>
      <c r="X245" s="289">
        <f t="shared" si="39"/>
        <v>4465.4311385068568</v>
      </c>
      <c r="Y245" s="288">
        <f t="shared" si="40"/>
        <v>2.2327155692534285E-2</v>
      </c>
      <c r="Z245" s="256">
        <f t="shared" si="41"/>
        <v>181.74993027852094</v>
      </c>
      <c r="AA245" s="289">
        <f t="shared" si="42"/>
        <v>9156.211029099788</v>
      </c>
      <c r="AB245" s="288">
        <f t="shared" si="43"/>
        <v>4.578105514549894E-2</v>
      </c>
    </row>
    <row r="246" spans="13:28" ht="12" hidden="1" customHeight="1">
      <c r="M246" s="266"/>
      <c r="N246" s="288">
        <f t="shared" si="44"/>
        <v>6.5199999999999676</v>
      </c>
      <c r="O246" s="285">
        <f t="shared" si="30"/>
        <v>150</v>
      </c>
      <c r="P246" s="289">
        <f t="shared" si="31"/>
        <v>4000000</v>
      </c>
      <c r="Q246" s="285">
        <f t="shared" si="32"/>
        <v>110</v>
      </c>
      <c r="R246" s="285">
        <f t="shared" si="33"/>
        <v>85</v>
      </c>
      <c r="S246" s="285">
        <f t="shared" si="34"/>
        <v>0.35</v>
      </c>
      <c r="T246" s="285">
        <f t="shared" si="35"/>
        <v>3.2</v>
      </c>
      <c r="U246" s="285">
        <f t="shared" si="36"/>
        <v>1</v>
      </c>
      <c r="V246" s="285">
        <f t="shared" si="37"/>
        <v>4.5</v>
      </c>
      <c r="W246" s="285">
        <f t="shared" si="38"/>
        <v>1.5</v>
      </c>
      <c r="X246" s="289">
        <f t="shared" si="39"/>
        <v>4507.3423099850343</v>
      </c>
      <c r="Y246" s="288">
        <f t="shared" si="40"/>
        <v>2.2536711549925172E-2</v>
      </c>
      <c r="Z246" s="256">
        <f t="shared" si="41"/>
        <v>181.74993027852094</v>
      </c>
      <c r="AA246" s="289">
        <f t="shared" si="42"/>
        <v>9242.148426548767</v>
      </c>
      <c r="AB246" s="288">
        <f t="shared" si="43"/>
        <v>4.6210742132743836E-2</v>
      </c>
    </row>
    <row r="247" spans="13:28" ht="12" hidden="1" customHeight="1">
      <c r="M247" s="266"/>
      <c r="N247" s="288">
        <f t="shared" si="44"/>
        <v>6.5299999999999674</v>
      </c>
      <c r="O247" s="285">
        <f t="shared" si="30"/>
        <v>150</v>
      </c>
      <c r="P247" s="289">
        <f t="shared" si="31"/>
        <v>4000000</v>
      </c>
      <c r="Q247" s="285">
        <f t="shared" si="32"/>
        <v>110</v>
      </c>
      <c r="R247" s="285">
        <f t="shared" si="33"/>
        <v>85</v>
      </c>
      <c r="S247" s="285">
        <f t="shared" si="34"/>
        <v>0.35</v>
      </c>
      <c r="T247" s="285">
        <f t="shared" si="35"/>
        <v>3.2</v>
      </c>
      <c r="U247" s="285">
        <f t="shared" si="36"/>
        <v>1</v>
      </c>
      <c r="V247" s="285">
        <f t="shared" si="37"/>
        <v>4.5</v>
      </c>
      <c r="W247" s="285">
        <f t="shared" si="38"/>
        <v>1.5</v>
      </c>
      <c r="X247" s="289">
        <f t="shared" si="39"/>
        <v>4549.5950515126297</v>
      </c>
      <c r="Y247" s="288">
        <f t="shared" si="40"/>
        <v>2.2747975257563148E-2</v>
      </c>
      <c r="Z247" s="256">
        <f t="shared" si="41"/>
        <v>181.74993027852094</v>
      </c>
      <c r="AA247" s="289">
        <f t="shared" si="42"/>
        <v>9328.7862014880138</v>
      </c>
      <c r="AB247" s="288">
        <f t="shared" si="43"/>
        <v>4.6643931007440069E-2</v>
      </c>
    </row>
    <row r="248" spans="13:28" ht="12" hidden="1" customHeight="1">
      <c r="M248" s="266"/>
      <c r="N248" s="288">
        <f t="shared" si="44"/>
        <v>6.5399999999999672</v>
      </c>
      <c r="O248" s="285">
        <f t="shared" si="30"/>
        <v>150</v>
      </c>
      <c r="P248" s="289">
        <f t="shared" si="31"/>
        <v>4000000</v>
      </c>
      <c r="Q248" s="285">
        <f t="shared" si="32"/>
        <v>110</v>
      </c>
      <c r="R248" s="285">
        <f t="shared" si="33"/>
        <v>85</v>
      </c>
      <c r="S248" s="285">
        <f t="shared" si="34"/>
        <v>0.35</v>
      </c>
      <c r="T248" s="285">
        <f t="shared" si="35"/>
        <v>3.2</v>
      </c>
      <c r="U248" s="285">
        <f t="shared" si="36"/>
        <v>1</v>
      </c>
      <c r="V248" s="285">
        <f t="shared" si="37"/>
        <v>4.5</v>
      </c>
      <c r="W248" s="285">
        <f t="shared" si="38"/>
        <v>1.5</v>
      </c>
      <c r="X248" s="289">
        <f t="shared" si="39"/>
        <v>4592.1917150808631</v>
      </c>
      <c r="Y248" s="288">
        <f t="shared" si="40"/>
        <v>2.2960958575404315E-2</v>
      </c>
      <c r="Z248" s="256">
        <f t="shared" si="41"/>
        <v>181.74993027852094</v>
      </c>
      <c r="AA248" s="289">
        <f t="shared" si="42"/>
        <v>9416.1291765936166</v>
      </c>
      <c r="AB248" s="288">
        <f t="shared" si="43"/>
        <v>4.7080645882968085E-2</v>
      </c>
    </row>
    <row r="249" spans="13:28" ht="12" hidden="1" customHeight="1">
      <c r="M249" s="266"/>
      <c r="N249" s="288">
        <f t="shared" si="44"/>
        <v>6.549999999999967</v>
      </c>
      <c r="O249" s="285">
        <f t="shared" si="30"/>
        <v>150</v>
      </c>
      <c r="P249" s="289">
        <f t="shared" si="31"/>
        <v>4000000</v>
      </c>
      <c r="Q249" s="285">
        <f t="shared" si="32"/>
        <v>110</v>
      </c>
      <c r="R249" s="285">
        <f t="shared" si="33"/>
        <v>85</v>
      </c>
      <c r="S249" s="285">
        <f t="shared" si="34"/>
        <v>0.35</v>
      </c>
      <c r="T249" s="285">
        <f t="shared" si="35"/>
        <v>3.2</v>
      </c>
      <c r="U249" s="285">
        <f t="shared" si="36"/>
        <v>1</v>
      </c>
      <c r="V249" s="285">
        <f t="shared" si="37"/>
        <v>4.5</v>
      </c>
      <c r="W249" s="285">
        <f t="shared" si="38"/>
        <v>1.5</v>
      </c>
      <c r="X249" s="289">
        <f t="shared" si="39"/>
        <v>4635.1346658720249</v>
      </c>
      <c r="Y249" s="288">
        <f t="shared" si="40"/>
        <v>2.3175673329360123E-2</v>
      </c>
      <c r="Z249" s="256">
        <f t="shared" si="41"/>
        <v>181.74993027852094</v>
      </c>
      <c r="AA249" s="289">
        <f t="shared" si="42"/>
        <v>9504.1822015894522</v>
      </c>
      <c r="AB249" s="288">
        <f t="shared" si="43"/>
        <v>4.752091100794726E-2</v>
      </c>
    </row>
    <row r="250" spans="13:28" ht="12" hidden="1" customHeight="1">
      <c r="M250" s="266"/>
      <c r="N250" s="288">
        <f t="shared" si="44"/>
        <v>6.5599999999999667</v>
      </c>
      <c r="O250" s="285">
        <f t="shared" si="30"/>
        <v>150</v>
      </c>
      <c r="P250" s="289">
        <f t="shared" si="31"/>
        <v>4000000</v>
      </c>
      <c r="Q250" s="285">
        <f t="shared" si="32"/>
        <v>110</v>
      </c>
      <c r="R250" s="285">
        <f t="shared" si="33"/>
        <v>85</v>
      </c>
      <c r="S250" s="285">
        <f t="shared" si="34"/>
        <v>0.35</v>
      </c>
      <c r="T250" s="285">
        <f t="shared" si="35"/>
        <v>3.2</v>
      </c>
      <c r="U250" s="285">
        <f t="shared" si="36"/>
        <v>1</v>
      </c>
      <c r="V250" s="285">
        <f t="shared" si="37"/>
        <v>4.5</v>
      </c>
      <c r="W250" s="285">
        <f t="shared" si="38"/>
        <v>1.5</v>
      </c>
      <c r="X250" s="289">
        <f t="shared" si="39"/>
        <v>4678.4262823164827</v>
      </c>
      <c r="Y250" s="288">
        <f t="shared" si="40"/>
        <v>2.3392131411582414E-2</v>
      </c>
      <c r="Z250" s="256">
        <f t="shared" si="41"/>
        <v>181.74993027852094</v>
      </c>
      <c r="AA250" s="289">
        <f t="shared" si="42"/>
        <v>9592.9501533641378</v>
      </c>
      <c r="AB250" s="288">
        <f t="shared" si="43"/>
        <v>4.7964750766820691E-2</v>
      </c>
    </row>
    <row r="251" spans="13:28" ht="12" hidden="1" customHeight="1">
      <c r="M251" s="266"/>
      <c r="N251" s="288">
        <f t="shared" si="44"/>
        <v>6.5699999999999665</v>
      </c>
      <c r="O251" s="285">
        <f t="shared" si="30"/>
        <v>150</v>
      </c>
      <c r="P251" s="289">
        <f t="shared" si="31"/>
        <v>4000000</v>
      </c>
      <c r="Q251" s="285">
        <f t="shared" si="32"/>
        <v>110</v>
      </c>
      <c r="R251" s="285">
        <f t="shared" si="33"/>
        <v>85</v>
      </c>
      <c r="S251" s="285">
        <f t="shared" si="34"/>
        <v>0.35</v>
      </c>
      <c r="T251" s="285">
        <f t="shared" si="35"/>
        <v>3.2</v>
      </c>
      <c r="U251" s="285">
        <f t="shared" si="36"/>
        <v>1</v>
      </c>
      <c r="V251" s="285">
        <f t="shared" si="37"/>
        <v>4.5</v>
      </c>
      <c r="W251" s="285">
        <f t="shared" si="38"/>
        <v>1.5</v>
      </c>
      <c r="X251" s="289">
        <f t="shared" si="39"/>
        <v>4722.0689561498421</v>
      </c>
      <c r="Y251" s="288">
        <f t="shared" si="40"/>
        <v>2.361034478074921E-2</v>
      </c>
      <c r="Z251" s="256">
        <f t="shared" si="41"/>
        <v>181.74993027852094</v>
      </c>
      <c r="AA251" s="289">
        <f t="shared" si="42"/>
        <v>9682.4379360883158</v>
      </c>
      <c r="AB251" s="288">
        <f t="shared" si="43"/>
        <v>4.8412189680441579E-2</v>
      </c>
    </row>
    <row r="252" spans="13:28" ht="12" hidden="1" customHeight="1">
      <c r="M252" s="266"/>
      <c r="N252" s="288">
        <f t="shared" si="44"/>
        <v>6.5799999999999663</v>
      </c>
      <c r="O252" s="285">
        <f t="shared" si="30"/>
        <v>150</v>
      </c>
      <c r="P252" s="289">
        <f t="shared" si="31"/>
        <v>4000000</v>
      </c>
      <c r="Q252" s="285">
        <f t="shared" si="32"/>
        <v>110</v>
      </c>
      <c r="R252" s="285">
        <f t="shared" si="33"/>
        <v>85</v>
      </c>
      <c r="S252" s="285">
        <f t="shared" si="34"/>
        <v>0.35</v>
      </c>
      <c r="T252" s="285">
        <f t="shared" si="35"/>
        <v>3.2</v>
      </c>
      <c r="U252" s="285">
        <f t="shared" si="36"/>
        <v>1</v>
      </c>
      <c r="V252" s="285">
        <f t="shared" si="37"/>
        <v>4.5</v>
      </c>
      <c r="W252" s="285">
        <f t="shared" si="38"/>
        <v>1.5</v>
      </c>
      <c r="X252" s="289">
        <f t="shared" si="39"/>
        <v>4766.0650924703159</v>
      </c>
      <c r="Y252" s="288">
        <f t="shared" si="40"/>
        <v>2.383032546235158E-2</v>
      </c>
      <c r="Z252" s="256">
        <f t="shared" si="41"/>
        <v>181.74993027852094</v>
      </c>
      <c r="AA252" s="289">
        <f t="shared" si="42"/>
        <v>9772.6504813320607</v>
      </c>
      <c r="AB252" s="288">
        <f t="shared" si="43"/>
        <v>4.8863252406660306E-2</v>
      </c>
    </row>
    <row r="253" spans="13:28" ht="12" hidden="1" customHeight="1">
      <c r="M253" s="266"/>
      <c r="N253" s="288">
        <f t="shared" si="44"/>
        <v>6.5899999999999661</v>
      </c>
      <c r="O253" s="285">
        <f t="shared" si="30"/>
        <v>150</v>
      </c>
      <c r="P253" s="289">
        <f t="shared" si="31"/>
        <v>4000000</v>
      </c>
      <c r="Q253" s="285">
        <f t="shared" si="32"/>
        <v>110</v>
      </c>
      <c r="R253" s="285">
        <f t="shared" si="33"/>
        <v>85</v>
      </c>
      <c r="S253" s="285">
        <f t="shared" si="34"/>
        <v>0.35</v>
      </c>
      <c r="T253" s="285">
        <f t="shared" si="35"/>
        <v>3.2</v>
      </c>
      <c r="U253" s="285">
        <f t="shared" si="36"/>
        <v>1</v>
      </c>
      <c r="V253" s="285">
        <f t="shared" si="37"/>
        <v>4.5</v>
      </c>
      <c r="W253" s="285">
        <f t="shared" si="38"/>
        <v>1.5</v>
      </c>
      <c r="X253" s="289">
        <f t="shared" si="39"/>
        <v>4810.4171097962662</v>
      </c>
      <c r="Y253" s="288">
        <f t="shared" si="40"/>
        <v>2.405208554898133E-2</v>
      </c>
      <c r="Z253" s="256">
        <f t="shared" si="41"/>
        <v>181.74993027852094</v>
      </c>
      <c r="AA253" s="289">
        <f t="shared" si="42"/>
        <v>9863.5927481830076</v>
      </c>
      <c r="AB253" s="288">
        <f t="shared" si="43"/>
        <v>4.9317963740915037E-2</v>
      </c>
    </row>
    <row r="254" spans="13:28" ht="12" hidden="1" customHeight="1">
      <c r="M254" s="266"/>
      <c r="N254" s="288">
        <f t="shared" si="44"/>
        <v>6.5999999999999659</v>
      </c>
      <c r="O254" s="285">
        <f t="shared" si="30"/>
        <v>150</v>
      </c>
      <c r="P254" s="289">
        <f t="shared" si="31"/>
        <v>4000000</v>
      </c>
      <c r="Q254" s="285">
        <f t="shared" si="32"/>
        <v>110</v>
      </c>
      <c r="R254" s="285">
        <f t="shared" si="33"/>
        <v>85</v>
      </c>
      <c r="S254" s="285">
        <f t="shared" si="34"/>
        <v>0.35</v>
      </c>
      <c r="T254" s="285">
        <f t="shared" si="35"/>
        <v>3.2</v>
      </c>
      <c r="U254" s="285">
        <f t="shared" si="36"/>
        <v>1</v>
      </c>
      <c r="V254" s="285">
        <f t="shared" si="37"/>
        <v>4.5</v>
      </c>
      <c r="W254" s="285">
        <f t="shared" si="38"/>
        <v>1.5</v>
      </c>
      <c r="X254" s="289">
        <f t="shared" si="39"/>
        <v>4855.1274401238879</v>
      </c>
      <c r="Y254" s="288">
        <f t="shared" si="40"/>
        <v>2.427563720061944E-2</v>
      </c>
      <c r="Z254" s="256">
        <f t="shared" si="41"/>
        <v>181.74993027852094</v>
      </c>
      <c r="AA254" s="289">
        <f t="shared" si="42"/>
        <v>9955.2697233647214</v>
      </c>
      <c r="AB254" s="288">
        <f t="shared" si="43"/>
        <v>4.9776348616823604E-2</v>
      </c>
    </row>
    <row r="255" spans="13:28" ht="12" hidden="1" customHeight="1">
      <c r="M255" s="266"/>
      <c r="N255" s="288">
        <f t="shared" si="44"/>
        <v>6.6099999999999657</v>
      </c>
      <c r="O255" s="285">
        <f t="shared" si="30"/>
        <v>150</v>
      </c>
      <c r="P255" s="289">
        <f t="shared" si="31"/>
        <v>4000000</v>
      </c>
      <c r="Q255" s="285">
        <f t="shared" si="32"/>
        <v>110</v>
      </c>
      <c r="R255" s="285">
        <f t="shared" si="33"/>
        <v>85</v>
      </c>
      <c r="S255" s="285">
        <f t="shared" si="34"/>
        <v>0.35</v>
      </c>
      <c r="T255" s="285">
        <f t="shared" si="35"/>
        <v>3.2</v>
      </c>
      <c r="U255" s="285">
        <f t="shared" si="36"/>
        <v>1</v>
      </c>
      <c r="V255" s="285">
        <f t="shared" si="37"/>
        <v>4.5</v>
      </c>
      <c r="W255" s="285">
        <f t="shared" si="38"/>
        <v>1.5</v>
      </c>
      <c r="X255" s="289">
        <f t="shared" si="39"/>
        <v>4900.1985289851018</v>
      </c>
      <c r="Y255" s="288">
        <f t="shared" si="40"/>
        <v>2.4500992644925508E-2</v>
      </c>
      <c r="Z255" s="256">
        <f t="shared" si="41"/>
        <v>181.74993027852094</v>
      </c>
      <c r="AA255" s="289">
        <f t="shared" si="42"/>
        <v>10047.686421355162</v>
      </c>
      <c r="AB255" s="288">
        <f t="shared" si="43"/>
        <v>5.023843210677581E-2</v>
      </c>
    </row>
    <row r="256" spans="13:28" ht="12" hidden="1" customHeight="1">
      <c r="M256" s="266"/>
      <c r="N256" s="288">
        <f t="shared" si="44"/>
        <v>6.6199999999999655</v>
      </c>
      <c r="O256" s="285">
        <f t="shared" si="30"/>
        <v>150</v>
      </c>
      <c r="P256" s="289">
        <f t="shared" si="31"/>
        <v>4000000</v>
      </c>
      <c r="Q256" s="285">
        <f t="shared" si="32"/>
        <v>110</v>
      </c>
      <c r="R256" s="285">
        <f t="shared" si="33"/>
        <v>85</v>
      </c>
      <c r="S256" s="285">
        <f t="shared" si="34"/>
        <v>0.35</v>
      </c>
      <c r="T256" s="285">
        <f t="shared" si="35"/>
        <v>3.2</v>
      </c>
      <c r="U256" s="285">
        <f t="shared" si="36"/>
        <v>1</v>
      </c>
      <c r="V256" s="285">
        <f t="shared" si="37"/>
        <v>4.5</v>
      </c>
      <c r="W256" s="285">
        <f t="shared" si="38"/>
        <v>1.5</v>
      </c>
      <c r="X256" s="289">
        <f t="shared" si="39"/>
        <v>4945.632835505543</v>
      </c>
      <c r="Y256" s="288">
        <f t="shared" si="40"/>
        <v>2.4728164177527715E-2</v>
      </c>
      <c r="Z256" s="256">
        <f t="shared" si="41"/>
        <v>181.74993027852094</v>
      </c>
      <c r="AA256" s="289">
        <f t="shared" si="42"/>
        <v>10140.847884505873</v>
      </c>
      <c r="AB256" s="288">
        <f t="shared" si="43"/>
        <v>5.0704239422529364E-2</v>
      </c>
    </row>
    <row r="257" spans="13:28" ht="12" hidden="1" customHeight="1">
      <c r="M257" s="266"/>
      <c r="N257" s="288">
        <f t="shared" si="44"/>
        <v>6.6299999999999653</v>
      </c>
      <c r="O257" s="285">
        <f t="shared" si="30"/>
        <v>150</v>
      </c>
      <c r="P257" s="289">
        <f t="shared" si="31"/>
        <v>4000000</v>
      </c>
      <c r="Q257" s="285">
        <f t="shared" si="32"/>
        <v>110</v>
      </c>
      <c r="R257" s="285">
        <f t="shared" si="33"/>
        <v>85</v>
      </c>
      <c r="S257" s="285">
        <f t="shared" si="34"/>
        <v>0.35</v>
      </c>
      <c r="T257" s="285">
        <f t="shared" si="35"/>
        <v>3.2</v>
      </c>
      <c r="U257" s="285">
        <f t="shared" si="36"/>
        <v>1</v>
      </c>
      <c r="V257" s="285">
        <f t="shared" si="37"/>
        <v>4.5</v>
      </c>
      <c r="W257" s="285">
        <f t="shared" si="38"/>
        <v>1.5</v>
      </c>
      <c r="X257" s="289">
        <f t="shared" si="39"/>
        <v>4991.4328324628559</v>
      </c>
      <c r="Y257" s="288">
        <f t="shared" si="40"/>
        <v>2.4957164162314281E-2</v>
      </c>
      <c r="Z257" s="256">
        <f t="shared" si="41"/>
        <v>181.74993027852094</v>
      </c>
      <c r="AA257" s="289">
        <f t="shared" si="42"/>
        <v>10234.759183161221</v>
      </c>
      <c r="AB257" s="288">
        <f t="shared" si="43"/>
        <v>5.1173795915806106E-2</v>
      </c>
    </row>
    <row r="258" spans="13:28" ht="12" hidden="1" customHeight="1">
      <c r="M258" s="266"/>
      <c r="N258" s="288">
        <f t="shared" si="44"/>
        <v>6.639999999999965</v>
      </c>
      <c r="O258" s="285">
        <f t="shared" si="30"/>
        <v>150</v>
      </c>
      <c r="P258" s="289">
        <f t="shared" si="31"/>
        <v>4000000</v>
      </c>
      <c r="Q258" s="285">
        <f t="shared" si="32"/>
        <v>110</v>
      </c>
      <c r="R258" s="285">
        <f t="shared" si="33"/>
        <v>85</v>
      </c>
      <c r="S258" s="285">
        <f t="shared" si="34"/>
        <v>0.35</v>
      </c>
      <c r="T258" s="285">
        <f t="shared" si="35"/>
        <v>3.2</v>
      </c>
      <c r="U258" s="285">
        <f t="shared" si="36"/>
        <v>1</v>
      </c>
      <c r="V258" s="285">
        <f t="shared" si="37"/>
        <v>4.5</v>
      </c>
      <c r="W258" s="285">
        <f t="shared" si="38"/>
        <v>1.5</v>
      </c>
      <c r="X258" s="289">
        <f t="shared" si="39"/>
        <v>5037.6010063450776</v>
      </c>
      <c r="Y258" s="288">
        <f t="shared" si="40"/>
        <v>2.5188005031725389E-2</v>
      </c>
      <c r="Z258" s="256">
        <f t="shared" si="41"/>
        <v>181.74993027852094</v>
      </c>
      <c r="AA258" s="289">
        <f t="shared" si="42"/>
        <v>10329.425415778396</v>
      </c>
      <c r="AB258" s="288">
        <f t="shared" si="43"/>
        <v>5.1647127078891984E-2</v>
      </c>
    </row>
    <row r="259" spans="13:28" ht="12" hidden="1" customHeight="1">
      <c r="M259" s="266"/>
      <c r="N259" s="288">
        <f t="shared" si="44"/>
        <v>6.6499999999999648</v>
      </c>
      <c r="O259" s="285">
        <f t="shared" si="30"/>
        <v>150</v>
      </c>
      <c r="P259" s="289">
        <f t="shared" si="31"/>
        <v>4000000</v>
      </c>
      <c r="Q259" s="285">
        <f t="shared" si="32"/>
        <v>110</v>
      </c>
      <c r="R259" s="285">
        <f t="shared" si="33"/>
        <v>85</v>
      </c>
      <c r="S259" s="285">
        <f t="shared" si="34"/>
        <v>0.35</v>
      </c>
      <c r="T259" s="285">
        <f t="shared" si="35"/>
        <v>3.2</v>
      </c>
      <c r="U259" s="285">
        <f t="shared" si="36"/>
        <v>1</v>
      </c>
      <c r="V259" s="285">
        <f t="shared" si="37"/>
        <v>4.5</v>
      </c>
      <c r="W259" s="285">
        <f t="shared" si="38"/>
        <v>1.5</v>
      </c>
      <c r="X259" s="289">
        <f t="shared" si="39"/>
        <v>5084.1398574092009</v>
      </c>
      <c r="Y259" s="288">
        <f t="shared" si="40"/>
        <v>2.5420699287046003E-2</v>
      </c>
      <c r="Z259" s="256">
        <f t="shared" si="41"/>
        <v>181.74993027852094</v>
      </c>
      <c r="AA259" s="289">
        <f t="shared" si="42"/>
        <v>10424.851709047216</v>
      </c>
      <c r="AB259" s="288">
        <f t="shared" si="43"/>
        <v>5.2124258545236078E-2</v>
      </c>
    </row>
    <row r="260" spans="13:28" ht="12" hidden="1" customHeight="1">
      <c r="M260" s="266"/>
      <c r="N260" s="288">
        <f t="shared" si="44"/>
        <v>6.6599999999999646</v>
      </c>
      <c r="O260" s="285">
        <f t="shared" si="30"/>
        <v>150</v>
      </c>
      <c r="P260" s="289">
        <f t="shared" si="31"/>
        <v>4000000</v>
      </c>
      <c r="Q260" s="285">
        <f t="shared" si="32"/>
        <v>110</v>
      </c>
      <c r="R260" s="285">
        <f t="shared" si="33"/>
        <v>85</v>
      </c>
      <c r="S260" s="285">
        <f t="shared" si="34"/>
        <v>0.35</v>
      </c>
      <c r="T260" s="285">
        <f t="shared" si="35"/>
        <v>3.2</v>
      </c>
      <c r="U260" s="285">
        <f t="shared" si="36"/>
        <v>1</v>
      </c>
      <c r="V260" s="285">
        <f t="shared" si="37"/>
        <v>4.5</v>
      </c>
      <c r="W260" s="285">
        <f t="shared" si="38"/>
        <v>1.5</v>
      </c>
      <c r="X260" s="289">
        <f t="shared" si="39"/>
        <v>5131.0518997398967</v>
      </c>
      <c r="Y260" s="288">
        <f t="shared" si="40"/>
        <v>2.5655259498699484E-2</v>
      </c>
      <c r="Z260" s="256">
        <f t="shared" si="41"/>
        <v>181.74993027852094</v>
      </c>
      <c r="AA260" s="289">
        <f t="shared" si="42"/>
        <v>10521.043218010793</v>
      </c>
      <c r="AB260" s="288">
        <f t="shared" si="43"/>
        <v>5.2605216090053961E-2</v>
      </c>
    </row>
    <row r="261" spans="13:28" ht="12" hidden="1" customHeight="1">
      <c r="M261" s="266"/>
      <c r="N261" s="288">
        <f t="shared" si="44"/>
        <v>6.6699999999999644</v>
      </c>
      <c r="O261" s="285">
        <f t="shared" si="30"/>
        <v>150</v>
      </c>
      <c r="P261" s="289">
        <f t="shared" si="31"/>
        <v>4000000</v>
      </c>
      <c r="Q261" s="285">
        <f t="shared" si="32"/>
        <v>110</v>
      </c>
      <c r="R261" s="285">
        <f t="shared" si="33"/>
        <v>85</v>
      </c>
      <c r="S261" s="285">
        <f t="shared" si="34"/>
        <v>0.35</v>
      </c>
      <c r="T261" s="285">
        <f t="shared" si="35"/>
        <v>3.2</v>
      </c>
      <c r="U261" s="285">
        <f t="shared" si="36"/>
        <v>1</v>
      </c>
      <c r="V261" s="285">
        <f t="shared" si="37"/>
        <v>4.5</v>
      </c>
      <c r="W261" s="285">
        <f t="shared" si="38"/>
        <v>1.5</v>
      </c>
      <c r="X261" s="289">
        <f t="shared" si="39"/>
        <v>5178.3396613085106</v>
      </c>
      <c r="Y261" s="288">
        <f t="shared" si="40"/>
        <v>2.5891698306542553E-2</v>
      </c>
      <c r="Z261" s="256">
        <f t="shared" si="41"/>
        <v>181.74993027852094</v>
      </c>
      <c r="AA261" s="289">
        <f t="shared" si="42"/>
        <v>10618.005126186306</v>
      </c>
      <c r="AB261" s="288">
        <f t="shared" si="43"/>
        <v>5.3090025630931535E-2</v>
      </c>
    </row>
    <row r="262" spans="13:28" ht="12" hidden="1" customHeight="1">
      <c r="M262" s="266"/>
      <c r="N262" s="288">
        <f t="shared" si="44"/>
        <v>6.6799999999999642</v>
      </c>
      <c r="O262" s="285">
        <f t="shared" si="30"/>
        <v>150</v>
      </c>
      <c r="P262" s="289">
        <f t="shared" si="31"/>
        <v>4000000</v>
      </c>
      <c r="Q262" s="285">
        <f t="shared" si="32"/>
        <v>110</v>
      </c>
      <c r="R262" s="285">
        <f t="shared" si="33"/>
        <v>85</v>
      </c>
      <c r="S262" s="285">
        <f t="shared" si="34"/>
        <v>0.35</v>
      </c>
      <c r="T262" s="285">
        <f t="shared" si="35"/>
        <v>3.2</v>
      </c>
      <c r="U262" s="285">
        <f t="shared" si="36"/>
        <v>1</v>
      </c>
      <c r="V262" s="285">
        <f t="shared" si="37"/>
        <v>4.5</v>
      </c>
      <c r="W262" s="285">
        <f t="shared" si="38"/>
        <v>1.5</v>
      </c>
      <c r="X262" s="289">
        <f t="shared" si="39"/>
        <v>5226.0056840320703</v>
      </c>
      <c r="Y262" s="288">
        <f t="shared" si="40"/>
        <v>2.6130028420160351E-2</v>
      </c>
      <c r="Z262" s="256">
        <f t="shared" si="41"/>
        <v>181.74993027852094</v>
      </c>
      <c r="AA262" s="289">
        <f t="shared" si="42"/>
        <v>10715.742645686078</v>
      </c>
      <c r="AB262" s="288">
        <f t="shared" si="43"/>
        <v>5.3578713228430386E-2</v>
      </c>
    </row>
    <row r="263" spans="13:28" ht="12" hidden="1" customHeight="1">
      <c r="M263" s="266"/>
      <c r="N263" s="288">
        <f t="shared" si="44"/>
        <v>6.689999999999964</v>
      </c>
      <c r="O263" s="285">
        <f t="shared" si="30"/>
        <v>150</v>
      </c>
      <c r="P263" s="289">
        <f t="shared" si="31"/>
        <v>4000000</v>
      </c>
      <c r="Q263" s="285">
        <f t="shared" si="32"/>
        <v>110</v>
      </c>
      <c r="R263" s="285">
        <f t="shared" si="33"/>
        <v>85</v>
      </c>
      <c r="S263" s="285">
        <f t="shared" si="34"/>
        <v>0.35</v>
      </c>
      <c r="T263" s="285">
        <f t="shared" si="35"/>
        <v>3.2</v>
      </c>
      <c r="U263" s="285">
        <f t="shared" si="36"/>
        <v>1</v>
      </c>
      <c r="V263" s="285">
        <f t="shared" si="37"/>
        <v>4.5</v>
      </c>
      <c r="W263" s="285">
        <f t="shared" si="38"/>
        <v>1.5</v>
      </c>
      <c r="X263" s="289">
        <f t="shared" si="39"/>
        <v>5274.0525238326481</v>
      </c>
      <c r="Y263" s="288">
        <f t="shared" si="40"/>
        <v>2.637026261916324E-2</v>
      </c>
      <c r="Z263" s="256">
        <f t="shared" si="41"/>
        <v>181.74993027852094</v>
      </c>
      <c r="AA263" s="289">
        <f t="shared" si="42"/>
        <v>10814.261017339351</v>
      </c>
      <c r="AB263" s="288">
        <f t="shared" si="43"/>
        <v>5.4071305086696754E-2</v>
      </c>
    </row>
    <row r="264" spans="13:28" ht="12" hidden="1" customHeight="1">
      <c r="M264" s="266"/>
      <c r="N264" s="288">
        <f t="shared" si="44"/>
        <v>6.6999999999999638</v>
      </c>
      <c r="O264" s="285">
        <f t="shared" si="30"/>
        <v>150</v>
      </c>
      <c r="P264" s="289">
        <f t="shared" si="31"/>
        <v>4000000</v>
      </c>
      <c r="Q264" s="285">
        <f t="shared" si="32"/>
        <v>110</v>
      </c>
      <c r="R264" s="285">
        <f t="shared" si="33"/>
        <v>85</v>
      </c>
      <c r="S264" s="285">
        <f t="shared" si="34"/>
        <v>0.35</v>
      </c>
      <c r="T264" s="285">
        <f t="shared" si="35"/>
        <v>3.2</v>
      </c>
      <c r="U264" s="285">
        <f t="shared" si="36"/>
        <v>1</v>
      </c>
      <c r="V264" s="285">
        <f t="shared" si="37"/>
        <v>4.5</v>
      </c>
      <c r="W264" s="285">
        <f t="shared" si="38"/>
        <v>1.5</v>
      </c>
      <c r="X264" s="289">
        <f t="shared" si="39"/>
        <v>5322.4827506967786</v>
      </c>
      <c r="Y264" s="288">
        <f t="shared" si="40"/>
        <v>2.6612413753483891E-2</v>
      </c>
      <c r="Z264" s="256">
        <f t="shared" si="41"/>
        <v>181.74993027852094</v>
      </c>
      <c r="AA264" s="289">
        <f t="shared" si="42"/>
        <v>10913.565510813958</v>
      </c>
      <c r="AB264" s="288">
        <f t="shared" si="43"/>
        <v>5.4567827554069789E-2</v>
      </c>
    </row>
    <row r="265" spans="13:28" ht="12" hidden="1" customHeight="1">
      <c r="M265" s="266"/>
      <c r="N265" s="288">
        <f t="shared" si="44"/>
        <v>6.7099999999999635</v>
      </c>
      <c r="O265" s="285">
        <f t="shared" si="30"/>
        <v>150</v>
      </c>
      <c r="P265" s="289">
        <f t="shared" si="31"/>
        <v>4000000</v>
      </c>
      <c r="Q265" s="285">
        <f t="shared" si="32"/>
        <v>110</v>
      </c>
      <c r="R265" s="285">
        <f t="shared" si="33"/>
        <v>85</v>
      </c>
      <c r="S265" s="285">
        <f t="shared" si="34"/>
        <v>0.35</v>
      </c>
      <c r="T265" s="285">
        <f t="shared" si="35"/>
        <v>3.2</v>
      </c>
      <c r="U265" s="285">
        <f t="shared" si="36"/>
        <v>1</v>
      </c>
      <c r="V265" s="285">
        <f t="shared" si="37"/>
        <v>4.5</v>
      </c>
      <c r="W265" s="285">
        <f t="shared" si="38"/>
        <v>1.5</v>
      </c>
      <c r="X265" s="289">
        <f t="shared" si="39"/>
        <v>5371.2989487350951</v>
      </c>
      <c r="Y265" s="288">
        <f t="shared" si="40"/>
        <v>2.6856494743675477E-2</v>
      </c>
      <c r="Z265" s="256">
        <f t="shared" si="41"/>
        <v>181.74993027852094</v>
      </c>
      <c r="AA265" s="289">
        <f t="shared" si="42"/>
        <v>11013.66142473877</v>
      </c>
      <c r="AB265" s="288">
        <f t="shared" si="43"/>
        <v>5.5068307123693851E-2</v>
      </c>
    </row>
    <row r="266" spans="13:28" ht="12" hidden="1" customHeight="1">
      <c r="M266" s="266"/>
      <c r="N266" s="288">
        <f t="shared" si="44"/>
        <v>6.7199999999999633</v>
      </c>
      <c r="O266" s="285">
        <f t="shared" si="30"/>
        <v>150</v>
      </c>
      <c r="P266" s="289">
        <f t="shared" si="31"/>
        <v>4000000</v>
      </c>
      <c r="Q266" s="285">
        <f t="shared" si="32"/>
        <v>110</v>
      </c>
      <c r="R266" s="285">
        <f t="shared" si="33"/>
        <v>85</v>
      </c>
      <c r="S266" s="285">
        <f t="shared" si="34"/>
        <v>0.35</v>
      </c>
      <c r="T266" s="285">
        <f t="shared" si="35"/>
        <v>3.2</v>
      </c>
      <c r="U266" s="285">
        <f t="shared" si="36"/>
        <v>1</v>
      </c>
      <c r="V266" s="285">
        <f t="shared" si="37"/>
        <v>4.5</v>
      </c>
      <c r="W266" s="285">
        <f t="shared" si="38"/>
        <v>1.5</v>
      </c>
      <c r="X266" s="289">
        <f t="shared" si="39"/>
        <v>5420.5037162421268</v>
      </c>
      <c r="Y266" s="288">
        <f t="shared" si="40"/>
        <v>2.7102518581210634E-2</v>
      </c>
      <c r="Z266" s="256">
        <f t="shared" si="41"/>
        <v>181.74993027852094</v>
      </c>
      <c r="AA266" s="289">
        <f t="shared" si="42"/>
        <v>11114.554086826203</v>
      </c>
      <c r="AB266" s="288">
        <f t="shared" si="43"/>
        <v>5.5572770434131016E-2</v>
      </c>
    </row>
    <row r="267" spans="13:28" ht="12" hidden="1" customHeight="1">
      <c r="M267" s="266"/>
      <c r="N267" s="288">
        <f t="shared" si="44"/>
        <v>6.7299999999999631</v>
      </c>
      <c r="O267" s="285">
        <f t="shared" si="30"/>
        <v>150</v>
      </c>
      <c r="P267" s="289">
        <f t="shared" si="31"/>
        <v>4000000</v>
      </c>
      <c r="Q267" s="285">
        <f t="shared" si="32"/>
        <v>110</v>
      </c>
      <c r="R267" s="285">
        <f t="shared" si="33"/>
        <v>85</v>
      </c>
      <c r="S267" s="285">
        <f t="shared" si="34"/>
        <v>0.35</v>
      </c>
      <c r="T267" s="285">
        <f t="shared" si="35"/>
        <v>3.2</v>
      </c>
      <c r="U267" s="285">
        <f t="shared" si="36"/>
        <v>1</v>
      </c>
      <c r="V267" s="285">
        <f t="shared" si="37"/>
        <v>4.5</v>
      </c>
      <c r="W267" s="285">
        <f t="shared" si="38"/>
        <v>1.5</v>
      </c>
      <c r="X267" s="289">
        <f t="shared" si="39"/>
        <v>5470.0996657562719</v>
      </c>
      <c r="Y267" s="288">
        <f t="shared" si="40"/>
        <v>2.7350498328781361E-2</v>
      </c>
      <c r="Z267" s="256">
        <f t="shared" si="41"/>
        <v>181.74993027852094</v>
      </c>
      <c r="AA267" s="289">
        <f t="shared" si="42"/>
        <v>11216.248853995341</v>
      </c>
      <c r="AB267" s="288">
        <f t="shared" si="43"/>
        <v>5.6081244269976703E-2</v>
      </c>
    </row>
    <row r="268" spans="13:28" ht="12" hidden="1" customHeight="1">
      <c r="M268" s="266"/>
      <c r="N268" s="288">
        <f t="shared" si="44"/>
        <v>6.7399999999999629</v>
      </c>
      <c r="O268" s="285">
        <f t="shared" si="30"/>
        <v>150</v>
      </c>
      <c r="P268" s="289">
        <f t="shared" si="31"/>
        <v>4000000</v>
      </c>
      <c r="Q268" s="285">
        <f t="shared" si="32"/>
        <v>110</v>
      </c>
      <c r="R268" s="285">
        <f t="shared" si="33"/>
        <v>85</v>
      </c>
      <c r="S268" s="285">
        <f t="shared" si="34"/>
        <v>0.35</v>
      </c>
      <c r="T268" s="285">
        <f t="shared" si="35"/>
        <v>3.2</v>
      </c>
      <c r="U268" s="285">
        <f t="shared" si="36"/>
        <v>1</v>
      </c>
      <c r="V268" s="285">
        <f t="shared" si="37"/>
        <v>4.5</v>
      </c>
      <c r="W268" s="285">
        <f t="shared" si="38"/>
        <v>1.5</v>
      </c>
      <c r="X268" s="289">
        <f t="shared" si="39"/>
        <v>5520.0894241200358</v>
      </c>
      <c r="Y268" s="288">
        <f t="shared" si="40"/>
        <v>2.7600447120600179E-2</v>
      </c>
      <c r="Z268" s="256">
        <f t="shared" si="41"/>
        <v>181.74993027852094</v>
      </c>
      <c r="AA268" s="289">
        <f t="shared" si="42"/>
        <v>11318.751112495151</v>
      </c>
      <c r="AB268" s="288">
        <f t="shared" si="43"/>
        <v>5.6593755562475756E-2</v>
      </c>
    </row>
    <row r="269" spans="13:28" ht="12" hidden="1" customHeight="1">
      <c r="M269" s="266"/>
      <c r="N269" s="288">
        <f t="shared" si="44"/>
        <v>6.7499999999999627</v>
      </c>
      <c r="O269" s="285">
        <f t="shared" si="30"/>
        <v>150</v>
      </c>
      <c r="P269" s="289">
        <f t="shared" si="31"/>
        <v>4000000</v>
      </c>
      <c r="Q269" s="285">
        <f t="shared" si="32"/>
        <v>110</v>
      </c>
      <c r="R269" s="285">
        <f t="shared" si="33"/>
        <v>85</v>
      </c>
      <c r="S269" s="285">
        <f t="shared" si="34"/>
        <v>0.35</v>
      </c>
      <c r="T269" s="285">
        <f t="shared" si="35"/>
        <v>3.2</v>
      </c>
      <c r="U269" s="285">
        <f t="shared" si="36"/>
        <v>1</v>
      </c>
      <c r="V269" s="285">
        <f t="shared" si="37"/>
        <v>4.5</v>
      </c>
      <c r="W269" s="285">
        <f t="shared" si="38"/>
        <v>1.5</v>
      </c>
      <c r="X269" s="289">
        <f t="shared" si="39"/>
        <v>5570.4756325402814</v>
      </c>
      <c r="Y269" s="288">
        <f t="shared" si="40"/>
        <v>2.7852378162701408E-2</v>
      </c>
      <c r="Z269" s="256">
        <f t="shared" si="41"/>
        <v>181.74993027852094</v>
      </c>
      <c r="AA269" s="289">
        <f t="shared" si="42"/>
        <v>11422.066278028356</v>
      </c>
      <c r="AB269" s="288">
        <f t="shared" si="43"/>
        <v>5.711033139014178E-2</v>
      </c>
    </row>
    <row r="270" spans="13:28" ht="12" hidden="1" customHeight="1">
      <c r="M270" s="266"/>
      <c r="N270" s="288">
        <f t="shared" si="44"/>
        <v>6.7599999999999625</v>
      </c>
      <c r="O270" s="285">
        <f t="shared" si="30"/>
        <v>150</v>
      </c>
      <c r="P270" s="289">
        <f t="shared" si="31"/>
        <v>4000000</v>
      </c>
      <c r="Q270" s="285">
        <f t="shared" si="32"/>
        <v>110</v>
      </c>
      <c r="R270" s="285">
        <f t="shared" si="33"/>
        <v>85</v>
      </c>
      <c r="S270" s="285">
        <f t="shared" si="34"/>
        <v>0.35</v>
      </c>
      <c r="T270" s="285">
        <f t="shared" si="35"/>
        <v>3.2</v>
      </c>
      <c r="U270" s="285">
        <f t="shared" si="36"/>
        <v>1</v>
      </c>
      <c r="V270" s="285">
        <f t="shared" si="37"/>
        <v>4.5</v>
      </c>
      <c r="W270" s="285">
        <f t="shared" si="38"/>
        <v>1.5</v>
      </c>
      <c r="X270" s="289">
        <f t="shared" si="39"/>
        <v>5621.260946648822</v>
      </c>
      <c r="Y270" s="288">
        <f t="shared" si="40"/>
        <v>2.810630473324411E-2</v>
      </c>
      <c r="Z270" s="256">
        <f t="shared" si="41"/>
        <v>181.74993027852094</v>
      </c>
      <c r="AA270" s="289">
        <f t="shared" si="42"/>
        <v>11526.199795875486</v>
      </c>
      <c r="AB270" s="288">
        <f t="shared" si="43"/>
        <v>5.7630998979377429E-2</v>
      </c>
    </row>
    <row r="271" spans="13:28" ht="12" hidden="1" customHeight="1">
      <c r="M271" s="266"/>
      <c r="N271" s="288">
        <f t="shared" si="44"/>
        <v>6.7699999999999623</v>
      </c>
      <c r="O271" s="285">
        <f t="shared" si="30"/>
        <v>150</v>
      </c>
      <c r="P271" s="289">
        <f t="shared" si="31"/>
        <v>4000000</v>
      </c>
      <c r="Q271" s="285">
        <f t="shared" si="32"/>
        <v>110</v>
      </c>
      <c r="R271" s="285">
        <f t="shared" si="33"/>
        <v>85</v>
      </c>
      <c r="S271" s="285">
        <f t="shared" si="34"/>
        <v>0.35</v>
      </c>
      <c r="T271" s="285">
        <f t="shared" si="35"/>
        <v>3.2</v>
      </c>
      <c r="U271" s="285">
        <f t="shared" si="36"/>
        <v>1</v>
      </c>
      <c r="V271" s="285">
        <f t="shared" si="37"/>
        <v>4.5</v>
      </c>
      <c r="W271" s="285">
        <f t="shared" si="38"/>
        <v>1.5</v>
      </c>
      <c r="X271" s="289">
        <f t="shared" si="39"/>
        <v>5672.4480365630707</v>
      </c>
      <c r="Y271" s="288">
        <f t="shared" si="40"/>
        <v>2.8362240182815354E-2</v>
      </c>
      <c r="Z271" s="256">
        <f t="shared" si="41"/>
        <v>181.74993027852094</v>
      </c>
      <c r="AA271" s="289">
        <f t="shared" si="42"/>
        <v>11631.157141019336</v>
      </c>
      <c r="AB271" s="288">
        <f t="shared" si="43"/>
        <v>5.8155785705096677E-2</v>
      </c>
    </row>
    <row r="272" spans="13:28" ht="12" hidden="1" customHeight="1">
      <c r="M272" s="266"/>
      <c r="N272" s="288">
        <f t="shared" si="44"/>
        <v>6.7799999999999621</v>
      </c>
      <c r="O272" s="285">
        <f t="shared" si="30"/>
        <v>150</v>
      </c>
      <c r="P272" s="289">
        <f t="shared" si="31"/>
        <v>4000000</v>
      </c>
      <c r="Q272" s="285">
        <f t="shared" si="32"/>
        <v>110</v>
      </c>
      <c r="R272" s="285">
        <f t="shared" si="33"/>
        <v>85</v>
      </c>
      <c r="S272" s="285">
        <f t="shared" si="34"/>
        <v>0.35</v>
      </c>
      <c r="T272" s="285">
        <f t="shared" si="35"/>
        <v>3.2</v>
      </c>
      <c r="U272" s="285">
        <f t="shared" si="36"/>
        <v>1</v>
      </c>
      <c r="V272" s="285">
        <f t="shared" si="37"/>
        <v>4.5</v>
      </c>
      <c r="W272" s="285">
        <f t="shared" si="38"/>
        <v>1.5</v>
      </c>
      <c r="X272" s="289">
        <f t="shared" si="39"/>
        <v>5724.0395869469221</v>
      </c>
      <c r="Y272" s="288">
        <f t="shared" si="40"/>
        <v>2.8620197934734609E-2</v>
      </c>
      <c r="Z272" s="256">
        <f t="shared" si="41"/>
        <v>181.74993027852094</v>
      </c>
      <c r="AA272" s="289">
        <f t="shared" si="42"/>
        <v>11736.943818269707</v>
      </c>
      <c r="AB272" s="288">
        <f t="shared" si="43"/>
        <v>5.8684719091348536E-2</v>
      </c>
    </row>
    <row r="273" spans="13:28" ht="12" hidden="1" customHeight="1">
      <c r="M273" s="266"/>
      <c r="N273" s="288">
        <f t="shared" si="44"/>
        <v>6.7899999999999618</v>
      </c>
      <c r="O273" s="285">
        <f t="shared" si="30"/>
        <v>150</v>
      </c>
      <c r="P273" s="289">
        <f t="shared" si="31"/>
        <v>4000000</v>
      </c>
      <c r="Q273" s="285">
        <f t="shared" si="32"/>
        <v>110</v>
      </c>
      <c r="R273" s="285">
        <f t="shared" si="33"/>
        <v>85</v>
      </c>
      <c r="S273" s="285">
        <f t="shared" si="34"/>
        <v>0.35</v>
      </c>
      <c r="T273" s="285">
        <f t="shared" si="35"/>
        <v>3.2</v>
      </c>
      <c r="U273" s="285">
        <f t="shared" si="36"/>
        <v>1</v>
      </c>
      <c r="V273" s="285">
        <f t="shared" si="37"/>
        <v>4.5</v>
      </c>
      <c r="W273" s="285">
        <f t="shared" si="38"/>
        <v>1.5</v>
      </c>
      <c r="X273" s="289">
        <f t="shared" si="39"/>
        <v>5776.0382970718938</v>
      </c>
      <c r="Y273" s="288">
        <f t="shared" si="40"/>
        <v>2.8880191485359467E-2</v>
      </c>
      <c r="Z273" s="256">
        <f t="shared" si="41"/>
        <v>181.74993027852094</v>
      </c>
      <c r="AA273" s="289">
        <f t="shared" si="42"/>
        <v>11843.565362388854</v>
      </c>
      <c r="AB273" s="288">
        <f t="shared" si="43"/>
        <v>5.921782681194427E-2</v>
      </c>
    </row>
    <row r="274" spans="13:28" ht="12" hidden="1" customHeight="1">
      <c r="M274" s="266"/>
      <c r="N274" s="288">
        <f t="shared" si="44"/>
        <v>6.7999999999999616</v>
      </c>
      <c r="O274" s="285">
        <f t="shared" si="30"/>
        <v>150</v>
      </c>
      <c r="P274" s="289">
        <f t="shared" si="31"/>
        <v>4000000</v>
      </c>
      <c r="Q274" s="285">
        <f t="shared" si="32"/>
        <v>110</v>
      </c>
      <c r="R274" s="285">
        <f t="shared" si="33"/>
        <v>85</v>
      </c>
      <c r="S274" s="285">
        <f t="shared" si="34"/>
        <v>0.35</v>
      </c>
      <c r="T274" s="285">
        <f t="shared" si="35"/>
        <v>3.2</v>
      </c>
      <c r="U274" s="285">
        <f t="shared" si="36"/>
        <v>1</v>
      </c>
      <c r="V274" s="285">
        <f t="shared" si="37"/>
        <v>4.5</v>
      </c>
      <c r="W274" s="285">
        <f t="shared" si="38"/>
        <v>1.5</v>
      </c>
      <c r="X274" s="289">
        <f t="shared" si="39"/>
        <v>5828.4468808782294</v>
      </c>
      <c r="Y274" s="288">
        <f t="shared" si="40"/>
        <v>2.9142234404391149E-2</v>
      </c>
      <c r="Z274" s="256">
        <f t="shared" si="41"/>
        <v>181.74993027852094</v>
      </c>
      <c r="AA274" s="289">
        <f t="shared" si="42"/>
        <v>11951.027338216663</v>
      </c>
      <c r="AB274" s="288">
        <f t="shared" si="43"/>
        <v>5.9755136691083316E-2</v>
      </c>
    </row>
    <row r="275" spans="13:28" ht="12" hidden="1" customHeight="1">
      <c r="M275" s="266"/>
      <c r="N275" s="288">
        <f t="shared" si="44"/>
        <v>6.8099999999999614</v>
      </c>
      <c r="O275" s="285">
        <f t="shared" si="30"/>
        <v>150</v>
      </c>
      <c r="P275" s="289">
        <f t="shared" si="31"/>
        <v>4000000</v>
      </c>
      <c r="Q275" s="285">
        <f t="shared" si="32"/>
        <v>110</v>
      </c>
      <c r="R275" s="285">
        <f t="shared" si="33"/>
        <v>85</v>
      </c>
      <c r="S275" s="285">
        <f t="shared" si="34"/>
        <v>0.35</v>
      </c>
      <c r="T275" s="285">
        <f t="shared" si="35"/>
        <v>3.2</v>
      </c>
      <c r="U275" s="285">
        <f t="shared" si="36"/>
        <v>1</v>
      </c>
      <c r="V275" s="285">
        <f t="shared" si="37"/>
        <v>4.5</v>
      </c>
      <c r="W275" s="285">
        <f t="shared" si="38"/>
        <v>1.5</v>
      </c>
      <c r="X275" s="289">
        <f t="shared" si="39"/>
        <v>5881.2680670364098</v>
      </c>
      <c r="Y275" s="288">
        <f t="shared" si="40"/>
        <v>2.9406340335182048E-2</v>
      </c>
      <c r="Z275" s="256">
        <f t="shared" si="41"/>
        <v>181.74993027852094</v>
      </c>
      <c r="AA275" s="289">
        <f t="shared" si="42"/>
        <v>12059.33534079701</v>
      </c>
      <c r="AB275" s="288">
        <f t="shared" si="43"/>
        <v>6.0296676703985051E-2</v>
      </c>
    </row>
    <row r="276" spans="13:28" ht="12" hidden="1" customHeight="1">
      <c r="M276" s="266"/>
      <c r="N276" s="288">
        <f t="shared" si="44"/>
        <v>6.8199999999999612</v>
      </c>
      <c r="O276" s="285">
        <f t="shared" si="30"/>
        <v>150</v>
      </c>
      <c r="P276" s="289">
        <f t="shared" si="31"/>
        <v>4000000</v>
      </c>
      <c r="Q276" s="285">
        <f t="shared" si="32"/>
        <v>110</v>
      </c>
      <c r="R276" s="285">
        <f t="shared" si="33"/>
        <v>85</v>
      </c>
      <c r="S276" s="285">
        <f t="shared" si="34"/>
        <v>0.35</v>
      </c>
      <c r="T276" s="285">
        <f t="shared" si="35"/>
        <v>3.2</v>
      </c>
      <c r="U276" s="285">
        <f t="shared" si="36"/>
        <v>1</v>
      </c>
      <c r="V276" s="285">
        <f t="shared" si="37"/>
        <v>4.5</v>
      </c>
      <c r="W276" s="285">
        <f t="shared" si="38"/>
        <v>1.5</v>
      </c>
      <c r="X276" s="289">
        <f t="shared" si="39"/>
        <v>5934.5045990087756</v>
      </c>
      <c r="Y276" s="288">
        <f t="shared" si="40"/>
        <v>2.9672522995043877E-2</v>
      </c>
      <c r="Z276" s="256">
        <f t="shared" si="41"/>
        <v>181.74993027852094</v>
      </c>
      <c r="AA276" s="289">
        <f t="shared" si="42"/>
        <v>12168.494995503788</v>
      </c>
      <c r="AB276" s="288">
        <f t="shared" si="43"/>
        <v>6.0842474977518941E-2</v>
      </c>
    </row>
    <row r="277" spans="13:28" ht="12" hidden="1" customHeight="1">
      <c r="M277" s="266"/>
      <c r="N277" s="288">
        <f t="shared" si="44"/>
        <v>6.829999999999961</v>
      </c>
      <c r="O277" s="285">
        <f t="shared" si="30"/>
        <v>150</v>
      </c>
      <c r="P277" s="289">
        <f t="shared" si="31"/>
        <v>4000000</v>
      </c>
      <c r="Q277" s="285">
        <f t="shared" si="32"/>
        <v>110</v>
      </c>
      <c r="R277" s="285">
        <f t="shared" si="33"/>
        <v>85</v>
      </c>
      <c r="S277" s="285">
        <f t="shared" si="34"/>
        <v>0.35</v>
      </c>
      <c r="T277" s="285">
        <f t="shared" si="35"/>
        <v>3.2</v>
      </c>
      <c r="U277" s="285">
        <f t="shared" si="36"/>
        <v>1</v>
      </c>
      <c r="V277" s="285">
        <f t="shared" si="37"/>
        <v>4.5</v>
      </c>
      <c r="W277" s="285">
        <f t="shared" si="38"/>
        <v>1.5</v>
      </c>
      <c r="X277" s="289">
        <f t="shared" si="39"/>
        <v>5988.1592351111676</v>
      </c>
      <c r="Y277" s="288">
        <f t="shared" si="40"/>
        <v>2.9940796175555839E-2</v>
      </c>
      <c r="Z277" s="256">
        <f t="shared" si="41"/>
        <v>181.74993027852094</v>
      </c>
      <c r="AA277" s="289">
        <f t="shared" si="42"/>
        <v>12278.51195816765</v>
      </c>
      <c r="AB277" s="288">
        <f t="shared" si="43"/>
        <v>6.1392559790838248E-2</v>
      </c>
    </row>
    <row r="278" spans="13:28" ht="12" hidden="1" customHeight="1">
      <c r="M278" s="266"/>
      <c r="N278" s="288">
        <f t="shared" si="44"/>
        <v>6.8399999999999608</v>
      </c>
      <c r="O278" s="285">
        <f t="shared" si="30"/>
        <v>150</v>
      </c>
      <c r="P278" s="289">
        <f t="shared" si="31"/>
        <v>4000000</v>
      </c>
      <c r="Q278" s="285">
        <f t="shared" si="32"/>
        <v>110</v>
      </c>
      <c r="R278" s="285">
        <f t="shared" si="33"/>
        <v>85</v>
      </c>
      <c r="S278" s="285">
        <f t="shared" si="34"/>
        <v>0.35</v>
      </c>
      <c r="T278" s="285">
        <f t="shared" si="35"/>
        <v>3.2</v>
      </c>
      <c r="U278" s="285">
        <f t="shared" si="36"/>
        <v>1</v>
      </c>
      <c r="V278" s="285">
        <f t="shared" si="37"/>
        <v>4.5</v>
      </c>
      <c r="W278" s="285">
        <f t="shared" si="38"/>
        <v>1.5</v>
      </c>
      <c r="X278" s="289">
        <f t="shared" si="39"/>
        <v>6042.2347485750579</v>
      </c>
      <c r="Y278" s="288">
        <f t="shared" si="40"/>
        <v>3.021117374287529E-2</v>
      </c>
      <c r="Z278" s="256">
        <f t="shared" si="41"/>
        <v>181.74993027852094</v>
      </c>
      <c r="AA278" s="289">
        <f t="shared" si="42"/>
        <v>12389.391915203058</v>
      </c>
      <c r="AB278" s="288">
        <f t="shared" si="43"/>
        <v>6.1946959576015287E-2</v>
      </c>
    </row>
    <row r="279" spans="13:28" ht="12" hidden="1" customHeight="1">
      <c r="M279" s="266"/>
      <c r="N279" s="288">
        <f t="shared" si="44"/>
        <v>6.8499999999999606</v>
      </c>
      <c r="O279" s="285">
        <f t="shared" si="30"/>
        <v>150</v>
      </c>
      <c r="P279" s="289">
        <f t="shared" si="31"/>
        <v>4000000</v>
      </c>
      <c r="Q279" s="285">
        <f t="shared" si="32"/>
        <v>110</v>
      </c>
      <c r="R279" s="285">
        <f t="shared" si="33"/>
        <v>85</v>
      </c>
      <c r="S279" s="285">
        <f t="shared" si="34"/>
        <v>0.35</v>
      </c>
      <c r="T279" s="285">
        <f t="shared" si="35"/>
        <v>3.2</v>
      </c>
      <c r="U279" s="285">
        <f t="shared" si="36"/>
        <v>1</v>
      </c>
      <c r="V279" s="285">
        <f t="shared" si="37"/>
        <v>4.5</v>
      </c>
      <c r="W279" s="285">
        <f t="shared" si="38"/>
        <v>1.5</v>
      </c>
      <c r="X279" s="289">
        <f t="shared" si="39"/>
        <v>6096.7339276095654</v>
      </c>
      <c r="Y279" s="288">
        <f t="shared" si="40"/>
        <v>3.0483669638047828E-2</v>
      </c>
      <c r="Z279" s="256">
        <f t="shared" si="41"/>
        <v>181.74993027852094</v>
      </c>
      <c r="AA279" s="289">
        <f t="shared" si="42"/>
        <v>12501.140583735767</v>
      </c>
      <c r="AB279" s="288">
        <f t="shared" si="43"/>
        <v>6.2505702918678838E-2</v>
      </c>
    </row>
    <row r="280" spans="13:28" ht="12" hidden="1" customHeight="1">
      <c r="M280" s="266"/>
      <c r="N280" s="288">
        <f t="shared" si="44"/>
        <v>6.8599999999999604</v>
      </c>
      <c r="O280" s="285">
        <f t="shared" si="30"/>
        <v>150</v>
      </c>
      <c r="P280" s="289">
        <f t="shared" si="31"/>
        <v>4000000</v>
      </c>
      <c r="Q280" s="285">
        <f t="shared" si="32"/>
        <v>110</v>
      </c>
      <c r="R280" s="285">
        <f t="shared" si="33"/>
        <v>85</v>
      </c>
      <c r="S280" s="285">
        <f t="shared" si="34"/>
        <v>0.35</v>
      </c>
      <c r="T280" s="285">
        <f t="shared" si="35"/>
        <v>3.2</v>
      </c>
      <c r="U280" s="285">
        <f t="shared" si="36"/>
        <v>1</v>
      </c>
      <c r="V280" s="285">
        <f t="shared" si="37"/>
        <v>4.5</v>
      </c>
      <c r="W280" s="285">
        <f t="shared" si="38"/>
        <v>1.5</v>
      </c>
      <c r="X280" s="289">
        <f t="shared" si="39"/>
        <v>6151.6595754638902</v>
      </c>
      <c r="Y280" s="288">
        <f t="shared" si="40"/>
        <v>3.075829787731945E-2</v>
      </c>
      <c r="Z280" s="256">
        <f t="shared" si="41"/>
        <v>181.74993027852094</v>
      </c>
      <c r="AA280" s="289">
        <f t="shared" si="42"/>
        <v>12613.763711730631</v>
      </c>
      <c r="AB280" s="288">
        <f t="shared" si="43"/>
        <v>6.306881855865315E-2</v>
      </c>
    </row>
    <row r="281" spans="13:28" ht="12" hidden="1" customHeight="1">
      <c r="M281" s="266"/>
      <c r="N281" s="288">
        <f t="shared" si="44"/>
        <v>6.8699999999999601</v>
      </c>
      <c r="O281" s="285">
        <f t="shared" si="30"/>
        <v>150</v>
      </c>
      <c r="P281" s="289">
        <f t="shared" si="31"/>
        <v>4000000</v>
      </c>
      <c r="Q281" s="285">
        <f t="shared" si="32"/>
        <v>110</v>
      </c>
      <c r="R281" s="285">
        <f t="shared" si="33"/>
        <v>85</v>
      </c>
      <c r="S281" s="285">
        <f t="shared" si="34"/>
        <v>0.35</v>
      </c>
      <c r="T281" s="285">
        <f t="shared" si="35"/>
        <v>3.2</v>
      </c>
      <c r="U281" s="285">
        <f t="shared" si="36"/>
        <v>1</v>
      </c>
      <c r="V281" s="285">
        <f t="shared" si="37"/>
        <v>4.5</v>
      </c>
      <c r="W281" s="285">
        <f t="shared" si="38"/>
        <v>1.5</v>
      </c>
      <c r="X281" s="289">
        <f t="shared" si="39"/>
        <v>6207.0145104896692</v>
      </c>
      <c r="Y281" s="288">
        <f t="shared" si="40"/>
        <v>3.1035072552448344E-2</v>
      </c>
      <c r="Z281" s="256">
        <f t="shared" si="41"/>
        <v>181.74993027852094</v>
      </c>
      <c r="AA281" s="289">
        <f t="shared" si="42"/>
        <v>12727.267078119463</v>
      </c>
      <c r="AB281" s="288">
        <f t="shared" si="43"/>
        <v>6.3636335390597321E-2</v>
      </c>
    </row>
    <row r="282" spans="13:28" ht="12" hidden="1" customHeight="1">
      <c r="M282" s="266"/>
      <c r="N282" s="288">
        <f t="shared" si="44"/>
        <v>6.8799999999999599</v>
      </c>
      <c r="O282" s="285">
        <f t="shared" si="30"/>
        <v>150</v>
      </c>
      <c r="P282" s="289">
        <f t="shared" si="31"/>
        <v>4000000</v>
      </c>
      <c r="Q282" s="285">
        <f t="shared" si="32"/>
        <v>110</v>
      </c>
      <c r="R282" s="285">
        <f t="shared" si="33"/>
        <v>85</v>
      </c>
      <c r="S282" s="285">
        <f t="shared" si="34"/>
        <v>0.35</v>
      </c>
      <c r="T282" s="285">
        <f t="shared" si="35"/>
        <v>3.2</v>
      </c>
      <c r="U282" s="285">
        <f t="shared" si="36"/>
        <v>1</v>
      </c>
      <c r="V282" s="285">
        <f t="shared" si="37"/>
        <v>4.5</v>
      </c>
      <c r="W282" s="285">
        <f t="shared" si="38"/>
        <v>1.5</v>
      </c>
      <c r="X282" s="289">
        <f t="shared" si="39"/>
        <v>6262.8015662037915</v>
      </c>
      <c r="Y282" s="288">
        <f t="shared" si="40"/>
        <v>3.131400783101896E-2</v>
      </c>
      <c r="Z282" s="256">
        <f t="shared" si="41"/>
        <v>181.74993027852094</v>
      </c>
      <c r="AA282" s="289">
        <f t="shared" si="42"/>
        <v>12841.656492930046</v>
      </c>
      <c r="AB282" s="288">
        <f t="shared" si="43"/>
        <v>6.4208282464650226E-2</v>
      </c>
    </row>
    <row r="283" spans="13:28" ht="12" hidden="1" customHeight="1">
      <c r="M283" s="266"/>
      <c r="N283" s="288">
        <f t="shared" si="44"/>
        <v>6.8899999999999597</v>
      </c>
      <c r="O283" s="285">
        <f t="shared" si="30"/>
        <v>150</v>
      </c>
      <c r="P283" s="289">
        <f t="shared" si="31"/>
        <v>4000000</v>
      </c>
      <c r="Q283" s="285">
        <f t="shared" si="32"/>
        <v>110</v>
      </c>
      <c r="R283" s="285">
        <f t="shared" si="33"/>
        <v>85</v>
      </c>
      <c r="S283" s="285">
        <f t="shared" si="34"/>
        <v>0.35</v>
      </c>
      <c r="T283" s="285">
        <f t="shared" si="35"/>
        <v>3.2</v>
      </c>
      <c r="U283" s="285">
        <f t="shared" si="36"/>
        <v>1</v>
      </c>
      <c r="V283" s="285">
        <f t="shared" si="37"/>
        <v>4.5</v>
      </c>
      <c r="W283" s="285">
        <f t="shared" si="38"/>
        <v>1.5</v>
      </c>
      <c r="X283" s="289">
        <f t="shared" si="39"/>
        <v>6319.0235913512615</v>
      </c>
      <c r="Y283" s="288">
        <f t="shared" si="40"/>
        <v>3.1595117956756305E-2</v>
      </c>
      <c r="Z283" s="256">
        <f t="shared" si="41"/>
        <v>181.74993027852094</v>
      </c>
      <c r="AA283" s="289">
        <f t="shared" si="42"/>
        <v>12956.937797414728</v>
      </c>
      <c r="AB283" s="288">
        <f t="shared" si="43"/>
        <v>6.4784688987073638E-2</v>
      </c>
    </row>
    <row r="284" spans="13:28" ht="12" hidden="1" customHeight="1">
      <c r="M284" s="266"/>
      <c r="N284" s="288">
        <f t="shared" si="44"/>
        <v>6.8999999999999595</v>
      </c>
      <c r="O284" s="285">
        <f t="shared" si="30"/>
        <v>150</v>
      </c>
      <c r="P284" s="289">
        <f t="shared" si="31"/>
        <v>4000000</v>
      </c>
      <c r="Q284" s="285">
        <f t="shared" si="32"/>
        <v>110</v>
      </c>
      <c r="R284" s="285">
        <f t="shared" si="33"/>
        <v>85</v>
      </c>
      <c r="S284" s="285">
        <f t="shared" si="34"/>
        <v>0.35</v>
      </c>
      <c r="T284" s="285">
        <f t="shared" si="35"/>
        <v>3.2</v>
      </c>
      <c r="U284" s="285">
        <f t="shared" si="36"/>
        <v>1</v>
      </c>
      <c r="V284" s="285">
        <f t="shared" si="37"/>
        <v>4.5</v>
      </c>
      <c r="W284" s="285">
        <f t="shared" si="38"/>
        <v>1.5</v>
      </c>
      <c r="X284" s="289">
        <f t="shared" si="39"/>
        <v>6375.6834499681408</v>
      </c>
      <c r="Y284" s="288">
        <f t="shared" si="40"/>
        <v>3.1878417249840703E-2</v>
      </c>
      <c r="Z284" s="256">
        <f t="shared" si="41"/>
        <v>181.74993027852094</v>
      </c>
      <c r="AA284" s="289">
        <f t="shared" si="42"/>
        <v>13073.11686417973</v>
      </c>
      <c r="AB284" s="288">
        <f t="shared" si="43"/>
        <v>6.5365584320898645E-2</v>
      </c>
    </row>
    <row r="285" spans="13:28" ht="12" hidden="1" customHeight="1">
      <c r="M285" s="266"/>
      <c r="N285" s="288">
        <f t="shared" si="44"/>
        <v>6.9099999999999593</v>
      </c>
      <c r="O285" s="285">
        <f t="shared" si="30"/>
        <v>150</v>
      </c>
      <c r="P285" s="289">
        <f t="shared" si="31"/>
        <v>4000000</v>
      </c>
      <c r="Q285" s="285">
        <f t="shared" si="32"/>
        <v>110</v>
      </c>
      <c r="R285" s="285">
        <f t="shared" si="33"/>
        <v>85</v>
      </c>
      <c r="S285" s="285">
        <f t="shared" si="34"/>
        <v>0.35</v>
      </c>
      <c r="T285" s="285">
        <f t="shared" si="35"/>
        <v>3.2</v>
      </c>
      <c r="U285" s="285">
        <f t="shared" si="36"/>
        <v>1</v>
      </c>
      <c r="V285" s="285">
        <f t="shared" si="37"/>
        <v>4.5</v>
      </c>
      <c r="W285" s="285">
        <f t="shared" si="38"/>
        <v>1.5</v>
      </c>
      <c r="X285" s="289">
        <f t="shared" si="39"/>
        <v>6432.7840214449188</v>
      </c>
      <c r="Y285" s="288">
        <f t="shared" si="40"/>
        <v>3.2163920107224596E-2</v>
      </c>
      <c r="Z285" s="256">
        <f t="shared" si="41"/>
        <v>181.74993027852094</v>
      </c>
      <c r="AA285" s="289">
        <f t="shared" si="42"/>
        <v>13190.199597314942</v>
      </c>
      <c r="AB285" s="288">
        <f t="shared" si="43"/>
        <v>6.5950997986574708E-2</v>
      </c>
    </row>
    <row r="286" spans="13:28" ht="12" hidden="1" customHeight="1">
      <c r="M286" s="266"/>
      <c r="N286" s="288">
        <f t="shared" si="44"/>
        <v>6.9199999999999591</v>
      </c>
      <c r="O286" s="285">
        <f t="shared" ref="O286:O349" si="45">PCC_MR</f>
        <v>150</v>
      </c>
      <c r="P286" s="289">
        <f t="shared" ref="P286:P349" si="46">PCC_ME</f>
        <v>4000000</v>
      </c>
      <c r="Q286" s="285">
        <f t="shared" ref="Q286:Q349" si="47">K_MODULE</f>
        <v>110</v>
      </c>
      <c r="R286" s="285">
        <f t="shared" ref="R286:R349" si="48">R_</f>
        <v>85</v>
      </c>
      <c r="S286" s="285">
        <f t="shared" ref="S286:S349" si="49">So</f>
        <v>0.35</v>
      </c>
      <c r="T286" s="285">
        <f t="shared" ref="T286:T349" si="50">J_</f>
        <v>3.2</v>
      </c>
      <c r="U286" s="285">
        <f t="shared" ref="U286:U349" si="51">Cd_</f>
        <v>1</v>
      </c>
      <c r="V286" s="285">
        <f t="shared" ref="V286:V349" si="52">Pi</f>
        <v>4.5</v>
      </c>
      <c r="W286" s="285">
        <f t="shared" ref="W286:W349" si="53">Pt</f>
        <v>1.5</v>
      </c>
      <c r="X286" s="289">
        <f t="shared" ref="X286:X349" si="54">10^(-NORMSINV(R286/100)*S286+7.35*LOG10(N286+1)-0.06+((LOG10((V286-W286)/3))/(1+((1.625*10^7)/((N286+1)^8.46))))+((4.22-0.32*W286)*LOG10((O286*U286*((N286^0.75)-1.132))/(215.63*T286*((N286^0.75)-18.42*(Q286/P286)^0.25)))))</f>
        <v>6490.3282005898282</v>
      </c>
      <c r="Y286" s="288">
        <f t="shared" ref="Y286:Y349" si="55">+X286/ESALS</f>
        <v>3.2451641002949144E-2</v>
      </c>
      <c r="Z286" s="256">
        <f t="shared" ref="Z286:Z349" si="56">PCC_IMR</f>
        <v>181.74993027852094</v>
      </c>
      <c r="AA286" s="289">
        <f t="shared" ref="AA286:AA349" si="57">10^(-NORMSINV(R286/100)*S286+7.35*LOG10(N286+1)-0.06+((LOG10((V286-W286)/3))/(1+((1.625*10^7)/((N286+1)^8.46))))+((4.22-0.32*W286)*LOG10((Z286*U286*((N286^0.75)-1.132))/(215.63*T286*((N286^0.75)-18.42*(Q286/P286)^0.25)))))</f>
        <v>13308.191932523878</v>
      </c>
      <c r="AB286" s="288">
        <f t="shared" ref="AB286:AB349" si="58">+AA286/ESALS</f>
        <v>6.6540959662619387E-2</v>
      </c>
    </row>
    <row r="287" spans="13:28" ht="12" hidden="1" customHeight="1">
      <c r="M287" s="266"/>
      <c r="N287" s="288">
        <f t="shared" ref="N287:N350" si="59">IF(N286 = "", "", IF(AND(0.995*ESALS&lt;=X286,X286&lt;=1.005*ESALS),"",(N286+D_Step)))</f>
        <v>6.9299999999999589</v>
      </c>
      <c r="O287" s="285">
        <f t="shared" si="45"/>
        <v>150</v>
      </c>
      <c r="P287" s="289">
        <f t="shared" si="46"/>
        <v>4000000</v>
      </c>
      <c r="Q287" s="285">
        <f t="shared" si="47"/>
        <v>110</v>
      </c>
      <c r="R287" s="285">
        <f t="shared" si="48"/>
        <v>85</v>
      </c>
      <c r="S287" s="285">
        <f t="shared" si="49"/>
        <v>0.35</v>
      </c>
      <c r="T287" s="285">
        <f t="shared" si="50"/>
        <v>3.2</v>
      </c>
      <c r="U287" s="285">
        <f t="shared" si="51"/>
        <v>1</v>
      </c>
      <c r="V287" s="285">
        <f t="shared" si="52"/>
        <v>4.5</v>
      </c>
      <c r="W287" s="285">
        <f t="shared" si="53"/>
        <v>1.5</v>
      </c>
      <c r="X287" s="289">
        <f t="shared" si="54"/>
        <v>6548.3188976925276</v>
      </c>
      <c r="Y287" s="288">
        <f t="shared" si="55"/>
        <v>3.2741594488462637E-2</v>
      </c>
      <c r="Z287" s="256">
        <f t="shared" si="56"/>
        <v>181.74993027852094</v>
      </c>
      <c r="AA287" s="289">
        <f t="shared" si="57"/>
        <v>13427.099837254094</v>
      </c>
      <c r="AB287" s="288">
        <f t="shared" si="58"/>
        <v>6.7135499186270473E-2</v>
      </c>
    </row>
    <row r="288" spans="13:28" ht="12" hidden="1" customHeight="1">
      <c r="M288" s="266"/>
      <c r="N288" s="288">
        <f t="shared" si="59"/>
        <v>6.9399999999999586</v>
      </c>
      <c r="O288" s="285">
        <f t="shared" si="45"/>
        <v>150</v>
      </c>
      <c r="P288" s="289">
        <f t="shared" si="46"/>
        <v>4000000</v>
      </c>
      <c r="Q288" s="285">
        <f t="shared" si="47"/>
        <v>110</v>
      </c>
      <c r="R288" s="285">
        <f t="shared" si="48"/>
        <v>85</v>
      </c>
      <c r="S288" s="285">
        <f t="shared" si="49"/>
        <v>0.35</v>
      </c>
      <c r="T288" s="285">
        <f t="shared" si="50"/>
        <v>3.2</v>
      </c>
      <c r="U288" s="285">
        <f t="shared" si="51"/>
        <v>1</v>
      </c>
      <c r="V288" s="285">
        <f t="shared" si="52"/>
        <v>4.5</v>
      </c>
      <c r="W288" s="285">
        <f t="shared" si="53"/>
        <v>1.5</v>
      </c>
      <c r="X288" s="289">
        <f t="shared" si="54"/>
        <v>6606.7590385878129</v>
      </c>
      <c r="Y288" s="288">
        <f t="shared" si="55"/>
        <v>3.3033795192939065E-2</v>
      </c>
      <c r="Z288" s="256">
        <f t="shared" si="56"/>
        <v>181.74993027852094</v>
      </c>
      <c r="AA288" s="289">
        <f t="shared" si="57"/>
        <v>13546.929310827967</v>
      </c>
      <c r="AB288" s="288">
        <f t="shared" si="58"/>
        <v>6.7734646554139841E-2</v>
      </c>
    </row>
    <row r="289" spans="13:28" ht="12" hidden="1" customHeight="1">
      <c r="M289" s="266"/>
      <c r="N289" s="288">
        <f t="shared" si="59"/>
        <v>6.9499999999999584</v>
      </c>
      <c r="O289" s="285">
        <f t="shared" si="45"/>
        <v>150</v>
      </c>
      <c r="P289" s="289">
        <f t="shared" si="46"/>
        <v>4000000</v>
      </c>
      <c r="Q289" s="285">
        <f t="shared" si="47"/>
        <v>110</v>
      </c>
      <c r="R289" s="285">
        <f t="shared" si="48"/>
        <v>85</v>
      </c>
      <c r="S289" s="285">
        <f t="shared" si="49"/>
        <v>0.35</v>
      </c>
      <c r="T289" s="285">
        <f t="shared" si="50"/>
        <v>3.2</v>
      </c>
      <c r="U289" s="285">
        <f t="shared" si="51"/>
        <v>1</v>
      </c>
      <c r="V289" s="285">
        <f t="shared" si="52"/>
        <v>4.5</v>
      </c>
      <c r="W289" s="285">
        <f t="shared" si="53"/>
        <v>1.5</v>
      </c>
      <c r="X289" s="289">
        <f t="shared" si="54"/>
        <v>6665.6515647196657</v>
      </c>
      <c r="Y289" s="288">
        <f t="shared" si="55"/>
        <v>3.3328257823598328E-2</v>
      </c>
      <c r="Z289" s="256">
        <f t="shared" si="56"/>
        <v>181.74993027852094</v>
      </c>
      <c r="AA289" s="289">
        <f t="shared" si="57"/>
        <v>13667.686384573868</v>
      </c>
      <c r="AB289" s="288">
        <f t="shared" si="58"/>
        <v>6.8338431922869342E-2</v>
      </c>
    </row>
    <row r="290" spans="13:28" ht="12" hidden="1" customHeight="1">
      <c r="M290" s="266"/>
      <c r="N290" s="288">
        <f t="shared" si="59"/>
        <v>6.9599999999999582</v>
      </c>
      <c r="O290" s="285">
        <f t="shared" si="45"/>
        <v>150</v>
      </c>
      <c r="P290" s="289">
        <f t="shared" si="46"/>
        <v>4000000</v>
      </c>
      <c r="Q290" s="285">
        <f t="shared" si="47"/>
        <v>110</v>
      </c>
      <c r="R290" s="285">
        <f t="shared" si="48"/>
        <v>85</v>
      </c>
      <c r="S290" s="285">
        <f t="shared" si="49"/>
        <v>0.35</v>
      </c>
      <c r="T290" s="285">
        <f t="shared" si="50"/>
        <v>3.2</v>
      </c>
      <c r="U290" s="285">
        <f t="shared" si="51"/>
        <v>1</v>
      </c>
      <c r="V290" s="285">
        <f t="shared" si="52"/>
        <v>4.5</v>
      </c>
      <c r="W290" s="285">
        <f t="shared" si="53"/>
        <v>1.5</v>
      </c>
      <c r="X290" s="289">
        <f t="shared" si="54"/>
        <v>6724.9994332053129</v>
      </c>
      <c r="Y290" s="288">
        <f t="shared" si="55"/>
        <v>3.3624997166026564E-2</v>
      </c>
      <c r="Z290" s="256">
        <f t="shared" si="56"/>
        <v>181.74993027852094</v>
      </c>
      <c r="AA290" s="289">
        <f t="shared" si="57"/>
        <v>13789.37712195775</v>
      </c>
      <c r="AB290" s="288">
        <f t="shared" si="58"/>
        <v>6.8946885609788747E-2</v>
      </c>
    </row>
    <row r="291" spans="13:28" ht="12" hidden="1" customHeight="1">
      <c r="M291" s="266"/>
      <c r="N291" s="288">
        <f t="shared" si="59"/>
        <v>6.969999999999958</v>
      </c>
      <c r="O291" s="285">
        <f t="shared" si="45"/>
        <v>150</v>
      </c>
      <c r="P291" s="289">
        <f t="shared" si="46"/>
        <v>4000000</v>
      </c>
      <c r="Q291" s="285">
        <f t="shared" si="47"/>
        <v>110</v>
      </c>
      <c r="R291" s="285">
        <f t="shared" si="48"/>
        <v>85</v>
      </c>
      <c r="S291" s="285">
        <f t="shared" si="49"/>
        <v>0.35</v>
      </c>
      <c r="T291" s="285">
        <f t="shared" si="50"/>
        <v>3.2</v>
      </c>
      <c r="U291" s="285">
        <f t="shared" si="51"/>
        <v>1</v>
      </c>
      <c r="V291" s="285">
        <f t="shared" si="52"/>
        <v>4.5</v>
      </c>
      <c r="W291" s="285">
        <f t="shared" si="53"/>
        <v>1.5</v>
      </c>
      <c r="X291" s="289">
        <f t="shared" si="54"/>
        <v>6784.8056168996773</v>
      </c>
      <c r="Y291" s="288">
        <f t="shared" si="55"/>
        <v>3.3924028084498389E-2</v>
      </c>
      <c r="Z291" s="256">
        <f t="shared" si="56"/>
        <v>181.74993027852094</v>
      </c>
      <c r="AA291" s="289">
        <f t="shared" si="57"/>
        <v>13912.007618715072</v>
      </c>
      <c r="AB291" s="288">
        <f t="shared" si="58"/>
        <v>6.956003809357536E-2</v>
      </c>
    </row>
    <row r="292" spans="13:28" ht="12" hidden="1" customHeight="1">
      <c r="M292" s="266"/>
      <c r="N292" s="288">
        <f t="shared" si="59"/>
        <v>6.9799999999999578</v>
      </c>
      <c r="O292" s="285">
        <f t="shared" si="45"/>
        <v>150</v>
      </c>
      <c r="P292" s="289">
        <f t="shared" si="46"/>
        <v>4000000</v>
      </c>
      <c r="Q292" s="285">
        <f t="shared" si="47"/>
        <v>110</v>
      </c>
      <c r="R292" s="285">
        <f t="shared" si="48"/>
        <v>85</v>
      </c>
      <c r="S292" s="285">
        <f t="shared" si="49"/>
        <v>0.35</v>
      </c>
      <c r="T292" s="285">
        <f t="shared" si="50"/>
        <v>3.2</v>
      </c>
      <c r="U292" s="285">
        <f t="shared" si="51"/>
        <v>1</v>
      </c>
      <c r="V292" s="285">
        <f t="shared" si="52"/>
        <v>4.5</v>
      </c>
      <c r="W292" s="285">
        <f t="shared" si="53"/>
        <v>1.5</v>
      </c>
      <c r="X292" s="289">
        <f t="shared" si="54"/>
        <v>6845.0731044598269</v>
      </c>
      <c r="Y292" s="288">
        <f t="shared" si="55"/>
        <v>3.4225365522299135E-2</v>
      </c>
      <c r="Z292" s="256">
        <f t="shared" si="56"/>
        <v>181.74993027852094</v>
      </c>
      <c r="AA292" s="289">
        <f t="shared" si="57"/>
        <v>14035.584002983062</v>
      </c>
      <c r="AB292" s="288">
        <f t="shared" si="58"/>
        <v>7.017792001491531E-2</v>
      </c>
    </row>
    <row r="293" spans="13:28" ht="12" hidden="1" customHeight="1">
      <c r="M293" s="266"/>
      <c r="N293" s="288">
        <f t="shared" si="59"/>
        <v>6.9899999999999576</v>
      </c>
      <c r="O293" s="285">
        <f t="shared" si="45"/>
        <v>150</v>
      </c>
      <c r="P293" s="289">
        <f t="shared" si="46"/>
        <v>4000000</v>
      </c>
      <c r="Q293" s="285">
        <f t="shared" si="47"/>
        <v>110</v>
      </c>
      <c r="R293" s="285">
        <f t="shared" si="48"/>
        <v>85</v>
      </c>
      <c r="S293" s="285">
        <f t="shared" si="49"/>
        <v>0.35</v>
      </c>
      <c r="T293" s="285">
        <f t="shared" si="50"/>
        <v>3.2</v>
      </c>
      <c r="U293" s="285">
        <f t="shared" si="51"/>
        <v>1</v>
      </c>
      <c r="V293" s="285">
        <f t="shared" si="52"/>
        <v>4.5</v>
      </c>
      <c r="W293" s="285">
        <f t="shared" si="53"/>
        <v>1.5</v>
      </c>
      <c r="X293" s="289">
        <f t="shared" si="54"/>
        <v>6905.8049004097156</v>
      </c>
      <c r="Y293" s="288">
        <f t="shared" si="55"/>
        <v>3.4529024502048575E-2</v>
      </c>
      <c r="Z293" s="256">
        <f t="shared" si="56"/>
        <v>181.74993027852094</v>
      </c>
      <c r="AA293" s="289">
        <f t="shared" si="57"/>
        <v>14160.112435433475</v>
      </c>
      <c r="AB293" s="288">
        <f t="shared" si="58"/>
        <v>7.0800562177167375E-2</v>
      </c>
    </row>
    <row r="294" spans="13:28" ht="12" hidden="1" customHeight="1">
      <c r="M294" s="266"/>
      <c r="N294" s="288">
        <f t="shared" si="59"/>
        <v>6.9999999999999574</v>
      </c>
      <c r="O294" s="285">
        <f t="shared" si="45"/>
        <v>150</v>
      </c>
      <c r="P294" s="289">
        <f t="shared" si="46"/>
        <v>4000000</v>
      </c>
      <c r="Q294" s="285">
        <f t="shared" si="47"/>
        <v>110</v>
      </c>
      <c r="R294" s="285">
        <f t="shared" si="48"/>
        <v>85</v>
      </c>
      <c r="S294" s="285">
        <f t="shared" si="49"/>
        <v>0.35</v>
      </c>
      <c r="T294" s="285">
        <f t="shared" si="50"/>
        <v>3.2</v>
      </c>
      <c r="U294" s="285">
        <f t="shared" si="51"/>
        <v>1</v>
      </c>
      <c r="V294" s="285">
        <f t="shared" si="52"/>
        <v>4.5</v>
      </c>
      <c r="W294" s="285">
        <f t="shared" si="53"/>
        <v>1.5</v>
      </c>
      <c r="X294" s="289">
        <f t="shared" si="54"/>
        <v>6967.0040252050421</v>
      </c>
      <c r="Y294" s="288">
        <f t="shared" si="55"/>
        <v>3.4835020126025212E-2</v>
      </c>
      <c r="Z294" s="256">
        <f t="shared" si="56"/>
        <v>181.74993027852094</v>
      </c>
      <c r="AA294" s="289">
        <f t="shared" si="57"/>
        <v>14285.59910940545</v>
      </c>
      <c r="AB294" s="288">
        <f t="shared" si="58"/>
        <v>7.1427995547027251E-2</v>
      </c>
    </row>
    <row r="295" spans="13:28" ht="12" hidden="1" customHeight="1">
      <c r="M295" s="266"/>
      <c r="N295" s="288">
        <f t="shared" si="59"/>
        <v>7.0099999999999572</v>
      </c>
      <c r="O295" s="285">
        <f t="shared" si="45"/>
        <v>150</v>
      </c>
      <c r="P295" s="289">
        <f t="shared" si="46"/>
        <v>4000000</v>
      </c>
      <c r="Q295" s="285">
        <f t="shared" si="47"/>
        <v>110</v>
      </c>
      <c r="R295" s="285">
        <f t="shared" si="48"/>
        <v>85</v>
      </c>
      <c r="S295" s="285">
        <f t="shared" si="49"/>
        <v>0.35</v>
      </c>
      <c r="T295" s="285">
        <f t="shared" si="50"/>
        <v>3.2</v>
      </c>
      <c r="U295" s="285">
        <f t="shared" si="51"/>
        <v>1</v>
      </c>
      <c r="V295" s="285">
        <f t="shared" si="52"/>
        <v>4.5</v>
      </c>
      <c r="W295" s="285">
        <f t="shared" si="53"/>
        <v>1.5</v>
      </c>
      <c r="X295" s="289">
        <f t="shared" si="54"/>
        <v>7028.6735152983829</v>
      </c>
      <c r="Y295" s="288">
        <f t="shared" si="55"/>
        <v>3.5143367576491912E-2</v>
      </c>
      <c r="Z295" s="256">
        <f t="shared" si="56"/>
        <v>181.74993027852094</v>
      </c>
      <c r="AA295" s="289">
        <f t="shared" si="57"/>
        <v>14412.050251039314</v>
      </c>
      <c r="AB295" s="288">
        <f t="shared" si="58"/>
        <v>7.2060251255196578E-2</v>
      </c>
    </row>
    <row r="296" spans="13:28" ht="12" hidden="1" customHeight="1">
      <c r="M296" s="266"/>
      <c r="N296" s="288">
        <f t="shared" si="59"/>
        <v>7.0199999999999569</v>
      </c>
      <c r="O296" s="285">
        <f t="shared" si="45"/>
        <v>150</v>
      </c>
      <c r="P296" s="289">
        <f t="shared" si="46"/>
        <v>4000000</v>
      </c>
      <c r="Q296" s="285">
        <f t="shared" si="47"/>
        <v>110</v>
      </c>
      <c r="R296" s="285">
        <f t="shared" si="48"/>
        <v>85</v>
      </c>
      <c r="S296" s="285">
        <f t="shared" si="49"/>
        <v>0.35</v>
      </c>
      <c r="T296" s="285">
        <f t="shared" si="50"/>
        <v>3.2</v>
      </c>
      <c r="U296" s="285">
        <f t="shared" si="51"/>
        <v>1</v>
      </c>
      <c r="V296" s="285">
        <f t="shared" si="52"/>
        <v>4.5</v>
      </c>
      <c r="W296" s="285">
        <f t="shared" si="53"/>
        <v>1.5</v>
      </c>
      <c r="X296" s="289">
        <f t="shared" si="54"/>
        <v>7090.816423204461</v>
      </c>
      <c r="Y296" s="288">
        <f t="shared" si="55"/>
        <v>3.5454082116022308E-2</v>
      </c>
      <c r="Z296" s="256">
        <f t="shared" si="56"/>
        <v>181.74993027852094</v>
      </c>
      <c r="AA296" s="289">
        <f t="shared" si="57"/>
        <v>14539.472119410177</v>
      </c>
      <c r="AB296" s="288">
        <f t="shared" si="58"/>
        <v>7.2697360597050883E-2</v>
      </c>
    </row>
    <row r="297" spans="13:28" ht="12" hidden="1" customHeight="1">
      <c r="M297" s="266"/>
      <c r="N297" s="288">
        <f t="shared" si="59"/>
        <v>7.0299999999999567</v>
      </c>
      <c r="O297" s="285">
        <f t="shared" si="45"/>
        <v>150</v>
      </c>
      <c r="P297" s="289">
        <f t="shared" si="46"/>
        <v>4000000</v>
      </c>
      <c r="Q297" s="285">
        <f t="shared" si="47"/>
        <v>110</v>
      </c>
      <c r="R297" s="285">
        <f t="shared" si="48"/>
        <v>85</v>
      </c>
      <c r="S297" s="285">
        <f t="shared" si="49"/>
        <v>0.35</v>
      </c>
      <c r="T297" s="285">
        <f t="shared" si="50"/>
        <v>3.2</v>
      </c>
      <c r="U297" s="285">
        <f t="shared" si="51"/>
        <v>1</v>
      </c>
      <c r="V297" s="285">
        <f t="shared" si="52"/>
        <v>4.5</v>
      </c>
      <c r="W297" s="285">
        <f t="shared" si="53"/>
        <v>1.5</v>
      </c>
      <c r="X297" s="289">
        <f t="shared" si="54"/>
        <v>7153.435817565547</v>
      </c>
      <c r="Y297" s="288">
        <f t="shared" si="55"/>
        <v>3.5767179087827734E-2</v>
      </c>
      <c r="Z297" s="256">
        <f t="shared" si="56"/>
        <v>181.74993027852094</v>
      </c>
      <c r="AA297" s="289">
        <f t="shared" si="57"/>
        <v>14667.871006662108</v>
      </c>
      <c r="AB297" s="288">
        <f t="shared" si="58"/>
        <v>7.3339355033310544E-2</v>
      </c>
    </row>
    <row r="298" spans="13:28" ht="12" hidden="1" customHeight="1">
      <c r="M298" s="266"/>
      <c r="N298" s="288">
        <f t="shared" si="59"/>
        <v>7.0399999999999565</v>
      </c>
      <c r="O298" s="285">
        <f t="shared" si="45"/>
        <v>150</v>
      </c>
      <c r="P298" s="289">
        <f t="shared" si="46"/>
        <v>4000000</v>
      </c>
      <c r="Q298" s="285">
        <f t="shared" si="47"/>
        <v>110</v>
      </c>
      <c r="R298" s="285">
        <f t="shared" si="48"/>
        <v>85</v>
      </c>
      <c r="S298" s="285">
        <f t="shared" si="49"/>
        <v>0.35</v>
      </c>
      <c r="T298" s="285">
        <f t="shared" si="50"/>
        <v>3.2</v>
      </c>
      <c r="U298" s="285">
        <f t="shared" si="51"/>
        <v>1</v>
      </c>
      <c r="V298" s="285">
        <f t="shared" si="52"/>
        <v>4.5</v>
      </c>
      <c r="W298" s="285">
        <f t="shared" si="53"/>
        <v>1.5</v>
      </c>
      <c r="X298" s="289">
        <f t="shared" si="54"/>
        <v>7216.5347832171492</v>
      </c>
      <c r="Y298" s="288">
        <f t="shared" si="55"/>
        <v>3.6082673916085745E-2</v>
      </c>
      <c r="Z298" s="256">
        <f t="shared" si="56"/>
        <v>181.74993027852094</v>
      </c>
      <c r="AA298" s="289">
        <f t="shared" si="57"/>
        <v>14797.253238142986</v>
      </c>
      <c r="AB298" s="288">
        <f t="shared" si="58"/>
        <v>7.3986266190714939E-2</v>
      </c>
    </row>
    <row r="299" spans="13:28" ht="12" hidden="1" customHeight="1">
      <c r="M299" s="266"/>
      <c r="N299" s="288">
        <f t="shared" si="59"/>
        <v>7.0499999999999563</v>
      </c>
      <c r="O299" s="285">
        <f t="shared" si="45"/>
        <v>150</v>
      </c>
      <c r="P299" s="289">
        <f t="shared" si="46"/>
        <v>4000000</v>
      </c>
      <c r="Q299" s="285">
        <f t="shared" si="47"/>
        <v>110</v>
      </c>
      <c r="R299" s="285">
        <f t="shared" si="48"/>
        <v>85</v>
      </c>
      <c r="S299" s="285">
        <f t="shared" si="49"/>
        <v>0.35</v>
      </c>
      <c r="T299" s="285">
        <f t="shared" si="50"/>
        <v>3.2</v>
      </c>
      <c r="U299" s="285">
        <f t="shared" si="51"/>
        <v>1</v>
      </c>
      <c r="V299" s="285">
        <f t="shared" si="52"/>
        <v>4.5</v>
      </c>
      <c r="W299" s="285">
        <f t="shared" si="53"/>
        <v>1.5</v>
      </c>
      <c r="X299" s="289">
        <f t="shared" si="54"/>
        <v>7280.1164212538679</v>
      </c>
      <c r="Y299" s="288">
        <f t="shared" si="55"/>
        <v>3.6400582106269341E-2</v>
      </c>
      <c r="Z299" s="256">
        <f t="shared" si="56"/>
        <v>181.74993027852094</v>
      </c>
      <c r="AA299" s="289">
        <f t="shared" si="57"/>
        <v>14927.625172539105</v>
      </c>
      <c r="AB299" s="288">
        <f t="shared" si="58"/>
        <v>7.4638125862695526E-2</v>
      </c>
    </row>
    <row r="300" spans="13:28" ht="12" hidden="1" customHeight="1">
      <c r="M300" s="266"/>
      <c r="N300" s="288">
        <f t="shared" si="59"/>
        <v>7.0599999999999561</v>
      </c>
      <c r="O300" s="285">
        <f t="shared" si="45"/>
        <v>150</v>
      </c>
      <c r="P300" s="289">
        <f t="shared" si="46"/>
        <v>4000000</v>
      </c>
      <c r="Q300" s="285">
        <f t="shared" si="47"/>
        <v>110</v>
      </c>
      <c r="R300" s="285">
        <f t="shared" si="48"/>
        <v>85</v>
      </c>
      <c r="S300" s="285">
        <f t="shared" si="49"/>
        <v>0.35</v>
      </c>
      <c r="T300" s="285">
        <f t="shared" si="50"/>
        <v>3.2</v>
      </c>
      <c r="U300" s="285">
        <f t="shared" si="51"/>
        <v>1</v>
      </c>
      <c r="V300" s="285">
        <f t="shared" si="52"/>
        <v>4.5</v>
      </c>
      <c r="W300" s="285">
        <f t="shared" si="53"/>
        <v>1.5</v>
      </c>
      <c r="X300" s="289">
        <f t="shared" si="54"/>
        <v>7344.1838490952705</v>
      </c>
      <c r="Y300" s="288">
        <f t="shared" si="55"/>
        <v>3.6720919245476352E-2</v>
      </c>
      <c r="Z300" s="256">
        <f t="shared" si="56"/>
        <v>181.74993027852094</v>
      </c>
      <c r="AA300" s="289">
        <f t="shared" si="57"/>
        <v>15058.993202010923</v>
      </c>
      <c r="AB300" s="288">
        <f t="shared" si="58"/>
        <v>7.5294966010054615E-2</v>
      </c>
    </row>
    <row r="301" spans="13:28" ht="12" hidden="1" customHeight="1">
      <c r="M301" s="266"/>
      <c r="N301" s="288">
        <f t="shared" si="59"/>
        <v>7.0699999999999559</v>
      </c>
      <c r="O301" s="285">
        <f t="shared" si="45"/>
        <v>150</v>
      </c>
      <c r="P301" s="289">
        <f t="shared" si="46"/>
        <v>4000000</v>
      </c>
      <c r="Q301" s="285">
        <f t="shared" si="47"/>
        <v>110</v>
      </c>
      <c r="R301" s="285">
        <f t="shared" si="48"/>
        <v>85</v>
      </c>
      <c r="S301" s="285">
        <f t="shared" si="49"/>
        <v>0.35</v>
      </c>
      <c r="T301" s="285">
        <f t="shared" si="50"/>
        <v>3.2</v>
      </c>
      <c r="U301" s="285">
        <f t="shared" si="51"/>
        <v>1</v>
      </c>
      <c r="V301" s="285">
        <f t="shared" si="52"/>
        <v>4.5</v>
      </c>
      <c r="W301" s="285">
        <f t="shared" si="53"/>
        <v>1.5</v>
      </c>
      <c r="X301" s="289">
        <f t="shared" si="54"/>
        <v>7408.7402005523436</v>
      </c>
      <c r="Y301" s="288">
        <f t="shared" si="55"/>
        <v>3.704370100276172E-2</v>
      </c>
      <c r="Z301" s="256">
        <f t="shared" si="56"/>
        <v>181.74993027852094</v>
      </c>
      <c r="AA301" s="289">
        <f t="shared" si="57"/>
        <v>15191.363752328565</v>
      </c>
      <c r="AB301" s="288">
        <f t="shared" si="58"/>
        <v>7.5956818761642828E-2</v>
      </c>
    </row>
    <row r="302" spans="13:28" ht="12" hidden="1" customHeight="1">
      <c r="M302" s="266"/>
      <c r="N302" s="288">
        <f t="shared" si="59"/>
        <v>7.0799999999999557</v>
      </c>
      <c r="O302" s="285">
        <f t="shared" si="45"/>
        <v>150</v>
      </c>
      <c r="P302" s="289">
        <f t="shared" si="46"/>
        <v>4000000</v>
      </c>
      <c r="Q302" s="285">
        <f t="shared" si="47"/>
        <v>110</v>
      </c>
      <c r="R302" s="285">
        <f t="shared" si="48"/>
        <v>85</v>
      </c>
      <c r="S302" s="285">
        <f t="shared" si="49"/>
        <v>0.35</v>
      </c>
      <c r="T302" s="285">
        <f t="shared" si="50"/>
        <v>3.2</v>
      </c>
      <c r="U302" s="285">
        <f t="shared" si="51"/>
        <v>1</v>
      </c>
      <c r="V302" s="285">
        <f t="shared" si="52"/>
        <v>4.5</v>
      </c>
      <c r="W302" s="285">
        <f t="shared" si="53"/>
        <v>1.5</v>
      </c>
      <c r="X302" s="289">
        <f t="shared" si="54"/>
        <v>7473.7886258936851</v>
      </c>
      <c r="Y302" s="288">
        <f t="shared" si="55"/>
        <v>3.7368943129468424E-2</v>
      </c>
      <c r="Z302" s="256">
        <f t="shared" si="56"/>
        <v>181.74993027852094</v>
      </c>
      <c r="AA302" s="289">
        <f t="shared" si="57"/>
        <v>15324.743283008131</v>
      </c>
      <c r="AB302" s="288">
        <f t="shared" si="58"/>
        <v>7.6623716415040649E-2</v>
      </c>
    </row>
    <row r="303" spans="13:28" ht="12" hidden="1" customHeight="1">
      <c r="M303" s="266"/>
      <c r="N303" s="288">
        <f t="shared" si="59"/>
        <v>7.0899999999999554</v>
      </c>
      <c r="O303" s="285">
        <f t="shared" si="45"/>
        <v>150</v>
      </c>
      <c r="P303" s="289">
        <f t="shared" si="46"/>
        <v>4000000</v>
      </c>
      <c r="Q303" s="285">
        <f t="shared" si="47"/>
        <v>110</v>
      </c>
      <c r="R303" s="285">
        <f t="shared" si="48"/>
        <v>85</v>
      </c>
      <c r="S303" s="285">
        <f t="shared" si="49"/>
        <v>0.35</v>
      </c>
      <c r="T303" s="285">
        <f t="shared" si="50"/>
        <v>3.2</v>
      </c>
      <c r="U303" s="285">
        <f t="shared" si="51"/>
        <v>1</v>
      </c>
      <c r="V303" s="285">
        <f t="shared" si="52"/>
        <v>4.5</v>
      </c>
      <c r="W303" s="285">
        <f t="shared" si="53"/>
        <v>1.5</v>
      </c>
      <c r="X303" s="289">
        <f t="shared" si="54"/>
        <v>7539.3322919121238</v>
      </c>
      <c r="Y303" s="288">
        <f t="shared" si="55"/>
        <v>3.7696661459560618E-2</v>
      </c>
      <c r="Z303" s="256">
        <f t="shared" si="56"/>
        <v>181.74993027852094</v>
      </c>
      <c r="AA303" s="289">
        <f t="shared" si="57"/>
        <v>15459.138287447997</v>
      </c>
      <c r="AB303" s="288">
        <f t="shared" si="58"/>
        <v>7.729569143723998E-2</v>
      </c>
    </row>
    <row r="304" spans="13:28" ht="12" hidden="1" customHeight="1">
      <c r="M304" s="266"/>
      <c r="N304" s="288">
        <f t="shared" si="59"/>
        <v>7.0999999999999552</v>
      </c>
      <c r="O304" s="285">
        <f t="shared" si="45"/>
        <v>150</v>
      </c>
      <c r="P304" s="289">
        <f t="shared" si="46"/>
        <v>4000000</v>
      </c>
      <c r="Q304" s="285">
        <f t="shared" si="47"/>
        <v>110</v>
      </c>
      <c r="R304" s="285">
        <f t="shared" si="48"/>
        <v>85</v>
      </c>
      <c r="S304" s="285">
        <f t="shared" si="49"/>
        <v>0.35</v>
      </c>
      <c r="T304" s="285">
        <f t="shared" si="50"/>
        <v>3.2</v>
      </c>
      <c r="U304" s="285">
        <f t="shared" si="51"/>
        <v>1</v>
      </c>
      <c r="V304" s="285">
        <f t="shared" si="52"/>
        <v>4.5</v>
      </c>
      <c r="W304" s="285">
        <f t="shared" si="53"/>
        <v>1.5</v>
      </c>
      <c r="X304" s="289">
        <f t="shared" si="54"/>
        <v>7605.3743819915444</v>
      </c>
      <c r="Y304" s="288">
        <f t="shared" si="55"/>
        <v>3.8026871909957724E-2</v>
      </c>
      <c r="Z304" s="256">
        <f t="shared" si="56"/>
        <v>181.74993027852094</v>
      </c>
      <c r="AA304" s="289">
        <f t="shared" si="57"/>
        <v>15594.555293066027</v>
      </c>
      <c r="AB304" s="288">
        <f t="shared" si="58"/>
        <v>7.7972776465330129E-2</v>
      </c>
    </row>
    <row r="305" spans="13:28" ht="12" hidden="1" customHeight="1">
      <c r="M305" s="266"/>
      <c r="N305" s="288">
        <f t="shared" si="59"/>
        <v>7.109999999999955</v>
      </c>
      <c r="O305" s="285">
        <f t="shared" si="45"/>
        <v>150</v>
      </c>
      <c r="P305" s="289">
        <f t="shared" si="46"/>
        <v>4000000</v>
      </c>
      <c r="Q305" s="285">
        <f t="shared" si="47"/>
        <v>110</v>
      </c>
      <c r="R305" s="285">
        <f t="shared" si="48"/>
        <v>85</v>
      </c>
      <c r="S305" s="285">
        <f t="shared" si="49"/>
        <v>0.35</v>
      </c>
      <c r="T305" s="285">
        <f t="shared" si="50"/>
        <v>3.2</v>
      </c>
      <c r="U305" s="285">
        <f t="shared" si="51"/>
        <v>1</v>
      </c>
      <c r="V305" s="285">
        <f t="shared" si="52"/>
        <v>4.5</v>
      </c>
      <c r="W305" s="285">
        <f t="shared" si="53"/>
        <v>1.5</v>
      </c>
      <c r="X305" s="289">
        <f t="shared" si="54"/>
        <v>7671.9180961738348</v>
      </c>
      <c r="Y305" s="288">
        <f t="shared" si="55"/>
        <v>3.8359590480869177E-2</v>
      </c>
      <c r="Z305" s="256">
        <f t="shared" si="56"/>
        <v>181.74993027852094</v>
      </c>
      <c r="AA305" s="289">
        <f t="shared" si="57"/>
        <v>15731.000861436558</v>
      </c>
      <c r="AB305" s="288">
        <f t="shared" si="58"/>
        <v>7.8655004307182794E-2</v>
      </c>
    </row>
    <row r="306" spans="13:28" ht="12" hidden="1" customHeight="1">
      <c r="M306" s="266"/>
      <c r="N306" s="288">
        <f t="shared" si="59"/>
        <v>7.1199999999999548</v>
      </c>
      <c r="O306" s="285">
        <f t="shared" si="45"/>
        <v>150</v>
      </c>
      <c r="P306" s="289">
        <f t="shared" si="46"/>
        <v>4000000</v>
      </c>
      <c r="Q306" s="285">
        <f t="shared" si="47"/>
        <v>110</v>
      </c>
      <c r="R306" s="285">
        <f t="shared" si="48"/>
        <v>85</v>
      </c>
      <c r="S306" s="285">
        <f t="shared" si="49"/>
        <v>0.35</v>
      </c>
      <c r="T306" s="285">
        <f t="shared" si="50"/>
        <v>3.2</v>
      </c>
      <c r="U306" s="285">
        <f t="shared" si="51"/>
        <v>1</v>
      </c>
      <c r="V306" s="285">
        <f t="shared" si="52"/>
        <v>4.5</v>
      </c>
      <c r="W306" s="285">
        <f t="shared" si="53"/>
        <v>1.5</v>
      </c>
      <c r="X306" s="289">
        <f t="shared" si="54"/>
        <v>7738.9666512259892</v>
      </c>
      <c r="Y306" s="288">
        <f t="shared" si="55"/>
        <v>3.8694833256129949E-2</v>
      </c>
      <c r="Z306" s="256">
        <f t="shared" si="56"/>
        <v>181.74993027852094</v>
      </c>
      <c r="AA306" s="289">
        <f t="shared" si="57"/>
        <v>15868.481588428327</v>
      </c>
      <c r="AB306" s="288">
        <f t="shared" si="58"/>
        <v>7.9342407942141632E-2</v>
      </c>
    </row>
    <row r="307" spans="13:28" ht="12" hidden="1" customHeight="1">
      <c r="M307" s="266"/>
      <c r="N307" s="288">
        <f t="shared" si="59"/>
        <v>7.1299999999999546</v>
      </c>
      <c r="O307" s="285">
        <f t="shared" si="45"/>
        <v>150</v>
      </c>
      <c r="P307" s="289">
        <f t="shared" si="46"/>
        <v>4000000</v>
      </c>
      <c r="Q307" s="285">
        <f t="shared" si="47"/>
        <v>110</v>
      </c>
      <c r="R307" s="285">
        <f t="shared" si="48"/>
        <v>85</v>
      </c>
      <c r="S307" s="285">
        <f t="shared" si="49"/>
        <v>0.35</v>
      </c>
      <c r="T307" s="285">
        <f t="shared" si="50"/>
        <v>3.2</v>
      </c>
      <c r="U307" s="285">
        <f t="shared" si="51"/>
        <v>1</v>
      </c>
      <c r="V307" s="285">
        <f t="shared" si="52"/>
        <v>4.5</v>
      </c>
      <c r="W307" s="285">
        <f t="shared" si="53"/>
        <v>1.5</v>
      </c>
      <c r="X307" s="289">
        <f t="shared" si="54"/>
        <v>7806.5232807075363</v>
      </c>
      <c r="Y307" s="288">
        <f t="shared" si="55"/>
        <v>3.9032616403537682E-2</v>
      </c>
      <c r="Z307" s="256">
        <f t="shared" si="56"/>
        <v>181.74993027852094</v>
      </c>
      <c r="AA307" s="289">
        <f t="shared" si="57"/>
        <v>16007.004104342564</v>
      </c>
      <c r="AB307" s="288">
        <f t="shared" si="58"/>
        <v>8.0035020521712824E-2</v>
      </c>
    </row>
    <row r="308" spans="13:28" ht="12" hidden="1" customHeight="1">
      <c r="M308" s="266"/>
      <c r="N308" s="288">
        <f t="shared" si="59"/>
        <v>7.1399999999999544</v>
      </c>
      <c r="O308" s="285">
        <f t="shared" si="45"/>
        <v>150</v>
      </c>
      <c r="P308" s="289">
        <f t="shared" si="46"/>
        <v>4000000</v>
      </c>
      <c r="Q308" s="285">
        <f t="shared" si="47"/>
        <v>110</v>
      </c>
      <c r="R308" s="285">
        <f t="shared" si="48"/>
        <v>85</v>
      </c>
      <c r="S308" s="285">
        <f t="shared" si="49"/>
        <v>0.35</v>
      </c>
      <c r="T308" s="285">
        <f t="shared" si="50"/>
        <v>3.2</v>
      </c>
      <c r="U308" s="285">
        <f t="shared" si="51"/>
        <v>1</v>
      </c>
      <c r="V308" s="285">
        <f t="shared" si="52"/>
        <v>4.5</v>
      </c>
      <c r="W308" s="285">
        <f t="shared" si="53"/>
        <v>1.5</v>
      </c>
      <c r="X308" s="289">
        <f t="shared" si="54"/>
        <v>7874.5912350379531</v>
      </c>
      <c r="Y308" s="288">
        <f t="shared" si="55"/>
        <v>3.9372956175189766E-2</v>
      </c>
      <c r="Z308" s="256">
        <f t="shared" si="56"/>
        <v>181.74993027852094</v>
      </c>
      <c r="AA308" s="289">
        <f t="shared" si="57"/>
        <v>16146.575074051203</v>
      </c>
      <c r="AB308" s="288">
        <f t="shared" si="58"/>
        <v>8.0732875370256016E-2</v>
      </c>
    </row>
    <row r="309" spans="13:28" ht="12" hidden="1" customHeight="1">
      <c r="M309" s="266"/>
      <c r="N309" s="288">
        <f t="shared" si="59"/>
        <v>7.1499999999999542</v>
      </c>
      <c r="O309" s="285">
        <f t="shared" si="45"/>
        <v>150</v>
      </c>
      <c r="P309" s="289">
        <f t="shared" si="46"/>
        <v>4000000</v>
      </c>
      <c r="Q309" s="285">
        <f t="shared" si="47"/>
        <v>110</v>
      </c>
      <c r="R309" s="285">
        <f t="shared" si="48"/>
        <v>85</v>
      </c>
      <c r="S309" s="285">
        <f t="shared" si="49"/>
        <v>0.35</v>
      </c>
      <c r="T309" s="285">
        <f t="shared" si="50"/>
        <v>3.2</v>
      </c>
      <c r="U309" s="285">
        <f t="shared" si="51"/>
        <v>1</v>
      </c>
      <c r="V309" s="285">
        <f t="shared" si="52"/>
        <v>4.5</v>
      </c>
      <c r="W309" s="285">
        <f t="shared" si="53"/>
        <v>1.5</v>
      </c>
      <c r="X309" s="289">
        <f t="shared" si="54"/>
        <v>7943.1737815644719</v>
      </c>
      <c r="Y309" s="288">
        <f t="shared" si="55"/>
        <v>3.971586890782236E-2</v>
      </c>
      <c r="Z309" s="256">
        <f t="shared" si="56"/>
        <v>181.74993027852094</v>
      </c>
      <c r="AA309" s="289">
        <f t="shared" si="57"/>
        <v>16287.201197135919</v>
      </c>
      <c r="AB309" s="288">
        <f t="shared" si="58"/>
        <v>8.1436005985679599E-2</v>
      </c>
    </row>
    <row r="310" spans="13:28" ht="12" hidden="1" customHeight="1">
      <c r="M310" s="266"/>
      <c r="N310" s="288">
        <f t="shared" si="59"/>
        <v>7.159999999999954</v>
      </c>
      <c r="O310" s="285">
        <f t="shared" si="45"/>
        <v>150</v>
      </c>
      <c r="P310" s="289">
        <f t="shared" si="46"/>
        <v>4000000</v>
      </c>
      <c r="Q310" s="285">
        <f t="shared" si="47"/>
        <v>110</v>
      </c>
      <c r="R310" s="285">
        <f t="shared" si="48"/>
        <v>85</v>
      </c>
      <c r="S310" s="285">
        <f t="shared" si="49"/>
        <v>0.35</v>
      </c>
      <c r="T310" s="285">
        <f t="shared" si="50"/>
        <v>3.2</v>
      </c>
      <c r="U310" s="285">
        <f t="shared" si="51"/>
        <v>1</v>
      </c>
      <c r="V310" s="285">
        <f t="shared" si="52"/>
        <v>4.5</v>
      </c>
      <c r="W310" s="285">
        <f t="shared" si="53"/>
        <v>1.5</v>
      </c>
      <c r="X310" s="289">
        <f t="shared" si="54"/>
        <v>8012.2742046300291</v>
      </c>
      <c r="Y310" s="288">
        <f t="shared" si="55"/>
        <v>4.0061371023150147E-2</v>
      </c>
      <c r="Z310" s="256">
        <f t="shared" si="56"/>
        <v>181.74993027852094</v>
      </c>
      <c r="AA310" s="289">
        <f t="shared" si="57"/>
        <v>16428.889208027489</v>
      </c>
      <c r="AB310" s="288">
        <f t="shared" si="58"/>
        <v>8.2144446040137445E-2</v>
      </c>
    </row>
    <row r="311" spans="13:28" ht="12" hidden="1" customHeight="1">
      <c r="M311" s="266"/>
      <c r="N311" s="288">
        <f t="shared" si="59"/>
        <v>7.1699999999999537</v>
      </c>
      <c r="O311" s="285">
        <f t="shared" si="45"/>
        <v>150</v>
      </c>
      <c r="P311" s="289">
        <f t="shared" si="46"/>
        <v>4000000</v>
      </c>
      <c r="Q311" s="285">
        <f t="shared" si="47"/>
        <v>110</v>
      </c>
      <c r="R311" s="285">
        <f t="shared" si="48"/>
        <v>85</v>
      </c>
      <c r="S311" s="285">
        <f t="shared" si="49"/>
        <v>0.35</v>
      </c>
      <c r="T311" s="285">
        <f t="shared" si="50"/>
        <v>3.2</v>
      </c>
      <c r="U311" s="285">
        <f t="shared" si="51"/>
        <v>1</v>
      </c>
      <c r="V311" s="285">
        <f t="shared" si="52"/>
        <v>4.5</v>
      </c>
      <c r="W311" s="285">
        <f t="shared" si="53"/>
        <v>1.5</v>
      </c>
      <c r="X311" s="289">
        <f t="shared" si="54"/>
        <v>8081.8958056412121</v>
      </c>
      <c r="Y311" s="288">
        <f t="shared" si="55"/>
        <v>4.0409479028206061E-2</v>
      </c>
      <c r="Z311" s="256">
        <f t="shared" si="56"/>
        <v>181.74993027852094</v>
      </c>
      <c r="AA311" s="289">
        <f t="shared" si="57"/>
        <v>16571.645876145169</v>
      </c>
      <c r="AB311" s="288">
        <f t="shared" si="58"/>
        <v>8.2858229380725845E-2</v>
      </c>
    </row>
    <row r="312" spans="13:28" ht="12" hidden="1" customHeight="1">
      <c r="M312" s="266"/>
      <c r="N312" s="288">
        <f t="shared" si="59"/>
        <v>7.1799999999999535</v>
      </c>
      <c r="O312" s="285">
        <f t="shared" si="45"/>
        <v>150</v>
      </c>
      <c r="P312" s="289">
        <f t="shared" si="46"/>
        <v>4000000</v>
      </c>
      <c r="Q312" s="285">
        <f t="shared" si="47"/>
        <v>110</v>
      </c>
      <c r="R312" s="285">
        <f t="shared" si="48"/>
        <v>85</v>
      </c>
      <c r="S312" s="285">
        <f t="shared" si="49"/>
        <v>0.35</v>
      </c>
      <c r="T312" s="285">
        <f t="shared" si="50"/>
        <v>3.2</v>
      </c>
      <c r="U312" s="285">
        <f t="shared" si="51"/>
        <v>1</v>
      </c>
      <c r="V312" s="285">
        <f t="shared" si="52"/>
        <v>4.5</v>
      </c>
      <c r="W312" s="285">
        <f t="shared" si="53"/>
        <v>1.5</v>
      </c>
      <c r="X312" s="289">
        <f t="shared" si="54"/>
        <v>8152.041903136711</v>
      </c>
      <c r="Y312" s="288">
        <f t="shared" si="55"/>
        <v>4.0760209515683557E-2</v>
      </c>
      <c r="Z312" s="256">
        <f t="shared" si="56"/>
        <v>181.74993027852094</v>
      </c>
      <c r="AA312" s="289">
        <f t="shared" si="57"/>
        <v>16715.478006036967</v>
      </c>
      <c r="AB312" s="288">
        <f t="shared" si="58"/>
        <v>8.3577390030184828E-2</v>
      </c>
    </row>
    <row r="313" spans="13:28" ht="12" hidden="1" customHeight="1">
      <c r="M313" s="266"/>
      <c r="N313" s="288">
        <f t="shared" si="59"/>
        <v>7.1899999999999533</v>
      </c>
      <c r="O313" s="285">
        <f t="shared" si="45"/>
        <v>150</v>
      </c>
      <c r="P313" s="289">
        <f t="shared" si="46"/>
        <v>4000000</v>
      </c>
      <c r="Q313" s="285">
        <f t="shared" si="47"/>
        <v>110</v>
      </c>
      <c r="R313" s="285">
        <f t="shared" si="48"/>
        <v>85</v>
      </c>
      <c r="S313" s="285">
        <f t="shared" si="49"/>
        <v>0.35</v>
      </c>
      <c r="T313" s="285">
        <f t="shared" si="50"/>
        <v>3.2</v>
      </c>
      <c r="U313" s="285">
        <f t="shared" si="51"/>
        <v>1</v>
      </c>
      <c r="V313" s="285">
        <f t="shared" si="52"/>
        <v>4.5</v>
      </c>
      <c r="W313" s="285">
        <f t="shared" si="53"/>
        <v>1.5</v>
      </c>
      <c r="X313" s="289">
        <f t="shared" si="54"/>
        <v>8222.7158328556761</v>
      </c>
      <c r="Y313" s="288">
        <f t="shared" si="55"/>
        <v>4.111357916427838E-2</v>
      </c>
      <c r="Z313" s="256">
        <f t="shared" si="56"/>
        <v>181.74993027852094</v>
      </c>
      <c r="AA313" s="289">
        <f t="shared" si="57"/>
        <v>16860.392437519804</v>
      </c>
      <c r="AB313" s="288">
        <f t="shared" si="58"/>
        <v>8.4301962187599014E-2</v>
      </c>
    </row>
    <row r="314" spans="13:28" ht="12" hidden="1" customHeight="1">
      <c r="M314" s="266"/>
      <c r="N314" s="288">
        <f t="shared" si="59"/>
        <v>7.1999999999999531</v>
      </c>
      <c r="O314" s="285">
        <f t="shared" si="45"/>
        <v>150</v>
      </c>
      <c r="P314" s="289">
        <f t="shared" si="46"/>
        <v>4000000</v>
      </c>
      <c r="Q314" s="285">
        <f t="shared" si="47"/>
        <v>110</v>
      </c>
      <c r="R314" s="285">
        <f t="shared" si="48"/>
        <v>85</v>
      </c>
      <c r="S314" s="285">
        <f t="shared" si="49"/>
        <v>0.35</v>
      </c>
      <c r="T314" s="285">
        <f t="shared" si="50"/>
        <v>3.2</v>
      </c>
      <c r="U314" s="285">
        <f t="shared" si="51"/>
        <v>1</v>
      </c>
      <c r="V314" s="285">
        <f t="shared" si="52"/>
        <v>4.5</v>
      </c>
      <c r="W314" s="285">
        <f t="shared" si="53"/>
        <v>1.5</v>
      </c>
      <c r="X314" s="289">
        <f t="shared" si="54"/>
        <v>8293.9209478065986</v>
      </c>
      <c r="Y314" s="288">
        <f t="shared" si="55"/>
        <v>4.1469604739032995E-2</v>
      </c>
      <c r="Z314" s="256">
        <f t="shared" si="56"/>
        <v>181.74993027852094</v>
      </c>
      <c r="AA314" s="289">
        <f t="shared" si="57"/>
        <v>17006.396045820842</v>
      </c>
      <c r="AB314" s="288">
        <f t="shared" si="58"/>
        <v>8.5031980229104215E-2</v>
      </c>
    </row>
    <row r="315" spans="13:28" ht="12" hidden="1" customHeight="1">
      <c r="M315" s="266"/>
      <c r="N315" s="288">
        <f t="shared" si="59"/>
        <v>7.2099999999999529</v>
      </c>
      <c r="O315" s="285">
        <f t="shared" si="45"/>
        <v>150</v>
      </c>
      <c r="P315" s="289">
        <f t="shared" si="46"/>
        <v>4000000</v>
      </c>
      <c r="Q315" s="285">
        <f t="shared" si="47"/>
        <v>110</v>
      </c>
      <c r="R315" s="285">
        <f t="shared" si="48"/>
        <v>85</v>
      </c>
      <c r="S315" s="285">
        <f t="shared" si="49"/>
        <v>0.35</v>
      </c>
      <c r="T315" s="285">
        <f t="shared" si="50"/>
        <v>3.2</v>
      </c>
      <c r="U315" s="285">
        <f t="shared" si="51"/>
        <v>1</v>
      </c>
      <c r="V315" s="285">
        <f t="shared" si="52"/>
        <v>4.5</v>
      </c>
      <c r="W315" s="285">
        <f t="shared" si="53"/>
        <v>1.5</v>
      </c>
      <c r="X315" s="289">
        <f t="shared" si="54"/>
        <v>8365.6606183358836</v>
      </c>
      <c r="Y315" s="288">
        <f t="shared" si="55"/>
        <v>4.1828303091679418E-2</v>
      </c>
      <c r="Z315" s="256">
        <f t="shared" si="56"/>
        <v>181.74993027852094</v>
      </c>
      <c r="AA315" s="289">
        <f t="shared" si="57"/>
        <v>17153.495741718038</v>
      </c>
      <c r="AB315" s="288">
        <f t="shared" si="58"/>
        <v>8.5767478708590195E-2</v>
      </c>
    </row>
    <row r="316" spans="13:28" ht="12" hidden="1" customHeight="1">
      <c r="M316" s="266"/>
      <c r="N316" s="288">
        <f t="shared" si="59"/>
        <v>7.2199999999999527</v>
      </c>
      <c r="O316" s="285">
        <f t="shared" si="45"/>
        <v>150</v>
      </c>
      <c r="P316" s="289">
        <f t="shared" si="46"/>
        <v>4000000</v>
      </c>
      <c r="Q316" s="285">
        <f t="shared" si="47"/>
        <v>110</v>
      </c>
      <c r="R316" s="285">
        <f t="shared" si="48"/>
        <v>85</v>
      </c>
      <c r="S316" s="285">
        <f t="shared" si="49"/>
        <v>0.35</v>
      </c>
      <c r="T316" s="285">
        <f t="shared" si="50"/>
        <v>3.2</v>
      </c>
      <c r="U316" s="285">
        <f t="shared" si="51"/>
        <v>1</v>
      </c>
      <c r="V316" s="285">
        <f t="shared" si="52"/>
        <v>4.5</v>
      </c>
      <c r="W316" s="285">
        <f t="shared" si="53"/>
        <v>1.5</v>
      </c>
      <c r="X316" s="289">
        <f t="shared" si="54"/>
        <v>8437.9382321971389</v>
      </c>
      <c r="Y316" s="288">
        <f t="shared" si="55"/>
        <v>4.2189691160985691E-2</v>
      </c>
      <c r="Z316" s="256">
        <f t="shared" si="56"/>
        <v>181.74993027852094</v>
      </c>
      <c r="AA316" s="289">
        <f t="shared" si="57"/>
        <v>17301.698471682175</v>
      </c>
      <c r="AB316" s="288">
        <f t="shared" si="58"/>
        <v>8.6508492358410877E-2</v>
      </c>
    </row>
    <row r="317" spans="13:28" ht="12" hidden="1" customHeight="1">
      <c r="M317" s="266"/>
      <c r="N317" s="288">
        <f t="shared" si="59"/>
        <v>7.2299999999999525</v>
      </c>
      <c r="O317" s="285">
        <f t="shared" si="45"/>
        <v>150</v>
      </c>
      <c r="P317" s="289">
        <f t="shared" si="46"/>
        <v>4000000</v>
      </c>
      <c r="Q317" s="285">
        <f t="shared" si="47"/>
        <v>110</v>
      </c>
      <c r="R317" s="285">
        <f t="shared" si="48"/>
        <v>85</v>
      </c>
      <c r="S317" s="285">
        <f t="shared" si="49"/>
        <v>0.35</v>
      </c>
      <c r="T317" s="285">
        <f t="shared" si="50"/>
        <v>3.2</v>
      </c>
      <c r="U317" s="285">
        <f t="shared" si="51"/>
        <v>1</v>
      </c>
      <c r="V317" s="285">
        <f t="shared" si="52"/>
        <v>4.5</v>
      </c>
      <c r="W317" s="285">
        <f t="shared" si="53"/>
        <v>1.5</v>
      </c>
      <c r="X317" s="289">
        <f t="shared" si="54"/>
        <v>8510.7571946204025</v>
      </c>
      <c r="Y317" s="288">
        <f t="shared" si="55"/>
        <v>4.2553785973102012E-2</v>
      </c>
      <c r="Z317" s="256">
        <f t="shared" si="56"/>
        <v>181.74993027852094</v>
      </c>
      <c r="AA317" s="289">
        <f t="shared" si="57"/>
        <v>17451.011218018757</v>
      </c>
      <c r="AB317" s="288">
        <f t="shared" si="58"/>
        <v>8.7255056090093791E-2</v>
      </c>
    </row>
    <row r="318" spans="13:28" ht="12" hidden="1" customHeight="1">
      <c r="M318" s="266"/>
      <c r="N318" s="288">
        <f t="shared" si="59"/>
        <v>7.2399999999999523</v>
      </c>
      <c r="O318" s="285">
        <f t="shared" si="45"/>
        <v>150</v>
      </c>
      <c r="P318" s="289">
        <f t="shared" si="46"/>
        <v>4000000</v>
      </c>
      <c r="Q318" s="285">
        <f t="shared" si="47"/>
        <v>110</v>
      </c>
      <c r="R318" s="285">
        <f t="shared" si="48"/>
        <v>85</v>
      </c>
      <c r="S318" s="285">
        <f t="shared" si="49"/>
        <v>0.35</v>
      </c>
      <c r="T318" s="285">
        <f t="shared" si="50"/>
        <v>3.2</v>
      </c>
      <c r="U318" s="285">
        <f t="shared" si="51"/>
        <v>1</v>
      </c>
      <c r="V318" s="285">
        <f t="shared" si="52"/>
        <v>4.5</v>
      </c>
      <c r="W318" s="285">
        <f t="shared" si="53"/>
        <v>1.5</v>
      </c>
      <c r="X318" s="289">
        <f t="shared" si="54"/>
        <v>8584.1209283814915</v>
      </c>
      <c r="Y318" s="288">
        <f t="shared" si="55"/>
        <v>4.2920604641907459E-2</v>
      </c>
      <c r="Z318" s="256">
        <f t="shared" si="56"/>
        <v>181.74993027852094</v>
      </c>
      <c r="AA318" s="289">
        <f t="shared" si="57"/>
        <v>17601.440999010512</v>
      </c>
      <c r="AB318" s="288">
        <f t="shared" si="58"/>
        <v>8.800720499505256E-2</v>
      </c>
    </row>
    <row r="319" spans="13:28" ht="12" hidden="1" customHeight="1">
      <c r="M319" s="266"/>
      <c r="N319" s="288">
        <f t="shared" si="59"/>
        <v>7.249999999999952</v>
      </c>
      <c r="O319" s="285">
        <f t="shared" si="45"/>
        <v>150</v>
      </c>
      <c r="P319" s="289">
        <f t="shared" si="46"/>
        <v>4000000</v>
      </c>
      <c r="Q319" s="285">
        <f t="shared" si="47"/>
        <v>110</v>
      </c>
      <c r="R319" s="285">
        <f t="shared" si="48"/>
        <v>85</v>
      </c>
      <c r="S319" s="285">
        <f t="shared" si="49"/>
        <v>0.35</v>
      </c>
      <c r="T319" s="285">
        <f t="shared" si="50"/>
        <v>3.2</v>
      </c>
      <c r="U319" s="285">
        <f t="shared" si="51"/>
        <v>1</v>
      </c>
      <c r="V319" s="285">
        <f t="shared" si="52"/>
        <v>4.5</v>
      </c>
      <c r="W319" s="285">
        <f t="shared" si="53"/>
        <v>1.5</v>
      </c>
      <c r="X319" s="289">
        <f t="shared" si="54"/>
        <v>8658.0328738717108</v>
      </c>
      <c r="Y319" s="288">
        <f t="shared" si="55"/>
        <v>4.3290164369358557E-2</v>
      </c>
      <c r="Z319" s="256">
        <f t="shared" si="56"/>
        <v>181.74993027852094</v>
      </c>
      <c r="AA319" s="289">
        <f t="shared" si="57"/>
        <v>17752.994869059901</v>
      </c>
      <c r="AB319" s="288">
        <f t="shared" si="58"/>
        <v>8.8764974345299508E-2</v>
      </c>
    </row>
    <row r="320" spans="13:28" ht="12" hidden="1" customHeight="1">
      <c r="M320" s="266"/>
      <c r="N320" s="288">
        <f t="shared" si="59"/>
        <v>7.2599999999999518</v>
      </c>
      <c r="O320" s="285">
        <f t="shared" si="45"/>
        <v>150</v>
      </c>
      <c r="P320" s="289">
        <f t="shared" si="46"/>
        <v>4000000</v>
      </c>
      <c r="Q320" s="285">
        <f t="shared" si="47"/>
        <v>110</v>
      </c>
      <c r="R320" s="285">
        <f t="shared" si="48"/>
        <v>85</v>
      </c>
      <c r="S320" s="285">
        <f t="shared" si="49"/>
        <v>0.35</v>
      </c>
      <c r="T320" s="285">
        <f t="shared" si="50"/>
        <v>3.2</v>
      </c>
      <c r="U320" s="285">
        <f t="shared" si="51"/>
        <v>1</v>
      </c>
      <c r="V320" s="285">
        <f t="shared" si="52"/>
        <v>4.5</v>
      </c>
      <c r="W320" s="285">
        <f t="shared" si="53"/>
        <v>1.5</v>
      </c>
      <c r="X320" s="289">
        <f t="shared" si="54"/>
        <v>8732.4964891677209</v>
      </c>
      <c r="Y320" s="288">
        <f t="shared" si="55"/>
        <v>4.3662482445838605E-2</v>
      </c>
      <c r="Z320" s="256">
        <f t="shared" si="56"/>
        <v>181.74993027852094</v>
      </c>
      <c r="AA320" s="289">
        <f t="shared" si="57"/>
        <v>17905.679918832713</v>
      </c>
      <c r="AB320" s="288">
        <f t="shared" si="58"/>
        <v>8.952839959416356E-2</v>
      </c>
    </row>
    <row r="321" spans="13:28" ht="12" hidden="1" customHeight="1">
      <c r="M321" s="266"/>
      <c r="N321" s="288">
        <f t="shared" si="59"/>
        <v>7.2699999999999516</v>
      </c>
      <c r="O321" s="285">
        <f t="shared" si="45"/>
        <v>150</v>
      </c>
      <c r="P321" s="289">
        <f t="shared" si="46"/>
        <v>4000000</v>
      </c>
      <c r="Q321" s="285">
        <f t="shared" si="47"/>
        <v>110</v>
      </c>
      <c r="R321" s="285">
        <f t="shared" si="48"/>
        <v>85</v>
      </c>
      <c r="S321" s="285">
        <f t="shared" si="49"/>
        <v>0.35</v>
      </c>
      <c r="T321" s="285">
        <f t="shared" si="50"/>
        <v>3.2</v>
      </c>
      <c r="U321" s="285">
        <f t="shared" si="51"/>
        <v>1</v>
      </c>
      <c r="V321" s="285">
        <f t="shared" si="52"/>
        <v>4.5</v>
      </c>
      <c r="W321" s="285">
        <f t="shared" si="53"/>
        <v>1.5</v>
      </c>
      <c r="X321" s="289">
        <f t="shared" si="54"/>
        <v>8807.5152501015127</v>
      </c>
      <c r="Y321" s="288">
        <f t="shared" si="55"/>
        <v>4.4037576250507561E-2</v>
      </c>
      <c r="Z321" s="256">
        <f t="shared" si="56"/>
        <v>181.74993027852094</v>
      </c>
      <c r="AA321" s="289">
        <f t="shared" si="57"/>
        <v>18059.503275401385</v>
      </c>
      <c r="AB321" s="288">
        <f t="shared" si="58"/>
        <v>9.029751637700692E-2</v>
      </c>
    </row>
    <row r="322" spans="13:28" ht="12" hidden="1" customHeight="1">
      <c r="M322" s="266"/>
      <c r="N322" s="288">
        <f t="shared" si="59"/>
        <v>7.2799999999999514</v>
      </c>
      <c r="O322" s="285">
        <f t="shared" si="45"/>
        <v>150</v>
      </c>
      <c r="P322" s="289">
        <f t="shared" si="46"/>
        <v>4000000</v>
      </c>
      <c r="Q322" s="285">
        <f t="shared" si="47"/>
        <v>110</v>
      </c>
      <c r="R322" s="285">
        <f t="shared" si="48"/>
        <v>85</v>
      </c>
      <c r="S322" s="285">
        <f t="shared" si="49"/>
        <v>0.35</v>
      </c>
      <c r="T322" s="285">
        <f t="shared" si="50"/>
        <v>3.2</v>
      </c>
      <c r="U322" s="285">
        <f t="shared" si="51"/>
        <v>1</v>
      </c>
      <c r="V322" s="285">
        <f t="shared" si="52"/>
        <v>4.5</v>
      </c>
      <c r="W322" s="285">
        <f t="shared" si="53"/>
        <v>1.5</v>
      </c>
      <c r="X322" s="289">
        <f t="shared" si="54"/>
        <v>8883.0926503305927</v>
      </c>
      <c r="Y322" s="288">
        <f t="shared" si="55"/>
        <v>4.4415463251652965E-2</v>
      </c>
      <c r="Z322" s="256">
        <f t="shared" si="56"/>
        <v>181.74993027852094</v>
      </c>
      <c r="AA322" s="289">
        <f t="shared" si="57"/>
        <v>18214.472102388954</v>
      </c>
      <c r="AB322" s="288">
        <f t="shared" si="58"/>
        <v>9.1072360511944769E-2</v>
      </c>
    </row>
    <row r="323" spans="13:28" ht="12" hidden="1" customHeight="1">
      <c r="M323" s="266"/>
      <c r="N323" s="288">
        <f t="shared" si="59"/>
        <v>7.2899999999999512</v>
      </c>
      <c r="O323" s="285">
        <f t="shared" si="45"/>
        <v>150</v>
      </c>
      <c r="P323" s="289">
        <f t="shared" si="46"/>
        <v>4000000</v>
      </c>
      <c r="Q323" s="285">
        <f t="shared" si="47"/>
        <v>110</v>
      </c>
      <c r="R323" s="285">
        <f t="shared" si="48"/>
        <v>85</v>
      </c>
      <c r="S323" s="285">
        <f t="shared" si="49"/>
        <v>0.35</v>
      </c>
      <c r="T323" s="285">
        <f t="shared" si="50"/>
        <v>3.2</v>
      </c>
      <c r="U323" s="285">
        <f t="shared" si="51"/>
        <v>1</v>
      </c>
      <c r="V323" s="285">
        <f t="shared" si="52"/>
        <v>4.5</v>
      </c>
      <c r="W323" s="285">
        <f t="shared" si="53"/>
        <v>1.5</v>
      </c>
      <c r="X323" s="289">
        <f t="shared" si="54"/>
        <v>8959.2322014085366</v>
      </c>
      <c r="Y323" s="288">
        <f t="shared" si="55"/>
        <v>4.479616100704268E-2</v>
      </c>
      <c r="Z323" s="256">
        <f t="shared" si="56"/>
        <v>181.74993027852094</v>
      </c>
      <c r="AA323" s="289">
        <f t="shared" si="57"/>
        <v>18370.593600113738</v>
      </c>
      <c r="AB323" s="288">
        <f t="shared" si="58"/>
        <v>9.1852968000568691E-2</v>
      </c>
    </row>
    <row r="324" spans="13:28" ht="12" hidden="1" customHeight="1">
      <c r="M324" s="266"/>
      <c r="N324" s="288">
        <f t="shared" si="59"/>
        <v>7.299999999999951</v>
      </c>
      <c r="O324" s="285">
        <f t="shared" si="45"/>
        <v>150</v>
      </c>
      <c r="P324" s="289">
        <f t="shared" si="46"/>
        <v>4000000</v>
      </c>
      <c r="Q324" s="285">
        <f t="shared" si="47"/>
        <v>110</v>
      </c>
      <c r="R324" s="285">
        <f t="shared" si="48"/>
        <v>85</v>
      </c>
      <c r="S324" s="285">
        <f t="shared" si="49"/>
        <v>0.35</v>
      </c>
      <c r="T324" s="285">
        <f t="shared" si="50"/>
        <v>3.2</v>
      </c>
      <c r="U324" s="285">
        <f t="shared" si="51"/>
        <v>1</v>
      </c>
      <c r="V324" s="285">
        <f t="shared" si="52"/>
        <v>4.5</v>
      </c>
      <c r="W324" s="285">
        <f t="shared" si="53"/>
        <v>1.5</v>
      </c>
      <c r="X324" s="289">
        <f t="shared" si="54"/>
        <v>9035.9374328555095</v>
      </c>
      <c r="Y324" s="288">
        <f t="shared" si="55"/>
        <v>4.5179687164277546E-2</v>
      </c>
      <c r="Z324" s="256">
        <f t="shared" si="56"/>
        <v>181.74993027852094</v>
      </c>
      <c r="AA324" s="289">
        <f t="shared" si="57"/>
        <v>18527.875005733909</v>
      </c>
      <c r="AB324" s="288">
        <f t="shared" si="58"/>
        <v>9.2639375028669549E-2</v>
      </c>
    </row>
    <row r="325" spans="13:28" ht="12" hidden="1" customHeight="1">
      <c r="M325" s="266"/>
      <c r="N325" s="288">
        <f t="shared" si="59"/>
        <v>7.3099999999999508</v>
      </c>
      <c r="O325" s="285">
        <f t="shared" si="45"/>
        <v>150</v>
      </c>
      <c r="P325" s="289">
        <f t="shared" si="46"/>
        <v>4000000</v>
      </c>
      <c r="Q325" s="285">
        <f t="shared" si="47"/>
        <v>110</v>
      </c>
      <c r="R325" s="285">
        <f t="shared" si="48"/>
        <v>85</v>
      </c>
      <c r="S325" s="285">
        <f t="shared" si="49"/>
        <v>0.35</v>
      </c>
      <c r="T325" s="285">
        <f t="shared" si="50"/>
        <v>3.2</v>
      </c>
      <c r="U325" s="285">
        <f t="shared" si="51"/>
        <v>1</v>
      </c>
      <c r="V325" s="285">
        <f t="shared" si="52"/>
        <v>4.5</v>
      </c>
      <c r="W325" s="285">
        <f t="shared" si="53"/>
        <v>1.5</v>
      </c>
      <c r="X325" s="289">
        <f t="shared" si="54"/>
        <v>9113.2118922290356</v>
      </c>
      <c r="Y325" s="288">
        <f t="shared" si="55"/>
        <v>4.5566059461145177E-2</v>
      </c>
      <c r="Z325" s="256">
        <f t="shared" si="56"/>
        <v>181.74993027852094</v>
      </c>
      <c r="AA325" s="289">
        <f t="shared" si="57"/>
        <v>18686.323593392608</v>
      </c>
      <c r="AB325" s="288">
        <f t="shared" si="58"/>
        <v>9.3431617966963046E-2</v>
      </c>
    </row>
    <row r="326" spans="13:28" ht="12" hidden="1" customHeight="1">
      <c r="M326" s="266"/>
      <c r="N326" s="288">
        <f t="shared" si="59"/>
        <v>7.3199999999999505</v>
      </c>
      <c r="O326" s="285">
        <f t="shared" si="45"/>
        <v>150</v>
      </c>
      <c r="P326" s="289">
        <f t="shared" si="46"/>
        <v>4000000</v>
      </c>
      <c r="Q326" s="285">
        <f t="shared" si="47"/>
        <v>110</v>
      </c>
      <c r="R326" s="285">
        <f t="shared" si="48"/>
        <v>85</v>
      </c>
      <c r="S326" s="285">
        <f t="shared" si="49"/>
        <v>0.35</v>
      </c>
      <c r="T326" s="285">
        <f t="shared" si="50"/>
        <v>3.2</v>
      </c>
      <c r="U326" s="285">
        <f t="shared" si="51"/>
        <v>1</v>
      </c>
      <c r="V326" s="285">
        <f t="shared" si="52"/>
        <v>4.5</v>
      </c>
      <c r="W326" s="285">
        <f t="shared" si="53"/>
        <v>1.5</v>
      </c>
      <c r="X326" s="289">
        <f t="shared" si="54"/>
        <v>9191.059145195075</v>
      </c>
      <c r="Y326" s="288">
        <f t="shared" si="55"/>
        <v>4.5955295725975377E-2</v>
      </c>
      <c r="Z326" s="256">
        <f t="shared" si="56"/>
        <v>181.74993027852094</v>
      </c>
      <c r="AA326" s="289">
        <f t="shared" si="57"/>
        <v>18845.946674363713</v>
      </c>
      <c r="AB326" s="288">
        <f t="shared" si="58"/>
        <v>9.4229733371818572E-2</v>
      </c>
    </row>
    <row r="327" spans="13:28" ht="12" hidden="1" customHeight="1">
      <c r="M327" s="266"/>
      <c r="N327" s="288">
        <f t="shared" si="59"/>
        <v>7.3299999999999503</v>
      </c>
      <c r="O327" s="285">
        <f t="shared" si="45"/>
        <v>150</v>
      </c>
      <c r="P327" s="289">
        <f t="shared" si="46"/>
        <v>4000000</v>
      </c>
      <c r="Q327" s="285">
        <f t="shared" si="47"/>
        <v>110</v>
      </c>
      <c r="R327" s="285">
        <f t="shared" si="48"/>
        <v>85</v>
      </c>
      <c r="S327" s="285">
        <f t="shared" si="49"/>
        <v>0.35</v>
      </c>
      <c r="T327" s="285">
        <f t="shared" si="50"/>
        <v>3.2</v>
      </c>
      <c r="U327" s="285">
        <f t="shared" si="51"/>
        <v>1</v>
      </c>
      <c r="V327" s="285">
        <f t="shared" si="52"/>
        <v>4.5</v>
      </c>
      <c r="W327" s="285">
        <f t="shared" si="53"/>
        <v>1.5</v>
      </c>
      <c r="X327" s="289">
        <f t="shared" si="54"/>
        <v>9269.4827755992628</v>
      </c>
      <c r="Y327" s="288">
        <f t="shared" si="55"/>
        <v>4.6347413877996312E-2</v>
      </c>
      <c r="Z327" s="256">
        <f t="shared" si="56"/>
        <v>181.74993027852094</v>
      </c>
      <c r="AA327" s="289">
        <f t="shared" si="57"/>
        <v>19006.751597197846</v>
      </c>
      <c r="AB327" s="288">
        <f t="shared" si="58"/>
        <v>9.5033757985989231E-2</v>
      </c>
    </row>
    <row r="328" spans="13:28" ht="12" hidden="1" customHeight="1">
      <c r="M328" s="266"/>
      <c r="N328" s="288">
        <f t="shared" si="59"/>
        <v>7.3399999999999501</v>
      </c>
      <c r="O328" s="285">
        <f t="shared" si="45"/>
        <v>150</v>
      </c>
      <c r="P328" s="289">
        <f t="shared" si="46"/>
        <v>4000000</v>
      </c>
      <c r="Q328" s="285">
        <f t="shared" si="47"/>
        <v>110</v>
      </c>
      <c r="R328" s="285">
        <f t="shared" si="48"/>
        <v>85</v>
      </c>
      <c r="S328" s="285">
        <f t="shared" si="49"/>
        <v>0.35</v>
      </c>
      <c r="T328" s="285">
        <f t="shared" si="50"/>
        <v>3.2</v>
      </c>
      <c r="U328" s="285">
        <f t="shared" si="51"/>
        <v>1</v>
      </c>
      <c r="V328" s="285">
        <f t="shared" si="52"/>
        <v>4.5</v>
      </c>
      <c r="W328" s="285">
        <f t="shared" si="53"/>
        <v>1.5</v>
      </c>
      <c r="X328" s="289">
        <f t="shared" si="54"/>
        <v>9348.4863855382155</v>
      </c>
      <c r="Y328" s="288">
        <f t="shared" si="55"/>
        <v>4.6742431927691078E-2</v>
      </c>
      <c r="Z328" s="256">
        <f t="shared" si="56"/>
        <v>181.74993027852094</v>
      </c>
      <c r="AA328" s="289">
        <f t="shared" si="57"/>
        <v>19168.745747868728</v>
      </c>
      <c r="AB328" s="288">
        <f t="shared" si="58"/>
        <v>9.5843728739343645E-2</v>
      </c>
    </row>
    <row r="329" spans="13:28" ht="12" hidden="1" customHeight="1">
      <c r="M329" s="266"/>
      <c r="N329" s="288">
        <f t="shared" si="59"/>
        <v>7.3499999999999499</v>
      </c>
      <c r="O329" s="285">
        <f t="shared" si="45"/>
        <v>150</v>
      </c>
      <c r="P329" s="289">
        <f t="shared" si="46"/>
        <v>4000000</v>
      </c>
      <c r="Q329" s="285">
        <f t="shared" si="47"/>
        <v>110</v>
      </c>
      <c r="R329" s="285">
        <f t="shared" si="48"/>
        <v>85</v>
      </c>
      <c r="S329" s="285">
        <f t="shared" si="49"/>
        <v>0.35</v>
      </c>
      <c r="T329" s="285">
        <f t="shared" si="50"/>
        <v>3.2</v>
      </c>
      <c r="U329" s="285">
        <f t="shared" si="51"/>
        <v>1</v>
      </c>
      <c r="V329" s="285">
        <f t="shared" si="52"/>
        <v>4.5</v>
      </c>
      <c r="W329" s="285">
        <f t="shared" si="53"/>
        <v>1.5</v>
      </c>
      <c r="X329" s="289">
        <f t="shared" si="54"/>
        <v>9428.0735954310821</v>
      </c>
      <c r="Y329" s="288">
        <f t="shared" si="55"/>
        <v>4.7140367977155408E-2</v>
      </c>
      <c r="Z329" s="256">
        <f t="shared" si="56"/>
        <v>181.74993027852094</v>
      </c>
      <c r="AA329" s="289">
        <f t="shared" si="57"/>
        <v>19331.936549919737</v>
      </c>
      <c r="AB329" s="288">
        <f t="shared" si="58"/>
        <v>9.6659682749598685E-2</v>
      </c>
    </row>
    <row r="330" spans="13:28" ht="12" hidden="1" customHeight="1">
      <c r="M330" s="266"/>
      <c r="N330" s="288">
        <f t="shared" si="59"/>
        <v>7.3599999999999497</v>
      </c>
      <c r="O330" s="285">
        <f t="shared" si="45"/>
        <v>150</v>
      </c>
      <c r="P330" s="289">
        <f t="shared" si="46"/>
        <v>4000000</v>
      </c>
      <c r="Q330" s="285">
        <f t="shared" si="47"/>
        <v>110</v>
      </c>
      <c r="R330" s="285">
        <f t="shared" si="48"/>
        <v>85</v>
      </c>
      <c r="S330" s="285">
        <f t="shared" si="49"/>
        <v>0.35</v>
      </c>
      <c r="T330" s="285">
        <f t="shared" si="50"/>
        <v>3.2</v>
      </c>
      <c r="U330" s="285">
        <f t="shared" si="51"/>
        <v>1</v>
      </c>
      <c r="V330" s="285">
        <f t="shared" si="52"/>
        <v>4.5</v>
      </c>
      <c r="W330" s="285">
        <f t="shared" si="53"/>
        <v>1.5</v>
      </c>
      <c r="X330" s="289">
        <f t="shared" si="54"/>
        <v>9508.2480440915733</v>
      </c>
      <c r="Y330" s="288">
        <f t="shared" si="55"/>
        <v>4.7541240220457866E-2</v>
      </c>
      <c r="Z330" s="256">
        <f t="shared" si="56"/>
        <v>181.74993027852094</v>
      </c>
      <c r="AA330" s="289">
        <f t="shared" si="57"/>
        <v>19496.331464611558</v>
      </c>
      <c r="AB330" s="288">
        <f t="shared" si="58"/>
        <v>9.7481657323057788E-2</v>
      </c>
    </row>
    <row r="331" spans="13:28" ht="12" hidden="1" customHeight="1">
      <c r="M331" s="266"/>
      <c r="N331" s="288">
        <f t="shared" si="59"/>
        <v>7.3699999999999495</v>
      </c>
      <c r="O331" s="285">
        <f t="shared" si="45"/>
        <v>150</v>
      </c>
      <c r="P331" s="289">
        <f t="shared" si="46"/>
        <v>4000000</v>
      </c>
      <c r="Q331" s="285">
        <f t="shared" si="47"/>
        <v>110</v>
      </c>
      <c r="R331" s="285">
        <f t="shared" si="48"/>
        <v>85</v>
      </c>
      <c r="S331" s="285">
        <f t="shared" si="49"/>
        <v>0.35</v>
      </c>
      <c r="T331" s="285">
        <f t="shared" si="50"/>
        <v>3.2</v>
      </c>
      <c r="U331" s="285">
        <f t="shared" si="51"/>
        <v>1</v>
      </c>
      <c r="V331" s="285">
        <f t="shared" si="52"/>
        <v>4.5</v>
      </c>
      <c r="W331" s="285">
        <f t="shared" si="53"/>
        <v>1.5</v>
      </c>
      <c r="X331" s="289">
        <f t="shared" si="54"/>
        <v>9589.0133887996453</v>
      </c>
      <c r="Y331" s="288">
        <f t="shared" si="55"/>
        <v>4.7945066943998228E-2</v>
      </c>
      <c r="Z331" s="256">
        <f t="shared" si="56"/>
        <v>181.74993027852094</v>
      </c>
      <c r="AA331" s="289">
        <f t="shared" si="57"/>
        <v>19661.937991069535</v>
      </c>
      <c r="AB331" s="288">
        <f t="shared" si="58"/>
        <v>9.8309689955347682E-2</v>
      </c>
    </row>
    <row r="332" spans="13:28" ht="12" hidden="1" customHeight="1">
      <c r="M332" s="266"/>
      <c r="N332" s="288">
        <f t="shared" si="59"/>
        <v>7.3799999999999493</v>
      </c>
      <c r="O332" s="285">
        <f t="shared" si="45"/>
        <v>150</v>
      </c>
      <c r="P332" s="289">
        <f t="shared" si="46"/>
        <v>4000000</v>
      </c>
      <c r="Q332" s="285">
        <f t="shared" si="47"/>
        <v>110</v>
      </c>
      <c r="R332" s="285">
        <f t="shared" si="48"/>
        <v>85</v>
      </c>
      <c r="S332" s="285">
        <f t="shared" si="49"/>
        <v>0.35</v>
      </c>
      <c r="T332" s="285">
        <f t="shared" si="50"/>
        <v>3.2</v>
      </c>
      <c r="U332" s="285">
        <f t="shared" si="51"/>
        <v>1</v>
      </c>
      <c r="V332" s="285">
        <f t="shared" si="52"/>
        <v>4.5</v>
      </c>
      <c r="W332" s="285">
        <f t="shared" si="53"/>
        <v>1.5</v>
      </c>
      <c r="X332" s="289">
        <f t="shared" si="54"/>
        <v>9670.3733053739015</v>
      </c>
      <c r="Y332" s="288">
        <f t="shared" si="55"/>
        <v>4.8351866526869507E-2</v>
      </c>
      <c r="Z332" s="256">
        <f t="shared" si="56"/>
        <v>181.74993027852094</v>
      </c>
      <c r="AA332" s="289">
        <f t="shared" si="57"/>
        <v>19828.763666431485</v>
      </c>
      <c r="AB332" s="288">
        <f t="shared" si="58"/>
        <v>9.9143818332157421E-2</v>
      </c>
    </row>
    <row r="333" spans="13:28" ht="12" hidden="1" customHeight="1">
      <c r="M333" s="266"/>
      <c r="N333" s="288">
        <f t="shared" si="59"/>
        <v>7.3899999999999491</v>
      </c>
      <c r="O333" s="285">
        <f t="shared" si="45"/>
        <v>150</v>
      </c>
      <c r="P333" s="289">
        <f t="shared" si="46"/>
        <v>4000000</v>
      </c>
      <c r="Q333" s="285">
        <f t="shared" si="47"/>
        <v>110</v>
      </c>
      <c r="R333" s="285">
        <f t="shared" si="48"/>
        <v>85</v>
      </c>
      <c r="S333" s="285">
        <f t="shared" si="49"/>
        <v>0.35</v>
      </c>
      <c r="T333" s="285">
        <f t="shared" si="50"/>
        <v>3.2</v>
      </c>
      <c r="U333" s="285">
        <f t="shared" si="51"/>
        <v>1</v>
      </c>
      <c r="V333" s="285">
        <f t="shared" si="52"/>
        <v>4.5</v>
      </c>
      <c r="W333" s="285">
        <f t="shared" si="53"/>
        <v>1.5</v>
      </c>
      <c r="X333" s="289">
        <f t="shared" si="54"/>
        <v>9752.3314882438663</v>
      </c>
      <c r="Y333" s="288">
        <f t="shared" si="55"/>
        <v>4.8761657441219332E-2</v>
      </c>
      <c r="Z333" s="256">
        <f t="shared" si="56"/>
        <v>181.74993027852094</v>
      </c>
      <c r="AA333" s="289">
        <f t="shared" si="57"/>
        <v>19996.816065996652</v>
      </c>
      <c r="AB333" s="288">
        <f t="shared" si="58"/>
        <v>9.9984080329983266E-2</v>
      </c>
    </row>
    <row r="334" spans="13:28" ht="12" hidden="1" customHeight="1">
      <c r="M334" s="266"/>
      <c r="N334" s="288">
        <f t="shared" si="59"/>
        <v>7.3999999999999488</v>
      </c>
      <c r="O334" s="285">
        <f t="shared" si="45"/>
        <v>150</v>
      </c>
      <c r="P334" s="289">
        <f t="shared" si="46"/>
        <v>4000000</v>
      </c>
      <c r="Q334" s="285">
        <f t="shared" si="47"/>
        <v>110</v>
      </c>
      <c r="R334" s="285">
        <f t="shared" si="48"/>
        <v>85</v>
      </c>
      <c r="S334" s="285">
        <f t="shared" si="49"/>
        <v>0.35</v>
      </c>
      <c r="T334" s="285">
        <f t="shared" si="50"/>
        <v>3.2</v>
      </c>
      <c r="U334" s="285">
        <f t="shared" si="51"/>
        <v>1</v>
      </c>
      <c r="V334" s="285">
        <f t="shared" si="52"/>
        <v>4.5</v>
      </c>
      <c r="W334" s="285">
        <f t="shared" si="53"/>
        <v>1.5</v>
      </c>
      <c r="X334" s="289">
        <f t="shared" si="54"/>
        <v>9834.8916505226134</v>
      </c>
      <c r="Y334" s="288">
        <f t="shared" si="55"/>
        <v>4.9174458252613067E-2</v>
      </c>
      <c r="Z334" s="256">
        <f t="shared" si="56"/>
        <v>181.74993027852094</v>
      </c>
      <c r="AA334" s="289">
        <f t="shared" si="57"/>
        <v>20166.102803373975</v>
      </c>
      <c r="AB334" s="288">
        <f t="shared" si="58"/>
        <v>0.10083051401686988</v>
      </c>
    </row>
    <row r="335" spans="13:28" ht="12" hidden="1" customHeight="1">
      <c r="M335" s="266"/>
      <c r="N335" s="288">
        <f t="shared" si="59"/>
        <v>7.4099999999999486</v>
      </c>
      <c r="O335" s="285">
        <f t="shared" si="45"/>
        <v>150</v>
      </c>
      <c r="P335" s="289">
        <f t="shared" si="46"/>
        <v>4000000</v>
      </c>
      <c r="Q335" s="285">
        <f t="shared" si="47"/>
        <v>110</v>
      </c>
      <c r="R335" s="285">
        <f t="shared" si="48"/>
        <v>85</v>
      </c>
      <c r="S335" s="285">
        <f t="shared" si="49"/>
        <v>0.35</v>
      </c>
      <c r="T335" s="285">
        <f t="shared" si="50"/>
        <v>3.2</v>
      </c>
      <c r="U335" s="285">
        <f t="shared" si="51"/>
        <v>1</v>
      </c>
      <c r="V335" s="285">
        <f t="shared" si="52"/>
        <v>4.5</v>
      </c>
      <c r="W335" s="285">
        <f t="shared" si="53"/>
        <v>1.5</v>
      </c>
      <c r="X335" s="289">
        <f t="shared" si="54"/>
        <v>9918.0575240795552</v>
      </c>
      <c r="Y335" s="288">
        <f t="shared" si="55"/>
        <v>4.9590287620397779E-2</v>
      </c>
      <c r="Z335" s="256">
        <f t="shared" si="56"/>
        <v>181.74993027852094</v>
      </c>
      <c r="AA335" s="289">
        <f t="shared" si="57"/>
        <v>20336.631530631712</v>
      </c>
      <c r="AB335" s="288">
        <f t="shared" si="58"/>
        <v>0.10168315765315857</v>
      </c>
    </row>
    <row r="336" spans="13:28" ht="12" hidden="1" customHeight="1">
      <c r="M336" s="266"/>
      <c r="N336" s="288">
        <f t="shared" si="59"/>
        <v>7.4199999999999484</v>
      </c>
      <c r="O336" s="285">
        <f t="shared" si="45"/>
        <v>150</v>
      </c>
      <c r="P336" s="289">
        <f t="shared" si="46"/>
        <v>4000000</v>
      </c>
      <c r="Q336" s="285">
        <f t="shared" si="47"/>
        <v>110</v>
      </c>
      <c r="R336" s="285">
        <f t="shared" si="48"/>
        <v>85</v>
      </c>
      <c r="S336" s="285">
        <f t="shared" si="49"/>
        <v>0.35</v>
      </c>
      <c r="T336" s="285">
        <f t="shared" si="50"/>
        <v>3.2</v>
      </c>
      <c r="U336" s="285">
        <f t="shared" si="51"/>
        <v>1</v>
      </c>
      <c r="V336" s="285">
        <f t="shared" si="52"/>
        <v>4.5</v>
      </c>
      <c r="W336" s="285">
        <f t="shared" si="53"/>
        <v>1.5</v>
      </c>
      <c r="X336" s="289">
        <f t="shared" si="54"/>
        <v>10001.832859613405</v>
      </c>
      <c r="Y336" s="288">
        <f t="shared" si="55"/>
        <v>5.0009164298067024E-2</v>
      </c>
      <c r="Z336" s="256">
        <f t="shared" si="56"/>
        <v>181.74993027852094</v>
      </c>
      <c r="AA336" s="289">
        <f t="shared" si="57"/>
        <v>20508.409938447046</v>
      </c>
      <c r="AB336" s="288">
        <f t="shared" si="58"/>
        <v>0.10254204969223524</v>
      </c>
    </row>
    <row r="337" spans="13:28" ht="12" hidden="1" customHeight="1">
      <c r="M337" s="266"/>
      <c r="N337" s="288">
        <f t="shared" si="59"/>
        <v>7.4299999999999482</v>
      </c>
      <c r="O337" s="285">
        <f t="shared" si="45"/>
        <v>150</v>
      </c>
      <c r="P337" s="289">
        <f t="shared" si="46"/>
        <v>4000000</v>
      </c>
      <c r="Q337" s="285">
        <f t="shared" si="47"/>
        <v>110</v>
      </c>
      <c r="R337" s="285">
        <f t="shared" si="48"/>
        <v>85</v>
      </c>
      <c r="S337" s="285">
        <f t="shared" si="49"/>
        <v>0.35</v>
      </c>
      <c r="T337" s="285">
        <f t="shared" si="50"/>
        <v>3.2</v>
      </c>
      <c r="U337" s="285">
        <f t="shared" si="51"/>
        <v>1</v>
      </c>
      <c r="V337" s="285">
        <f t="shared" si="52"/>
        <v>4.5</v>
      </c>
      <c r="W337" s="285">
        <f t="shared" si="53"/>
        <v>1.5</v>
      </c>
      <c r="X337" s="289">
        <f t="shared" si="54"/>
        <v>10086.221426725244</v>
      </c>
      <c r="Y337" s="288">
        <f t="shared" si="55"/>
        <v>5.0431107133626217E-2</v>
      </c>
      <c r="Z337" s="256">
        <f t="shared" si="56"/>
        <v>181.74993027852094</v>
      </c>
      <c r="AA337" s="289">
        <f t="shared" si="57"/>
        <v>20681.445756255609</v>
      </c>
      <c r="AB337" s="288">
        <f t="shared" si="58"/>
        <v>0.10340722878127805</v>
      </c>
    </row>
    <row r="338" spans="13:28" ht="12" hidden="1" customHeight="1">
      <c r="M338" s="266"/>
      <c r="N338" s="288">
        <f t="shared" si="59"/>
        <v>7.439999999999948</v>
      </c>
      <c r="O338" s="285">
        <f t="shared" si="45"/>
        <v>150</v>
      </c>
      <c r="P338" s="289">
        <f t="shared" si="46"/>
        <v>4000000</v>
      </c>
      <c r="Q338" s="285">
        <f t="shared" si="47"/>
        <v>110</v>
      </c>
      <c r="R338" s="285">
        <f t="shared" si="48"/>
        <v>85</v>
      </c>
      <c r="S338" s="285">
        <f t="shared" si="49"/>
        <v>0.35</v>
      </c>
      <c r="T338" s="285">
        <f t="shared" si="50"/>
        <v>3.2</v>
      </c>
      <c r="U338" s="285">
        <f t="shared" si="51"/>
        <v>1</v>
      </c>
      <c r="V338" s="285">
        <f t="shared" si="52"/>
        <v>4.5</v>
      </c>
      <c r="W338" s="285">
        <f t="shared" si="53"/>
        <v>1.5</v>
      </c>
      <c r="X338" s="289">
        <f t="shared" si="54"/>
        <v>10171.227013992184</v>
      </c>
      <c r="Y338" s="288">
        <f t="shared" si="55"/>
        <v>5.0856135069960923E-2</v>
      </c>
      <c r="Z338" s="256">
        <f t="shared" si="56"/>
        <v>181.74993027852094</v>
      </c>
      <c r="AA338" s="289">
        <f t="shared" si="57"/>
        <v>20855.746752402851</v>
      </c>
      <c r="AB338" s="288">
        <f t="shared" si="58"/>
        <v>0.10427873376201426</v>
      </c>
    </row>
    <row r="339" spans="13:28" ht="12" hidden="1" customHeight="1">
      <c r="M339" s="266"/>
      <c r="N339" s="288">
        <f t="shared" si="59"/>
        <v>7.4499999999999478</v>
      </c>
      <c r="O339" s="285">
        <f t="shared" si="45"/>
        <v>150</v>
      </c>
      <c r="P339" s="289">
        <f t="shared" si="46"/>
        <v>4000000</v>
      </c>
      <c r="Q339" s="285">
        <f t="shared" si="47"/>
        <v>110</v>
      </c>
      <c r="R339" s="285">
        <f t="shared" si="48"/>
        <v>85</v>
      </c>
      <c r="S339" s="285">
        <f t="shared" si="49"/>
        <v>0.35</v>
      </c>
      <c r="T339" s="285">
        <f t="shared" si="50"/>
        <v>3.2</v>
      </c>
      <c r="U339" s="285">
        <f t="shared" si="51"/>
        <v>1</v>
      </c>
      <c r="V339" s="285">
        <f t="shared" si="52"/>
        <v>4.5</v>
      </c>
      <c r="W339" s="285">
        <f t="shared" si="53"/>
        <v>1.5</v>
      </c>
      <c r="X339" s="289">
        <f t="shared" si="54"/>
        <v>10256.853429040646</v>
      </c>
      <c r="Y339" s="288">
        <f t="shared" si="55"/>
        <v>5.1284267145203233E-2</v>
      </c>
      <c r="Z339" s="256">
        <f t="shared" si="56"/>
        <v>181.74993027852094</v>
      </c>
      <c r="AA339" s="289">
        <f t="shared" si="57"/>
        <v>21031.320734294179</v>
      </c>
      <c r="AB339" s="288">
        <f t="shared" si="58"/>
        <v>0.10515660367147089</v>
      </c>
    </row>
    <row r="340" spans="13:28" ht="12" hidden="1" customHeight="1">
      <c r="M340" s="266"/>
      <c r="N340" s="288">
        <f t="shared" si="59"/>
        <v>7.4599999999999476</v>
      </c>
      <c r="O340" s="285">
        <f t="shared" si="45"/>
        <v>150</v>
      </c>
      <c r="P340" s="289">
        <f t="shared" si="46"/>
        <v>4000000</v>
      </c>
      <c r="Q340" s="285">
        <f t="shared" si="47"/>
        <v>110</v>
      </c>
      <c r="R340" s="285">
        <f t="shared" si="48"/>
        <v>85</v>
      </c>
      <c r="S340" s="285">
        <f t="shared" si="49"/>
        <v>0.35</v>
      </c>
      <c r="T340" s="285">
        <f t="shared" si="50"/>
        <v>3.2</v>
      </c>
      <c r="U340" s="285">
        <f t="shared" si="51"/>
        <v>1</v>
      </c>
      <c r="V340" s="285">
        <f t="shared" si="52"/>
        <v>4.5</v>
      </c>
      <c r="W340" s="285">
        <f t="shared" si="53"/>
        <v>1.5</v>
      </c>
      <c r="X340" s="289">
        <f t="shared" si="54"/>
        <v>10343.104498620291</v>
      </c>
      <c r="Y340" s="288">
        <f t="shared" si="55"/>
        <v>5.1715522493101455E-2</v>
      </c>
      <c r="Z340" s="256">
        <f t="shared" si="56"/>
        <v>181.74993027852094</v>
      </c>
      <c r="AA340" s="289">
        <f t="shared" si="57"/>
        <v>21208.17554854634</v>
      </c>
      <c r="AB340" s="288">
        <f t="shared" si="58"/>
        <v>0.1060408777427317</v>
      </c>
    </row>
    <row r="341" spans="13:28" ht="12" hidden="1" customHeight="1">
      <c r="M341" s="266"/>
      <c r="N341" s="288">
        <f t="shared" si="59"/>
        <v>7.4699999999999473</v>
      </c>
      <c r="O341" s="285">
        <f t="shared" si="45"/>
        <v>150</v>
      </c>
      <c r="P341" s="289">
        <f t="shared" si="46"/>
        <v>4000000</v>
      </c>
      <c r="Q341" s="285">
        <f t="shared" si="47"/>
        <v>110</v>
      </c>
      <c r="R341" s="285">
        <f t="shared" si="48"/>
        <v>85</v>
      </c>
      <c r="S341" s="285">
        <f t="shared" si="49"/>
        <v>0.35</v>
      </c>
      <c r="T341" s="285">
        <f t="shared" si="50"/>
        <v>3.2</v>
      </c>
      <c r="U341" s="285">
        <f t="shared" si="51"/>
        <v>1</v>
      </c>
      <c r="V341" s="285">
        <f t="shared" si="52"/>
        <v>4.5</v>
      </c>
      <c r="W341" s="285">
        <f t="shared" si="53"/>
        <v>1.5</v>
      </c>
      <c r="X341" s="289">
        <f t="shared" si="54"/>
        <v>10429.984068677904</v>
      </c>
      <c r="Y341" s="288">
        <f t="shared" si="55"/>
        <v>5.2149920343389521E-2</v>
      </c>
      <c r="Z341" s="256">
        <f t="shared" si="56"/>
        <v>181.74993027852094</v>
      </c>
      <c r="AA341" s="289">
        <f t="shared" si="57"/>
        <v>21386.319081139471</v>
      </c>
      <c r="AB341" s="288">
        <f t="shared" si="58"/>
        <v>0.10693159540569735</v>
      </c>
    </row>
    <row r="342" spans="13:28" ht="12" hidden="1" customHeight="1">
      <c r="M342" s="266"/>
      <c r="N342" s="288">
        <f t="shared" si="59"/>
        <v>7.4799999999999471</v>
      </c>
      <c r="O342" s="285">
        <f t="shared" si="45"/>
        <v>150</v>
      </c>
      <c r="P342" s="289">
        <f t="shared" si="46"/>
        <v>4000000</v>
      </c>
      <c r="Q342" s="285">
        <f t="shared" si="47"/>
        <v>110</v>
      </c>
      <c r="R342" s="285">
        <f t="shared" si="48"/>
        <v>85</v>
      </c>
      <c r="S342" s="285">
        <f t="shared" si="49"/>
        <v>0.35</v>
      </c>
      <c r="T342" s="285">
        <f t="shared" si="50"/>
        <v>3.2</v>
      </c>
      <c r="U342" s="285">
        <f t="shared" si="51"/>
        <v>1</v>
      </c>
      <c r="V342" s="285">
        <f t="shared" si="52"/>
        <v>4.5</v>
      </c>
      <c r="W342" s="285">
        <f t="shared" si="53"/>
        <v>1.5</v>
      </c>
      <c r="X342" s="289">
        <f t="shared" si="54"/>
        <v>10517.496004431745</v>
      </c>
      <c r="Y342" s="288">
        <f t="shared" si="55"/>
        <v>5.2587480022158725E-2</v>
      </c>
      <c r="Z342" s="256">
        <f t="shared" si="56"/>
        <v>181.74993027852094</v>
      </c>
      <c r="AA342" s="289">
        <f t="shared" si="57"/>
        <v>21565.759257568912</v>
      </c>
      <c r="AB342" s="288">
        <f t="shared" si="58"/>
        <v>0.10782879628784456</v>
      </c>
    </row>
    <row r="343" spans="13:28" ht="12" hidden="1" customHeight="1">
      <c r="M343" s="266"/>
      <c r="N343" s="288">
        <f t="shared" si="59"/>
        <v>7.4899999999999469</v>
      </c>
      <c r="O343" s="285">
        <f t="shared" si="45"/>
        <v>150</v>
      </c>
      <c r="P343" s="289">
        <f t="shared" si="46"/>
        <v>4000000</v>
      </c>
      <c r="Q343" s="285">
        <f t="shared" si="47"/>
        <v>110</v>
      </c>
      <c r="R343" s="285">
        <f t="shared" si="48"/>
        <v>85</v>
      </c>
      <c r="S343" s="285">
        <f t="shared" si="49"/>
        <v>0.35</v>
      </c>
      <c r="T343" s="285">
        <f t="shared" si="50"/>
        <v>3.2</v>
      </c>
      <c r="U343" s="285">
        <f t="shared" si="51"/>
        <v>1</v>
      </c>
      <c r="V343" s="285">
        <f t="shared" si="52"/>
        <v>4.5</v>
      </c>
      <c r="W343" s="285">
        <f t="shared" si="53"/>
        <v>1.5</v>
      </c>
      <c r="X343" s="289">
        <f t="shared" si="54"/>
        <v>10605.644190445679</v>
      </c>
      <c r="Y343" s="288">
        <f t="shared" si="55"/>
        <v>5.3028220952228394E-2</v>
      </c>
      <c r="Z343" s="256">
        <f t="shared" si="56"/>
        <v>181.74993027852094</v>
      </c>
      <c r="AA343" s="289">
        <f t="shared" si="57"/>
        <v>21746.504042997542</v>
      </c>
      <c r="AB343" s="288">
        <f t="shared" si="58"/>
        <v>0.10873252021498771</v>
      </c>
    </row>
    <row r="344" spans="13:28" ht="12" hidden="1" customHeight="1">
      <c r="M344" s="266"/>
      <c r="N344" s="288">
        <f t="shared" si="59"/>
        <v>7.4999999999999467</v>
      </c>
      <c r="O344" s="285">
        <f t="shared" si="45"/>
        <v>150</v>
      </c>
      <c r="P344" s="289">
        <f t="shared" si="46"/>
        <v>4000000</v>
      </c>
      <c r="Q344" s="285">
        <f t="shared" si="47"/>
        <v>110</v>
      </c>
      <c r="R344" s="285">
        <f t="shared" si="48"/>
        <v>85</v>
      </c>
      <c r="S344" s="285">
        <f t="shared" si="49"/>
        <v>0.35</v>
      </c>
      <c r="T344" s="285">
        <f t="shared" si="50"/>
        <v>3.2</v>
      </c>
      <c r="U344" s="285">
        <f t="shared" si="51"/>
        <v>1</v>
      </c>
      <c r="V344" s="285">
        <f t="shared" si="52"/>
        <v>4.5</v>
      </c>
      <c r="W344" s="285">
        <f t="shared" si="53"/>
        <v>1.5</v>
      </c>
      <c r="X344" s="289">
        <f t="shared" si="54"/>
        <v>10694.432530704031</v>
      </c>
      <c r="Y344" s="288">
        <f t="shared" si="55"/>
        <v>5.3472162653520151E-2</v>
      </c>
      <c r="Z344" s="256">
        <f t="shared" si="56"/>
        <v>181.74993027852094</v>
      </c>
      <c r="AA344" s="289">
        <f t="shared" si="57"/>
        <v>21928.561442409369</v>
      </c>
      <c r="AB344" s="288">
        <f t="shared" si="58"/>
        <v>0.10964280721204685</v>
      </c>
    </row>
    <row r="345" spans="13:28" ht="12" hidden="1" customHeight="1">
      <c r="M345" s="266"/>
      <c r="N345" s="288">
        <f t="shared" si="59"/>
        <v>7.5099999999999465</v>
      </c>
      <c r="O345" s="285">
        <f t="shared" si="45"/>
        <v>150</v>
      </c>
      <c r="P345" s="289">
        <f t="shared" si="46"/>
        <v>4000000</v>
      </c>
      <c r="Q345" s="285">
        <f t="shared" si="47"/>
        <v>110</v>
      </c>
      <c r="R345" s="285">
        <f t="shared" si="48"/>
        <v>85</v>
      </c>
      <c r="S345" s="285">
        <f t="shared" si="49"/>
        <v>0.35</v>
      </c>
      <c r="T345" s="285">
        <f t="shared" si="50"/>
        <v>3.2</v>
      </c>
      <c r="U345" s="285">
        <f t="shared" si="51"/>
        <v>1</v>
      </c>
      <c r="V345" s="285">
        <f t="shared" si="52"/>
        <v>4.5</v>
      </c>
      <c r="W345" s="285">
        <f t="shared" si="53"/>
        <v>1.5</v>
      </c>
      <c r="X345" s="289">
        <f t="shared" si="54"/>
        <v>10783.864948686112</v>
      </c>
      <c r="Y345" s="288">
        <f t="shared" si="55"/>
        <v>5.3919324743430565E-2</v>
      </c>
      <c r="Z345" s="256">
        <f t="shared" si="56"/>
        <v>181.74993027852094</v>
      </c>
      <c r="AA345" s="289">
        <f t="shared" si="57"/>
        <v>22111.939500761964</v>
      </c>
      <c r="AB345" s="288">
        <f t="shared" si="58"/>
        <v>0.11055969750380983</v>
      </c>
    </row>
    <row r="346" spans="13:28" ht="12" hidden="1" customHeight="1">
      <c r="M346" s="266"/>
      <c r="N346" s="288">
        <f t="shared" si="59"/>
        <v>7.5199999999999463</v>
      </c>
      <c r="O346" s="285">
        <f t="shared" si="45"/>
        <v>150</v>
      </c>
      <c r="P346" s="289">
        <f t="shared" si="46"/>
        <v>4000000</v>
      </c>
      <c r="Q346" s="285">
        <f t="shared" si="47"/>
        <v>110</v>
      </c>
      <c r="R346" s="285">
        <f t="shared" si="48"/>
        <v>85</v>
      </c>
      <c r="S346" s="285">
        <f t="shared" si="49"/>
        <v>0.35</v>
      </c>
      <c r="T346" s="285">
        <f t="shared" si="50"/>
        <v>3.2</v>
      </c>
      <c r="U346" s="285">
        <f t="shared" si="51"/>
        <v>1</v>
      </c>
      <c r="V346" s="285">
        <f t="shared" si="52"/>
        <v>4.5</v>
      </c>
      <c r="W346" s="285">
        <f t="shared" si="53"/>
        <v>1.5</v>
      </c>
      <c r="X346" s="289">
        <f t="shared" si="54"/>
        <v>10873.945387441332</v>
      </c>
      <c r="Y346" s="288">
        <f t="shared" si="55"/>
        <v>5.436972693720666E-2</v>
      </c>
      <c r="Z346" s="256">
        <f t="shared" si="56"/>
        <v>181.74993027852094</v>
      </c>
      <c r="AA346" s="289">
        <f t="shared" si="57"/>
        <v>22296.646303140842</v>
      </c>
      <c r="AB346" s="288">
        <f t="shared" si="58"/>
        <v>0.1114832315157042</v>
      </c>
    </row>
    <row r="347" spans="13:28" ht="12" hidden="1" customHeight="1">
      <c r="M347" s="266"/>
      <c r="N347" s="288">
        <f t="shared" si="59"/>
        <v>7.5299999999999461</v>
      </c>
      <c r="O347" s="285">
        <f t="shared" si="45"/>
        <v>150</v>
      </c>
      <c r="P347" s="289">
        <f t="shared" si="46"/>
        <v>4000000</v>
      </c>
      <c r="Q347" s="285">
        <f t="shared" si="47"/>
        <v>110</v>
      </c>
      <c r="R347" s="285">
        <f t="shared" si="48"/>
        <v>85</v>
      </c>
      <c r="S347" s="285">
        <f t="shared" si="49"/>
        <v>0.35</v>
      </c>
      <c r="T347" s="285">
        <f t="shared" si="50"/>
        <v>3.2</v>
      </c>
      <c r="U347" s="285">
        <f t="shared" si="51"/>
        <v>1</v>
      </c>
      <c r="V347" s="285">
        <f t="shared" si="52"/>
        <v>4.5</v>
      </c>
      <c r="W347" s="285">
        <f t="shared" si="53"/>
        <v>1.5</v>
      </c>
      <c r="X347" s="289">
        <f t="shared" si="54"/>
        <v>10964.677809664396</v>
      </c>
      <c r="Y347" s="288">
        <f t="shared" si="55"/>
        <v>5.4823389048321979E-2</v>
      </c>
      <c r="Z347" s="256">
        <f t="shared" si="56"/>
        <v>181.74993027852094</v>
      </c>
      <c r="AA347" s="289">
        <f t="shared" si="57"/>
        <v>22482.689974913534</v>
      </c>
      <c r="AB347" s="288">
        <f t="shared" si="58"/>
        <v>0.11241344987456767</v>
      </c>
    </row>
    <row r="348" spans="13:28" ht="12" hidden="1" customHeight="1">
      <c r="M348" s="266"/>
      <c r="N348" s="288">
        <f t="shared" si="59"/>
        <v>7.5399999999999459</v>
      </c>
      <c r="O348" s="285">
        <f t="shared" si="45"/>
        <v>150</v>
      </c>
      <c r="P348" s="289">
        <f t="shared" si="46"/>
        <v>4000000</v>
      </c>
      <c r="Q348" s="285">
        <f t="shared" si="47"/>
        <v>110</v>
      </c>
      <c r="R348" s="285">
        <f t="shared" si="48"/>
        <v>85</v>
      </c>
      <c r="S348" s="285">
        <f t="shared" si="49"/>
        <v>0.35</v>
      </c>
      <c r="T348" s="285">
        <f t="shared" si="50"/>
        <v>3.2</v>
      </c>
      <c r="U348" s="285">
        <f t="shared" si="51"/>
        <v>1</v>
      </c>
      <c r="V348" s="285">
        <f t="shared" si="52"/>
        <v>4.5</v>
      </c>
      <c r="W348" s="285">
        <f t="shared" si="53"/>
        <v>1.5</v>
      </c>
      <c r="X348" s="289">
        <f t="shared" si="54"/>
        <v>11056.06619777076</v>
      </c>
      <c r="Y348" s="288">
        <f t="shared" si="55"/>
        <v>5.52803309888538E-2</v>
      </c>
      <c r="Z348" s="256">
        <f t="shared" si="56"/>
        <v>181.74993027852094</v>
      </c>
      <c r="AA348" s="289">
        <f t="shared" si="57"/>
        <v>22670.078681884075</v>
      </c>
      <c r="AB348" s="288">
        <f t="shared" si="58"/>
        <v>0.11335039340942038</v>
      </c>
    </row>
    <row r="349" spans="13:28" ht="12" hidden="1" customHeight="1">
      <c r="M349" s="266"/>
      <c r="N349" s="288">
        <f t="shared" si="59"/>
        <v>7.5499999999999456</v>
      </c>
      <c r="O349" s="285">
        <f t="shared" si="45"/>
        <v>150</v>
      </c>
      <c r="P349" s="289">
        <f t="shared" si="46"/>
        <v>4000000</v>
      </c>
      <c r="Q349" s="285">
        <f t="shared" si="47"/>
        <v>110</v>
      </c>
      <c r="R349" s="285">
        <f t="shared" si="48"/>
        <v>85</v>
      </c>
      <c r="S349" s="285">
        <f t="shared" si="49"/>
        <v>0.35</v>
      </c>
      <c r="T349" s="285">
        <f t="shared" si="50"/>
        <v>3.2</v>
      </c>
      <c r="U349" s="285">
        <f t="shared" si="51"/>
        <v>1</v>
      </c>
      <c r="V349" s="285">
        <f t="shared" si="52"/>
        <v>4.5</v>
      </c>
      <c r="W349" s="285">
        <f t="shared" si="53"/>
        <v>1.5</v>
      </c>
      <c r="X349" s="289">
        <f t="shared" si="54"/>
        <v>11148.114553971911</v>
      </c>
      <c r="Y349" s="288">
        <f t="shared" si="55"/>
        <v>5.5740572769859553E-2</v>
      </c>
      <c r="Z349" s="256">
        <f t="shared" si="56"/>
        <v>181.74993027852094</v>
      </c>
      <c r="AA349" s="289">
        <f t="shared" si="57"/>
        <v>22858.820630447968</v>
      </c>
      <c r="AB349" s="288">
        <f t="shared" si="58"/>
        <v>0.11429410315223984</v>
      </c>
    </row>
    <row r="350" spans="13:28" ht="12" hidden="1" customHeight="1">
      <c r="M350" s="266"/>
      <c r="N350" s="288">
        <f t="shared" si="59"/>
        <v>7.5599999999999454</v>
      </c>
      <c r="O350" s="285">
        <f t="shared" ref="O350:O413" si="60">PCC_MR</f>
        <v>150</v>
      </c>
      <c r="P350" s="289">
        <f t="shared" ref="P350:P413" si="61">PCC_ME</f>
        <v>4000000</v>
      </c>
      <c r="Q350" s="285">
        <f t="shared" ref="Q350:Q413" si="62">K_MODULE</f>
        <v>110</v>
      </c>
      <c r="R350" s="285">
        <f t="shared" ref="R350:R413" si="63">R_</f>
        <v>85</v>
      </c>
      <c r="S350" s="285">
        <f t="shared" ref="S350:S413" si="64">So</f>
        <v>0.35</v>
      </c>
      <c r="T350" s="285">
        <f t="shared" ref="T350:T413" si="65">J_</f>
        <v>3.2</v>
      </c>
      <c r="U350" s="285">
        <f t="shared" ref="U350:U413" si="66">Cd_</f>
        <v>1</v>
      </c>
      <c r="V350" s="285">
        <f t="shared" ref="V350:V413" si="67">Pi</f>
        <v>4.5</v>
      </c>
      <c r="W350" s="285">
        <f t="shared" ref="W350:W413" si="68">Pt</f>
        <v>1.5</v>
      </c>
      <c r="X350" s="289">
        <f t="shared" ref="X350:X413" si="69">10^(-NORMSINV(R350/100)*S350+7.35*LOG10(N350+1)-0.06+((LOG10((V350-W350)/3))/(1+((1.625*10^7)/((N350+1)^8.46))))+((4.22-0.32*W350)*LOG10((O350*U350*((N350^0.75)-1.132))/(215.63*T350*((N350^0.75)-18.42*(Q350/P350)^0.25)))))</f>
        <v>11240.826900351549</v>
      </c>
      <c r="Y350" s="288">
        <f t="shared" ref="Y350:Y413" si="70">+X350/ESALS</f>
        <v>5.6204134501757742E-2</v>
      </c>
      <c r="Z350" s="256">
        <f t="shared" ref="Z350:Z413" si="71">PCC_IMR</f>
        <v>181.74993027852094</v>
      </c>
      <c r="AA350" s="289">
        <f t="shared" ref="AA350:AA413" si="72">10^(-NORMSINV(R350/100)*S350+7.35*LOG10(N350+1)-0.06+((LOG10((V350-W350)/3))/(1+((1.625*10^7)/((N350+1)^8.46))))+((4.22-0.32*W350)*LOG10((Z350*U350*((N350^0.75)-1.132))/(215.63*T350*((N350^0.75)-18.42*(Q350/P350)^0.25)))))</f>
        <v>23048.924067747597</v>
      </c>
      <c r="AB350" s="288">
        <f t="shared" ref="AB350:AB413" si="73">+AA350/ESALS</f>
        <v>0.11524462033873799</v>
      </c>
    </row>
    <row r="351" spans="13:28" ht="12" hidden="1" customHeight="1">
      <c r="M351" s="266"/>
      <c r="N351" s="288">
        <f t="shared" ref="N351:N414" si="74">IF(N350 = "", "", IF(AND(0.995*ESALS&lt;=X350,X350&lt;=1.005*ESALS),"",(N350+D_Step)))</f>
        <v>7.5699999999999452</v>
      </c>
      <c r="O351" s="285">
        <f t="shared" si="60"/>
        <v>150</v>
      </c>
      <c r="P351" s="289">
        <f t="shared" si="61"/>
        <v>4000000</v>
      </c>
      <c r="Q351" s="285">
        <f t="shared" si="62"/>
        <v>110</v>
      </c>
      <c r="R351" s="285">
        <f t="shared" si="63"/>
        <v>85</v>
      </c>
      <c r="S351" s="285">
        <f t="shared" si="64"/>
        <v>0.35</v>
      </c>
      <c r="T351" s="285">
        <f t="shared" si="65"/>
        <v>3.2</v>
      </c>
      <c r="U351" s="285">
        <f t="shared" si="66"/>
        <v>1</v>
      </c>
      <c r="V351" s="285">
        <f t="shared" si="67"/>
        <v>4.5</v>
      </c>
      <c r="W351" s="285">
        <f t="shared" si="68"/>
        <v>1.5</v>
      </c>
      <c r="X351" s="289">
        <f t="shared" si="69"/>
        <v>11334.207278941349</v>
      </c>
      <c r="Y351" s="288">
        <f t="shared" si="70"/>
        <v>5.6671036394706741E-2</v>
      </c>
      <c r="Z351" s="256">
        <f t="shared" si="71"/>
        <v>181.74993027852094</v>
      </c>
      <c r="AA351" s="289">
        <f t="shared" si="72"/>
        <v>23240.397281828184</v>
      </c>
      <c r="AB351" s="288">
        <f t="shared" si="73"/>
        <v>0.11620198640914092</v>
      </c>
    </row>
    <row r="352" spans="13:28" ht="12" hidden="1" customHeight="1">
      <c r="M352" s="266"/>
      <c r="N352" s="288">
        <f t="shared" si="74"/>
        <v>7.579999999999945</v>
      </c>
      <c r="O352" s="285">
        <f t="shared" si="60"/>
        <v>150</v>
      </c>
      <c r="P352" s="289">
        <f t="shared" si="61"/>
        <v>4000000</v>
      </c>
      <c r="Q352" s="285">
        <f t="shared" si="62"/>
        <v>110</v>
      </c>
      <c r="R352" s="285">
        <f t="shared" si="63"/>
        <v>85</v>
      </c>
      <c r="S352" s="285">
        <f t="shared" si="64"/>
        <v>0.35</v>
      </c>
      <c r="T352" s="285">
        <f t="shared" si="65"/>
        <v>3.2</v>
      </c>
      <c r="U352" s="285">
        <f t="shared" si="66"/>
        <v>1</v>
      </c>
      <c r="V352" s="285">
        <f t="shared" si="67"/>
        <v>4.5</v>
      </c>
      <c r="W352" s="285">
        <f t="shared" si="68"/>
        <v>1.5</v>
      </c>
      <c r="X352" s="289">
        <f t="shared" si="69"/>
        <v>11428.259751797234</v>
      </c>
      <c r="Y352" s="288">
        <f t="shared" si="70"/>
        <v>5.7141298758986166E-2</v>
      </c>
      <c r="Z352" s="256">
        <f t="shared" si="71"/>
        <v>181.74993027852094</v>
      </c>
      <c r="AA352" s="289">
        <f t="shared" si="72"/>
        <v>23433.24860179401</v>
      </c>
      <c r="AB352" s="288">
        <f t="shared" si="73"/>
        <v>0.11716624300897005</v>
      </c>
    </row>
    <row r="353" spans="13:28" ht="12" hidden="1" customHeight="1">
      <c r="M353" s="266"/>
      <c r="N353" s="288">
        <f t="shared" si="74"/>
        <v>7.5899999999999448</v>
      </c>
      <c r="O353" s="285">
        <f t="shared" si="60"/>
        <v>150</v>
      </c>
      <c r="P353" s="289">
        <f t="shared" si="61"/>
        <v>4000000</v>
      </c>
      <c r="Q353" s="285">
        <f t="shared" si="62"/>
        <v>110</v>
      </c>
      <c r="R353" s="285">
        <f t="shared" si="63"/>
        <v>85</v>
      </c>
      <c r="S353" s="285">
        <f t="shared" si="64"/>
        <v>0.35</v>
      </c>
      <c r="T353" s="285">
        <f t="shared" si="65"/>
        <v>3.2</v>
      </c>
      <c r="U353" s="285">
        <f t="shared" si="66"/>
        <v>1</v>
      </c>
      <c r="V353" s="285">
        <f t="shared" si="67"/>
        <v>4.5</v>
      </c>
      <c r="W353" s="285">
        <f t="shared" si="68"/>
        <v>1.5</v>
      </c>
      <c r="X353" s="289">
        <f t="shared" si="69"/>
        <v>11522.988401075818</v>
      </c>
      <c r="Y353" s="288">
        <f t="shared" si="70"/>
        <v>5.7614942005379088E-2</v>
      </c>
      <c r="Z353" s="256">
        <f t="shared" si="71"/>
        <v>181.74993027852094</v>
      </c>
      <c r="AA353" s="289">
        <f t="shared" si="72"/>
        <v>23627.486397964822</v>
      </c>
      <c r="AB353" s="288">
        <f t="shared" si="73"/>
        <v>0.11813743198982411</v>
      </c>
    </row>
    <row r="354" spans="13:28" ht="12" hidden="1" customHeight="1">
      <c r="M354" s="266"/>
      <c r="N354" s="288">
        <f t="shared" si="74"/>
        <v>7.5999999999999446</v>
      </c>
      <c r="O354" s="285">
        <f t="shared" si="60"/>
        <v>150</v>
      </c>
      <c r="P354" s="289">
        <f t="shared" si="61"/>
        <v>4000000</v>
      </c>
      <c r="Q354" s="285">
        <f t="shared" si="62"/>
        <v>110</v>
      </c>
      <c r="R354" s="285">
        <f t="shared" si="63"/>
        <v>85</v>
      </c>
      <c r="S354" s="285">
        <f t="shared" si="64"/>
        <v>0.35</v>
      </c>
      <c r="T354" s="285">
        <f t="shared" si="65"/>
        <v>3.2</v>
      </c>
      <c r="U354" s="285">
        <f t="shared" si="66"/>
        <v>1</v>
      </c>
      <c r="V354" s="285">
        <f t="shared" si="67"/>
        <v>4.5</v>
      </c>
      <c r="W354" s="285">
        <f t="shared" si="68"/>
        <v>1.5</v>
      </c>
      <c r="X354" s="289">
        <f t="shared" si="69"/>
        <v>11618.397329110918</v>
      </c>
      <c r="Y354" s="288">
        <f t="shared" si="70"/>
        <v>5.8091986645554587E-2</v>
      </c>
      <c r="Z354" s="256">
        <f t="shared" si="71"/>
        <v>181.74993027852094</v>
      </c>
      <c r="AA354" s="289">
        <f t="shared" si="72"/>
        <v>23823.119082033376</v>
      </c>
      <c r="AB354" s="288">
        <f t="shared" si="73"/>
        <v>0.11911559541016688</v>
      </c>
    </row>
    <row r="355" spans="13:28" ht="12" hidden="1" customHeight="1">
      <c r="M355" s="266"/>
      <c r="N355" s="288">
        <f t="shared" si="74"/>
        <v>7.6099999999999444</v>
      </c>
      <c r="O355" s="285">
        <f t="shared" si="60"/>
        <v>150</v>
      </c>
      <c r="P355" s="289">
        <f t="shared" si="61"/>
        <v>4000000</v>
      </c>
      <c r="Q355" s="285">
        <f t="shared" si="62"/>
        <v>110</v>
      </c>
      <c r="R355" s="285">
        <f t="shared" si="63"/>
        <v>85</v>
      </c>
      <c r="S355" s="285">
        <f t="shared" si="64"/>
        <v>0.35</v>
      </c>
      <c r="T355" s="285">
        <f t="shared" si="65"/>
        <v>3.2</v>
      </c>
      <c r="U355" s="285">
        <f t="shared" si="66"/>
        <v>1</v>
      </c>
      <c r="V355" s="285">
        <f t="shared" si="67"/>
        <v>4.5</v>
      </c>
      <c r="W355" s="285">
        <f t="shared" si="68"/>
        <v>1.5</v>
      </c>
      <c r="X355" s="289">
        <f t="shared" si="69"/>
        <v>11714.490658490362</v>
      </c>
      <c r="Y355" s="288">
        <f t="shared" si="70"/>
        <v>5.8572453292451809E-2</v>
      </c>
      <c r="Z355" s="256">
        <f t="shared" si="71"/>
        <v>181.74993027852094</v>
      </c>
      <c r="AA355" s="289">
        <f t="shared" si="72"/>
        <v>24020.155107222465</v>
      </c>
      <c r="AB355" s="288">
        <f t="shared" si="73"/>
        <v>0.12010077553611233</v>
      </c>
    </row>
    <row r="356" spans="13:28" ht="12" hidden="1" customHeight="1">
      <c r="M356" s="266"/>
      <c r="N356" s="288">
        <f t="shared" si="74"/>
        <v>7.6199999999999442</v>
      </c>
      <c r="O356" s="285">
        <f t="shared" si="60"/>
        <v>150</v>
      </c>
      <c r="P356" s="289">
        <f t="shared" si="61"/>
        <v>4000000</v>
      </c>
      <c r="Q356" s="285">
        <f t="shared" si="62"/>
        <v>110</v>
      </c>
      <c r="R356" s="285">
        <f t="shared" si="63"/>
        <v>85</v>
      </c>
      <c r="S356" s="285">
        <f t="shared" si="64"/>
        <v>0.35</v>
      </c>
      <c r="T356" s="285">
        <f t="shared" si="65"/>
        <v>3.2</v>
      </c>
      <c r="U356" s="285">
        <f t="shared" si="66"/>
        <v>1</v>
      </c>
      <c r="V356" s="285">
        <f t="shared" si="67"/>
        <v>4.5</v>
      </c>
      <c r="W356" s="285">
        <f t="shared" si="68"/>
        <v>1.5</v>
      </c>
      <c r="X356" s="289">
        <f t="shared" si="69"/>
        <v>11811.272532133195</v>
      </c>
      <c r="Y356" s="288">
        <f t="shared" si="70"/>
        <v>5.9056362660665974E-2</v>
      </c>
      <c r="Z356" s="256">
        <f t="shared" si="71"/>
        <v>181.74993027852094</v>
      </c>
      <c r="AA356" s="289">
        <f t="shared" si="72"/>
        <v>24218.602968443265</v>
      </c>
      <c r="AB356" s="288">
        <f t="shared" si="73"/>
        <v>0.12109301484221632</v>
      </c>
    </row>
    <row r="357" spans="13:28" ht="12" hidden="1" customHeight="1">
      <c r="M357" s="266"/>
      <c r="N357" s="288">
        <f t="shared" si="74"/>
        <v>7.6299999999999439</v>
      </c>
      <c r="O357" s="285">
        <f t="shared" si="60"/>
        <v>150</v>
      </c>
      <c r="P357" s="289">
        <f t="shared" si="61"/>
        <v>4000000</v>
      </c>
      <c r="Q357" s="285">
        <f t="shared" si="62"/>
        <v>110</v>
      </c>
      <c r="R357" s="285">
        <f t="shared" si="63"/>
        <v>85</v>
      </c>
      <c r="S357" s="285">
        <f t="shared" si="64"/>
        <v>0.35</v>
      </c>
      <c r="T357" s="285">
        <f t="shared" si="65"/>
        <v>3.2</v>
      </c>
      <c r="U357" s="285">
        <f t="shared" si="66"/>
        <v>1</v>
      </c>
      <c r="V357" s="285">
        <f t="shared" si="67"/>
        <v>4.5</v>
      </c>
      <c r="W357" s="285">
        <f t="shared" si="68"/>
        <v>1.5</v>
      </c>
      <c r="X357" s="289">
        <f t="shared" si="69"/>
        <v>11908.747113366708</v>
      </c>
      <c r="Y357" s="288">
        <f t="shared" si="70"/>
        <v>5.9543735566833539E-2</v>
      </c>
      <c r="Z357" s="256">
        <f t="shared" si="71"/>
        <v>181.74993027852094</v>
      </c>
      <c r="AA357" s="289">
        <f t="shared" si="72"/>
        <v>24418.471202453387</v>
      </c>
      <c r="AB357" s="288">
        <f t="shared" si="73"/>
        <v>0.12209235601226694</v>
      </c>
    </row>
    <row r="358" spans="13:28" ht="12" hidden="1" customHeight="1">
      <c r="M358" s="266"/>
      <c r="N358" s="288">
        <f t="shared" si="74"/>
        <v>7.6399999999999437</v>
      </c>
      <c r="O358" s="285">
        <f t="shared" si="60"/>
        <v>150</v>
      </c>
      <c r="P358" s="289">
        <f t="shared" si="61"/>
        <v>4000000</v>
      </c>
      <c r="Q358" s="285">
        <f t="shared" si="62"/>
        <v>110</v>
      </c>
      <c r="R358" s="285">
        <f t="shared" si="63"/>
        <v>85</v>
      </c>
      <c r="S358" s="285">
        <f t="shared" si="64"/>
        <v>0.35</v>
      </c>
      <c r="T358" s="285">
        <f t="shared" si="65"/>
        <v>3.2</v>
      </c>
      <c r="U358" s="285">
        <f t="shared" si="66"/>
        <v>1</v>
      </c>
      <c r="V358" s="285">
        <f t="shared" si="67"/>
        <v>4.5</v>
      </c>
      <c r="W358" s="285">
        <f t="shared" si="68"/>
        <v>1.5</v>
      </c>
      <c r="X358" s="289">
        <f t="shared" si="69"/>
        <v>12006.918586003902</v>
      </c>
      <c r="Y358" s="288">
        <f t="shared" si="70"/>
        <v>6.0034592930019511E-2</v>
      </c>
      <c r="Z358" s="256">
        <f t="shared" si="71"/>
        <v>181.74993027852094</v>
      </c>
      <c r="AA358" s="289">
        <f t="shared" si="72"/>
        <v>24619.768388015673</v>
      </c>
      <c r="AB358" s="288">
        <f t="shared" si="73"/>
        <v>0.12309884194007836</v>
      </c>
    </row>
    <row r="359" spans="13:28" ht="12" hidden="1" customHeight="1">
      <c r="M359" s="266"/>
      <c r="N359" s="288">
        <f t="shared" si="74"/>
        <v>7.6499999999999435</v>
      </c>
      <c r="O359" s="285">
        <f t="shared" si="60"/>
        <v>150</v>
      </c>
      <c r="P359" s="289">
        <f t="shared" si="61"/>
        <v>4000000</v>
      </c>
      <c r="Q359" s="285">
        <f t="shared" si="62"/>
        <v>110</v>
      </c>
      <c r="R359" s="285">
        <f t="shared" si="63"/>
        <v>85</v>
      </c>
      <c r="S359" s="285">
        <f t="shared" si="64"/>
        <v>0.35</v>
      </c>
      <c r="T359" s="285">
        <f t="shared" si="65"/>
        <v>3.2</v>
      </c>
      <c r="U359" s="285">
        <f t="shared" si="66"/>
        <v>1</v>
      </c>
      <c r="V359" s="285">
        <f t="shared" si="67"/>
        <v>4.5</v>
      </c>
      <c r="W359" s="285">
        <f t="shared" si="68"/>
        <v>1.5</v>
      </c>
      <c r="X359" s="289">
        <f t="shared" si="69"/>
        <v>12105.79115442126</v>
      </c>
      <c r="Y359" s="288">
        <f t="shared" si="70"/>
        <v>6.0528955772106298E-2</v>
      </c>
      <c r="Z359" s="256">
        <f t="shared" si="71"/>
        <v>181.74993027852094</v>
      </c>
      <c r="AA359" s="289">
        <f t="shared" si="72"/>
        <v>24822.503146057683</v>
      </c>
      <c r="AB359" s="288">
        <f t="shared" si="73"/>
        <v>0.12411251573028842</v>
      </c>
    </row>
    <row r="360" spans="13:28" ht="12" hidden="1" customHeight="1">
      <c r="M360" s="266"/>
      <c r="N360" s="288">
        <f t="shared" si="74"/>
        <v>7.6599999999999433</v>
      </c>
      <c r="O360" s="285">
        <f t="shared" si="60"/>
        <v>150</v>
      </c>
      <c r="P360" s="289">
        <f t="shared" si="61"/>
        <v>4000000</v>
      </c>
      <c r="Q360" s="285">
        <f t="shared" si="62"/>
        <v>110</v>
      </c>
      <c r="R360" s="285">
        <f t="shared" si="63"/>
        <v>85</v>
      </c>
      <c r="S360" s="285">
        <f t="shared" si="64"/>
        <v>0.35</v>
      </c>
      <c r="T360" s="285">
        <f t="shared" si="65"/>
        <v>3.2</v>
      </c>
      <c r="U360" s="285">
        <f t="shared" si="66"/>
        <v>1</v>
      </c>
      <c r="V360" s="285">
        <f t="shared" si="67"/>
        <v>4.5</v>
      </c>
      <c r="W360" s="285">
        <f t="shared" si="68"/>
        <v>1.5</v>
      </c>
      <c r="X360" s="289">
        <f t="shared" si="69"/>
        <v>12205.369043636354</v>
      </c>
      <c r="Y360" s="288">
        <f t="shared" si="70"/>
        <v>6.1026845218181767E-2</v>
      </c>
      <c r="Z360" s="256">
        <f t="shared" si="71"/>
        <v>181.74993027852094</v>
      </c>
      <c r="AA360" s="289">
        <f t="shared" si="72"/>
        <v>25026.684139830839</v>
      </c>
      <c r="AB360" s="288">
        <f t="shared" si="73"/>
        <v>0.1251334206991542</v>
      </c>
    </row>
    <row r="361" spans="13:28" ht="12" hidden="1" customHeight="1">
      <c r="M361" s="266"/>
      <c r="N361" s="288">
        <f t="shared" si="74"/>
        <v>7.6699999999999431</v>
      </c>
      <c r="O361" s="285">
        <f t="shared" si="60"/>
        <v>150</v>
      </c>
      <c r="P361" s="289">
        <f t="shared" si="61"/>
        <v>4000000</v>
      </c>
      <c r="Q361" s="285">
        <f t="shared" si="62"/>
        <v>110</v>
      </c>
      <c r="R361" s="285">
        <f t="shared" si="63"/>
        <v>85</v>
      </c>
      <c r="S361" s="285">
        <f t="shared" si="64"/>
        <v>0.35</v>
      </c>
      <c r="T361" s="285">
        <f t="shared" si="65"/>
        <v>3.2</v>
      </c>
      <c r="U361" s="285">
        <f t="shared" si="66"/>
        <v>1</v>
      </c>
      <c r="V361" s="285">
        <f t="shared" si="67"/>
        <v>4.5</v>
      </c>
      <c r="W361" s="285">
        <f t="shared" si="68"/>
        <v>1.5</v>
      </c>
      <c r="X361" s="289">
        <f t="shared" si="69"/>
        <v>12305.656499386125</v>
      </c>
      <c r="Y361" s="288">
        <f t="shared" si="70"/>
        <v>6.1528282496930625E-2</v>
      </c>
      <c r="Z361" s="256">
        <f t="shared" si="71"/>
        <v>181.74993027852094</v>
      </c>
      <c r="AA361" s="289">
        <f t="shared" si="72"/>
        <v>25232.32007507078</v>
      </c>
      <c r="AB361" s="288">
        <f t="shared" si="73"/>
        <v>0.1261616003753539</v>
      </c>
    </row>
    <row r="362" spans="13:28" ht="12" hidden="1" customHeight="1">
      <c r="M362" s="266"/>
      <c r="N362" s="288">
        <f t="shared" si="74"/>
        <v>7.6799999999999429</v>
      </c>
      <c r="O362" s="285">
        <f t="shared" si="60"/>
        <v>150</v>
      </c>
      <c r="P362" s="289">
        <f t="shared" si="61"/>
        <v>4000000</v>
      </c>
      <c r="Q362" s="285">
        <f t="shared" si="62"/>
        <v>110</v>
      </c>
      <c r="R362" s="285">
        <f t="shared" si="63"/>
        <v>85</v>
      </c>
      <c r="S362" s="285">
        <f t="shared" si="64"/>
        <v>0.35</v>
      </c>
      <c r="T362" s="285">
        <f t="shared" si="65"/>
        <v>3.2</v>
      </c>
      <c r="U362" s="285">
        <f t="shared" si="66"/>
        <v>1</v>
      </c>
      <c r="V362" s="285">
        <f t="shared" si="67"/>
        <v>4.5</v>
      </c>
      <c r="W362" s="285">
        <f t="shared" si="68"/>
        <v>1.5</v>
      </c>
      <c r="X362" s="289">
        <f t="shared" si="69"/>
        <v>12406.657788205021</v>
      </c>
      <c r="Y362" s="288">
        <f t="shared" si="70"/>
        <v>6.2033288941025104E-2</v>
      </c>
      <c r="Z362" s="256">
        <f t="shared" si="71"/>
        <v>181.74993027852094</v>
      </c>
      <c r="AA362" s="289">
        <f t="shared" si="72"/>
        <v>25439.41970015784</v>
      </c>
      <c r="AB362" s="288">
        <f t="shared" si="73"/>
        <v>0.1271970985007892</v>
      </c>
    </row>
    <row r="363" spans="13:28" ht="12" hidden="1" customHeight="1">
      <c r="M363" s="266"/>
      <c r="N363" s="288">
        <f t="shared" si="74"/>
        <v>7.6899999999999427</v>
      </c>
      <c r="O363" s="285">
        <f t="shared" si="60"/>
        <v>150</v>
      </c>
      <c r="P363" s="289">
        <f t="shared" si="61"/>
        <v>4000000</v>
      </c>
      <c r="Q363" s="285">
        <f t="shared" si="62"/>
        <v>110</v>
      </c>
      <c r="R363" s="285">
        <f t="shared" si="63"/>
        <v>85</v>
      </c>
      <c r="S363" s="285">
        <f t="shared" si="64"/>
        <v>0.35</v>
      </c>
      <c r="T363" s="285">
        <f t="shared" si="65"/>
        <v>3.2</v>
      </c>
      <c r="U363" s="285">
        <f t="shared" si="66"/>
        <v>1</v>
      </c>
      <c r="V363" s="285">
        <f t="shared" si="67"/>
        <v>4.5</v>
      </c>
      <c r="W363" s="285">
        <f t="shared" si="68"/>
        <v>1.5</v>
      </c>
      <c r="X363" s="289">
        <f t="shared" si="69"/>
        <v>12508.377197503489</v>
      </c>
      <c r="Y363" s="288">
        <f t="shared" si="70"/>
        <v>6.2541885987517448E-2</v>
      </c>
      <c r="Z363" s="256">
        <f t="shared" si="71"/>
        <v>181.74993027852094</v>
      </c>
      <c r="AA363" s="289">
        <f t="shared" si="72"/>
        <v>25647.991806277783</v>
      </c>
      <c r="AB363" s="288">
        <f t="shared" si="73"/>
        <v>0.12823995903138891</v>
      </c>
    </row>
    <row r="364" spans="13:28" ht="12" hidden="1" customHeight="1">
      <c r="M364" s="266"/>
      <c r="N364" s="288">
        <f t="shared" si="74"/>
        <v>7.6999999999999424</v>
      </c>
      <c r="O364" s="285">
        <f t="shared" si="60"/>
        <v>150</v>
      </c>
      <c r="P364" s="289">
        <f t="shared" si="61"/>
        <v>4000000</v>
      </c>
      <c r="Q364" s="285">
        <f t="shared" si="62"/>
        <v>110</v>
      </c>
      <c r="R364" s="285">
        <f t="shared" si="63"/>
        <v>85</v>
      </c>
      <c r="S364" s="285">
        <f t="shared" si="64"/>
        <v>0.35</v>
      </c>
      <c r="T364" s="285">
        <f t="shared" si="65"/>
        <v>3.2</v>
      </c>
      <c r="U364" s="285">
        <f t="shared" si="66"/>
        <v>1</v>
      </c>
      <c r="V364" s="285">
        <f t="shared" si="67"/>
        <v>4.5</v>
      </c>
      <c r="W364" s="285">
        <f t="shared" si="68"/>
        <v>1.5</v>
      </c>
      <c r="X364" s="289">
        <f t="shared" si="69"/>
        <v>12610.819035646535</v>
      </c>
      <c r="Y364" s="288">
        <f t="shared" si="70"/>
        <v>6.3054095178232669E-2</v>
      </c>
      <c r="Z364" s="256">
        <f t="shared" si="71"/>
        <v>181.74993027852094</v>
      </c>
      <c r="AA364" s="289">
        <f t="shared" si="72"/>
        <v>25858.04522758309</v>
      </c>
      <c r="AB364" s="288">
        <f t="shared" si="73"/>
        <v>0.12929022613791546</v>
      </c>
    </row>
    <row r="365" spans="13:28" ht="12" hidden="1" customHeight="1">
      <c r="M365" s="266"/>
      <c r="N365" s="288">
        <f t="shared" si="74"/>
        <v>7.7099999999999422</v>
      </c>
      <c r="O365" s="285">
        <f t="shared" si="60"/>
        <v>150</v>
      </c>
      <c r="P365" s="289">
        <f t="shared" si="61"/>
        <v>4000000</v>
      </c>
      <c r="Q365" s="285">
        <f t="shared" si="62"/>
        <v>110</v>
      </c>
      <c r="R365" s="285">
        <f t="shared" si="63"/>
        <v>85</v>
      </c>
      <c r="S365" s="285">
        <f t="shared" si="64"/>
        <v>0.35</v>
      </c>
      <c r="T365" s="285">
        <f t="shared" si="65"/>
        <v>3.2</v>
      </c>
      <c r="U365" s="285">
        <f t="shared" si="66"/>
        <v>1</v>
      </c>
      <c r="V365" s="285">
        <f t="shared" si="67"/>
        <v>4.5</v>
      </c>
      <c r="W365" s="285">
        <f t="shared" si="68"/>
        <v>1.5</v>
      </c>
      <c r="X365" s="289">
        <f t="shared" si="69"/>
        <v>12713.987632032824</v>
      </c>
      <c r="Y365" s="288">
        <f t="shared" si="70"/>
        <v>6.3569938160164124E-2</v>
      </c>
      <c r="Z365" s="256">
        <f t="shared" si="71"/>
        <v>181.74993027852094</v>
      </c>
      <c r="AA365" s="289">
        <f t="shared" si="72"/>
        <v>26069.588841354896</v>
      </c>
      <c r="AB365" s="288">
        <f t="shared" si="73"/>
        <v>0.13034794420677448</v>
      </c>
    </row>
    <row r="366" spans="13:28" ht="12" hidden="1" customHeight="1">
      <c r="M366" s="266"/>
      <c r="N366" s="288">
        <f t="shared" si="74"/>
        <v>7.719999999999942</v>
      </c>
      <c r="O366" s="285">
        <f t="shared" si="60"/>
        <v>150</v>
      </c>
      <c r="P366" s="289">
        <f t="shared" si="61"/>
        <v>4000000</v>
      </c>
      <c r="Q366" s="285">
        <f t="shared" si="62"/>
        <v>110</v>
      </c>
      <c r="R366" s="285">
        <f t="shared" si="63"/>
        <v>85</v>
      </c>
      <c r="S366" s="285">
        <f t="shared" si="64"/>
        <v>0.35</v>
      </c>
      <c r="T366" s="285">
        <f t="shared" si="65"/>
        <v>3.2</v>
      </c>
      <c r="U366" s="285">
        <f t="shared" si="66"/>
        <v>1</v>
      </c>
      <c r="V366" s="285">
        <f t="shared" si="67"/>
        <v>4.5</v>
      </c>
      <c r="W366" s="285">
        <f t="shared" si="68"/>
        <v>1.5</v>
      </c>
      <c r="X366" s="289">
        <f t="shared" si="69"/>
        <v>12817.887337173624</v>
      </c>
      <c r="Y366" s="288">
        <f t="shared" si="70"/>
        <v>6.4089436685868126E-2</v>
      </c>
      <c r="Z366" s="256">
        <f t="shared" si="71"/>
        <v>181.74993027852094</v>
      </c>
      <c r="AA366" s="289">
        <f t="shared" si="72"/>
        <v>26282.631568165034</v>
      </c>
      <c r="AB366" s="288">
        <f t="shared" si="73"/>
        <v>0.13141315784082516</v>
      </c>
    </row>
    <row r="367" spans="13:28" ht="12" hidden="1" customHeight="1">
      <c r="M367" s="266"/>
      <c r="N367" s="288">
        <f t="shared" si="74"/>
        <v>7.7299999999999418</v>
      </c>
      <c r="O367" s="285">
        <f t="shared" si="60"/>
        <v>150</v>
      </c>
      <c r="P367" s="289">
        <f t="shared" si="61"/>
        <v>4000000</v>
      </c>
      <c r="Q367" s="285">
        <f t="shared" si="62"/>
        <v>110</v>
      </c>
      <c r="R367" s="285">
        <f t="shared" si="63"/>
        <v>85</v>
      </c>
      <c r="S367" s="285">
        <f t="shared" si="64"/>
        <v>0.35</v>
      </c>
      <c r="T367" s="285">
        <f t="shared" si="65"/>
        <v>3.2</v>
      </c>
      <c r="U367" s="285">
        <f t="shared" si="66"/>
        <v>1</v>
      </c>
      <c r="V367" s="285">
        <f t="shared" si="67"/>
        <v>4.5</v>
      </c>
      <c r="W367" s="285">
        <f t="shared" si="68"/>
        <v>1.5</v>
      </c>
      <c r="X367" s="289">
        <f t="shared" si="69"/>
        <v>12922.522522772102</v>
      </c>
      <c r="Y367" s="288">
        <f t="shared" si="70"/>
        <v>6.4612612613860504E-2</v>
      </c>
      <c r="Z367" s="256">
        <f t="shared" si="71"/>
        <v>181.74993027852094</v>
      </c>
      <c r="AA367" s="289">
        <f t="shared" si="72"/>
        <v>26497.182372038598</v>
      </c>
      <c r="AB367" s="288">
        <f t="shared" si="73"/>
        <v>0.13248591186019298</v>
      </c>
    </row>
    <row r="368" spans="13:28" ht="12" hidden="1" customHeight="1">
      <c r="M368" s="266"/>
      <c r="N368" s="288">
        <f t="shared" si="74"/>
        <v>7.7399999999999416</v>
      </c>
      <c r="O368" s="285">
        <f t="shared" si="60"/>
        <v>150</v>
      </c>
      <c r="P368" s="289">
        <f t="shared" si="61"/>
        <v>4000000</v>
      </c>
      <c r="Q368" s="285">
        <f t="shared" si="62"/>
        <v>110</v>
      </c>
      <c r="R368" s="285">
        <f t="shared" si="63"/>
        <v>85</v>
      </c>
      <c r="S368" s="285">
        <f t="shared" si="64"/>
        <v>0.35</v>
      </c>
      <c r="T368" s="285">
        <f t="shared" si="65"/>
        <v>3.2</v>
      </c>
      <c r="U368" s="285">
        <f t="shared" si="66"/>
        <v>1</v>
      </c>
      <c r="V368" s="285">
        <f t="shared" si="67"/>
        <v>4.5</v>
      </c>
      <c r="W368" s="285">
        <f t="shared" si="68"/>
        <v>1.5</v>
      </c>
      <c r="X368" s="289">
        <f t="shared" si="69"/>
        <v>13027.897581802845</v>
      </c>
      <c r="Y368" s="288">
        <f t="shared" si="70"/>
        <v>6.5139487909014221E-2</v>
      </c>
      <c r="Z368" s="256">
        <f t="shared" si="71"/>
        <v>181.74993027852094</v>
      </c>
      <c r="AA368" s="289">
        <f t="shared" si="72"/>
        <v>26713.250260616976</v>
      </c>
      <c r="AB368" s="288">
        <f t="shared" si="73"/>
        <v>0.13356625130308489</v>
      </c>
    </row>
    <row r="369" spans="13:28" ht="12" hidden="1" customHeight="1">
      <c r="M369" s="266"/>
      <c r="N369" s="288">
        <f t="shared" si="74"/>
        <v>7.7499999999999414</v>
      </c>
      <c r="O369" s="285">
        <f t="shared" si="60"/>
        <v>150</v>
      </c>
      <c r="P369" s="289">
        <f t="shared" si="61"/>
        <v>4000000</v>
      </c>
      <c r="Q369" s="285">
        <f t="shared" si="62"/>
        <v>110</v>
      </c>
      <c r="R369" s="285">
        <f t="shared" si="63"/>
        <v>85</v>
      </c>
      <c r="S369" s="285">
        <f t="shared" si="64"/>
        <v>0.35</v>
      </c>
      <c r="T369" s="285">
        <f t="shared" si="65"/>
        <v>3.2</v>
      </c>
      <c r="U369" s="285">
        <f t="shared" si="66"/>
        <v>1</v>
      </c>
      <c r="V369" s="285">
        <f t="shared" si="67"/>
        <v>4.5</v>
      </c>
      <c r="W369" s="285">
        <f t="shared" si="68"/>
        <v>1.5</v>
      </c>
      <c r="X369" s="289">
        <f t="shared" si="69"/>
        <v>13134.016928591554</v>
      </c>
      <c r="Y369" s="288">
        <f t="shared" si="70"/>
        <v>6.5670084642957774E-2</v>
      </c>
      <c r="Z369" s="256">
        <f t="shared" si="71"/>
        <v>181.74993027852094</v>
      </c>
      <c r="AA369" s="289">
        <f t="shared" si="72"/>
        <v>26930.844285321287</v>
      </c>
      <c r="AB369" s="288">
        <f t="shared" si="73"/>
        <v>0.13465422142660644</v>
      </c>
    </row>
    <row r="370" spans="13:28" ht="12" hidden="1" customHeight="1">
      <c r="M370" s="266"/>
      <c r="N370" s="288">
        <f t="shared" si="74"/>
        <v>7.7599999999999412</v>
      </c>
      <c r="O370" s="285">
        <f t="shared" si="60"/>
        <v>150</v>
      </c>
      <c r="P370" s="289">
        <f t="shared" si="61"/>
        <v>4000000</v>
      </c>
      <c r="Q370" s="285">
        <f t="shared" si="62"/>
        <v>110</v>
      </c>
      <c r="R370" s="285">
        <f t="shared" si="63"/>
        <v>85</v>
      </c>
      <c r="S370" s="285">
        <f t="shared" si="64"/>
        <v>0.35</v>
      </c>
      <c r="T370" s="285">
        <f t="shared" si="65"/>
        <v>3.2</v>
      </c>
      <c r="U370" s="285">
        <f t="shared" si="66"/>
        <v>1</v>
      </c>
      <c r="V370" s="285">
        <f t="shared" si="67"/>
        <v>4.5</v>
      </c>
      <c r="W370" s="285">
        <f t="shared" si="68"/>
        <v>1.5</v>
      </c>
      <c r="X370" s="289">
        <f t="shared" si="69"/>
        <v>13240.884998895046</v>
      </c>
      <c r="Y370" s="288">
        <f t="shared" si="70"/>
        <v>6.6204424994475236E-2</v>
      </c>
      <c r="Z370" s="256">
        <f t="shared" si="71"/>
        <v>181.74993027852094</v>
      </c>
      <c r="AA370" s="289">
        <f t="shared" si="72"/>
        <v>27149.973541516381</v>
      </c>
      <c r="AB370" s="288">
        <f t="shared" si="73"/>
        <v>0.13574986770758191</v>
      </c>
    </row>
    <row r="371" spans="13:28" ht="12" hidden="1" customHeight="1">
      <c r="M371" s="266"/>
      <c r="N371" s="288">
        <f t="shared" si="74"/>
        <v>7.769999999999941</v>
      </c>
      <c r="O371" s="285">
        <f t="shared" si="60"/>
        <v>150</v>
      </c>
      <c r="P371" s="289">
        <f t="shared" si="61"/>
        <v>4000000</v>
      </c>
      <c r="Q371" s="285">
        <f t="shared" si="62"/>
        <v>110</v>
      </c>
      <c r="R371" s="285">
        <f t="shared" si="63"/>
        <v>85</v>
      </c>
      <c r="S371" s="285">
        <f t="shared" si="64"/>
        <v>0.35</v>
      </c>
      <c r="T371" s="285">
        <f t="shared" si="65"/>
        <v>3.2</v>
      </c>
      <c r="U371" s="285">
        <f t="shared" si="66"/>
        <v>1</v>
      </c>
      <c r="V371" s="285">
        <f t="shared" si="67"/>
        <v>4.5</v>
      </c>
      <c r="W371" s="285">
        <f t="shared" si="68"/>
        <v>1.5</v>
      </c>
      <c r="X371" s="289">
        <f t="shared" si="69"/>
        <v>13348.506249981294</v>
      </c>
      <c r="Y371" s="288">
        <f t="shared" si="70"/>
        <v>6.6742531249906464E-2</v>
      </c>
      <c r="Z371" s="256">
        <f t="shared" si="71"/>
        <v>181.74993027852094</v>
      </c>
      <c r="AA371" s="289">
        <f t="shared" si="72"/>
        <v>27370.647168675019</v>
      </c>
      <c r="AB371" s="288">
        <f t="shared" si="73"/>
        <v>0.13685323584337511</v>
      </c>
    </row>
    <row r="372" spans="13:28" ht="12" hidden="1" customHeight="1">
      <c r="M372" s="266"/>
      <c r="N372" s="288">
        <f t="shared" si="74"/>
        <v>7.7799999999999407</v>
      </c>
      <c r="O372" s="285">
        <f t="shared" si="60"/>
        <v>150</v>
      </c>
      <c r="P372" s="289">
        <f t="shared" si="61"/>
        <v>4000000</v>
      </c>
      <c r="Q372" s="285">
        <f t="shared" si="62"/>
        <v>110</v>
      </c>
      <c r="R372" s="285">
        <f t="shared" si="63"/>
        <v>85</v>
      </c>
      <c r="S372" s="285">
        <f t="shared" si="64"/>
        <v>0.35</v>
      </c>
      <c r="T372" s="285">
        <f t="shared" si="65"/>
        <v>3.2</v>
      </c>
      <c r="U372" s="285">
        <f t="shared" si="66"/>
        <v>1</v>
      </c>
      <c r="V372" s="285">
        <f t="shared" si="67"/>
        <v>4.5</v>
      </c>
      <c r="W372" s="285">
        <f t="shared" si="68"/>
        <v>1.5</v>
      </c>
      <c r="X372" s="289">
        <f t="shared" si="69"/>
        <v>13456.885160709784</v>
      </c>
      <c r="Y372" s="288">
        <f t="shared" si="70"/>
        <v>6.7284425803548917E-2</v>
      </c>
      <c r="Z372" s="256">
        <f t="shared" si="71"/>
        <v>181.74993027852094</v>
      </c>
      <c r="AA372" s="289">
        <f t="shared" si="72"/>
        <v>27592.874350542625</v>
      </c>
      <c r="AB372" s="288">
        <f t="shared" si="73"/>
        <v>0.13796437175271312</v>
      </c>
    </row>
    <row r="373" spans="13:28" ht="12" hidden="1" customHeight="1">
      <c r="M373" s="266"/>
      <c r="N373" s="288">
        <f t="shared" si="74"/>
        <v>7.7899999999999405</v>
      </c>
      <c r="O373" s="285">
        <f t="shared" si="60"/>
        <v>150</v>
      </c>
      <c r="P373" s="289">
        <f t="shared" si="61"/>
        <v>4000000</v>
      </c>
      <c r="Q373" s="285">
        <f t="shared" si="62"/>
        <v>110</v>
      </c>
      <c r="R373" s="285">
        <f t="shared" si="63"/>
        <v>85</v>
      </c>
      <c r="S373" s="285">
        <f t="shared" si="64"/>
        <v>0.35</v>
      </c>
      <c r="T373" s="285">
        <f t="shared" si="65"/>
        <v>3.2</v>
      </c>
      <c r="U373" s="285">
        <f t="shared" si="66"/>
        <v>1</v>
      </c>
      <c r="V373" s="285">
        <f t="shared" si="67"/>
        <v>4.5</v>
      </c>
      <c r="W373" s="285">
        <f t="shared" si="68"/>
        <v>1.5</v>
      </c>
      <c r="X373" s="289">
        <f t="shared" si="69"/>
        <v>13566.026231612126</v>
      </c>
      <c r="Y373" s="288">
        <f t="shared" si="70"/>
        <v>6.7830131158060636E-2</v>
      </c>
      <c r="Z373" s="256">
        <f t="shared" si="71"/>
        <v>181.74993027852094</v>
      </c>
      <c r="AA373" s="289">
        <f t="shared" si="72"/>
        <v>27816.664315302332</v>
      </c>
      <c r="AB373" s="288">
        <f t="shared" si="73"/>
        <v>0.13908332157651165</v>
      </c>
    </row>
    <row r="374" spans="13:28" ht="12" hidden="1" customHeight="1">
      <c r="M374" s="266"/>
      <c r="N374" s="288">
        <f t="shared" si="74"/>
        <v>7.7999999999999403</v>
      </c>
      <c r="O374" s="285">
        <f t="shared" si="60"/>
        <v>150</v>
      </c>
      <c r="P374" s="289">
        <f t="shared" si="61"/>
        <v>4000000</v>
      </c>
      <c r="Q374" s="285">
        <f t="shared" si="62"/>
        <v>110</v>
      </c>
      <c r="R374" s="285">
        <f t="shared" si="63"/>
        <v>85</v>
      </c>
      <c r="S374" s="285">
        <f t="shared" si="64"/>
        <v>0.35</v>
      </c>
      <c r="T374" s="285">
        <f t="shared" si="65"/>
        <v>3.2</v>
      </c>
      <c r="U374" s="285">
        <f t="shared" si="66"/>
        <v>1</v>
      </c>
      <c r="V374" s="285">
        <f t="shared" si="67"/>
        <v>4.5</v>
      </c>
      <c r="W374" s="285">
        <f t="shared" si="68"/>
        <v>1.5</v>
      </c>
      <c r="X374" s="289">
        <f t="shared" si="69"/>
        <v>13675.933984972791</v>
      </c>
      <c r="Y374" s="288">
        <f t="shared" si="70"/>
        <v>6.8379669924863953E-2</v>
      </c>
      <c r="Z374" s="256">
        <f t="shared" si="71"/>
        <v>181.74993027852094</v>
      </c>
      <c r="AA374" s="289">
        <f t="shared" si="72"/>
        <v>28042.026335741142</v>
      </c>
      <c r="AB374" s="288">
        <f t="shared" si="73"/>
        <v>0.14021013167870572</v>
      </c>
    </row>
    <row r="375" spans="13:28" ht="12" hidden="1" customHeight="1">
      <c r="M375" s="266"/>
      <c r="N375" s="288">
        <f t="shared" si="74"/>
        <v>7.8099999999999401</v>
      </c>
      <c r="O375" s="285">
        <f t="shared" si="60"/>
        <v>150</v>
      </c>
      <c r="P375" s="289">
        <f t="shared" si="61"/>
        <v>4000000</v>
      </c>
      <c r="Q375" s="285">
        <f t="shared" si="62"/>
        <v>110</v>
      </c>
      <c r="R375" s="285">
        <f t="shared" si="63"/>
        <v>85</v>
      </c>
      <c r="S375" s="285">
        <f t="shared" si="64"/>
        <v>0.35</v>
      </c>
      <c r="T375" s="285">
        <f t="shared" si="65"/>
        <v>3.2</v>
      </c>
      <c r="U375" s="285">
        <f t="shared" si="66"/>
        <v>1</v>
      </c>
      <c r="V375" s="285">
        <f t="shared" si="67"/>
        <v>4.5</v>
      </c>
      <c r="W375" s="285">
        <f t="shared" si="68"/>
        <v>1.5</v>
      </c>
      <c r="X375" s="289">
        <f t="shared" si="69"/>
        <v>13786.612964909986</v>
      </c>
      <c r="Y375" s="288">
        <f t="shared" si="70"/>
        <v>6.8933064824549931E-2</v>
      </c>
      <c r="Z375" s="256">
        <f t="shared" si="71"/>
        <v>181.74993027852094</v>
      </c>
      <c r="AA375" s="289">
        <f t="shared" si="72"/>
        <v>28268.969729415225</v>
      </c>
      <c r="AB375" s="288">
        <f t="shared" si="73"/>
        <v>0.14134484864707611</v>
      </c>
    </row>
    <row r="376" spans="13:28" ht="12" hidden="1" customHeight="1">
      <c r="M376" s="266"/>
      <c r="N376" s="288">
        <f t="shared" si="74"/>
        <v>7.8199999999999399</v>
      </c>
      <c r="O376" s="285">
        <f t="shared" si="60"/>
        <v>150</v>
      </c>
      <c r="P376" s="289">
        <f t="shared" si="61"/>
        <v>4000000</v>
      </c>
      <c r="Q376" s="285">
        <f t="shared" si="62"/>
        <v>110</v>
      </c>
      <c r="R376" s="285">
        <f t="shared" si="63"/>
        <v>85</v>
      </c>
      <c r="S376" s="285">
        <f t="shared" si="64"/>
        <v>0.35</v>
      </c>
      <c r="T376" s="285">
        <f t="shared" si="65"/>
        <v>3.2</v>
      </c>
      <c r="U376" s="285">
        <f t="shared" si="66"/>
        <v>1</v>
      </c>
      <c r="V376" s="285">
        <f t="shared" si="67"/>
        <v>4.5</v>
      </c>
      <c r="W376" s="285">
        <f t="shared" si="68"/>
        <v>1.5</v>
      </c>
      <c r="X376" s="289">
        <f t="shared" si="69"/>
        <v>13898.06773745702</v>
      </c>
      <c r="Y376" s="288">
        <f t="shared" si="70"/>
        <v>6.9490338687285103E-2</v>
      </c>
      <c r="Z376" s="256">
        <f t="shared" si="71"/>
        <v>181.74993027852094</v>
      </c>
      <c r="AA376" s="289">
        <f t="shared" si="72"/>
        <v>28497.503858816865</v>
      </c>
      <c r="AB376" s="288">
        <f t="shared" si="73"/>
        <v>0.14248751929408432</v>
      </c>
    </row>
    <row r="377" spans="13:28" ht="12" hidden="1" customHeight="1">
      <c r="M377" s="266"/>
      <c r="N377" s="288">
        <f t="shared" si="74"/>
        <v>7.8299999999999397</v>
      </c>
      <c r="O377" s="285">
        <f t="shared" si="60"/>
        <v>150</v>
      </c>
      <c r="P377" s="289">
        <f t="shared" si="61"/>
        <v>4000000</v>
      </c>
      <c r="Q377" s="285">
        <f t="shared" si="62"/>
        <v>110</v>
      </c>
      <c r="R377" s="285">
        <f t="shared" si="63"/>
        <v>85</v>
      </c>
      <c r="S377" s="285">
        <f t="shared" si="64"/>
        <v>0.35</v>
      </c>
      <c r="T377" s="285">
        <f t="shared" si="65"/>
        <v>3.2</v>
      </c>
      <c r="U377" s="285">
        <f t="shared" si="66"/>
        <v>1</v>
      </c>
      <c r="V377" s="285">
        <f t="shared" si="67"/>
        <v>4.5</v>
      </c>
      <c r="W377" s="285">
        <f t="shared" si="68"/>
        <v>1.5</v>
      </c>
      <c r="X377" s="289">
        <f t="shared" si="69"/>
        <v>14010.302890643583</v>
      </c>
      <c r="Y377" s="288">
        <f t="shared" si="70"/>
        <v>7.0051514453217917E-2</v>
      </c>
      <c r="Z377" s="256">
        <f t="shared" si="71"/>
        <v>181.74993027852094</v>
      </c>
      <c r="AA377" s="289">
        <f t="shared" si="72"/>
        <v>28727.638131540789</v>
      </c>
      <c r="AB377" s="288">
        <f t="shared" si="73"/>
        <v>0.14363819065770395</v>
      </c>
    </row>
    <row r="378" spans="13:28" ht="12" hidden="1" customHeight="1">
      <c r="M378" s="266"/>
      <c r="N378" s="288">
        <f t="shared" si="74"/>
        <v>7.8399999999999395</v>
      </c>
      <c r="O378" s="285">
        <f t="shared" si="60"/>
        <v>150</v>
      </c>
      <c r="P378" s="289">
        <f t="shared" si="61"/>
        <v>4000000</v>
      </c>
      <c r="Q378" s="285">
        <f t="shared" si="62"/>
        <v>110</v>
      </c>
      <c r="R378" s="285">
        <f t="shared" si="63"/>
        <v>85</v>
      </c>
      <c r="S378" s="285">
        <f t="shared" si="64"/>
        <v>0.35</v>
      </c>
      <c r="T378" s="285">
        <f t="shared" si="65"/>
        <v>3.2</v>
      </c>
      <c r="U378" s="285">
        <f t="shared" si="66"/>
        <v>1</v>
      </c>
      <c r="V378" s="285">
        <f t="shared" si="67"/>
        <v>4.5</v>
      </c>
      <c r="W378" s="285">
        <f t="shared" si="68"/>
        <v>1.5</v>
      </c>
      <c r="X378" s="289">
        <f t="shared" si="69"/>
        <v>14123.323034577332</v>
      </c>
      <c r="Y378" s="288">
        <f t="shared" si="70"/>
        <v>7.0616615172886657E-2</v>
      </c>
      <c r="Z378" s="256">
        <f t="shared" si="71"/>
        <v>181.74993027852094</v>
      </c>
      <c r="AA378" s="289">
        <f t="shared" si="72"/>
        <v>28959.382000452555</v>
      </c>
      <c r="AB378" s="288">
        <f t="shared" si="73"/>
        <v>0.14479691000226277</v>
      </c>
    </row>
    <row r="379" spans="13:28" ht="12" hidden="1" customHeight="1">
      <c r="M379" s="266"/>
      <c r="N379" s="288">
        <f t="shared" si="74"/>
        <v>7.8499999999999392</v>
      </c>
      <c r="O379" s="285">
        <f t="shared" si="60"/>
        <v>150</v>
      </c>
      <c r="P379" s="289">
        <f t="shared" si="61"/>
        <v>4000000</v>
      </c>
      <c r="Q379" s="285">
        <f t="shared" si="62"/>
        <v>110</v>
      </c>
      <c r="R379" s="285">
        <f t="shared" si="63"/>
        <v>85</v>
      </c>
      <c r="S379" s="285">
        <f t="shared" si="64"/>
        <v>0.35</v>
      </c>
      <c r="T379" s="285">
        <f t="shared" si="65"/>
        <v>3.2</v>
      </c>
      <c r="U379" s="285">
        <f t="shared" si="66"/>
        <v>1</v>
      </c>
      <c r="V379" s="285">
        <f t="shared" si="67"/>
        <v>4.5</v>
      </c>
      <c r="W379" s="285">
        <f t="shared" si="68"/>
        <v>1.5</v>
      </c>
      <c r="X379" s="289">
        <f t="shared" si="69"/>
        <v>14237.132801525799</v>
      </c>
      <c r="Y379" s="288">
        <f t="shared" si="70"/>
        <v>7.118566400762899E-2</v>
      </c>
      <c r="Z379" s="256">
        <f t="shared" si="71"/>
        <v>181.74993027852094</v>
      </c>
      <c r="AA379" s="289">
        <f t="shared" si="72"/>
        <v>29192.744963855293</v>
      </c>
      <c r="AB379" s="288">
        <f t="shared" si="73"/>
        <v>0.14596372481927647</v>
      </c>
    </row>
    <row r="380" spans="13:28" ht="12" hidden="1" customHeight="1">
      <c r="M380" s="266"/>
      <c r="N380" s="288">
        <f t="shared" si="74"/>
        <v>7.859999999999939</v>
      </c>
      <c r="O380" s="285">
        <f t="shared" si="60"/>
        <v>150</v>
      </c>
      <c r="P380" s="289">
        <f t="shared" si="61"/>
        <v>4000000</v>
      </c>
      <c r="Q380" s="285">
        <f t="shared" si="62"/>
        <v>110</v>
      </c>
      <c r="R380" s="285">
        <f t="shared" si="63"/>
        <v>85</v>
      </c>
      <c r="S380" s="285">
        <f t="shared" si="64"/>
        <v>0.35</v>
      </c>
      <c r="T380" s="285">
        <f t="shared" si="65"/>
        <v>3.2</v>
      </c>
      <c r="U380" s="285">
        <f t="shared" si="66"/>
        <v>1</v>
      </c>
      <c r="V380" s="285">
        <f t="shared" si="67"/>
        <v>4.5</v>
      </c>
      <c r="W380" s="285">
        <f t="shared" si="68"/>
        <v>1.5</v>
      </c>
      <c r="X380" s="289">
        <f t="shared" si="69"/>
        <v>14351.736845998394</v>
      </c>
      <c r="Y380" s="288">
        <f t="shared" si="70"/>
        <v>7.1758684229991973E-2</v>
      </c>
      <c r="Z380" s="256">
        <f t="shared" si="71"/>
        <v>181.74993027852094</v>
      </c>
      <c r="AA380" s="289">
        <f t="shared" si="72"/>
        <v>29427.736565658448</v>
      </c>
      <c r="AB380" s="288">
        <f t="shared" si="73"/>
        <v>0.14713868282829223</v>
      </c>
    </row>
    <row r="381" spans="13:28" ht="12" hidden="1" customHeight="1">
      <c r="M381" s="266"/>
      <c r="N381" s="288">
        <f t="shared" si="74"/>
        <v>7.8699999999999388</v>
      </c>
      <c r="O381" s="285">
        <f t="shared" si="60"/>
        <v>150</v>
      </c>
      <c r="P381" s="289">
        <f t="shared" si="61"/>
        <v>4000000</v>
      </c>
      <c r="Q381" s="285">
        <f t="shared" si="62"/>
        <v>110</v>
      </c>
      <c r="R381" s="285">
        <f t="shared" si="63"/>
        <v>85</v>
      </c>
      <c r="S381" s="285">
        <f t="shared" si="64"/>
        <v>0.35</v>
      </c>
      <c r="T381" s="285">
        <f t="shared" si="65"/>
        <v>3.2</v>
      </c>
      <c r="U381" s="285">
        <f t="shared" si="66"/>
        <v>1</v>
      </c>
      <c r="V381" s="285">
        <f t="shared" si="67"/>
        <v>4.5</v>
      </c>
      <c r="W381" s="285">
        <f t="shared" si="68"/>
        <v>1.5</v>
      </c>
      <c r="X381" s="289">
        <f t="shared" si="69"/>
        <v>14467.139844828558</v>
      </c>
      <c r="Y381" s="288">
        <f t="shared" si="70"/>
        <v>7.2335699224142791E-2</v>
      </c>
      <c r="Z381" s="256">
        <f t="shared" si="71"/>
        <v>181.74993027852094</v>
      </c>
      <c r="AA381" s="289">
        <f t="shared" si="72"/>
        <v>29664.366395546109</v>
      </c>
      <c r="AB381" s="288">
        <f t="shared" si="73"/>
        <v>0.14832183197773055</v>
      </c>
    </row>
    <row r="382" spans="13:28" ht="12" hidden="1" customHeight="1">
      <c r="M382" s="266"/>
      <c r="N382" s="288">
        <f t="shared" si="74"/>
        <v>7.8799999999999386</v>
      </c>
      <c r="O382" s="285">
        <f t="shared" si="60"/>
        <v>150</v>
      </c>
      <c r="P382" s="289">
        <f t="shared" si="61"/>
        <v>4000000</v>
      </c>
      <c r="Q382" s="285">
        <f t="shared" si="62"/>
        <v>110</v>
      </c>
      <c r="R382" s="285">
        <f t="shared" si="63"/>
        <v>85</v>
      </c>
      <c r="S382" s="285">
        <f t="shared" si="64"/>
        <v>0.35</v>
      </c>
      <c r="T382" s="285">
        <f t="shared" si="65"/>
        <v>3.2</v>
      </c>
      <c r="U382" s="285">
        <f t="shared" si="66"/>
        <v>1</v>
      </c>
      <c r="V382" s="285">
        <f t="shared" si="67"/>
        <v>4.5</v>
      </c>
      <c r="W382" s="285">
        <f t="shared" si="68"/>
        <v>1.5</v>
      </c>
      <c r="X382" s="289">
        <f t="shared" si="69"/>
        <v>14583.346497256409</v>
      </c>
      <c r="Y382" s="288">
        <f t="shared" si="70"/>
        <v>7.291673248628204E-2</v>
      </c>
      <c r="Z382" s="256">
        <f t="shared" si="71"/>
        <v>181.74993027852094</v>
      </c>
      <c r="AA382" s="289">
        <f t="shared" si="72"/>
        <v>29902.644089146474</v>
      </c>
      <c r="AB382" s="288">
        <f t="shared" si="73"/>
        <v>0.14951322044573237</v>
      </c>
    </row>
    <row r="383" spans="13:28" ht="12" hidden="1" customHeight="1">
      <c r="M383" s="266"/>
      <c r="N383" s="288">
        <f t="shared" si="74"/>
        <v>7.8899999999999384</v>
      </c>
      <c r="O383" s="285">
        <f t="shared" si="60"/>
        <v>150</v>
      </c>
      <c r="P383" s="289">
        <f t="shared" si="61"/>
        <v>4000000</v>
      </c>
      <c r="Q383" s="285">
        <f t="shared" si="62"/>
        <v>110</v>
      </c>
      <c r="R383" s="285">
        <f t="shared" si="63"/>
        <v>85</v>
      </c>
      <c r="S383" s="285">
        <f t="shared" si="64"/>
        <v>0.35</v>
      </c>
      <c r="T383" s="285">
        <f t="shared" si="65"/>
        <v>3.2</v>
      </c>
      <c r="U383" s="285">
        <f t="shared" si="66"/>
        <v>1</v>
      </c>
      <c r="V383" s="285">
        <f t="shared" si="67"/>
        <v>4.5</v>
      </c>
      <c r="W383" s="285">
        <f t="shared" si="68"/>
        <v>1.5</v>
      </c>
      <c r="X383" s="289">
        <f t="shared" si="69"/>
        <v>14700.361525011307</v>
      </c>
      <c r="Y383" s="288">
        <f t="shared" si="70"/>
        <v>7.3501807625056537E-2</v>
      </c>
      <c r="Z383" s="256">
        <f t="shared" si="71"/>
        <v>181.74993027852094</v>
      </c>
      <c r="AA383" s="289">
        <f t="shared" si="72"/>
        <v>30142.57932820114</v>
      </c>
      <c r="AB383" s="288">
        <f t="shared" si="73"/>
        <v>0.15071289664100571</v>
      </c>
    </row>
    <row r="384" spans="13:28" ht="12" hidden="1" customHeight="1">
      <c r="M384" s="266"/>
      <c r="N384" s="288">
        <f t="shared" si="74"/>
        <v>7.8999999999999382</v>
      </c>
      <c r="O384" s="285">
        <f t="shared" si="60"/>
        <v>150</v>
      </c>
      <c r="P384" s="289">
        <f t="shared" si="61"/>
        <v>4000000</v>
      </c>
      <c r="Q384" s="285">
        <f t="shared" si="62"/>
        <v>110</v>
      </c>
      <c r="R384" s="285">
        <f t="shared" si="63"/>
        <v>85</v>
      </c>
      <c r="S384" s="285">
        <f t="shared" si="64"/>
        <v>0.35</v>
      </c>
      <c r="T384" s="285">
        <f t="shared" si="65"/>
        <v>3.2</v>
      </c>
      <c r="U384" s="285">
        <f t="shared" si="66"/>
        <v>1</v>
      </c>
      <c r="V384" s="285">
        <f t="shared" si="67"/>
        <v>4.5</v>
      </c>
      <c r="W384" s="285">
        <f t="shared" si="68"/>
        <v>1.5</v>
      </c>
      <c r="X384" s="289">
        <f t="shared" si="69"/>
        <v>14818.189672394643</v>
      </c>
      <c r="Y384" s="288">
        <f t="shared" si="70"/>
        <v>7.4090948361973219E-2</v>
      </c>
      <c r="Z384" s="256">
        <f t="shared" si="71"/>
        <v>181.74993027852094</v>
      </c>
      <c r="AA384" s="289">
        <f t="shared" si="72"/>
        <v>30384.181840734891</v>
      </c>
      <c r="AB384" s="288">
        <f t="shared" si="73"/>
        <v>0.15192090920367446</v>
      </c>
    </row>
    <row r="385" spans="13:28" ht="12" hidden="1" customHeight="1">
      <c r="M385" s="266"/>
      <c r="N385" s="288">
        <f t="shared" si="74"/>
        <v>7.909999999999938</v>
      </c>
      <c r="O385" s="285">
        <f t="shared" si="60"/>
        <v>150</v>
      </c>
      <c r="P385" s="289">
        <f t="shared" si="61"/>
        <v>4000000</v>
      </c>
      <c r="Q385" s="285">
        <f t="shared" si="62"/>
        <v>110</v>
      </c>
      <c r="R385" s="285">
        <f t="shared" si="63"/>
        <v>85</v>
      </c>
      <c r="S385" s="285">
        <f t="shared" si="64"/>
        <v>0.35</v>
      </c>
      <c r="T385" s="285">
        <f t="shared" si="65"/>
        <v>3.2</v>
      </c>
      <c r="U385" s="285">
        <f t="shared" si="66"/>
        <v>1</v>
      </c>
      <c r="V385" s="285">
        <f t="shared" si="67"/>
        <v>4.5</v>
      </c>
      <c r="W385" s="285">
        <f t="shared" si="68"/>
        <v>1.5</v>
      </c>
      <c r="X385" s="289">
        <f t="shared" si="69"/>
        <v>14936.835706363105</v>
      </c>
      <c r="Y385" s="288">
        <f t="shared" si="70"/>
        <v>7.4684178531815526E-2</v>
      </c>
      <c r="Z385" s="256">
        <f t="shared" si="71"/>
        <v>181.74993027852094</v>
      </c>
      <c r="AA385" s="289">
        <f t="shared" si="72"/>
        <v>30627.461401226494</v>
      </c>
      <c r="AB385" s="288">
        <f t="shared" si="73"/>
        <v>0.15313730700613246</v>
      </c>
    </row>
    <row r="386" spans="13:28" ht="12" hidden="1" customHeight="1">
      <c r="M386" s="266"/>
      <c r="N386" s="288">
        <f t="shared" si="74"/>
        <v>7.9199999999999378</v>
      </c>
      <c r="O386" s="285">
        <f t="shared" si="60"/>
        <v>150</v>
      </c>
      <c r="P386" s="289">
        <f t="shared" si="61"/>
        <v>4000000</v>
      </c>
      <c r="Q386" s="285">
        <f t="shared" si="62"/>
        <v>110</v>
      </c>
      <c r="R386" s="285">
        <f t="shared" si="63"/>
        <v>85</v>
      </c>
      <c r="S386" s="285">
        <f t="shared" si="64"/>
        <v>0.35</v>
      </c>
      <c r="T386" s="285">
        <f t="shared" si="65"/>
        <v>3.2</v>
      </c>
      <c r="U386" s="285">
        <f t="shared" si="66"/>
        <v>1</v>
      </c>
      <c r="V386" s="285">
        <f t="shared" si="67"/>
        <v>4.5</v>
      </c>
      <c r="W386" s="285">
        <f t="shared" si="68"/>
        <v>1.5</v>
      </c>
      <c r="X386" s="289">
        <f t="shared" si="69"/>
        <v>15056.304416612065</v>
      </c>
      <c r="Y386" s="288">
        <f t="shared" si="70"/>
        <v>7.5281522083060326E-2</v>
      </c>
      <c r="Z386" s="256">
        <f t="shared" si="71"/>
        <v>181.74993027852094</v>
      </c>
      <c r="AA386" s="289">
        <f t="shared" si="72"/>
        <v>30872.427830779117</v>
      </c>
      <c r="AB386" s="288">
        <f t="shared" si="73"/>
        <v>0.1543621391538956</v>
      </c>
    </row>
    <row r="387" spans="13:28" ht="12" hidden="1" customHeight="1">
      <c r="M387" s="266"/>
      <c r="N387" s="288">
        <f t="shared" si="74"/>
        <v>7.9299999999999375</v>
      </c>
      <c r="O387" s="285">
        <f t="shared" si="60"/>
        <v>150</v>
      </c>
      <c r="P387" s="289">
        <f t="shared" si="61"/>
        <v>4000000</v>
      </c>
      <c r="Q387" s="285">
        <f t="shared" si="62"/>
        <v>110</v>
      </c>
      <c r="R387" s="285">
        <f t="shared" si="63"/>
        <v>85</v>
      </c>
      <c r="S387" s="285">
        <f t="shared" si="64"/>
        <v>0.35</v>
      </c>
      <c r="T387" s="285">
        <f t="shared" si="65"/>
        <v>3.2</v>
      </c>
      <c r="U387" s="285">
        <f t="shared" si="66"/>
        <v>1</v>
      </c>
      <c r="V387" s="285">
        <f t="shared" si="67"/>
        <v>4.5</v>
      </c>
      <c r="W387" s="285">
        <f t="shared" si="68"/>
        <v>1.5</v>
      </c>
      <c r="X387" s="289">
        <f t="shared" si="69"/>
        <v>15176.600615658643</v>
      </c>
      <c r="Y387" s="288">
        <f t="shared" si="70"/>
        <v>7.588300307829321E-2</v>
      </c>
      <c r="Z387" s="256">
        <f t="shared" si="71"/>
        <v>181.74993027852094</v>
      </c>
      <c r="AA387" s="289">
        <f t="shared" si="72"/>
        <v>31119.090997291991</v>
      </c>
      <c r="AB387" s="288">
        <f t="shared" si="73"/>
        <v>0.15559545498645996</v>
      </c>
    </row>
    <row r="388" spans="13:28" ht="12" hidden="1" customHeight="1">
      <c r="M388" s="266"/>
      <c r="N388" s="288">
        <f t="shared" si="74"/>
        <v>7.9399999999999373</v>
      </c>
      <c r="O388" s="285">
        <f t="shared" si="60"/>
        <v>150</v>
      </c>
      <c r="P388" s="289">
        <f t="shared" si="61"/>
        <v>4000000</v>
      </c>
      <c r="Q388" s="285">
        <f t="shared" si="62"/>
        <v>110</v>
      </c>
      <c r="R388" s="285">
        <f t="shared" si="63"/>
        <v>85</v>
      </c>
      <c r="S388" s="285">
        <f t="shared" si="64"/>
        <v>0.35</v>
      </c>
      <c r="T388" s="285">
        <f t="shared" si="65"/>
        <v>3.2</v>
      </c>
      <c r="U388" s="285">
        <f t="shared" si="66"/>
        <v>1</v>
      </c>
      <c r="V388" s="285">
        <f t="shared" si="67"/>
        <v>4.5</v>
      </c>
      <c r="W388" s="285">
        <f t="shared" si="68"/>
        <v>1.5</v>
      </c>
      <c r="X388" s="289">
        <f t="shared" si="69"/>
        <v>15297.729138926146</v>
      </c>
      <c r="Y388" s="288">
        <f t="shared" si="70"/>
        <v>7.6488645694630736E-2</v>
      </c>
      <c r="Z388" s="256">
        <f t="shared" si="71"/>
        <v>181.74993027852094</v>
      </c>
      <c r="AA388" s="289">
        <f t="shared" si="72"/>
        <v>31367.460815631879</v>
      </c>
      <c r="AB388" s="288">
        <f t="shared" si="73"/>
        <v>0.15683730407815941</v>
      </c>
    </row>
    <row r="389" spans="13:28" ht="12" hidden="1" customHeight="1">
      <c r="M389" s="266"/>
      <c r="N389" s="288">
        <f t="shared" si="74"/>
        <v>7.9499999999999371</v>
      </c>
      <c r="O389" s="285">
        <f t="shared" si="60"/>
        <v>150</v>
      </c>
      <c r="P389" s="289">
        <f t="shared" si="61"/>
        <v>4000000</v>
      </c>
      <c r="Q389" s="285">
        <f t="shared" si="62"/>
        <v>110</v>
      </c>
      <c r="R389" s="285">
        <f t="shared" si="63"/>
        <v>85</v>
      </c>
      <c r="S389" s="285">
        <f t="shared" si="64"/>
        <v>0.35</v>
      </c>
      <c r="T389" s="285">
        <f t="shared" si="65"/>
        <v>3.2</v>
      </c>
      <c r="U389" s="285">
        <f t="shared" si="66"/>
        <v>1</v>
      </c>
      <c r="V389" s="285">
        <f t="shared" si="67"/>
        <v>4.5</v>
      </c>
      <c r="W389" s="285">
        <f t="shared" si="68"/>
        <v>1.5</v>
      </c>
      <c r="X389" s="289">
        <f t="shared" si="69"/>
        <v>15419.694844827407</v>
      </c>
      <c r="Y389" s="288">
        <f t="shared" si="70"/>
        <v>7.7098474224137029E-2</v>
      </c>
      <c r="Z389" s="256">
        <f t="shared" si="71"/>
        <v>181.74993027852094</v>
      </c>
      <c r="AA389" s="289">
        <f t="shared" si="72"/>
        <v>31617.547247805309</v>
      </c>
      <c r="AB389" s="288">
        <f t="shared" si="73"/>
        <v>0.15808773623902656</v>
      </c>
    </row>
    <row r="390" spans="13:28" ht="12" hidden="1" customHeight="1">
      <c r="M390" s="266"/>
      <c r="N390" s="288">
        <f t="shared" si="74"/>
        <v>7.9599999999999369</v>
      </c>
      <c r="O390" s="285">
        <f t="shared" si="60"/>
        <v>150</v>
      </c>
      <c r="P390" s="289">
        <f t="shared" si="61"/>
        <v>4000000</v>
      </c>
      <c r="Q390" s="285">
        <f t="shared" si="62"/>
        <v>110</v>
      </c>
      <c r="R390" s="285">
        <f t="shared" si="63"/>
        <v>85</v>
      </c>
      <c r="S390" s="285">
        <f t="shared" si="64"/>
        <v>0.35</v>
      </c>
      <c r="T390" s="285">
        <f t="shared" si="65"/>
        <v>3.2</v>
      </c>
      <c r="U390" s="285">
        <f t="shared" si="66"/>
        <v>1</v>
      </c>
      <c r="V390" s="285">
        <f t="shared" si="67"/>
        <v>4.5</v>
      </c>
      <c r="W390" s="285">
        <f t="shared" si="68"/>
        <v>1.5</v>
      </c>
      <c r="X390" s="289">
        <f t="shared" si="69"/>
        <v>15542.50261484938</v>
      </c>
      <c r="Y390" s="288">
        <f t="shared" si="70"/>
        <v>7.7712513074246897E-2</v>
      </c>
      <c r="Z390" s="256">
        <f t="shared" si="71"/>
        <v>181.74993027852094</v>
      </c>
      <c r="AA390" s="289">
        <f t="shared" si="72"/>
        <v>31869.360303131041</v>
      </c>
      <c r="AB390" s="288">
        <f t="shared" si="73"/>
        <v>0.1593468015156552</v>
      </c>
    </row>
    <row r="391" spans="13:28" ht="12" hidden="1" customHeight="1">
      <c r="M391" s="266"/>
      <c r="N391" s="288">
        <f t="shared" si="74"/>
        <v>7.9699999999999367</v>
      </c>
      <c r="O391" s="285">
        <f t="shared" si="60"/>
        <v>150</v>
      </c>
      <c r="P391" s="289">
        <f t="shared" si="61"/>
        <v>4000000</v>
      </c>
      <c r="Q391" s="285">
        <f t="shared" si="62"/>
        <v>110</v>
      </c>
      <c r="R391" s="285">
        <f t="shared" si="63"/>
        <v>85</v>
      </c>
      <c r="S391" s="285">
        <f t="shared" si="64"/>
        <v>0.35</v>
      </c>
      <c r="T391" s="285">
        <f t="shared" si="65"/>
        <v>3.2</v>
      </c>
      <c r="U391" s="285">
        <f t="shared" si="66"/>
        <v>1</v>
      </c>
      <c r="V391" s="285">
        <f t="shared" si="67"/>
        <v>4.5</v>
      </c>
      <c r="W391" s="285">
        <f t="shared" si="68"/>
        <v>1.5</v>
      </c>
      <c r="X391" s="289">
        <f t="shared" si="69"/>
        <v>15666.157353637314</v>
      </c>
      <c r="Y391" s="288">
        <f t="shared" si="70"/>
        <v>7.8330786768186569E-2</v>
      </c>
      <c r="Z391" s="256">
        <f t="shared" si="71"/>
        <v>181.74993027852094</v>
      </c>
      <c r="AA391" s="289">
        <f t="shared" si="72"/>
        <v>32122.910038413516</v>
      </c>
      <c r="AB391" s="288">
        <f t="shared" si="73"/>
        <v>0.16061455019206758</v>
      </c>
    </row>
    <row r="392" spans="13:28" ht="12" hidden="1" customHeight="1">
      <c r="M392" s="266"/>
      <c r="N392" s="288">
        <f t="shared" si="74"/>
        <v>7.9799999999999365</v>
      </c>
      <c r="O392" s="285">
        <f t="shared" si="60"/>
        <v>150</v>
      </c>
      <c r="P392" s="289">
        <f t="shared" si="61"/>
        <v>4000000</v>
      </c>
      <c r="Q392" s="285">
        <f t="shared" si="62"/>
        <v>110</v>
      </c>
      <c r="R392" s="285">
        <f t="shared" si="63"/>
        <v>85</v>
      </c>
      <c r="S392" s="285">
        <f t="shared" si="64"/>
        <v>0.35</v>
      </c>
      <c r="T392" s="285">
        <f t="shared" si="65"/>
        <v>3.2</v>
      </c>
      <c r="U392" s="285">
        <f t="shared" si="66"/>
        <v>1</v>
      </c>
      <c r="V392" s="285">
        <f t="shared" si="67"/>
        <v>4.5</v>
      </c>
      <c r="W392" s="285">
        <f t="shared" si="68"/>
        <v>1.5</v>
      </c>
      <c r="X392" s="289">
        <f t="shared" si="69"/>
        <v>15790.663989079414</v>
      </c>
      <c r="Y392" s="288">
        <f t="shared" si="70"/>
        <v>7.8953319945397074E-2</v>
      </c>
      <c r="Z392" s="256">
        <f t="shared" si="71"/>
        <v>181.74993027852094</v>
      </c>
      <c r="AA392" s="289">
        <f t="shared" si="72"/>
        <v>32378.206558115871</v>
      </c>
      <c r="AB392" s="288">
        <f t="shared" si="73"/>
        <v>0.16189103279057937</v>
      </c>
    </row>
    <row r="393" spans="13:28" ht="12" hidden="1" customHeight="1">
      <c r="M393" s="266"/>
      <c r="N393" s="288">
        <f t="shared" si="74"/>
        <v>7.9899999999999363</v>
      </c>
      <c r="O393" s="285">
        <f t="shared" si="60"/>
        <v>150</v>
      </c>
      <c r="P393" s="289">
        <f t="shared" si="61"/>
        <v>4000000</v>
      </c>
      <c r="Q393" s="285">
        <f t="shared" si="62"/>
        <v>110</v>
      </c>
      <c r="R393" s="285">
        <f t="shared" si="63"/>
        <v>85</v>
      </c>
      <c r="S393" s="285">
        <f t="shared" si="64"/>
        <v>0.35</v>
      </c>
      <c r="T393" s="285">
        <f t="shared" si="65"/>
        <v>3.2</v>
      </c>
      <c r="U393" s="285">
        <f t="shared" si="66"/>
        <v>1</v>
      </c>
      <c r="V393" s="285">
        <f t="shared" si="67"/>
        <v>4.5</v>
      </c>
      <c r="W393" s="285">
        <f t="shared" si="68"/>
        <v>1.5</v>
      </c>
      <c r="X393" s="289">
        <f t="shared" si="69"/>
        <v>15916.027472391734</v>
      </c>
      <c r="Y393" s="288">
        <f t="shared" si="70"/>
        <v>7.9580137361958667E-2</v>
      </c>
      <c r="Z393" s="256">
        <f t="shared" si="71"/>
        <v>181.74993027852094</v>
      </c>
      <c r="AA393" s="289">
        <f t="shared" si="72"/>
        <v>32635.260014534066</v>
      </c>
      <c r="AB393" s="288">
        <f t="shared" si="73"/>
        <v>0.16317630007267034</v>
      </c>
    </row>
    <row r="394" spans="13:28" ht="12" hidden="1" customHeight="1">
      <c r="M394" s="266"/>
      <c r="N394" s="288">
        <f t="shared" si="74"/>
        <v>7.9999999999999361</v>
      </c>
      <c r="O394" s="285">
        <f t="shared" si="60"/>
        <v>150</v>
      </c>
      <c r="P394" s="289">
        <f t="shared" si="61"/>
        <v>4000000</v>
      </c>
      <c r="Q394" s="285">
        <f t="shared" si="62"/>
        <v>110</v>
      </c>
      <c r="R394" s="285">
        <f t="shared" si="63"/>
        <v>85</v>
      </c>
      <c r="S394" s="285">
        <f t="shared" si="64"/>
        <v>0.35</v>
      </c>
      <c r="T394" s="285">
        <f t="shared" si="65"/>
        <v>3.2</v>
      </c>
      <c r="U394" s="285">
        <f t="shared" si="66"/>
        <v>1</v>
      </c>
      <c r="V394" s="285">
        <f t="shared" si="67"/>
        <v>4.5</v>
      </c>
      <c r="W394" s="285">
        <f t="shared" si="68"/>
        <v>1.5</v>
      </c>
      <c r="X394" s="289">
        <f t="shared" si="69"/>
        <v>16042.252778203023</v>
      </c>
      <c r="Y394" s="288">
        <f t="shared" si="70"/>
        <v>8.0211263891015114E-2</v>
      </c>
      <c r="Z394" s="256">
        <f t="shared" si="71"/>
        <v>181.74993027852094</v>
      </c>
      <c r="AA394" s="289">
        <f t="shared" si="72"/>
        <v>32894.080607971162</v>
      </c>
      <c r="AB394" s="288">
        <f t="shared" si="73"/>
        <v>0.1644704030398558</v>
      </c>
    </row>
    <row r="395" spans="13:28" ht="12" hidden="1" customHeight="1">
      <c r="M395" s="266"/>
      <c r="N395" s="288">
        <f t="shared" si="74"/>
        <v>8.0099999999999358</v>
      </c>
      <c r="O395" s="285">
        <f t="shared" si="60"/>
        <v>150</v>
      </c>
      <c r="P395" s="289">
        <f t="shared" si="61"/>
        <v>4000000</v>
      </c>
      <c r="Q395" s="285">
        <f t="shared" si="62"/>
        <v>110</v>
      </c>
      <c r="R395" s="285">
        <f t="shared" si="63"/>
        <v>85</v>
      </c>
      <c r="S395" s="285">
        <f t="shared" si="64"/>
        <v>0.35</v>
      </c>
      <c r="T395" s="285">
        <f t="shared" si="65"/>
        <v>3.2</v>
      </c>
      <c r="U395" s="285">
        <f t="shared" si="66"/>
        <v>1</v>
      </c>
      <c r="V395" s="285">
        <f t="shared" si="67"/>
        <v>4.5</v>
      </c>
      <c r="W395" s="285">
        <f t="shared" si="68"/>
        <v>1.5</v>
      </c>
      <c r="X395" s="289">
        <f t="shared" si="69"/>
        <v>16169.34490464032</v>
      </c>
      <c r="Y395" s="288">
        <f t="shared" si="70"/>
        <v>8.0846724523201602E-2</v>
      </c>
      <c r="Z395" s="256">
        <f t="shared" si="71"/>
        <v>181.74993027852094</v>
      </c>
      <c r="AA395" s="289">
        <f t="shared" si="72"/>
        <v>33154.678586912567</v>
      </c>
      <c r="AB395" s="288">
        <f t="shared" si="73"/>
        <v>0.16577339293456284</v>
      </c>
    </row>
    <row r="396" spans="13:28" ht="12" hidden="1" customHeight="1">
      <c r="M396" s="266"/>
      <c r="N396" s="288">
        <f t="shared" si="74"/>
        <v>8.0199999999999356</v>
      </c>
      <c r="O396" s="285">
        <f t="shared" si="60"/>
        <v>150</v>
      </c>
      <c r="P396" s="289">
        <f t="shared" si="61"/>
        <v>4000000</v>
      </c>
      <c r="Q396" s="285">
        <f t="shared" si="62"/>
        <v>110</v>
      </c>
      <c r="R396" s="285">
        <f t="shared" si="63"/>
        <v>85</v>
      </c>
      <c r="S396" s="285">
        <f t="shared" si="64"/>
        <v>0.35</v>
      </c>
      <c r="T396" s="285">
        <f t="shared" si="65"/>
        <v>3.2</v>
      </c>
      <c r="U396" s="285">
        <f t="shared" si="66"/>
        <v>1</v>
      </c>
      <c r="V396" s="285">
        <f t="shared" si="67"/>
        <v>4.5</v>
      </c>
      <c r="W396" s="285">
        <f t="shared" si="68"/>
        <v>1.5</v>
      </c>
      <c r="X396" s="289">
        <f t="shared" si="69"/>
        <v>16297.308873414022</v>
      </c>
      <c r="Y396" s="288">
        <f t="shared" si="70"/>
        <v>8.1486544367070105E-2</v>
      </c>
      <c r="Z396" s="256">
        <f t="shared" si="71"/>
        <v>181.74993027852094</v>
      </c>
      <c r="AA396" s="289">
        <f t="shared" si="72"/>
        <v>33417.064248200513</v>
      </c>
      <c r="AB396" s="288">
        <f t="shared" si="73"/>
        <v>0.16708532124100256</v>
      </c>
    </row>
    <row r="397" spans="13:28" ht="12" hidden="1" customHeight="1">
      <c r="M397" s="266"/>
      <c r="N397" s="288">
        <f t="shared" si="74"/>
        <v>8.0299999999999354</v>
      </c>
      <c r="O397" s="285">
        <f t="shared" si="60"/>
        <v>150</v>
      </c>
      <c r="P397" s="289">
        <f t="shared" si="61"/>
        <v>4000000</v>
      </c>
      <c r="Q397" s="285">
        <f t="shared" si="62"/>
        <v>110</v>
      </c>
      <c r="R397" s="285">
        <f t="shared" si="63"/>
        <v>85</v>
      </c>
      <c r="S397" s="285">
        <f t="shared" si="64"/>
        <v>0.35</v>
      </c>
      <c r="T397" s="285">
        <f t="shared" si="65"/>
        <v>3.2</v>
      </c>
      <c r="U397" s="285">
        <f t="shared" si="66"/>
        <v>1</v>
      </c>
      <c r="V397" s="285">
        <f t="shared" si="67"/>
        <v>4.5</v>
      </c>
      <c r="W397" s="285">
        <f t="shared" si="68"/>
        <v>1.5</v>
      </c>
      <c r="X397" s="289">
        <f t="shared" si="69"/>
        <v>16426.149729904042</v>
      </c>
      <c r="Y397" s="288">
        <f t="shared" si="70"/>
        <v>8.2130748649520205E-2</v>
      </c>
      <c r="Z397" s="256">
        <f t="shared" si="71"/>
        <v>181.74993027852094</v>
      </c>
      <c r="AA397" s="289">
        <f t="shared" si="72"/>
        <v>33681.247937210952</v>
      </c>
      <c r="AB397" s="288">
        <f t="shared" si="73"/>
        <v>0.16840623968605475</v>
      </c>
    </row>
    <row r="398" spans="13:28" ht="12" hidden="1" customHeight="1">
      <c r="M398" s="266"/>
      <c r="N398" s="288">
        <f t="shared" si="74"/>
        <v>8.0399999999999352</v>
      </c>
      <c r="O398" s="285">
        <f t="shared" si="60"/>
        <v>150</v>
      </c>
      <c r="P398" s="289">
        <f t="shared" si="61"/>
        <v>4000000</v>
      </c>
      <c r="Q398" s="285">
        <f t="shared" si="62"/>
        <v>110</v>
      </c>
      <c r="R398" s="285">
        <f t="shared" si="63"/>
        <v>85</v>
      </c>
      <c r="S398" s="285">
        <f t="shared" si="64"/>
        <v>0.35</v>
      </c>
      <c r="T398" s="285">
        <f t="shared" si="65"/>
        <v>3.2</v>
      </c>
      <c r="U398" s="285">
        <f t="shared" si="66"/>
        <v>1</v>
      </c>
      <c r="V398" s="285">
        <f t="shared" si="67"/>
        <v>4.5</v>
      </c>
      <c r="W398" s="285">
        <f t="shared" si="68"/>
        <v>1.5</v>
      </c>
      <c r="X398" s="289">
        <f t="shared" si="69"/>
        <v>16555.872543245223</v>
      </c>
      <c r="Y398" s="288">
        <f t="shared" si="70"/>
        <v>8.2779362716226115E-2</v>
      </c>
      <c r="Z398" s="256">
        <f t="shared" si="71"/>
        <v>181.74993027852094</v>
      </c>
      <c r="AA398" s="289">
        <f t="shared" si="72"/>
        <v>33947.240048028172</v>
      </c>
      <c r="AB398" s="288">
        <f t="shared" si="73"/>
        <v>0.16973620024014086</v>
      </c>
    </row>
    <row r="399" spans="13:28" ht="12" hidden="1" customHeight="1">
      <c r="M399" s="266"/>
      <c r="N399" s="288">
        <f t="shared" si="74"/>
        <v>8.049999999999935</v>
      </c>
      <c r="O399" s="285">
        <f t="shared" si="60"/>
        <v>150</v>
      </c>
      <c r="P399" s="289">
        <f t="shared" si="61"/>
        <v>4000000</v>
      </c>
      <c r="Q399" s="285">
        <f t="shared" si="62"/>
        <v>110</v>
      </c>
      <c r="R399" s="285">
        <f t="shared" si="63"/>
        <v>85</v>
      </c>
      <c r="S399" s="285">
        <f t="shared" si="64"/>
        <v>0.35</v>
      </c>
      <c r="T399" s="285">
        <f t="shared" si="65"/>
        <v>3.2</v>
      </c>
      <c r="U399" s="285">
        <f t="shared" si="66"/>
        <v>1</v>
      </c>
      <c r="V399" s="285">
        <f t="shared" si="67"/>
        <v>4.5</v>
      </c>
      <c r="W399" s="285">
        <f t="shared" si="68"/>
        <v>1.5</v>
      </c>
      <c r="X399" s="289">
        <f t="shared" si="69"/>
        <v>16686.482406413863</v>
      </c>
      <c r="Y399" s="288">
        <f t="shared" si="70"/>
        <v>8.3432412032069317E-2</v>
      </c>
      <c r="Z399" s="256">
        <f t="shared" si="71"/>
        <v>181.74993027852094</v>
      </c>
      <c r="AA399" s="289">
        <f t="shared" si="72"/>
        <v>34215.051023622749</v>
      </c>
      <c r="AB399" s="288">
        <f t="shared" si="73"/>
        <v>0.17107525511811375</v>
      </c>
    </row>
    <row r="400" spans="13:28" ht="12" hidden="1" customHeight="1">
      <c r="M400" s="266"/>
      <c r="N400" s="288">
        <f t="shared" si="74"/>
        <v>8.0599999999999348</v>
      </c>
      <c r="O400" s="285">
        <f t="shared" si="60"/>
        <v>150</v>
      </c>
      <c r="P400" s="289">
        <f t="shared" si="61"/>
        <v>4000000</v>
      </c>
      <c r="Q400" s="285">
        <f t="shared" si="62"/>
        <v>110</v>
      </c>
      <c r="R400" s="285">
        <f t="shared" si="63"/>
        <v>85</v>
      </c>
      <c r="S400" s="285">
        <f t="shared" si="64"/>
        <v>0.35</v>
      </c>
      <c r="T400" s="285">
        <f t="shared" si="65"/>
        <v>3.2</v>
      </c>
      <c r="U400" s="285">
        <f t="shared" si="66"/>
        <v>1</v>
      </c>
      <c r="V400" s="285">
        <f t="shared" si="67"/>
        <v>4.5</v>
      </c>
      <c r="W400" s="285">
        <f t="shared" si="68"/>
        <v>1.5</v>
      </c>
      <c r="X400" s="289">
        <f t="shared" si="69"/>
        <v>16817.984436313945</v>
      </c>
      <c r="Y400" s="288">
        <f t="shared" si="70"/>
        <v>8.4089922181569729E-2</v>
      </c>
      <c r="Z400" s="256">
        <f t="shared" si="71"/>
        <v>181.74993027852094</v>
      </c>
      <c r="AA400" s="289">
        <f t="shared" si="72"/>
        <v>34484.691356028023</v>
      </c>
      <c r="AB400" s="288">
        <f t="shared" si="73"/>
        <v>0.17242345678014012</v>
      </c>
    </row>
    <row r="401" spans="13:28" ht="12" hidden="1" customHeight="1">
      <c r="M401" s="266"/>
      <c r="N401" s="288">
        <f t="shared" si="74"/>
        <v>8.0699999999999346</v>
      </c>
      <c r="O401" s="285">
        <f t="shared" si="60"/>
        <v>150</v>
      </c>
      <c r="P401" s="289">
        <f t="shared" si="61"/>
        <v>4000000</v>
      </c>
      <c r="Q401" s="285">
        <f t="shared" si="62"/>
        <v>110</v>
      </c>
      <c r="R401" s="285">
        <f t="shared" si="63"/>
        <v>85</v>
      </c>
      <c r="S401" s="285">
        <f t="shared" si="64"/>
        <v>0.35</v>
      </c>
      <c r="T401" s="285">
        <f t="shared" si="65"/>
        <v>3.2</v>
      </c>
      <c r="U401" s="285">
        <f t="shared" si="66"/>
        <v>1</v>
      </c>
      <c r="V401" s="285">
        <f t="shared" si="67"/>
        <v>4.5</v>
      </c>
      <c r="W401" s="285">
        <f t="shared" si="68"/>
        <v>1.5</v>
      </c>
      <c r="X401" s="289">
        <f t="shared" si="69"/>
        <v>16950.383773863552</v>
      </c>
      <c r="Y401" s="288">
        <f t="shared" si="70"/>
        <v>8.4751918869317766E-2</v>
      </c>
      <c r="Z401" s="256">
        <f t="shared" si="71"/>
        <v>181.74993027852094</v>
      </c>
      <c r="AA401" s="289">
        <f t="shared" si="72"/>
        <v>34756.171586517608</v>
      </c>
      <c r="AB401" s="288">
        <f t="shared" si="73"/>
        <v>0.17378085793258805</v>
      </c>
    </row>
    <row r="402" spans="13:28" ht="12" hidden="1" customHeight="1">
      <c r="M402" s="266"/>
      <c r="N402" s="288">
        <f t="shared" si="74"/>
        <v>8.0799999999999343</v>
      </c>
      <c r="O402" s="285">
        <f t="shared" si="60"/>
        <v>150</v>
      </c>
      <c r="P402" s="289">
        <f t="shared" si="61"/>
        <v>4000000</v>
      </c>
      <c r="Q402" s="285">
        <f t="shared" si="62"/>
        <v>110</v>
      </c>
      <c r="R402" s="285">
        <f t="shared" si="63"/>
        <v>85</v>
      </c>
      <c r="S402" s="285">
        <f t="shared" si="64"/>
        <v>0.35</v>
      </c>
      <c r="T402" s="285">
        <f t="shared" si="65"/>
        <v>3.2</v>
      </c>
      <c r="U402" s="285">
        <f t="shared" si="66"/>
        <v>1</v>
      </c>
      <c r="V402" s="285">
        <f t="shared" si="67"/>
        <v>4.5</v>
      </c>
      <c r="W402" s="285">
        <f t="shared" si="68"/>
        <v>1.5</v>
      </c>
      <c r="X402" s="289">
        <f t="shared" si="69"/>
        <v>17083.685584081893</v>
      </c>
      <c r="Y402" s="288">
        <f t="shared" si="70"/>
        <v>8.5418427920409462E-2</v>
      </c>
      <c r="Z402" s="256">
        <f t="shared" si="71"/>
        <v>181.74993027852094</v>
      </c>
      <c r="AA402" s="289">
        <f t="shared" si="72"/>
        <v>35029.502305783441</v>
      </c>
      <c r="AB402" s="288">
        <f t="shared" si="73"/>
        <v>0.17514751152891719</v>
      </c>
    </row>
    <row r="403" spans="13:28" ht="12" hidden="1" customHeight="1">
      <c r="M403" s="266"/>
      <c r="N403" s="288">
        <f t="shared" si="74"/>
        <v>8.0899999999999341</v>
      </c>
      <c r="O403" s="285">
        <f t="shared" si="60"/>
        <v>150</v>
      </c>
      <c r="P403" s="289">
        <f t="shared" si="61"/>
        <v>4000000</v>
      </c>
      <c r="Q403" s="285">
        <f t="shared" si="62"/>
        <v>110</v>
      </c>
      <c r="R403" s="285">
        <f t="shared" si="63"/>
        <v>85</v>
      </c>
      <c r="S403" s="285">
        <f t="shared" si="64"/>
        <v>0.35</v>
      </c>
      <c r="T403" s="285">
        <f t="shared" si="65"/>
        <v>3.2</v>
      </c>
      <c r="U403" s="285">
        <f t="shared" si="66"/>
        <v>1</v>
      </c>
      <c r="V403" s="285">
        <f t="shared" si="67"/>
        <v>4.5</v>
      </c>
      <c r="W403" s="285">
        <f t="shared" si="68"/>
        <v>1.5</v>
      </c>
      <c r="X403" s="289">
        <f t="shared" si="69"/>
        <v>17217.895056176225</v>
      </c>
      <c r="Y403" s="288">
        <f t="shared" si="70"/>
        <v>8.6089475280881123E-2</v>
      </c>
      <c r="Z403" s="256">
        <f t="shared" si="71"/>
        <v>181.74993027852094</v>
      </c>
      <c r="AA403" s="289">
        <f t="shared" si="72"/>
        <v>35304.694154114404</v>
      </c>
      <c r="AB403" s="288">
        <f t="shared" si="73"/>
        <v>0.17652347077057201</v>
      </c>
    </row>
    <row r="404" spans="13:28" ht="12" hidden="1" customHeight="1">
      <c r="M404" s="266"/>
      <c r="N404" s="288">
        <f t="shared" si="74"/>
        <v>8.0999999999999339</v>
      </c>
      <c r="O404" s="285">
        <f t="shared" si="60"/>
        <v>150</v>
      </c>
      <c r="P404" s="289">
        <f t="shared" si="61"/>
        <v>4000000</v>
      </c>
      <c r="Q404" s="285">
        <f t="shared" si="62"/>
        <v>110</v>
      </c>
      <c r="R404" s="285">
        <f t="shared" si="63"/>
        <v>85</v>
      </c>
      <c r="S404" s="285">
        <f t="shared" si="64"/>
        <v>0.35</v>
      </c>
      <c r="T404" s="285">
        <f t="shared" si="65"/>
        <v>3.2</v>
      </c>
      <c r="U404" s="285">
        <f t="shared" si="66"/>
        <v>1</v>
      </c>
      <c r="V404" s="285">
        <f t="shared" si="67"/>
        <v>4.5</v>
      </c>
      <c r="W404" s="285">
        <f t="shared" si="68"/>
        <v>1.5</v>
      </c>
      <c r="X404" s="289">
        <f t="shared" si="69"/>
        <v>17353.017403629019</v>
      </c>
      <c r="Y404" s="288">
        <f t="shared" si="70"/>
        <v>8.6765087018145101E-2</v>
      </c>
      <c r="Z404" s="256">
        <f t="shared" si="71"/>
        <v>181.74993027852094</v>
      </c>
      <c r="AA404" s="289">
        <f t="shared" si="72"/>
        <v>35581.757821574487</v>
      </c>
      <c r="AB404" s="288">
        <f t="shared" si="73"/>
        <v>0.17790878910787244</v>
      </c>
    </row>
    <row r="405" spans="13:28" ht="12" hidden="1" customHeight="1">
      <c r="M405" s="266"/>
      <c r="N405" s="288">
        <f t="shared" si="74"/>
        <v>8.1099999999999337</v>
      </c>
      <c r="O405" s="285">
        <f t="shared" si="60"/>
        <v>150</v>
      </c>
      <c r="P405" s="289">
        <f t="shared" si="61"/>
        <v>4000000</v>
      </c>
      <c r="Q405" s="285">
        <f t="shared" si="62"/>
        <v>110</v>
      </c>
      <c r="R405" s="285">
        <f t="shared" si="63"/>
        <v>85</v>
      </c>
      <c r="S405" s="285">
        <f t="shared" si="64"/>
        <v>0.35</v>
      </c>
      <c r="T405" s="285">
        <f t="shared" si="65"/>
        <v>3.2</v>
      </c>
      <c r="U405" s="285">
        <f t="shared" si="66"/>
        <v>1</v>
      </c>
      <c r="V405" s="285">
        <f t="shared" si="67"/>
        <v>4.5</v>
      </c>
      <c r="W405" s="285">
        <f t="shared" si="68"/>
        <v>1.5</v>
      </c>
      <c r="X405" s="289">
        <f t="shared" si="69"/>
        <v>17489.057864285547</v>
      </c>
      <c r="Y405" s="288">
        <f t="shared" si="70"/>
        <v>8.7445289321427741E-2</v>
      </c>
      <c r="Z405" s="256">
        <f t="shared" si="71"/>
        <v>181.74993027852094</v>
      </c>
      <c r="AA405" s="289">
        <f t="shared" si="72"/>
        <v>35860.704048183099</v>
      </c>
      <c r="AB405" s="288">
        <f t="shared" si="73"/>
        <v>0.1793035202409155</v>
      </c>
    </row>
    <row r="406" spans="13:28" ht="12" hidden="1" customHeight="1">
      <c r="M406" s="266"/>
      <c r="N406" s="288">
        <f t="shared" si="74"/>
        <v>8.1199999999999335</v>
      </c>
      <c r="O406" s="285">
        <f t="shared" si="60"/>
        <v>150</v>
      </c>
      <c r="P406" s="289">
        <f t="shared" si="61"/>
        <v>4000000</v>
      </c>
      <c r="Q406" s="285">
        <f t="shared" si="62"/>
        <v>110</v>
      </c>
      <c r="R406" s="285">
        <f t="shared" si="63"/>
        <v>85</v>
      </c>
      <c r="S406" s="285">
        <f t="shared" si="64"/>
        <v>0.35</v>
      </c>
      <c r="T406" s="285">
        <f t="shared" si="65"/>
        <v>3.2</v>
      </c>
      <c r="U406" s="285">
        <f t="shared" si="66"/>
        <v>1</v>
      </c>
      <c r="V406" s="285">
        <f t="shared" si="67"/>
        <v>4.5</v>
      </c>
      <c r="W406" s="285">
        <f t="shared" si="68"/>
        <v>1.5</v>
      </c>
      <c r="X406" s="289">
        <f t="shared" si="69"/>
        <v>17626.021700441273</v>
      </c>
      <c r="Y406" s="288">
        <f t="shared" si="70"/>
        <v>8.8130108502206372E-2</v>
      </c>
      <c r="Z406" s="256">
        <f t="shared" si="71"/>
        <v>181.74993027852094</v>
      </c>
      <c r="AA406" s="289">
        <f t="shared" si="72"/>
        <v>36141.543624093771</v>
      </c>
      <c r="AB406" s="288">
        <f t="shared" si="73"/>
        <v>0.18070771812046885</v>
      </c>
    </row>
    <row r="407" spans="13:28" ht="12" hidden="1" customHeight="1">
      <c r="M407" s="266"/>
      <c r="N407" s="288">
        <f t="shared" si="74"/>
        <v>8.1299999999999333</v>
      </c>
      <c r="O407" s="285">
        <f t="shared" si="60"/>
        <v>150</v>
      </c>
      <c r="P407" s="289">
        <f t="shared" si="61"/>
        <v>4000000</v>
      </c>
      <c r="Q407" s="285">
        <f t="shared" si="62"/>
        <v>110</v>
      </c>
      <c r="R407" s="285">
        <f t="shared" si="63"/>
        <v>85</v>
      </c>
      <c r="S407" s="285">
        <f t="shared" si="64"/>
        <v>0.35</v>
      </c>
      <c r="T407" s="285">
        <f t="shared" si="65"/>
        <v>3.2</v>
      </c>
      <c r="U407" s="285">
        <f t="shared" si="66"/>
        <v>1</v>
      </c>
      <c r="V407" s="285">
        <f t="shared" si="67"/>
        <v>4.5</v>
      </c>
      <c r="W407" s="285">
        <f t="shared" si="68"/>
        <v>1.5</v>
      </c>
      <c r="X407" s="289">
        <f t="shared" si="69"/>
        <v>17763.914198930135</v>
      </c>
      <c r="Y407" s="288">
        <f t="shared" si="70"/>
        <v>8.8819570994650682E-2</v>
      </c>
      <c r="Z407" s="256">
        <f t="shared" si="71"/>
        <v>181.74993027852094</v>
      </c>
      <c r="AA407" s="289">
        <f t="shared" si="72"/>
        <v>36424.287389775563</v>
      </c>
      <c r="AB407" s="288">
        <f t="shared" si="73"/>
        <v>0.18212143694887781</v>
      </c>
    </row>
    <row r="408" spans="13:28" ht="12" hidden="1" customHeight="1">
      <c r="M408" s="266"/>
      <c r="N408" s="288">
        <f t="shared" si="74"/>
        <v>8.1399999999999331</v>
      </c>
      <c r="O408" s="285">
        <f t="shared" si="60"/>
        <v>150</v>
      </c>
      <c r="P408" s="289">
        <f t="shared" si="61"/>
        <v>4000000</v>
      </c>
      <c r="Q408" s="285">
        <f t="shared" si="62"/>
        <v>110</v>
      </c>
      <c r="R408" s="285">
        <f t="shared" si="63"/>
        <v>85</v>
      </c>
      <c r="S408" s="285">
        <f t="shared" si="64"/>
        <v>0.35</v>
      </c>
      <c r="T408" s="285">
        <f t="shared" si="65"/>
        <v>3.2</v>
      </c>
      <c r="U408" s="285">
        <f t="shared" si="66"/>
        <v>1</v>
      </c>
      <c r="V408" s="285">
        <f t="shared" si="67"/>
        <v>4.5</v>
      </c>
      <c r="W408" s="285">
        <f t="shared" si="68"/>
        <v>1.5</v>
      </c>
      <c r="X408" s="289">
        <f t="shared" si="69"/>
        <v>17902.740671212377</v>
      </c>
      <c r="Y408" s="288">
        <f t="shared" si="70"/>
        <v>8.9513703356061888E-2</v>
      </c>
      <c r="Z408" s="256">
        <f t="shared" si="71"/>
        <v>181.74993027852094</v>
      </c>
      <c r="AA408" s="289">
        <f t="shared" si="72"/>
        <v>36708.946236192445</v>
      </c>
      <c r="AB408" s="288">
        <f t="shared" si="73"/>
        <v>0.18354473118096223</v>
      </c>
    </row>
    <row r="409" spans="13:28" ht="12" hidden="1" customHeight="1">
      <c r="M409" s="266"/>
      <c r="N409" s="288">
        <f t="shared" si="74"/>
        <v>8.1499999999999329</v>
      </c>
      <c r="O409" s="285">
        <f t="shared" si="60"/>
        <v>150</v>
      </c>
      <c r="P409" s="289">
        <f t="shared" si="61"/>
        <v>4000000</v>
      </c>
      <c r="Q409" s="285">
        <f t="shared" si="62"/>
        <v>110</v>
      </c>
      <c r="R409" s="285">
        <f t="shared" si="63"/>
        <v>85</v>
      </c>
      <c r="S409" s="285">
        <f t="shared" si="64"/>
        <v>0.35</v>
      </c>
      <c r="T409" s="285">
        <f t="shared" si="65"/>
        <v>3.2</v>
      </c>
      <c r="U409" s="285">
        <f t="shared" si="66"/>
        <v>1</v>
      </c>
      <c r="V409" s="285">
        <f t="shared" si="67"/>
        <v>4.5</v>
      </c>
      <c r="W409" s="285">
        <f t="shared" si="68"/>
        <v>1.5</v>
      </c>
      <c r="X409" s="289">
        <f t="shared" si="69"/>
        <v>18042.506453463033</v>
      </c>
      <c r="Y409" s="288">
        <f t="shared" si="70"/>
        <v>9.0212532267315168E-2</v>
      </c>
      <c r="Z409" s="256">
        <f t="shared" si="71"/>
        <v>181.74993027852094</v>
      </c>
      <c r="AA409" s="289">
        <f t="shared" si="72"/>
        <v>36995.531104985741</v>
      </c>
      <c r="AB409" s="288">
        <f t="shared" si="73"/>
        <v>0.1849776555249287</v>
      </c>
    </row>
    <row r="410" spans="13:28" ht="12" hidden="1" customHeight="1">
      <c r="M410" s="266"/>
      <c r="N410" s="288">
        <f t="shared" si="74"/>
        <v>8.1599999999999326</v>
      </c>
      <c r="O410" s="285">
        <f t="shared" si="60"/>
        <v>150</v>
      </c>
      <c r="P410" s="289">
        <f t="shared" si="61"/>
        <v>4000000</v>
      </c>
      <c r="Q410" s="285">
        <f t="shared" si="62"/>
        <v>110</v>
      </c>
      <c r="R410" s="285">
        <f t="shared" si="63"/>
        <v>85</v>
      </c>
      <c r="S410" s="285">
        <f t="shared" si="64"/>
        <v>0.35</v>
      </c>
      <c r="T410" s="285">
        <f t="shared" si="65"/>
        <v>3.2</v>
      </c>
      <c r="U410" s="285">
        <f t="shared" si="66"/>
        <v>1</v>
      </c>
      <c r="V410" s="285">
        <f t="shared" si="67"/>
        <v>4.5</v>
      </c>
      <c r="W410" s="285">
        <f t="shared" si="68"/>
        <v>1.5</v>
      </c>
      <c r="X410" s="289">
        <f t="shared" si="69"/>
        <v>18183.216906660415</v>
      </c>
      <c r="Y410" s="288">
        <f t="shared" si="70"/>
        <v>9.0916084533302077E-2</v>
      </c>
      <c r="Z410" s="256">
        <f t="shared" si="71"/>
        <v>181.74993027852094</v>
      </c>
      <c r="AA410" s="289">
        <f t="shared" si="72"/>
        <v>37284.052988654446</v>
      </c>
      <c r="AB410" s="288">
        <f t="shared" si="73"/>
        <v>0.18642026494327224</v>
      </c>
    </row>
    <row r="411" spans="13:28" ht="12" hidden="1" customHeight="1">
      <c r="M411" s="266"/>
      <c r="N411" s="288">
        <f t="shared" si="74"/>
        <v>8.1699999999999324</v>
      </c>
      <c r="O411" s="285">
        <f t="shared" si="60"/>
        <v>150</v>
      </c>
      <c r="P411" s="289">
        <f t="shared" si="61"/>
        <v>4000000</v>
      </c>
      <c r="Q411" s="285">
        <f t="shared" si="62"/>
        <v>110</v>
      </c>
      <c r="R411" s="285">
        <f t="shared" si="63"/>
        <v>85</v>
      </c>
      <c r="S411" s="285">
        <f t="shared" si="64"/>
        <v>0.35</v>
      </c>
      <c r="T411" s="285">
        <f t="shared" si="65"/>
        <v>3.2</v>
      </c>
      <c r="U411" s="285">
        <f t="shared" si="66"/>
        <v>1</v>
      </c>
      <c r="V411" s="285">
        <f t="shared" si="67"/>
        <v>4.5</v>
      </c>
      <c r="W411" s="285">
        <f t="shared" si="68"/>
        <v>1.5</v>
      </c>
      <c r="X411" s="289">
        <f t="shared" si="69"/>
        <v>18324.877416674721</v>
      </c>
      <c r="Y411" s="288">
        <f t="shared" si="70"/>
        <v>9.1624387083373601E-2</v>
      </c>
      <c r="Z411" s="256">
        <f t="shared" si="71"/>
        <v>181.74993027852094</v>
      </c>
      <c r="AA411" s="289">
        <f t="shared" si="72"/>
        <v>37574.522930738232</v>
      </c>
      <c r="AB411" s="288">
        <f t="shared" si="73"/>
        <v>0.18787261465369115</v>
      </c>
    </row>
    <row r="412" spans="13:28" ht="12" hidden="1" customHeight="1">
      <c r="M412" s="266"/>
      <c r="N412" s="288">
        <f t="shared" si="74"/>
        <v>8.1799999999999322</v>
      </c>
      <c r="O412" s="285">
        <f t="shared" si="60"/>
        <v>150</v>
      </c>
      <c r="P412" s="289">
        <f t="shared" si="61"/>
        <v>4000000</v>
      </c>
      <c r="Q412" s="285">
        <f t="shared" si="62"/>
        <v>110</v>
      </c>
      <c r="R412" s="285">
        <f t="shared" si="63"/>
        <v>85</v>
      </c>
      <c r="S412" s="285">
        <f t="shared" si="64"/>
        <v>0.35</v>
      </c>
      <c r="T412" s="285">
        <f t="shared" si="65"/>
        <v>3.2</v>
      </c>
      <c r="U412" s="285">
        <f t="shared" si="66"/>
        <v>1</v>
      </c>
      <c r="V412" s="285">
        <f t="shared" si="67"/>
        <v>4.5</v>
      </c>
      <c r="W412" s="285">
        <f t="shared" si="68"/>
        <v>1.5</v>
      </c>
      <c r="X412" s="289">
        <f t="shared" si="69"/>
        <v>18467.493394357512</v>
      </c>
      <c r="Y412" s="288">
        <f t="shared" si="70"/>
        <v>9.233746697178756E-2</v>
      </c>
      <c r="Z412" s="256">
        <f t="shared" si="71"/>
        <v>181.74993027852094</v>
      </c>
      <c r="AA412" s="289">
        <f t="shared" si="72"/>
        <v>37866.95202599949</v>
      </c>
      <c r="AB412" s="288">
        <f t="shared" si="73"/>
        <v>0.18933476012999745</v>
      </c>
    </row>
    <row r="413" spans="13:28" ht="12" hidden="1" customHeight="1">
      <c r="M413" s="266"/>
      <c r="N413" s="288">
        <f t="shared" si="74"/>
        <v>8.189999999999932</v>
      </c>
      <c r="O413" s="285">
        <f t="shared" si="60"/>
        <v>150</v>
      </c>
      <c r="P413" s="289">
        <f t="shared" si="61"/>
        <v>4000000</v>
      </c>
      <c r="Q413" s="285">
        <f t="shared" si="62"/>
        <v>110</v>
      </c>
      <c r="R413" s="285">
        <f t="shared" si="63"/>
        <v>85</v>
      </c>
      <c r="S413" s="285">
        <f t="shared" si="64"/>
        <v>0.35</v>
      </c>
      <c r="T413" s="285">
        <f t="shared" si="65"/>
        <v>3.2</v>
      </c>
      <c r="U413" s="285">
        <f t="shared" si="66"/>
        <v>1</v>
      </c>
      <c r="V413" s="285">
        <f t="shared" si="67"/>
        <v>4.5</v>
      </c>
      <c r="W413" s="285">
        <f t="shared" si="68"/>
        <v>1.5</v>
      </c>
      <c r="X413" s="289">
        <f t="shared" si="69"/>
        <v>18611.070275630391</v>
      </c>
      <c r="Y413" s="288">
        <f t="shared" si="70"/>
        <v>9.3055351378151949E-2</v>
      </c>
      <c r="Z413" s="256">
        <f t="shared" si="71"/>
        <v>181.74993027852094</v>
      </c>
      <c r="AA413" s="289">
        <f t="shared" si="72"/>
        <v>38161.351420606297</v>
      </c>
      <c r="AB413" s="288">
        <f t="shared" si="73"/>
        <v>0.19080675710303149</v>
      </c>
    </row>
    <row r="414" spans="13:28" ht="12" hidden="1" customHeight="1">
      <c r="M414" s="266"/>
      <c r="N414" s="288">
        <f t="shared" si="74"/>
        <v>8.1999999999999318</v>
      </c>
      <c r="O414" s="285">
        <f t="shared" ref="O414:O477" si="75">PCC_MR</f>
        <v>150</v>
      </c>
      <c r="P414" s="289">
        <f t="shared" ref="P414:P477" si="76">PCC_ME</f>
        <v>4000000</v>
      </c>
      <c r="Q414" s="285">
        <f t="shared" ref="Q414:Q477" si="77">K_MODULE</f>
        <v>110</v>
      </c>
      <c r="R414" s="285">
        <f t="shared" ref="R414:R477" si="78">R_</f>
        <v>85</v>
      </c>
      <c r="S414" s="285">
        <f t="shared" ref="S414:S477" si="79">So</f>
        <v>0.35</v>
      </c>
      <c r="T414" s="285">
        <f t="shared" ref="T414:T477" si="80">J_</f>
        <v>3.2</v>
      </c>
      <c r="U414" s="285">
        <f t="shared" ref="U414:U477" si="81">Cd_</f>
        <v>1</v>
      </c>
      <c r="V414" s="285">
        <f t="shared" ref="V414:V477" si="82">Pi</f>
        <v>4.5</v>
      </c>
      <c r="W414" s="285">
        <f t="shared" ref="W414:W477" si="83">Pt</f>
        <v>1.5</v>
      </c>
      <c r="X414" s="289">
        <f t="shared" ref="X414:X477" si="84">10^(-NORMSINV(R414/100)*S414+7.35*LOG10(N414+1)-0.06+((LOG10((V414-W414)/3))/(1+((1.625*10^7)/((N414+1)^8.46))))+((4.22-0.32*W414)*LOG10((O414*U414*((N414^0.75)-1.132))/(215.63*T414*((N414^0.75)-18.42*(Q414/P414)^0.25)))))</f>
        <v>18755.613521574978</v>
      </c>
      <c r="Y414" s="288">
        <f t="shared" ref="Y414:Y477" si="85">+X414/ESALS</f>
        <v>9.3778067607874896E-2</v>
      </c>
      <c r="Z414" s="256">
        <f t="shared" ref="Z414:Z477" si="86">PCC_IMR</f>
        <v>181.74993027852094</v>
      </c>
      <c r="AA414" s="289">
        <f t="shared" ref="AA414:AA477" si="87">10^(-NORMSINV(R414/100)*S414+7.35*LOG10(N414+1)-0.06+((LOG10((V414-W414)/3))/(1+((1.625*10^7)/((N414+1)^8.46))))+((4.22-0.32*W414)*LOG10((Z414*U414*((N414^0.75)-1.132))/(215.63*T414*((N414^0.75)-18.42*(Q414/P414)^0.25)))))</f>
        <v>38457.732312316104</v>
      </c>
      <c r="AB414" s="288">
        <f t="shared" ref="AB414:AB477" si="88">+AA414/ESALS</f>
        <v>0.19228866156158053</v>
      </c>
    </row>
    <row r="415" spans="13:28" ht="12" hidden="1" customHeight="1">
      <c r="M415" s="266"/>
      <c r="N415" s="288">
        <f t="shared" ref="N415:N478" si="89">IF(N414 = "", "", IF(AND(0.995*ESALS&lt;=X414,X414&lt;=1.005*ESALS),"",(N414+D_Step)))</f>
        <v>8.2099999999999316</v>
      </c>
      <c r="O415" s="285">
        <f t="shared" si="75"/>
        <v>150</v>
      </c>
      <c r="P415" s="289">
        <f t="shared" si="76"/>
        <v>4000000</v>
      </c>
      <c r="Q415" s="285">
        <f t="shared" si="77"/>
        <v>110</v>
      </c>
      <c r="R415" s="285">
        <f t="shared" si="78"/>
        <v>85</v>
      </c>
      <c r="S415" s="285">
        <f t="shared" si="79"/>
        <v>0.35</v>
      </c>
      <c r="T415" s="285">
        <f t="shared" si="80"/>
        <v>3.2</v>
      </c>
      <c r="U415" s="285">
        <f t="shared" si="81"/>
        <v>1</v>
      </c>
      <c r="V415" s="285">
        <f t="shared" si="82"/>
        <v>4.5</v>
      </c>
      <c r="W415" s="285">
        <f t="shared" si="83"/>
        <v>1.5</v>
      </c>
      <c r="X415" s="289">
        <f t="shared" si="84"/>
        <v>18901.128618521976</v>
      </c>
      <c r="Y415" s="288">
        <f t="shared" si="85"/>
        <v>9.4505643092609878E-2</v>
      </c>
      <c r="Z415" s="256">
        <f t="shared" si="86"/>
        <v>181.74993027852094</v>
      </c>
      <c r="AA415" s="289">
        <f t="shared" si="87"/>
        <v>38756.105950659286</v>
      </c>
      <c r="AB415" s="288">
        <f t="shared" si="88"/>
        <v>0.19378052975329643</v>
      </c>
    </row>
    <row r="416" spans="13:28" ht="12" hidden="1" customHeight="1">
      <c r="M416" s="266"/>
      <c r="N416" s="288">
        <f t="shared" si="89"/>
        <v>8.2199999999999314</v>
      </c>
      <c r="O416" s="285">
        <f t="shared" si="75"/>
        <v>150</v>
      </c>
      <c r="P416" s="289">
        <f t="shared" si="76"/>
        <v>4000000</v>
      </c>
      <c r="Q416" s="285">
        <f t="shared" si="77"/>
        <v>110</v>
      </c>
      <c r="R416" s="285">
        <f t="shared" si="78"/>
        <v>85</v>
      </c>
      <c r="S416" s="285">
        <f t="shared" si="79"/>
        <v>0.35</v>
      </c>
      <c r="T416" s="285">
        <f t="shared" si="80"/>
        <v>3.2</v>
      </c>
      <c r="U416" s="285">
        <f t="shared" si="81"/>
        <v>1</v>
      </c>
      <c r="V416" s="285">
        <f t="shared" si="82"/>
        <v>4.5</v>
      </c>
      <c r="W416" s="285">
        <f t="shared" si="83"/>
        <v>1.5</v>
      </c>
      <c r="X416" s="289">
        <f t="shared" si="84"/>
        <v>19047.621078141714</v>
      </c>
      <c r="Y416" s="288">
        <f t="shared" si="85"/>
        <v>9.5238105390708566E-2</v>
      </c>
      <c r="Z416" s="256">
        <f t="shared" si="86"/>
        <v>181.74993027852094</v>
      </c>
      <c r="AA416" s="289">
        <f t="shared" si="87"/>
        <v>39056.483637123558</v>
      </c>
      <c r="AB416" s="288">
        <f t="shared" si="88"/>
        <v>0.19528241818561778</v>
      </c>
    </row>
    <row r="417" spans="13:28" ht="12" hidden="1" customHeight="1">
      <c r="M417" s="266"/>
      <c r="N417" s="288">
        <f t="shared" si="89"/>
        <v>8.2299999999999311</v>
      </c>
      <c r="O417" s="285">
        <f t="shared" si="75"/>
        <v>150</v>
      </c>
      <c r="P417" s="289">
        <f t="shared" si="76"/>
        <v>4000000</v>
      </c>
      <c r="Q417" s="285">
        <f t="shared" si="77"/>
        <v>110</v>
      </c>
      <c r="R417" s="285">
        <f t="shared" si="78"/>
        <v>85</v>
      </c>
      <c r="S417" s="285">
        <f t="shared" si="79"/>
        <v>0.35</v>
      </c>
      <c r="T417" s="285">
        <f t="shared" si="80"/>
        <v>3.2</v>
      </c>
      <c r="U417" s="285">
        <f t="shared" si="81"/>
        <v>1</v>
      </c>
      <c r="V417" s="285">
        <f t="shared" si="82"/>
        <v>4.5</v>
      </c>
      <c r="W417" s="285">
        <f t="shared" si="83"/>
        <v>1.5</v>
      </c>
      <c r="X417" s="289">
        <f t="shared" si="84"/>
        <v>19195.096437533775</v>
      </c>
      <c r="Y417" s="288">
        <f t="shared" si="85"/>
        <v>9.5975482187668881E-2</v>
      </c>
      <c r="Z417" s="256">
        <f t="shared" si="86"/>
        <v>181.74993027852094</v>
      </c>
      <c r="AA417" s="289">
        <f t="shared" si="87"/>
        <v>39358.876725338763</v>
      </c>
      <c r="AB417" s="288">
        <f t="shared" si="88"/>
        <v>0.19679438362669383</v>
      </c>
    </row>
    <row r="418" spans="13:28" ht="12" hidden="1" customHeight="1">
      <c r="M418" s="266"/>
      <c r="N418" s="288">
        <f t="shared" si="89"/>
        <v>8.2399999999999309</v>
      </c>
      <c r="O418" s="285">
        <f t="shared" si="75"/>
        <v>150</v>
      </c>
      <c r="P418" s="289">
        <f t="shared" si="76"/>
        <v>4000000</v>
      </c>
      <c r="Q418" s="285">
        <f t="shared" si="77"/>
        <v>110</v>
      </c>
      <c r="R418" s="285">
        <f t="shared" si="78"/>
        <v>85</v>
      </c>
      <c r="S418" s="285">
        <f t="shared" si="79"/>
        <v>0.35</v>
      </c>
      <c r="T418" s="285">
        <f t="shared" si="80"/>
        <v>3.2</v>
      </c>
      <c r="U418" s="285">
        <f t="shared" si="81"/>
        <v>1</v>
      </c>
      <c r="V418" s="285">
        <f t="shared" si="82"/>
        <v>4.5</v>
      </c>
      <c r="W418" s="285">
        <f t="shared" si="83"/>
        <v>1.5</v>
      </c>
      <c r="X418" s="289">
        <f t="shared" si="84"/>
        <v>19343.560259317561</v>
      </c>
      <c r="Y418" s="288">
        <f t="shared" si="85"/>
        <v>9.6717801296587802E-2</v>
      </c>
      <c r="Z418" s="256">
        <f t="shared" si="86"/>
        <v>181.74993027852094</v>
      </c>
      <c r="AA418" s="289">
        <f t="shared" si="87"/>
        <v>39663.296621262525</v>
      </c>
      <c r="AB418" s="288">
        <f t="shared" si="88"/>
        <v>0.19831648310631261</v>
      </c>
    </row>
    <row r="419" spans="13:28" ht="12" hidden="1" customHeight="1">
      <c r="M419" s="266"/>
      <c r="N419" s="288">
        <f t="shared" si="89"/>
        <v>8.2499999999999307</v>
      </c>
      <c r="O419" s="285">
        <f t="shared" si="75"/>
        <v>150</v>
      </c>
      <c r="P419" s="289">
        <f t="shared" si="76"/>
        <v>4000000</v>
      </c>
      <c r="Q419" s="285">
        <f t="shared" si="77"/>
        <v>110</v>
      </c>
      <c r="R419" s="285">
        <f t="shared" si="78"/>
        <v>85</v>
      </c>
      <c r="S419" s="285">
        <f t="shared" si="79"/>
        <v>0.35</v>
      </c>
      <c r="T419" s="285">
        <f t="shared" si="80"/>
        <v>3.2</v>
      </c>
      <c r="U419" s="285">
        <f t="shared" si="81"/>
        <v>1</v>
      </c>
      <c r="V419" s="285">
        <f t="shared" si="82"/>
        <v>4.5</v>
      </c>
      <c r="W419" s="285">
        <f t="shared" si="83"/>
        <v>1.5</v>
      </c>
      <c r="X419" s="289">
        <f t="shared" si="84"/>
        <v>19493.018131722922</v>
      </c>
      <c r="Y419" s="288">
        <f t="shared" si="85"/>
        <v>9.7465090658614612E-2</v>
      </c>
      <c r="Z419" s="256">
        <f t="shared" si="86"/>
        <v>181.74993027852094</v>
      </c>
      <c r="AA419" s="289">
        <f t="shared" si="87"/>
        <v>39969.754783365403</v>
      </c>
      <c r="AB419" s="288">
        <f t="shared" si="88"/>
        <v>0.19984877391682701</v>
      </c>
    </row>
    <row r="420" spans="13:28" ht="12" hidden="1" customHeight="1">
      <c r="M420" s="266"/>
      <c r="N420" s="288">
        <f t="shared" si="89"/>
        <v>8.2599999999999305</v>
      </c>
      <c r="O420" s="285">
        <f t="shared" si="75"/>
        <v>150</v>
      </c>
      <c r="P420" s="289">
        <f t="shared" si="76"/>
        <v>4000000</v>
      </c>
      <c r="Q420" s="285">
        <f t="shared" si="77"/>
        <v>110</v>
      </c>
      <c r="R420" s="285">
        <f t="shared" si="78"/>
        <v>85</v>
      </c>
      <c r="S420" s="285">
        <f t="shared" si="79"/>
        <v>0.35</v>
      </c>
      <c r="T420" s="285">
        <f t="shared" si="80"/>
        <v>3.2</v>
      </c>
      <c r="U420" s="285">
        <f t="shared" si="81"/>
        <v>1</v>
      </c>
      <c r="V420" s="285">
        <f t="shared" si="82"/>
        <v>4.5</v>
      </c>
      <c r="W420" s="285">
        <f t="shared" si="83"/>
        <v>1.5</v>
      </c>
      <c r="X420" s="289">
        <f t="shared" si="84"/>
        <v>19643.475668680658</v>
      </c>
      <c r="Y420" s="288">
        <f t="shared" si="85"/>
        <v>9.8217378343403286E-2</v>
      </c>
      <c r="Z420" s="256">
        <f t="shared" si="86"/>
        <v>181.74993027852094</v>
      </c>
      <c r="AA420" s="289">
        <f t="shared" si="87"/>
        <v>40278.262722816966</v>
      </c>
      <c r="AB420" s="288">
        <f t="shared" si="88"/>
        <v>0.20139131361408483</v>
      </c>
    </row>
    <row r="421" spans="13:28" ht="12" hidden="1" customHeight="1">
      <c r="M421" s="266"/>
      <c r="N421" s="288">
        <f t="shared" si="89"/>
        <v>8.2699999999999303</v>
      </c>
      <c r="O421" s="285">
        <f t="shared" si="75"/>
        <v>150</v>
      </c>
      <c r="P421" s="289">
        <f t="shared" si="76"/>
        <v>4000000</v>
      </c>
      <c r="Q421" s="285">
        <f t="shared" si="77"/>
        <v>110</v>
      </c>
      <c r="R421" s="285">
        <f t="shared" si="78"/>
        <v>85</v>
      </c>
      <c r="S421" s="285">
        <f t="shared" si="79"/>
        <v>0.35</v>
      </c>
      <c r="T421" s="285">
        <f t="shared" si="80"/>
        <v>3.2</v>
      </c>
      <c r="U421" s="285">
        <f t="shared" si="81"/>
        <v>1</v>
      </c>
      <c r="V421" s="285">
        <f t="shared" si="82"/>
        <v>4.5</v>
      </c>
      <c r="W421" s="285">
        <f t="shared" si="83"/>
        <v>1.5</v>
      </c>
      <c r="X421" s="289">
        <f t="shared" si="84"/>
        <v>19794.938509913969</v>
      </c>
      <c r="Y421" s="288">
        <f t="shared" si="85"/>
        <v>9.8974692549569851E-2</v>
      </c>
      <c r="Z421" s="256">
        <f t="shared" si="86"/>
        <v>181.74993027852094</v>
      </c>
      <c r="AA421" s="289">
        <f t="shared" si="87"/>
        <v>40588.832003673233</v>
      </c>
      <c r="AB421" s="288">
        <f t="shared" si="88"/>
        <v>0.20294416001836615</v>
      </c>
    </row>
    <row r="422" spans="13:28" ht="12" hidden="1" customHeight="1">
      <c r="M422" s="266"/>
      <c r="N422" s="288">
        <f t="shared" si="89"/>
        <v>8.2799999999999301</v>
      </c>
      <c r="O422" s="285">
        <f t="shared" si="75"/>
        <v>150</v>
      </c>
      <c r="P422" s="289">
        <f t="shared" si="76"/>
        <v>4000000</v>
      </c>
      <c r="Q422" s="285">
        <f t="shared" si="77"/>
        <v>110</v>
      </c>
      <c r="R422" s="285">
        <f t="shared" si="78"/>
        <v>85</v>
      </c>
      <c r="S422" s="285">
        <f t="shared" si="79"/>
        <v>0.35</v>
      </c>
      <c r="T422" s="285">
        <f t="shared" si="80"/>
        <v>3.2</v>
      </c>
      <c r="U422" s="285">
        <f t="shared" si="81"/>
        <v>1</v>
      </c>
      <c r="V422" s="285">
        <f t="shared" si="82"/>
        <v>4.5</v>
      </c>
      <c r="W422" s="285">
        <f t="shared" si="83"/>
        <v>1.5</v>
      </c>
      <c r="X422" s="289">
        <f t="shared" si="84"/>
        <v>19947.412321029366</v>
      </c>
      <c r="Y422" s="288">
        <f t="shared" si="85"/>
        <v>9.9737061605146823E-2</v>
      </c>
      <c r="Z422" s="256">
        <f t="shared" si="86"/>
        <v>181.74993027852094</v>
      </c>
      <c r="AA422" s="289">
        <f t="shared" si="87"/>
        <v>40901.474243063014</v>
      </c>
      <c r="AB422" s="288">
        <f t="shared" si="88"/>
        <v>0.20450737121531506</v>
      </c>
    </row>
    <row r="423" spans="13:28" ht="12" hidden="1" customHeight="1">
      <c r="M423" s="266"/>
      <c r="N423" s="288">
        <f t="shared" si="89"/>
        <v>8.2899999999999299</v>
      </c>
      <c r="O423" s="285">
        <f t="shared" si="75"/>
        <v>150</v>
      </c>
      <c r="P423" s="289">
        <f t="shared" si="76"/>
        <v>4000000</v>
      </c>
      <c r="Q423" s="285">
        <f t="shared" si="77"/>
        <v>110</v>
      </c>
      <c r="R423" s="285">
        <f t="shared" si="78"/>
        <v>85</v>
      </c>
      <c r="S423" s="285">
        <f t="shared" si="79"/>
        <v>0.35</v>
      </c>
      <c r="T423" s="285">
        <f t="shared" si="80"/>
        <v>3.2</v>
      </c>
      <c r="U423" s="285">
        <f t="shared" si="81"/>
        <v>1</v>
      </c>
      <c r="V423" s="285">
        <f t="shared" si="82"/>
        <v>4.5</v>
      </c>
      <c r="W423" s="285">
        <f t="shared" si="83"/>
        <v>1.5</v>
      </c>
      <c r="X423" s="289">
        <f t="shared" si="84"/>
        <v>20100.902793608278</v>
      </c>
      <c r="Y423" s="288">
        <f t="shared" si="85"/>
        <v>0.10050451396804139</v>
      </c>
      <c r="Z423" s="256">
        <f t="shared" si="86"/>
        <v>181.74993027852094</v>
      </c>
      <c r="AA423" s="289">
        <f t="shared" si="87"/>
        <v>41216.2011113759</v>
      </c>
      <c r="AB423" s="288">
        <f t="shared" si="88"/>
        <v>0.2060810055568795</v>
      </c>
    </row>
    <row r="424" spans="13:28" ht="12" hidden="1" customHeight="1">
      <c r="M424" s="266"/>
      <c r="N424" s="288">
        <f t="shared" si="89"/>
        <v>8.2999999999999297</v>
      </c>
      <c r="O424" s="285">
        <f t="shared" si="75"/>
        <v>150</v>
      </c>
      <c r="P424" s="289">
        <f t="shared" si="76"/>
        <v>4000000</v>
      </c>
      <c r="Q424" s="285">
        <f t="shared" si="77"/>
        <v>110</v>
      </c>
      <c r="R424" s="285">
        <f t="shared" si="78"/>
        <v>85</v>
      </c>
      <c r="S424" s="285">
        <f t="shared" si="79"/>
        <v>0.35</v>
      </c>
      <c r="T424" s="285">
        <f t="shared" si="80"/>
        <v>3.2</v>
      </c>
      <c r="U424" s="285">
        <f t="shared" si="81"/>
        <v>1</v>
      </c>
      <c r="V424" s="285">
        <f t="shared" si="82"/>
        <v>4.5</v>
      </c>
      <c r="W424" s="285">
        <f t="shared" si="83"/>
        <v>1.5</v>
      </c>
      <c r="X424" s="289">
        <f t="shared" si="84"/>
        <v>20255.415645298664</v>
      </c>
      <c r="Y424" s="288">
        <f t="shared" si="85"/>
        <v>0.10127707822649332</v>
      </c>
      <c r="Z424" s="256">
        <f t="shared" si="86"/>
        <v>181.74993027852094</v>
      </c>
      <c r="AA424" s="289">
        <f t="shared" si="87"/>
        <v>41533.024332449815</v>
      </c>
      <c r="AB424" s="288">
        <f t="shared" si="88"/>
        <v>0.20766512166224907</v>
      </c>
    </row>
    <row r="425" spans="13:28" ht="12" hidden="1" customHeight="1">
      <c r="M425" s="266"/>
      <c r="N425" s="288">
        <f t="shared" si="89"/>
        <v>8.3099999999999294</v>
      </c>
      <c r="O425" s="285">
        <f t="shared" si="75"/>
        <v>150</v>
      </c>
      <c r="P425" s="289">
        <f t="shared" si="76"/>
        <v>4000000</v>
      </c>
      <c r="Q425" s="285">
        <f t="shared" si="77"/>
        <v>110</v>
      </c>
      <c r="R425" s="285">
        <f t="shared" si="78"/>
        <v>85</v>
      </c>
      <c r="S425" s="285">
        <f t="shared" si="79"/>
        <v>0.35</v>
      </c>
      <c r="T425" s="285">
        <f t="shared" si="80"/>
        <v>3.2</v>
      </c>
      <c r="U425" s="285">
        <f t="shared" si="81"/>
        <v>1</v>
      </c>
      <c r="V425" s="285">
        <f t="shared" si="82"/>
        <v>4.5</v>
      </c>
      <c r="W425" s="285">
        <f t="shared" si="83"/>
        <v>1.5</v>
      </c>
      <c r="X425" s="289">
        <f t="shared" si="84"/>
        <v>20410.956619907174</v>
      </c>
      <c r="Y425" s="288">
        <f t="shared" si="85"/>
        <v>0.10205478309953588</v>
      </c>
      <c r="Z425" s="256">
        <f t="shared" si="86"/>
        <v>181.74993027852094</v>
      </c>
      <c r="AA425" s="289">
        <f t="shared" si="87"/>
        <v>41851.955683760032</v>
      </c>
      <c r="AB425" s="288">
        <f t="shared" si="88"/>
        <v>0.20925977841880017</v>
      </c>
    </row>
    <row r="426" spans="13:28" ht="12" hidden="1" customHeight="1">
      <c r="M426" s="266"/>
      <c r="N426" s="288">
        <f t="shared" si="89"/>
        <v>8.3199999999999292</v>
      </c>
      <c r="O426" s="285">
        <f t="shared" si="75"/>
        <v>150</v>
      </c>
      <c r="P426" s="289">
        <f t="shared" si="76"/>
        <v>4000000</v>
      </c>
      <c r="Q426" s="285">
        <f t="shared" si="77"/>
        <v>110</v>
      </c>
      <c r="R426" s="285">
        <f t="shared" si="78"/>
        <v>85</v>
      </c>
      <c r="S426" s="285">
        <f t="shared" si="79"/>
        <v>0.35</v>
      </c>
      <c r="T426" s="285">
        <f t="shared" si="80"/>
        <v>3.2</v>
      </c>
      <c r="U426" s="285">
        <f t="shared" si="81"/>
        <v>1</v>
      </c>
      <c r="V426" s="285">
        <f t="shared" si="82"/>
        <v>4.5</v>
      </c>
      <c r="W426" s="285">
        <f t="shared" si="83"/>
        <v>1.5</v>
      </c>
      <c r="X426" s="289">
        <f t="shared" si="84"/>
        <v>20567.531487490964</v>
      </c>
      <c r="Y426" s="288">
        <f t="shared" si="85"/>
        <v>0.10283765743745482</v>
      </c>
      <c r="Z426" s="256">
        <f t="shared" si="86"/>
        <v>181.74993027852094</v>
      </c>
      <c r="AA426" s="289">
        <f t="shared" si="87"/>
        <v>42173.006996608085</v>
      </c>
      <c r="AB426" s="288">
        <f t="shared" si="88"/>
        <v>0.21086503498304043</v>
      </c>
    </row>
    <row r="427" spans="13:28" ht="12" hidden="1" customHeight="1">
      <c r="M427" s="266"/>
      <c r="N427" s="288">
        <f t="shared" si="89"/>
        <v>8.329999999999929</v>
      </c>
      <c r="O427" s="285">
        <f t="shared" si="75"/>
        <v>150</v>
      </c>
      <c r="P427" s="289">
        <f t="shared" si="76"/>
        <v>4000000</v>
      </c>
      <c r="Q427" s="285">
        <f t="shared" si="77"/>
        <v>110</v>
      </c>
      <c r="R427" s="285">
        <f t="shared" si="78"/>
        <v>85</v>
      </c>
      <c r="S427" s="285">
        <f t="shared" si="79"/>
        <v>0.35</v>
      </c>
      <c r="T427" s="285">
        <f t="shared" si="80"/>
        <v>3.2</v>
      </c>
      <c r="U427" s="285">
        <f t="shared" si="81"/>
        <v>1</v>
      </c>
      <c r="V427" s="285">
        <f t="shared" si="82"/>
        <v>4.5</v>
      </c>
      <c r="W427" s="285">
        <f t="shared" si="83"/>
        <v>1.5</v>
      </c>
      <c r="X427" s="289">
        <f t="shared" si="84"/>
        <v>20725.14604445027</v>
      </c>
      <c r="Y427" s="288">
        <f t="shared" si="85"/>
        <v>0.10362573022225136</v>
      </c>
      <c r="Z427" s="256">
        <f t="shared" si="86"/>
        <v>181.74993027852094</v>
      </c>
      <c r="AA427" s="289">
        <f t="shared" si="87"/>
        <v>42496.190156310928</v>
      </c>
      <c r="AB427" s="288">
        <f t="shared" si="88"/>
        <v>0.21248095078155463</v>
      </c>
    </row>
    <row r="428" spans="13:28" ht="12" hidden="1" customHeight="1">
      <c r="M428" s="266"/>
      <c r="N428" s="288">
        <f t="shared" si="89"/>
        <v>8.3399999999999288</v>
      </c>
      <c r="O428" s="285">
        <f t="shared" si="75"/>
        <v>150</v>
      </c>
      <c r="P428" s="289">
        <f t="shared" si="76"/>
        <v>4000000</v>
      </c>
      <c r="Q428" s="285">
        <f t="shared" si="77"/>
        <v>110</v>
      </c>
      <c r="R428" s="285">
        <f t="shared" si="78"/>
        <v>85</v>
      </c>
      <c r="S428" s="285">
        <f t="shared" si="79"/>
        <v>0.35</v>
      </c>
      <c r="T428" s="285">
        <f t="shared" si="80"/>
        <v>3.2</v>
      </c>
      <c r="U428" s="285">
        <f t="shared" si="81"/>
        <v>1</v>
      </c>
      <c r="V428" s="285">
        <f t="shared" si="82"/>
        <v>4.5</v>
      </c>
      <c r="W428" s="285">
        <f t="shared" si="83"/>
        <v>1.5</v>
      </c>
      <c r="X428" s="289">
        <f t="shared" si="84"/>
        <v>20883.806113621151</v>
      </c>
      <c r="Y428" s="288">
        <f t="shared" si="85"/>
        <v>0.10441903056810575</v>
      </c>
      <c r="Z428" s="256">
        <f t="shared" si="86"/>
        <v>181.74993027852094</v>
      </c>
      <c r="AA428" s="289">
        <f t="shared" si="87"/>
        <v>42821.517102390681</v>
      </c>
      <c r="AB428" s="288">
        <f t="shared" si="88"/>
        <v>0.21410758551195341</v>
      </c>
    </row>
    <row r="429" spans="13:28" ht="12" hidden="1" customHeight="1">
      <c r="M429" s="266"/>
      <c r="N429" s="288">
        <f t="shared" si="89"/>
        <v>8.3499999999999286</v>
      </c>
      <c r="O429" s="285">
        <f t="shared" si="75"/>
        <v>150</v>
      </c>
      <c r="P429" s="289">
        <f t="shared" si="76"/>
        <v>4000000</v>
      </c>
      <c r="Q429" s="285">
        <f t="shared" si="77"/>
        <v>110</v>
      </c>
      <c r="R429" s="285">
        <f t="shared" si="78"/>
        <v>85</v>
      </c>
      <c r="S429" s="285">
        <f t="shared" si="79"/>
        <v>0.35</v>
      </c>
      <c r="T429" s="285">
        <f t="shared" si="80"/>
        <v>3.2</v>
      </c>
      <c r="U429" s="285">
        <f t="shared" si="81"/>
        <v>1</v>
      </c>
      <c r="V429" s="285">
        <f t="shared" si="82"/>
        <v>4.5</v>
      </c>
      <c r="W429" s="285">
        <f t="shared" si="83"/>
        <v>1.5</v>
      </c>
      <c r="X429" s="289">
        <f t="shared" si="84"/>
        <v>21043.517544368045</v>
      </c>
      <c r="Y429" s="288">
        <f t="shared" si="85"/>
        <v>0.10521758772184023</v>
      </c>
      <c r="Z429" s="256">
        <f t="shared" si="86"/>
        <v>181.74993027852094</v>
      </c>
      <c r="AA429" s="289">
        <f t="shared" si="87"/>
        <v>43148.999828765744</v>
      </c>
      <c r="AB429" s="288">
        <f t="shared" si="88"/>
        <v>0.21574499914382872</v>
      </c>
    </row>
    <row r="430" spans="13:28" ht="12" hidden="1" customHeight="1">
      <c r="M430" s="266"/>
      <c r="N430" s="288">
        <f t="shared" si="89"/>
        <v>8.3599999999999284</v>
      </c>
      <c r="O430" s="285">
        <f t="shared" si="75"/>
        <v>150</v>
      </c>
      <c r="P430" s="289">
        <f t="shared" si="76"/>
        <v>4000000</v>
      </c>
      <c r="Q430" s="285">
        <f t="shared" si="77"/>
        <v>110</v>
      </c>
      <c r="R430" s="285">
        <f t="shared" si="78"/>
        <v>85</v>
      </c>
      <c r="S430" s="285">
        <f t="shared" si="79"/>
        <v>0.35</v>
      </c>
      <c r="T430" s="285">
        <f t="shared" si="80"/>
        <v>3.2</v>
      </c>
      <c r="U430" s="285">
        <f t="shared" si="81"/>
        <v>1</v>
      </c>
      <c r="V430" s="285">
        <f t="shared" si="82"/>
        <v>4.5</v>
      </c>
      <c r="W430" s="285">
        <f t="shared" si="83"/>
        <v>1.5</v>
      </c>
      <c r="X430" s="289">
        <f t="shared" si="84"/>
        <v>21204.286212677081</v>
      </c>
      <c r="Y430" s="288">
        <f t="shared" si="85"/>
        <v>0.10602143106338541</v>
      </c>
      <c r="Z430" s="256">
        <f t="shared" si="86"/>
        <v>181.74993027852094</v>
      </c>
      <c r="AA430" s="289">
        <f t="shared" si="87"/>
        <v>43478.650383940832</v>
      </c>
      <c r="AB430" s="288">
        <f t="shared" si="88"/>
        <v>0.21739325191970416</v>
      </c>
    </row>
    <row r="431" spans="13:28" ht="12" hidden="1" customHeight="1">
      <c r="M431" s="266"/>
      <c r="N431" s="288">
        <f t="shared" si="89"/>
        <v>8.3699999999999282</v>
      </c>
      <c r="O431" s="285">
        <f t="shared" si="75"/>
        <v>150</v>
      </c>
      <c r="P431" s="289">
        <f t="shared" si="76"/>
        <v>4000000</v>
      </c>
      <c r="Q431" s="285">
        <f t="shared" si="77"/>
        <v>110</v>
      </c>
      <c r="R431" s="285">
        <f t="shared" si="78"/>
        <v>85</v>
      </c>
      <c r="S431" s="285">
        <f t="shared" si="79"/>
        <v>0.35</v>
      </c>
      <c r="T431" s="285">
        <f t="shared" si="80"/>
        <v>3.2</v>
      </c>
      <c r="U431" s="285">
        <f t="shared" si="81"/>
        <v>1</v>
      </c>
      <c r="V431" s="285">
        <f t="shared" si="82"/>
        <v>4.5</v>
      </c>
      <c r="W431" s="285">
        <f t="shared" si="83"/>
        <v>1.5</v>
      </c>
      <c r="X431" s="289">
        <f t="shared" si="84"/>
        <v>21366.118021249098</v>
      </c>
      <c r="Y431" s="288">
        <f t="shared" si="85"/>
        <v>0.10683059010624549</v>
      </c>
      <c r="Z431" s="256">
        <f t="shared" si="86"/>
        <v>181.74993027852094</v>
      </c>
      <c r="AA431" s="289">
        <f t="shared" si="87"/>
        <v>43810.480871198408</v>
      </c>
      <c r="AB431" s="288">
        <f t="shared" si="88"/>
        <v>0.21905240435599205</v>
      </c>
    </row>
    <row r="432" spans="13:28" ht="12" hidden="1" customHeight="1">
      <c r="M432" s="266"/>
      <c r="N432" s="288">
        <f t="shared" si="89"/>
        <v>8.379999999999928</v>
      </c>
      <c r="O432" s="285">
        <f t="shared" si="75"/>
        <v>150</v>
      </c>
      <c r="P432" s="289">
        <f t="shared" si="76"/>
        <v>4000000</v>
      </c>
      <c r="Q432" s="285">
        <f t="shared" si="77"/>
        <v>110</v>
      </c>
      <c r="R432" s="285">
        <f t="shared" si="78"/>
        <v>85</v>
      </c>
      <c r="S432" s="285">
        <f t="shared" si="79"/>
        <v>0.35</v>
      </c>
      <c r="T432" s="285">
        <f t="shared" si="80"/>
        <v>3.2</v>
      </c>
      <c r="U432" s="285">
        <f t="shared" si="81"/>
        <v>1</v>
      </c>
      <c r="V432" s="285">
        <f t="shared" si="82"/>
        <v>4.5</v>
      </c>
      <c r="W432" s="285">
        <f t="shared" si="83"/>
        <v>1.5</v>
      </c>
      <c r="X432" s="289">
        <f t="shared" si="84"/>
        <v>21529.018899593408</v>
      </c>
      <c r="Y432" s="288">
        <f t="shared" si="85"/>
        <v>0.10764509449796704</v>
      </c>
      <c r="Z432" s="256">
        <f t="shared" si="86"/>
        <v>181.74993027852094</v>
      </c>
      <c r="AA432" s="289">
        <f t="shared" si="87"/>
        <v>44144.503448790987</v>
      </c>
      <c r="AB432" s="288">
        <f t="shared" si="88"/>
        <v>0.22072251724395495</v>
      </c>
    </row>
    <row r="433" spans="13:28" ht="12" hidden="1" customHeight="1">
      <c r="M433" s="266"/>
      <c r="N433" s="288">
        <f t="shared" si="89"/>
        <v>8.3899999999999277</v>
      </c>
      <c r="O433" s="285">
        <f t="shared" si="75"/>
        <v>150</v>
      </c>
      <c r="P433" s="289">
        <f t="shared" si="76"/>
        <v>4000000</v>
      </c>
      <c r="Q433" s="285">
        <f t="shared" si="77"/>
        <v>110</v>
      </c>
      <c r="R433" s="285">
        <f t="shared" si="78"/>
        <v>85</v>
      </c>
      <c r="S433" s="285">
        <f t="shared" si="79"/>
        <v>0.35</v>
      </c>
      <c r="T433" s="285">
        <f t="shared" si="80"/>
        <v>3.2</v>
      </c>
      <c r="U433" s="285">
        <f t="shared" si="81"/>
        <v>1</v>
      </c>
      <c r="V433" s="285">
        <f t="shared" si="82"/>
        <v>4.5</v>
      </c>
      <c r="W433" s="285">
        <f t="shared" si="83"/>
        <v>1.5</v>
      </c>
      <c r="X433" s="289">
        <f t="shared" si="84"/>
        <v>21692.99480412159</v>
      </c>
      <c r="Y433" s="288">
        <f t="shared" si="85"/>
        <v>0.10846497402060795</v>
      </c>
      <c r="Z433" s="256">
        <f t="shared" si="86"/>
        <v>181.74993027852094</v>
      </c>
      <c r="AA433" s="289">
        <f t="shared" si="87"/>
        <v>44480.730330132974</v>
      </c>
      <c r="AB433" s="288">
        <f t="shared" si="88"/>
        <v>0.22240365165066486</v>
      </c>
    </row>
    <row r="434" spans="13:28" ht="12" hidden="1" customHeight="1">
      <c r="M434" s="266"/>
      <c r="N434" s="288">
        <f t="shared" si="89"/>
        <v>8.3999999999999275</v>
      </c>
      <c r="O434" s="285">
        <f t="shared" si="75"/>
        <v>150</v>
      </c>
      <c r="P434" s="289">
        <f t="shared" si="76"/>
        <v>4000000</v>
      </c>
      <c r="Q434" s="285">
        <f t="shared" si="77"/>
        <v>110</v>
      </c>
      <c r="R434" s="285">
        <f t="shared" si="78"/>
        <v>85</v>
      </c>
      <c r="S434" s="285">
        <f t="shared" si="79"/>
        <v>0.35</v>
      </c>
      <c r="T434" s="285">
        <f t="shared" si="80"/>
        <v>3.2</v>
      </c>
      <c r="U434" s="285">
        <f t="shared" si="81"/>
        <v>1</v>
      </c>
      <c r="V434" s="285">
        <f t="shared" si="82"/>
        <v>4.5</v>
      </c>
      <c r="W434" s="285">
        <f t="shared" si="83"/>
        <v>1.5</v>
      </c>
      <c r="X434" s="289">
        <f t="shared" si="84"/>
        <v>21858.0517182412</v>
      </c>
      <c r="Y434" s="288">
        <f t="shared" si="85"/>
        <v>0.109290258591206</v>
      </c>
      <c r="Z434" s="256">
        <f t="shared" si="86"/>
        <v>181.74993027852094</v>
      </c>
      <c r="AA434" s="289">
        <f t="shared" si="87"/>
        <v>44819.173783993174</v>
      </c>
      <c r="AB434" s="288">
        <f t="shared" si="88"/>
        <v>0.22409586891996586</v>
      </c>
    </row>
    <row r="435" spans="13:28" ht="12" hidden="1" customHeight="1">
      <c r="M435" s="266"/>
      <c r="N435" s="288">
        <f t="shared" si="89"/>
        <v>8.4099999999999273</v>
      </c>
      <c r="O435" s="285">
        <f t="shared" si="75"/>
        <v>150</v>
      </c>
      <c r="P435" s="289">
        <f t="shared" si="76"/>
        <v>4000000</v>
      </c>
      <c r="Q435" s="285">
        <f t="shared" si="77"/>
        <v>110</v>
      </c>
      <c r="R435" s="285">
        <f t="shared" si="78"/>
        <v>85</v>
      </c>
      <c r="S435" s="285">
        <f t="shared" si="79"/>
        <v>0.35</v>
      </c>
      <c r="T435" s="285">
        <f t="shared" si="80"/>
        <v>3.2</v>
      </c>
      <c r="U435" s="285">
        <f t="shared" si="81"/>
        <v>1</v>
      </c>
      <c r="V435" s="285">
        <f t="shared" si="82"/>
        <v>4.5</v>
      </c>
      <c r="W435" s="285">
        <f t="shared" si="83"/>
        <v>1.5</v>
      </c>
      <c r="X435" s="289">
        <f t="shared" si="84"/>
        <v>22024.1956524503</v>
      </c>
      <c r="Y435" s="288">
        <f t="shared" si="85"/>
        <v>0.11012097826225151</v>
      </c>
      <c r="Z435" s="256">
        <f t="shared" si="86"/>
        <v>181.74993027852094</v>
      </c>
      <c r="AA435" s="289">
        <f t="shared" si="87"/>
        <v>45159.846134688451</v>
      </c>
      <c r="AB435" s="288">
        <f t="shared" si="88"/>
        <v>0.22579923067344226</v>
      </c>
    </row>
    <row r="436" spans="13:28" ht="12" hidden="1" customHeight="1">
      <c r="M436" s="266"/>
      <c r="N436" s="288">
        <f t="shared" si="89"/>
        <v>8.4199999999999271</v>
      </c>
      <c r="O436" s="285">
        <f t="shared" si="75"/>
        <v>150</v>
      </c>
      <c r="P436" s="289">
        <f t="shared" si="76"/>
        <v>4000000</v>
      </c>
      <c r="Q436" s="285">
        <f t="shared" si="77"/>
        <v>110</v>
      </c>
      <c r="R436" s="285">
        <f t="shared" si="78"/>
        <v>85</v>
      </c>
      <c r="S436" s="285">
        <f t="shared" si="79"/>
        <v>0.35</v>
      </c>
      <c r="T436" s="285">
        <f t="shared" si="80"/>
        <v>3.2</v>
      </c>
      <c r="U436" s="285">
        <f t="shared" si="81"/>
        <v>1</v>
      </c>
      <c r="V436" s="285">
        <f t="shared" si="82"/>
        <v>4.5</v>
      </c>
      <c r="W436" s="285">
        <f t="shared" si="83"/>
        <v>1.5</v>
      </c>
      <c r="X436" s="289">
        <f t="shared" si="84"/>
        <v>22191.432644431618</v>
      </c>
      <c r="Y436" s="288">
        <f t="shared" si="85"/>
        <v>0.11095716322215808</v>
      </c>
      <c r="Z436" s="256">
        <f t="shared" si="86"/>
        <v>181.74993027852094</v>
      </c>
      <c r="AA436" s="289">
        <f t="shared" si="87"/>
        <v>45502.759762277208</v>
      </c>
      <c r="AB436" s="288">
        <f t="shared" si="88"/>
        <v>0.22751379881138603</v>
      </c>
    </row>
    <row r="437" spans="13:28" ht="12" hidden="1" customHeight="1">
      <c r="M437" s="266"/>
      <c r="N437" s="288">
        <f t="shared" si="89"/>
        <v>8.4299999999999269</v>
      </c>
      <c r="O437" s="285">
        <f t="shared" si="75"/>
        <v>150</v>
      </c>
      <c r="P437" s="289">
        <f t="shared" si="76"/>
        <v>4000000</v>
      </c>
      <c r="Q437" s="285">
        <f t="shared" si="77"/>
        <v>110</v>
      </c>
      <c r="R437" s="285">
        <f t="shared" si="78"/>
        <v>85</v>
      </c>
      <c r="S437" s="285">
        <f t="shared" si="79"/>
        <v>0.35</v>
      </c>
      <c r="T437" s="285">
        <f t="shared" si="80"/>
        <v>3.2</v>
      </c>
      <c r="U437" s="285">
        <f t="shared" si="81"/>
        <v>1</v>
      </c>
      <c r="V437" s="285">
        <f t="shared" si="82"/>
        <v>4.5</v>
      </c>
      <c r="W437" s="285">
        <f t="shared" si="83"/>
        <v>1.5</v>
      </c>
      <c r="X437" s="289">
        <f t="shared" si="84"/>
        <v>22359.768759147384</v>
      </c>
      <c r="Y437" s="288">
        <f t="shared" si="85"/>
        <v>0.11179884379573692</v>
      </c>
      <c r="Z437" s="256">
        <f t="shared" si="86"/>
        <v>181.74993027852094</v>
      </c>
      <c r="AA437" s="289">
        <f t="shared" si="87"/>
        <v>45847.927102752939</v>
      </c>
      <c r="AB437" s="288">
        <f t="shared" si="88"/>
        <v>0.22923963551376469</v>
      </c>
    </row>
    <row r="438" spans="13:28" ht="12" hidden="1" customHeight="1">
      <c r="M438" s="266"/>
      <c r="N438" s="288">
        <f t="shared" si="89"/>
        <v>8.4399999999999267</v>
      </c>
      <c r="O438" s="285">
        <f t="shared" si="75"/>
        <v>150</v>
      </c>
      <c r="P438" s="289">
        <f t="shared" si="76"/>
        <v>4000000</v>
      </c>
      <c r="Q438" s="285">
        <f t="shared" si="77"/>
        <v>110</v>
      </c>
      <c r="R438" s="285">
        <f t="shared" si="78"/>
        <v>85</v>
      </c>
      <c r="S438" s="285">
        <f t="shared" si="79"/>
        <v>0.35</v>
      </c>
      <c r="T438" s="285">
        <f t="shared" si="80"/>
        <v>3.2</v>
      </c>
      <c r="U438" s="285">
        <f t="shared" si="81"/>
        <v>1</v>
      </c>
      <c r="V438" s="285">
        <f t="shared" si="82"/>
        <v>4.5</v>
      </c>
      <c r="W438" s="285">
        <f t="shared" si="83"/>
        <v>1.5</v>
      </c>
      <c r="X438" s="289">
        <f t="shared" si="84"/>
        <v>22529.210088934338</v>
      </c>
      <c r="Y438" s="288">
        <f t="shared" si="85"/>
        <v>0.11264605044467169</v>
      </c>
      <c r="Z438" s="256">
        <f t="shared" si="86"/>
        <v>181.74993027852094</v>
      </c>
      <c r="AA438" s="289">
        <f t="shared" si="87"/>
        <v>46195.360648240363</v>
      </c>
      <c r="AB438" s="288">
        <f t="shared" si="88"/>
        <v>0.23097680324120182</v>
      </c>
    </row>
    <row r="439" spans="13:28" ht="12" hidden="1" customHeight="1">
      <c r="M439" s="266"/>
      <c r="N439" s="288">
        <f t="shared" si="89"/>
        <v>8.4499999999999265</v>
      </c>
      <c r="O439" s="285">
        <f t="shared" si="75"/>
        <v>150</v>
      </c>
      <c r="P439" s="289">
        <f t="shared" si="76"/>
        <v>4000000</v>
      </c>
      <c r="Q439" s="285">
        <f t="shared" si="77"/>
        <v>110</v>
      </c>
      <c r="R439" s="285">
        <f t="shared" si="78"/>
        <v>85</v>
      </c>
      <c r="S439" s="285">
        <f t="shared" si="79"/>
        <v>0.35</v>
      </c>
      <c r="T439" s="285">
        <f t="shared" si="80"/>
        <v>3.2</v>
      </c>
      <c r="U439" s="285">
        <f t="shared" si="81"/>
        <v>1</v>
      </c>
      <c r="V439" s="285">
        <f t="shared" si="82"/>
        <v>4.5</v>
      </c>
      <c r="W439" s="285">
        <f t="shared" si="83"/>
        <v>1.5</v>
      </c>
      <c r="X439" s="289">
        <f t="shared" si="84"/>
        <v>22699.762753598603</v>
      </c>
      <c r="Y439" s="288">
        <f t="shared" si="85"/>
        <v>0.11349881376799302</v>
      </c>
      <c r="Z439" s="256">
        <f t="shared" si="86"/>
        <v>181.74993027852094</v>
      </c>
      <c r="AA439" s="289">
        <f t="shared" si="87"/>
        <v>46545.072947188295</v>
      </c>
      <c r="AB439" s="288">
        <f t="shared" si="88"/>
        <v>0.23272536473594146</v>
      </c>
    </row>
    <row r="440" spans="13:28" ht="12" hidden="1" customHeight="1">
      <c r="M440" s="266"/>
      <c r="N440" s="288">
        <f t="shared" si="89"/>
        <v>8.4599999999999262</v>
      </c>
      <c r="O440" s="285">
        <f t="shared" si="75"/>
        <v>150</v>
      </c>
      <c r="P440" s="289">
        <f t="shared" si="76"/>
        <v>4000000</v>
      </c>
      <c r="Q440" s="285">
        <f t="shared" si="77"/>
        <v>110</v>
      </c>
      <c r="R440" s="285">
        <f t="shared" si="78"/>
        <v>85</v>
      </c>
      <c r="S440" s="285">
        <f t="shared" si="79"/>
        <v>0.35</v>
      </c>
      <c r="T440" s="285">
        <f t="shared" si="80"/>
        <v>3.2</v>
      </c>
      <c r="U440" s="285">
        <f t="shared" si="81"/>
        <v>1</v>
      </c>
      <c r="V440" s="285">
        <f t="shared" si="82"/>
        <v>4.5</v>
      </c>
      <c r="W440" s="285">
        <f t="shared" si="83"/>
        <v>1.5</v>
      </c>
      <c r="X440" s="289">
        <f t="shared" si="84"/>
        <v>22871.432900511219</v>
      </c>
      <c r="Y440" s="288">
        <f t="shared" si="85"/>
        <v>0.11435716450255609</v>
      </c>
      <c r="Z440" s="256">
        <f t="shared" si="86"/>
        <v>181.74993027852094</v>
      </c>
      <c r="AA440" s="289">
        <f t="shared" si="87"/>
        <v>46897.076604567214</v>
      </c>
      <c r="AB440" s="288">
        <f t="shared" si="88"/>
        <v>0.23448538302283606</v>
      </c>
    </row>
    <row r="441" spans="13:28" ht="12" hidden="1" customHeight="1">
      <c r="M441" s="266"/>
      <c r="N441" s="288">
        <f t="shared" si="89"/>
        <v>8.469999999999926</v>
      </c>
      <c r="O441" s="285">
        <f t="shared" si="75"/>
        <v>150</v>
      </c>
      <c r="P441" s="289">
        <f t="shared" si="76"/>
        <v>4000000</v>
      </c>
      <c r="Q441" s="285">
        <f t="shared" si="77"/>
        <v>110</v>
      </c>
      <c r="R441" s="285">
        <f t="shared" si="78"/>
        <v>85</v>
      </c>
      <c r="S441" s="285">
        <f t="shared" si="79"/>
        <v>0.35</v>
      </c>
      <c r="T441" s="285">
        <f t="shared" si="80"/>
        <v>3.2</v>
      </c>
      <c r="U441" s="285">
        <f t="shared" si="81"/>
        <v>1</v>
      </c>
      <c r="V441" s="285">
        <f t="shared" si="82"/>
        <v>4.5</v>
      </c>
      <c r="W441" s="285">
        <f t="shared" si="83"/>
        <v>1.5</v>
      </c>
      <c r="X441" s="289">
        <f t="shared" si="84"/>
        <v>23044.226704703815</v>
      </c>
      <c r="Y441" s="288">
        <f t="shared" si="85"/>
        <v>0.11522113352351908</v>
      </c>
      <c r="Z441" s="256">
        <f t="shared" si="86"/>
        <v>181.74993027852094</v>
      </c>
      <c r="AA441" s="289">
        <f t="shared" si="87"/>
        <v>47251.384282064559</v>
      </c>
      <c r="AB441" s="288">
        <f t="shared" si="88"/>
        <v>0.23625692141032278</v>
      </c>
    </row>
    <row r="442" spans="13:28" ht="12" hidden="1" customHeight="1">
      <c r="M442" s="266"/>
      <c r="N442" s="288">
        <f t="shared" si="89"/>
        <v>8.4799999999999258</v>
      </c>
      <c r="O442" s="285">
        <f t="shared" si="75"/>
        <v>150</v>
      </c>
      <c r="P442" s="289">
        <f t="shared" si="76"/>
        <v>4000000</v>
      </c>
      <c r="Q442" s="285">
        <f t="shared" si="77"/>
        <v>110</v>
      </c>
      <c r="R442" s="285">
        <f t="shared" si="78"/>
        <v>85</v>
      </c>
      <c r="S442" s="285">
        <f t="shared" si="79"/>
        <v>0.35</v>
      </c>
      <c r="T442" s="285">
        <f t="shared" si="80"/>
        <v>3.2</v>
      </c>
      <c r="U442" s="285">
        <f t="shared" si="81"/>
        <v>1</v>
      </c>
      <c r="V442" s="285">
        <f t="shared" si="82"/>
        <v>4.5</v>
      </c>
      <c r="W442" s="285">
        <f t="shared" si="83"/>
        <v>1.5</v>
      </c>
      <c r="X442" s="289">
        <f t="shared" si="84"/>
        <v>23218.150368964085</v>
      </c>
      <c r="Y442" s="288">
        <f t="shared" si="85"/>
        <v>0.11609075184482043</v>
      </c>
      <c r="Z442" s="256">
        <f t="shared" si="86"/>
        <v>181.74993027852094</v>
      </c>
      <c r="AA442" s="289">
        <f t="shared" si="87"/>
        <v>47608.008698280159</v>
      </c>
      <c r="AB442" s="288">
        <f t="shared" si="88"/>
        <v>0.23804004349140079</v>
      </c>
    </row>
    <row r="443" spans="13:28" ht="12" hidden="1" customHeight="1">
      <c r="M443" s="266"/>
      <c r="N443" s="288">
        <f t="shared" si="89"/>
        <v>8.4899999999999256</v>
      </c>
      <c r="O443" s="285">
        <f t="shared" si="75"/>
        <v>150</v>
      </c>
      <c r="P443" s="289">
        <f t="shared" si="76"/>
        <v>4000000</v>
      </c>
      <c r="Q443" s="285">
        <f t="shared" si="77"/>
        <v>110</v>
      </c>
      <c r="R443" s="285">
        <f t="shared" si="78"/>
        <v>85</v>
      </c>
      <c r="S443" s="285">
        <f t="shared" si="79"/>
        <v>0.35</v>
      </c>
      <c r="T443" s="285">
        <f t="shared" si="80"/>
        <v>3.2</v>
      </c>
      <c r="U443" s="285">
        <f t="shared" si="81"/>
        <v>1</v>
      </c>
      <c r="V443" s="285">
        <f t="shared" si="82"/>
        <v>4.5</v>
      </c>
      <c r="W443" s="285">
        <f t="shared" si="83"/>
        <v>1.5</v>
      </c>
      <c r="X443" s="289">
        <f t="shared" si="84"/>
        <v>23393.210123932506</v>
      </c>
      <c r="Y443" s="288">
        <f t="shared" si="85"/>
        <v>0.11696605061966253</v>
      </c>
      <c r="Z443" s="256">
        <f t="shared" si="86"/>
        <v>181.74993027852094</v>
      </c>
      <c r="AA443" s="289">
        <f t="shared" si="87"/>
        <v>47966.962628925721</v>
      </c>
      <c r="AB443" s="288">
        <f t="shared" si="88"/>
        <v>0.23983481314462859</v>
      </c>
    </row>
    <row r="444" spans="13:28" ht="12" hidden="1" customHeight="1">
      <c r="M444" s="266"/>
      <c r="N444" s="288">
        <f t="shared" si="89"/>
        <v>8.4999999999999254</v>
      </c>
      <c r="O444" s="285">
        <f t="shared" si="75"/>
        <v>150</v>
      </c>
      <c r="P444" s="289">
        <f t="shared" si="76"/>
        <v>4000000</v>
      </c>
      <c r="Q444" s="285">
        <f t="shared" si="77"/>
        <v>110</v>
      </c>
      <c r="R444" s="285">
        <f t="shared" si="78"/>
        <v>85</v>
      </c>
      <c r="S444" s="285">
        <f t="shared" si="79"/>
        <v>0.35</v>
      </c>
      <c r="T444" s="285">
        <f t="shared" si="80"/>
        <v>3.2</v>
      </c>
      <c r="U444" s="285">
        <f t="shared" si="81"/>
        <v>1</v>
      </c>
      <c r="V444" s="285">
        <f t="shared" si="82"/>
        <v>4.5</v>
      </c>
      <c r="W444" s="285">
        <f t="shared" si="83"/>
        <v>1.5</v>
      </c>
      <c r="X444" s="289">
        <f t="shared" si="84"/>
        <v>23569.412228198024</v>
      </c>
      <c r="Y444" s="288">
        <f t="shared" si="85"/>
        <v>0.11784706114099011</v>
      </c>
      <c r="Z444" s="256">
        <f t="shared" si="86"/>
        <v>181.74993027852094</v>
      </c>
      <c r="AA444" s="289">
        <f t="shared" si="87"/>
        <v>48328.258907019401</v>
      </c>
      <c r="AB444" s="288">
        <f t="shared" si="88"/>
        <v>0.241641294535097</v>
      </c>
    </row>
    <row r="445" spans="13:28" ht="12" hidden="1" customHeight="1">
      <c r="M445" s="266"/>
      <c r="N445" s="288">
        <f t="shared" si="89"/>
        <v>8.5099999999999252</v>
      </c>
      <c r="O445" s="285">
        <f t="shared" si="75"/>
        <v>150</v>
      </c>
      <c r="P445" s="289">
        <f t="shared" si="76"/>
        <v>4000000</v>
      </c>
      <c r="Q445" s="285">
        <f t="shared" si="77"/>
        <v>110</v>
      </c>
      <c r="R445" s="285">
        <f t="shared" si="78"/>
        <v>85</v>
      </c>
      <c r="S445" s="285">
        <f t="shared" si="79"/>
        <v>0.35</v>
      </c>
      <c r="T445" s="285">
        <f t="shared" si="80"/>
        <v>3.2</v>
      </c>
      <c r="U445" s="285">
        <f t="shared" si="81"/>
        <v>1</v>
      </c>
      <c r="V445" s="285">
        <f t="shared" si="82"/>
        <v>4.5</v>
      </c>
      <c r="W445" s="285">
        <f t="shared" si="83"/>
        <v>1.5</v>
      </c>
      <c r="X445" s="289">
        <f t="shared" si="84"/>
        <v>23746.762968394687</v>
      </c>
      <c r="Y445" s="288">
        <f t="shared" si="85"/>
        <v>0.11873381484197343</v>
      </c>
      <c r="Z445" s="256">
        <f t="shared" si="86"/>
        <v>181.74993027852094</v>
      </c>
      <c r="AA445" s="289">
        <f t="shared" si="87"/>
        <v>48691.910423085792</v>
      </c>
      <c r="AB445" s="288">
        <f t="shared" si="88"/>
        <v>0.24345955211542897</v>
      </c>
    </row>
    <row r="446" spans="13:28" ht="12" hidden="1" customHeight="1">
      <c r="M446" s="266"/>
      <c r="N446" s="288">
        <f t="shared" si="89"/>
        <v>8.519999999999925</v>
      </c>
      <c r="O446" s="285">
        <f t="shared" si="75"/>
        <v>150</v>
      </c>
      <c r="P446" s="289">
        <f t="shared" si="76"/>
        <v>4000000</v>
      </c>
      <c r="Q446" s="285">
        <f t="shared" si="77"/>
        <v>110</v>
      </c>
      <c r="R446" s="285">
        <f t="shared" si="78"/>
        <v>85</v>
      </c>
      <c r="S446" s="285">
        <f t="shared" si="79"/>
        <v>0.35</v>
      </c>
      <c r="T446" s="285">
        <f t="shared" si="80"/>
        <v>3.2</v>
      </c>
      <c r="U446" s="285">
        <f t="shared" si="81"/>
        <v>1</v>
      </c>
      <c r="V446" s="285">
        <f t="shared" si="82"/>
        <v>4.5</v>
      </c>
      <c r="W446" s="285">
        <f t="shared" si="83"/>
        <v>1.5</v>
      </c>
      <c r="X446" s="289">
        <f t="shared" si="84"/>
        <v>23925.268659298901</v>
      </c>
      <c r="Y446" s="288">
        <f t="shared" si="85"/>
        <v>0.11962634329649451</v>
      </c>
      <c r="Z446" s="256">
        <f t="shared" si="86"/>
        <v>181.74993027852094</v>
      </c>
      <c r="AA446" s="289">
        <f t="shared" si="87"/>
        <v>49057.930125353727</v>
      </c>
      <c r="AB446" s="288">
        <f t="shared" si="88"/>
        <v>0.24528965062676863</v>
      </c>
    </row>
    <row r="447" spans="13:28" ht="12" hidden="1" customHeight="1">
      <c r="M447" s="266"/>
      <c r="N447" s="288">
        <f t="shared" si="89"/>
        <v>8.5299999999999248</v>
      </c>
      <c r="O447" s="285">
        <f t="shared" si="75"/>
        <v>150</v>
      </c>
      <c r="P447" s="289">
        <f t="shared" si="76"/>
        <v>4000000</v>
      </c>
      <c r="Q447" s="285">
        <f t="shared" si="77"/>
        <v>110</v>
      </c>
      <c r="R447" s="285">
        <f t="shared" si="78"/>
        <v>85</v>
      </c>
      <c r="S447" s="285">
        <f t="shared" si="79"/>
        <v>0.35</v>
      </c>
      <c r="T447" s="285">
        <f t="shared" si="80"/>
        <v>3.2</v>
      </c>
      <c r="U447" s="285">
        <f t="shared" si="81"/>
        <v>1</v>
      </c>
      <c r="V447" s="285">
        <f t="shared" si="82"/>
        <v>4.5</v>
      </c>
      <c r="W447" s="285">
        <f t="shared" si="83"/>
        <v>1.5</v>
      </c>
      <c r="X447" s="289">
        <f t="shared" si="84"/>
        <v>24104.93564392579</v>
      </c>
      <c r="Y447" s="288">
        <f t="shared" si="85"/>
        <v>0.12052467821962895</v>
      </c>
      <c r="Z447" s="256">
        <f t="shared" si="86"/>
        <v>181.74993027852094</v>
      </c>
      <c r="AA447" s="289">
        <f t="shared" si="87"/>
        <v>49426.3310199548</v>
      </c>
      <c r="AB447" s="288">
        <f t="shared" si="88"/>
        <v>0.247131655099774</v>
      </c>
    </row>
    <row r="448" spans="13:28" ht="12" hidden="1" customHeight="1">
      <c r="M448" s="266"/>
      <c r="N448" s="288">
        <f t="shared" si="89"/>
        <v>8.5399999999999245</v>
      </c>
      <c r="O448" s="285">
        <f t="shared" si="75"/>
        <v>150</v>
      </c>
      <c r="P448" s="289">
        <f t="shared" si="76"/>
        <v>4000000</v>
      </c>
      <c r="Q448" s="285">
        <f t="shared" si="77"/>
        <v>110</v>
      </c>
      <c r="R448" s="285">
        <f t="shared" si="78"/>
        <v>85</v>
      </c>
      <c r="S448" s="285">
        <f t="shared" si="79"/>
        <v>0.35</v>
      </c>
      <c r="T448" s="285">
        <f t="shared" si="80"/>
        <v>3.2</v>
      </c>
      <c r="U448" s="285">
        <f t="shared" si="81"/>
        <v>1</v>
      </c>
      <c r="V448" s="285">
        <f t="shared" si="82"/>
        <v>4.5</v>
      </c>
      <c r="W448" s="285">
        <f t="shared" si="83"/>
        <v>1.5</v>
      </c>
      <c r="X448" s="289">
        <f t="shared" si="84"/>
        <v>24285.770293626774</v>
      </c>
      <c r="Y448" s="288">
        <f t="shared" si="85"/>
        <v>0.12142885146813387</v>
      </c>
      <c r="Z448" s="256">
        <f t="shared" si="86"/>
        <v>181.74993027852094</v>
      </c>
      <c r="AA448" s="289">
        <f t="shared" si="87"/>
        <v>49797.126171123469</v>
      </c>
      <c r="AB448" s="288">
        <f t="shared" si="88"/>
        <v>0.24898563085561734</v>
      </c>
    </row>
    <row r="449" spans="13:28" ht="12" hidden="1" customHeight="1">
      <c r="M449" s="266"/>
      <c r="N449" s="288">
        <f t="shared" si="89"/>
        <v>8.5499999999999243</v>
      </c>
      <c r="O449" s="285">
        <f t="shared" si="75"/>
        <v>150</v>
      </c>
      <c r="P449" s="289">
        <f t="shared" si="76"/>
        <v>4000000</v>
      </c>
      <c r="Q449" s="285">
        <f t="shared" si="77"/>
        <v>110</v>
      </c>
      <c r="R449" s="285">
        <f t="shared" si="78"/>
        <v>85</v>
      </c>
      <c r="S449" s="285">
        <f t="shared" si="79"/>
        <v>0.35</v>
      </c>
      <c r="T449" s="285">
        <f t="shared" si="80"/>
        <v>3.2</v>
      </c>
      <c r="U449" s="285">
        <f t="shared" si="81"/>
        <v>1</v>
      </c>
      <c r="V449" s="285">
        <f t="shared" si="82"/>
        <v>4.5</v>
      </c>
      <c r="W449" s="285">
        <f t="shared" si="83"/>
        <v>1.5</v>
      </c>
      <c r="X449" s="289">
        <f t="shared" si="84"/>
        <v>24467.779008187008</v>
      </c>
      <c r="Y449" s="288">
        <f t="shared" si="85"/>
        <v>0.12233889504093504</v>
      </c>
      <c r="Z449" s="256">
        <f t="shared" si="86"/>
        <v>181.74993027852094</v>
      </c>
      <c r="AA449" s="289">
        <f t="shared" si="87"/>
        <v>50170.328701396036</v>
      </c>
      <c r="AB449" s="288">
        <f t="shared" si="88"/>
        <v>0.25085164350698019</v>
      </c>
    </row>
    <row r="450" spans="13:28" ht="12" hidden="1" customHeight="1">
      <c r="M450" s="266"/>
      <c r="N450" s="288">
        <f t="shared" si="89"/>
        <v>8.5599999999999241</v>
      </c>
      <c r="O450" s="285">
        <f t="shared" si="75"/>
        <v>150</v>
      </c>
      <c r="P450" s="289">
        <f t="shared" si="76"/>
        <v>4000000</v>
      </c>
      <c r="Q450" s="285">
        <f t="shared" si="77"/>
        <v>110</v>
      </c>
      <c r="R450" s="285">
        <f t="shared" si="78"/>
        <v>85</v>
      </c>
      <c r="S450" s="285">
        <f t="shared" si="79"/>
        <v>0.35</v>
      </c>
      <c r="T450" s="285">
        <f t="shared" si="80"/>
        <v>3.2</v>
      </c>
      <c r="U450" s="285">
        <f t="shared" si="81"/>
        <v>1</v>
      </c>
      <c r="V450" s="285">
        <f t="shared" si="82"/>
        <v>4.5</v>
      </c>
      <c r="W450" s="285">
        <f t="shared" si="83"/>
        <v>1.5</v>
      </c>
      <c r="X450" s="289">
        <f t="shared" si="84"/>
        <v>24650.968215923021</v>
      </c>
      <c r="Y450" s="288">
        <f t="shared" si="85"/>
        <v>0.12325484107961511</v>
      </c>
      <c r="Z450" s="256">
        <f t="shared" si="86"/>
        <v>181.74993027852094</v>
      </c>
      <c r="AA450" s="289">
        <f t="shared" si="87"/>
        <v>50545.951791811582</v>
      </c>
      <c r="AB450" s="288">
        <f t="shared" si="88"/>
        <v>0.25272975895905792</v>
      </c>
    </row>
    <row r="451" spans="13:28" ht="12" hidden="1" customHeight="1">
      <c r="M451" s="266"/>
      <c r="N451" s="288">
        <f t="shared" si="89"/>
        <v>8.5699999999999239</v>
      </c>
      <c r="O451" s="285">
        <f t="shared" si="75"/>
        <v>150</v>
      </c>
      <c r="P451" s="289">
        <f t="shared" si="76"/>
        <v>4000000</v>
      </c>
      <c r="Q451" s="285">
        <f t="shared" si="77"/>
        <v>110</v>
      </c>
      <c r="R451" s="285">
        <f t="shared" si="78"/>
        <v>85</v>
      </c>
      <c r="S451" s="285">
        <f t="shared" si="79"/>
        <v>0.35</v>
      </c>
      <c r="T451" s="285">
        <f t="shared" si="80"/>
        <v>3.2</v>
      </c>
      <c r="U451" s="285">
        <f t="shared" si="81"/>
        <v>1</v>
      </c>
      <c r="V451" s="285">
        <f t="shared" si="82"/>
        <v>4.5</v>
      </c>
      <c r="W451" s="285">
        <f t="shared" si="83"/>
        <v>1.5</v>
      </c>
      <c r="X451" s="289">
        <f t="shared" si="84"/>
        <v>24835.344373780739</v>
      </c>
      <c r="Y451" s="288">
        <f t="shared" si="85"/>
        <v>0.1241767218689037</v>
      </c>
      <c r="Z451" s="256">
        <f t="shared" si="86"/>
        <v>181.74993027852094</v>
      </c>
      <c r="AA451" s="289">
        <f t="shared" si="87"/>
        <v>50924.008682113279</v>
      </c>
      <c r="AB451" s="288">
        <f t="shared" si="88"/>
        <v>0.25462004341056638</v>
      </c>
    </row>
    <row r="452" spans="13:28" ht="12" hidden="1" customHeight="1">
      <c r="M452" s="266"/>
      <c r="N452" s="288">
        <f t="shared" si="89"/>
        <v>8.5799999999999237</v>
      </c>
      <c r="O452" s="285">
        <f t="shared" si="75"/>
        <v>150</v>
      </c>
      <c r="P452" s="289">
        <f t="shared" si="76"/>
        <v>4000000</v>
      </c>
      <c r="Q452" s="285">
        <f t="shared" si="77"/>
        <v>110</v>
      </c>
      <c r="R452" s="285">
        <f t="shared" si="78"/>
        <v>85</v>
      </c>
      <c r="S452" s="285">
        <f t="shared" si="79"/>
        <v>0.35</v>
      </c>
      <c r="T452" s="285">
        <f t="shared" si="80"/>
        <v>3.2</v>
      </c>
      <c r="U452" s="285">
        <f t="shared" si="81"/>
        <v>1</v>
      </c>
      <c r="V452" s="285">
        <f t="shared" si="82"/>
        <v>4.5</v>
      </c>
      <c r="W452" s="285">
        <f t="shared" si="83"/>
        <v>1.5</v>
      </c>
      <c r="X452" s="289">
        <f t="shared" si="84"/>
        <v>25020.913967433651</v>
      </c>
      <c r="Y452" s="288">
        <f t="shared" si="85"/>
        <v>0.12510456983716825</v>
      </c>
      <c r="Z452" s="256">
        <f t="shared" si="86"/>
        <v>181.74993027852094</v>
      </c>
      <c r="AA452" s="289">
        <f t="shared" si="87"/>
        <v>51304.512670948388</v>
      </c>
      <c r="AB452" s="288">
        <f t="shared" si="88"/>
        <v>0.25652256335474194</v>
      </c>
    </row>
    <row r="453" spans="13:28" ht="12" hidden="1" customHeight="1">
      <c r="M453" s="266"/>
      <c r="N453" s="288">
        <f t="shared" si="89"/>
        <v>8.5899999999999235</v>
      </c>
      <c r="O453" s="285">
        <f t="shared" si="75"/>
        <v>150</v>
      </c>
      <c r="P453" s="289">
        <f t="shared" si="76"/>
        <v>4000000</v>
      </c>
      <c r="Q453" s="285">
        <f t="shared" si="77"/>
        <v>110</v>
      </c>
      <c r="R453" s="285">
        <f t="shared" si="78"/>
        <v>85</v>
      </c>
      <c r="S453" s="285">
        <f t="shared" si="79"/>
        <v>0.35</v>
      </c>
      <c r="T453" s="285">
        <f t="shared" si="80"/>
        <v>3.2</v>
      </c>
      <c r="U453" s="285">
        <f t="shared" si="81"/>
        <v>1</v>
      </c>
      <c r="V453" s="285">
        <f t="shared" si="82"/>
        <v>4.5</v>
      </c>
      <c r="W453" s="285">
        <f t="shared" si="83"/>
        <v>1.5</v>
      </c>
      <c r="X453" s="289">
        <f t="shared" si="84"/>
        <v>25207.683511381048</v>
      </c>
      <c r="Y453" s="288">
        <f t="shared" si="85"/>
        <v>0.12603841755690523</v>
      </c>
      <c r="Z453" s="256">
        <f t="shared" si="86"/>
        <v>181.74993027852094</v>
      </c>
      <c r="AA453" s="289">
        <f t="shared" si="87"/>
        <v>51687.477116071001</v>
      </c>
      <c r="AB453" s="288">
        <f t="shared" si="88"/>
        <v>0.25843738558035501</v>
      </c>
    </row>
    <row r="454" spans="13:28" ht="12" hidden="1" customHeight="1">
      <c r="M454" s="266"/>
      <c r="N454" s="288">
        <f t="shared" si="89"/>
        <v>8.5999999999999233</v>
      </c>
      <c r="O454" s="285">
        <f t="shared" si="75"/>
        <v>150</v>
      </c>
      <c r="P454" s="289">
        <f t="shared" si="76"/>
        <v>4000000</v>
      </c>
      <c r="Q454" s="285">
        <f t="shared" si="77"/>
        <v>110</v>
      </c>
      <c r="R454" s="285">
        <f t="shared" si="78"/>
        <v>85</v>
      </c>
      <c r="S454" s="285">
        <f t="shared" si="79"/>
        <v>0.35</v>
      </c>
      <c r="T454" s="285">
        <f t="shared" si="80"/>
        <v>3.2</v>
      </c>
      <c r="U454" s="285">
        <f t="shared" si="81"/>
        <v>1</v>
      </c>
      <c r="V454" s="285">
        <f t="shared" si="82"/>
        <v>4.5</v>
      </c>
      <c r="W454" s="285">
        <f t="shared" si="83"/>
        <v>1.5</v>
      </c>
      <c r="X454" s="289">
        <f t="shared" si="84"/>
        <v>25395.659549046937</v>
      </c>
      <c r="Y454" s="288">
        <f t="shared" si="85"/>
        <v>0.1269782977452347</v>
      </c>
      <c r="Z454" s="256">
        <f t="shared" si="86"/>
        <v>181.74993027852094</v>
      </c>
      <c r="AA454" s="289">
        <f t="shared" si="87"/>
        <v>52072.91543454396</v>
      </c>
      <c r="AB454" s="288">
        <f t="shared" si="88"/>
        <v>0.26036457717271982</v>
      </c>
    </row>
    <row r="455" spans="13:28" ht="12" hidden="1" customHeight="1">
      <c r="M455" s="266"/>
      <c r="N455" s="288">
        <f t="shared" si="89"/>
        <v>8.609999999999923</v>
      </c>
      <c r="O455" s="285">
        <f t="shared" si="75"/>
        <v>150</v>
      </c>
      <c r="P455" s="289">
        <f t="shared" si="76"/>
        <v>4000000</v>
      </c>
      <c r="Q455" s="285">
        <f t="shared" si="77"/>
        <v>110</v>
      </c>
      <c r="R455" s="285">
        <f t="shared" si="78"/>
        <v>85</v>
      </c>
      <c r="S455" s="285">
        <f t="shared" si="79"/>
        <v>0.35</v>
      </c>
      <c r="T455" s="285">
        <f t="shared" si="80"/>
        <v>3.2</v>
      </c>
      <c r="U455" s="285">
        <f t="shared" si="81"/>
        <v>1</v>
      </c>
      <c r="V455" s="285">
        <f t="shared" si="82"/>
        <v>4.5</v>
      </c>
      <c r="W455" s="285">
        <f t="shared" si="83"/>
        <v>1.5</v>
      </c>
      <c r="X455" s="289">
        <f t="shared" si="84"/>
        <v>25584.848652878776</v>
      </c>
      <c r="Y455" s="288">
        <f t="shared" si="85"/>
        <v>0.12792424326439389</v>
      </c>
      <c r="Z455" s="256">
        <f t="shared" si="86"/>
        <v>181.74993027852094</v>
      </c>
      <c r="AA455" s="289">
        <f t="shared" si="87"/>
        <v>52460.841102941886</v>
      </c>
      <c r="AB455" s="288">
        <f t="shared" si="88"/>
        <v>0.26230420551470945</v>
      </c>
    </row>
    <row r="456" spans="13:28" ht="12" hidden="1" customHeight="1">
      <c r="M456" s="266"/>
      <c r="N456" s="288">
        <f t="shared" si="89"/>
        <v>8.6199999999999228</v>
      </c>
      <c r="O456" s="285">
        <f t="shared" si="75"/>
        <v>150</v>
      </c>
      <c r="P456" s="289">
        <f t="shared" si="76"/>
        <v>4000000</v>
      </c>
      <c r="Q456" s="285">
        <f t="shared" si="77"/>
        <v>110</v>
      </c>
      <c r="R456" s="285">
        <f t="shared" si="78"/>
        <v>85</v>
      </c>
      <c r="S456" s="285">
        <f t="shared" si="79"/>
        <v>0.35</v>
      </c>
      <c r="T456" s="285">
        <f t="shared" si="80"/>
        <v>3.2</v>
      </c>
      <c r="U456" s="285">
        <f t="shared" si="81"/>
        <v>1</v>
      </c>
      <c r="V456" s="285">
        <f t="shared" si="82"/>
        <v>4.5</v>
      </c>
      <c r="W456" s="285">
        <f t="shared" si="83"/>
        <v>1.5</v>
      </c>
      <c r="X456" s="289">
        <f t="shared" si="84"/>
        <v>25775.25742444663</v>
      </c>
      <c r="Y456" s="288">
        <f t="shared" si="85"/>
        <v>0.12887628712223315</v>
      </c>
      <c r="Z456" s="256">
        <f t="shared" si="86"/>
        <v>181.74993027852094</v>
      </c>
      <c r="AA456" s="289">
        <f t="shared" si="87"/>
        <v>52851.267657554548</v>
      </c>
      <c r="AB456" s="288">
        <f t="shared" si="88"/>
        <v>0.26425633828777273</v>
      </c>
    </row>
    <row r="457" spans="13:28" ht="12" hidden="1" customHeight="1">
      <c r="M457" s="266"/>
      <c r="N457" s="288">
        <f t="shared" si="89"/>
        <v>8.6299999999999226</v>
      </c>
      <c r="O457" s="285">
        <f t="shared" si="75"/>
        <v>150</v>
      </c>
      <c r="P457" s="289">
        <f t="shared" si="76"/>
        <v>4000000</v>
      </c>
      <c r="Q457" s="285">
        <f t="shared" si="77"/>
        <v>110</v>
      </c>
      <c r="R457" s="285">
        <f t="shared" si="78"/>
        <v>85</v>
      </c>
      <c r="S457" s="285">
        <f t="shared" si="79"/>
        <v>0.35</v>
      </c>
      <c r="T457" s="285">
        <f t="shared" si="80"/>
        <v>3.2</v>
      </c>
      <c r="U457" s="285">
        <f t="shared" si="81"/>
        <v>1</v>
      </c>
      <c r="V457" s="285">
        <f t="shared" si="82"/>
        <v>4.5</v>
      </c>
      <c r="W457" s="285">
        <f t="shared" si="83"/>
        <v>1.5</v>
      </c>
      <c r="X457" s="289">
        <f t="shared" si="84"/>
        <v>25966.89249454232</v>
      </c>
      <c r="Y457" s="288">
        <f t="shared" si="85"/>
        <v>0.1298344624727116</v>
      </c>
      <c r="Z457" s="256">
        <f t="shared" si="86"/>
        <v>181.74993027852094</v>
      </c>
      <c r="AA457" s="289">
        <f t="shared" si="87"/>
        <v>53244.208694589375</v>
      </c>
      <c r="AB457" s="288">
        <f t="shared" si="88"/>
        <v>0.26622104347294689</v>
      </c>
    </row>
    <row r="458" spans="13:28" ht="12" hidden="1" customHeight="1">
      <c r="M458" s="266"/>
      <c r="N458" s="288">
        <f t="shared" si="89"/>
        <v>8.6399999999999224</v>
      </c>
      <c r="O458" s="285">
        <f t="shared" si="75"/>
        <v>150</v>
      </c>
      <c r="P458" s="289">
        <f t="shared" si="76"/>
        <v>4000000</v>
      </c>
      <c r="Q458" s="285">
        <f t="shared" si="77"/>
        <v>110</v>
      </c>
      <c r="R458" s="285">
        <f t="shared" si="78"/>
        <v>85</v>
      </c>
      <c r="S458" s="285">
        <f t="shared" si="79"/>
        <v>0.35</v>
      </c>
      <c r="T458" s="285">
        <f t="shared" si="80"/>
        <v>3.2</v>
      </c>
      <c r="U458" s="285">
        <f t="shared" si="81"/>
        <v>1</v>
      </c>
      <c r="V458" s="285">
        <f t="shared" si="82"/>
        <v>4.5</v>
      </c>
      <c r="W458" s="285">
        <f t="shared" si="83"/>
        <v>1.5</v>
      </c>
      <c r="X458" s="289">
        <f t="shared" si="84"/>
        <v>26159.760523279609</v>
      </c>
      <c r="Y458" s="288">
        <f t="shared" si="85"/>
        <v>0.13079880261639804</v>
      </c>
      <c r="Z458" s="256">
        <f t="shared" si="86"/>
        <v>181.74993027852094</v>
      </c>
      <c r="AA458" s="289">
        <f t="shared" si="87"/>
        <v>53639.677870377658</v>
      </c>
      <c r="AB458" s="288">
        <f t="shared" si="88"/>
        <v>0.26819838935188828</v>
      </c>
    </row>
    <row r="459" spans="13:28" ht="12" hidden="1" customHeight="1">
      <c r="M459" s="266"/>
      <c r="N459" s="288">
        <f t="shared" si="89"/>
        <v>8.6499999999999222</v>
      </c>
      <c r="O459" s="285">
        <f t="shared" si="75"/>
        <v>150</v>
      </c>
      <c r="P459" s="289">
        <f t="shared" si="76"/>
        <v>4000000</v>
      </c>
      <c r="Q459" s="285">
        <f t="shared" si="77"/>
        <v>110</v>
      </c>
      <c r="R459" s="285">
        <f t="shared" si="78"/>
        <v>85</v>
      </c>
      <c r="S459" s="285">
        <f t="shared" si="79"/>
        <v>0.35</v>
      </c>
      <c r="T459" s="285">
        <f t="shared" si="80"/>
        <v>3.2</v>
      </c>
      <c r="U459" s="285">
        <f t="shared" si="81"/>
        <v>1</v>
      </c>
      <c r="V459" s="285">
        <f t="shared" si="82"/>
        <v>4.5</v>
      </c>
      <c r="W459" s="285">
        <f t="shared" si="83"/>
        <v>1.5</v>
      </c>
      <c r="X459" s="289">
        <f t="shared" si="84"/>
        <v>26353.868200193294</v>
      </c>
      <c r="Y459" s="288">
        <f t="shared" si="85"/>
        <v>0.13176934100096646</v>
      </c>
      <c r="Z459" s="256">
        <f t="shared" si="86"/>
        <v>181.74993027852094</v>
      </c>
      <c r="AA459" s="289">
        <f t="shared" si="87"/>
        <v>54037.688901577923</v>
      </c>
      <c r="AB459" s="288">
        <f t="shared" si="88"/>
        <v>0.27018844450788959</v>
      </c>
    </row>
    <row r="460" spans="13:28" ht="12" hidden="1" customHeight="1">
      <c r="M460" s="266"/>
      <c r="N460" s="288">
        <f t="shared" si="89"/>
        <v>8.659999999999922</v>
      </c>
      <c r="O460" s="285">
        <f t="shared" si="75"/>
        <v>150</v>
      </c>
      <c r="P460" s="289">
        <f t="shared" si="76"/>
        <v>4000000</v>
      </c>
      <c r="Q460" s="285">
        <f t="shared" si="77"/>
        <v>110</v>
      </c>
      <c r="R460" s="285">
        <f t="shared" si="78"/>
        <v>85</v>
      </c>
      <c r="S460" s="285">
        <f t="shared" si="79"/>
        <v>0.35</v>
      </c>
      <c r="T460" s="285">
        <f t="shared" si="80"/>
        <v>3.2</v>
      </c>
      <c r="U460" s="285">
        <f t="shared" si="81"/>
        <v>1</v>
      </c>
      <c r="V460" s="285">
        <f t="shared" si="82"/>
        <v>4.5</v>
      </c>
      <c r="W460" s="285">
        <f t="shared" si="83"/>
        <v>1.5</v>
      </c>
      <c r="X460" s="289">
        <f t="shared" si="84"/>
        <v>26549.222244339941</v>
      </c>
      <c r="Y460" s="288">
        <f t="shared" si="85"/>
        <v>0.13274611122169971</v>
      </c>
      <c r="Z460" s="256">
        <f t="shared" si="86"/>
        <v>181.74993027852094</v>
      </c>
      <c r="AA460" s="289">
        <f t="shared" si="87"/>
        <v>54438.255565381063</v>
      </c>
      <c r="AB460" s="288">
        <f t="shared" si="88"/>
        <v>0.27219127782690533</v>
      </c>
    </row>
    <row r="461" spans="13:28" ht="12" hidden="1" customHeight="1">
      <c r="M461" s="266"/>
      <c r="N461" s="288">
        <f t="shared" si="89"/>
        <v>8.6699999999999218</v>
      </c>
      <c r="O461" s="285">
        <f t="shared" si="75"/>
        <v>150</v>
      </c>
      <c r="P461" s="289">
        <f t="shared" si="76"/>
        <v>4000000</v>
      </c>
      <c r="Q461" s="285">
        <f t="shared" si="77"/>
        <v>110</v>
      </c>
      <c r="R461" s="285">
        <f t="shared" si="78"/>
        <v>85</v>
      </c>
      <c r="S461" s="285">
        <f t="shared" si="79"/>
        <v>0.35</v>
      </c>
      <c r="T461" s="285">
        <f t="shared" si="80"/>
        <v>3.2</v>
      </c>
      <c r="U461" s="285">
        <f t="shared" si="81"/>
        <v>1</v>
      </c>
      <c r="V461" s="285">
        <f t="shared" si="82"/>
        <v>4.5</v>
      </c>
      <c r="W461" s="285">
        <f t="shared" si="83"/>
        <v>1.5</v>
      </c>
      <c r="X461" s="289">
        <f t="shared" si="84"/>
        <v>26745.829404397478</v>
      </c>
      <c r="Y461" s="288">
        <f t="shared" si="85"/>
        <v>0.1337291470219874</v>
      </c>
      <c r="Z461" s="256">
        <f t="shared" si="86"/>
        <v>181.74993027852094</v>
      </c>
      <c r="AA461" s="289">
        <f t="shared" si="87"/>
        <v>54841.391699716514</v>
      </c>
      <c r="AB461" s="288">
        <f t="shared" si="88"/>
        <v>0.27420695849858256</v>
      </c>
    </row>
    <row r="462" spans="13:28" ht="12" hidden="1" customHeight="1">
      <c r="M462" s="266"/>
      <c r="N462" s="288">
        <f t="shared" si="89"/>
        <v>8.6799999999999216</v>
      </c>
      <c r="O462" s="285">
        <f t="shared" si="75"/>
        <v>150</v>
      </c>
      <c r="P462" s="289">
        <f t="shared" si="76"/>
        <v>4000000</v>
      </c>
      <c r="Q462" s="285">
        <f t="shared" si="77"/>
        <v>110</v>
      </c>
      <c r="R462" s="285">
        <f t="shared" si="78"/>
        <v>85</v>
      </c>
      <c r="S462" s="285">
        <f t="shared" si="79"/>
        <v>0.35</v>
      </c>
      <c r="T462" s="285">
        <f t="shared" si="80"/>
        <v>3.2</v>
      </c>
      <c r="U462" s="285">
        <f t="shared" si="81"/>
        <v>1</v>
      </c>
      <c r="V462" s="285">
        <f t="shared" si="82"/>
        <v>4.5</v>
      </c>
      <c r="W462" s="285">
        <f t="shared" si="83"/>
        <v>1.5</v>
      </c>
      <c r="X462" s="289">
        <f t="shared" si="84"/>
        <v>26943.696458766655</v>
      </c>
      <c r="Y462" s="288">
        <f t="shared" si="85"/>
        <v>0.13471848229383326</v>
      </c>
      <c r="Z462" s="256">
        <f t="shared" si="86"/>
        <v>181.74993027852094</v>
      </c>
      <c r="AA462" s="289">
        <f t="shared" si="87"/>
        <v>55247.111203458648</v>
      </c>
      <c r="AB462" s="288">
        <f t="shared" si="88"/>
        <v>0.27623555601729322</v>
      </c>
    </row>
    <row r="463" spans="13:28" ht="12" hidden="1" customHeight="1">
      <c r="M463" s="266"/>
      <c r="N463" s="288">
        <f t="shared" si="89"/>
        <v>8.6899999999999213</v>
      </c>
      <c r="O463" s="285">
        <f t="shared" si="75"/>
        <v>150</v>
      </c>
      <c r="P463" s="289">
        <f t="shared" si="76"/>
        <v>4000000</v>
      </c>
      <c r="Q463" s="285">
        <f t="shared" si="77"/>
        <v>110</v>
      </c>
      <c r="R463" s="285">
        <f t="shared" si="78"/>
        <v>85</v>
      </c>
      <c r="S463" s="285">
        <f t="shared" si="79"/>
        <v>0.35</v>
      </c>
      <c r="T463" s="285">
        <f t="shared" si="80"/>
        <v>3.2</v>
      </c>
      <c r="U463" s="285">
        <f t="shared" si="81"/>
        <v>1</v>
      </c>
      <c r="V463" s="285">
        <f t="shared" si="82"/>
        <v>4.5</v>
      </c>
      <c r="W463" s="285">
        <f t="shared" si="83"/>
        <v>1.5</v>
      </c>
      <c r="X463" s="289">
        <f t="shared" si="84"/>
        <v>27142.83021567075</v>
      </c>
      <c r="Y463" s="288">
        <f t="shared" si="85"/>
        <v>0.13571415107835375</v>
      </c>
      <c r="Z463" s="256">
        <f t="shared" si="86"/>
        <v>181.74993027852094</v>
      </c>
      <c r="AA463" s="289">
        <f t="shared" si="87"/>
        <v>55655.428036632868</v>
      </c>
      <c r="AB463" s="288">
        <f t="shared" si="88"/>
        <v>0.27827714018316435</v>
      </c>
    </row>
    <row r="464" spans="13:28" ht="12" hidden="1" customHeight="1">
      <c r="M464" s="266"/>
      <c r="N464" s="288">
        <f t="shared" si="89"/>
        <v>8.6999999999999211</v>
      </c>
      <c r="O464" s="285">
        <f t="shared" si="75"/>
        <v>150</v>
      </c>
      <c r="P464" s="289">
        <f t="shared" si="76"/>
        <v>4000000</v>
      </c>
      <c r="Q464" s="285">
        <f t="shared" si="77"/>
        <v>110</v>
      </c>
      <c r="R464" s="285">
        <f t="shared" si="78"/>
        <v>85</v>
      </c>
      <c r="S464" s="285">
        <f t="shared" si="79"/>
        <v>0.35</v>
      </c>
      <c r="T464" s="285">
        <f t="shared" si="80"/>
        <v>3.2</v>
      </c>
      <c r="U464" s="285">
        <f t="shared" si="81"/>
        <v>1</v>
      </c>
      <c r="V464" s="285">
        <f t="shared" si="82"/>
        <v>4.5</v>
      </c>
      <c r="W464" s="285">
        <f t="shared" si="83"/>
        <v>1.5</v>
      </c>
      <c r="X464" s="289">
        <f t="shared" si="84"/>
        <v>27343.237513257882</v>
      </c>
      <c r="Y464" s="288">
        <f t="shared" si="85"/>
        <v>0.13671618756628942</v>
      </c>
      <c r="Z464" s="256">
        <f t="shared" si="86"/>
        <v>181.74993027852094</v>
      </c>
      <c r="AA464" s="289">
        <f t="shared" si="87"/>
        <v>56066.356220622751</v>
      </c>
      <c r="AB464" s="288">
        <f t="shared" si="88"/>
        <v>0.28033178110311374</v>
      </c>
    </row>
    <row r="465" spans="13:28" ht="12" hidden="1" customHeight="1">
      <c r="M465" s="266"/>
      <c r="N465" s="288">
        <f t="shared" si="89"/>
        <v>8.7099999999999209</v>
      </c>
      <c r="O465" s="285">
        <f t="shared" si="75"/>
        <v>150</v>
      </c>
      <c r="P465" s="289">
        <f t="shared" si="76"/>
        <v>4000000</v>
      </c>
      <c r="Q465" s="285">
        <f t="shared" si="77"/>
        <v>110</v>
      </c>
      <c r="R465" s="285">
        <f t="shared" si="78"/>
        <v>85</v>
      </c>
      <c r="S465" s="285">
        <f t="shared" si="79"/>
        <v>0.35</v>
      </c>
      <c r="T465" s="285">
        <f t="shared" si="80"/>
        <v>3.2</v>
      </c>
      <c r="U465" s="285">
        <f t="shared" si="81"/>
        <v>1</v>
      </c>
      <c r="V465" s="285">
        <f t="shared" si="82"/>
        <v>4.5</v>
      </c>
      <c r="W465" s="285">
        <f t="shared" si="83"/>
        <v>1.5</v>
      </c>
      <c r="X465" s="289">
        <f t="shared" si="84"/>
        <v>27544.925219701116</v>
      </c>
      <c r="Y465" s="288">
        <f t="shared" si="85"/>
        <v>0.13772462609850558</v>
      </c>
      <c r="Z465" s="256">
        <f t="shared" si="86"/>
        <v>181.74993027852094</v>
      </c>
      <c r="AA465" s="289">
        <f t="shared" si="87"/>
        <v>56479.909838378553</v>
      </c>
      <c r="AB465" s="288">
        <f t="shared" si="88"/>
        <v>0.28239954919189275</v>
      </c>
    </row>
    <row r="466" spans="13:28" ht="12" hidden="1" customHeight="1">
      <c r="M466" s="266"/>
      <c r="N466" s="288">
        <f t="shared" si="89"/>
        <v>8.7199999999999207</v>
      </c>
      <c r="O466" s="285">
        <f t="shared" si="75"/>
        <v>150</v>
      </c>
      <c r="P466" s="289">
        <f t="shared" si="76"/>
        <v>4000000</v>
      </c>
      <c r="Q466" s="285">
        <f t="shared" si="77"/>
        <v>110</v>
      </c>
      <c r="R466" s="285">
        <f t="shared" si="78"/>
        <v>85</v>
      </c>
      <c r="S466" s="285">
        <f t="shared" si="79"/>
        <v>0.35</v>
      </c>
      <c r="T466" s="285">
        <f t="shared" si="80"/>
        <v>3.2</v>
      </c>
      <c r="U466" s="285">
        <f t="shared" si="81"/>
        <v>1</v>
      </c>
      <c r="V466" s="285">
        <f t="shared" si="82"/>
        <v>4.5</v>
      </c>
      <c r="W466" s="285">
        <f t="shared" si="83"/>
        <v>1.5</v>
      </c>
      <c r="X466" s="289">
        <f t="shared" si="84"/>
        <v>27747.900233300359</v>
      </c>
      <c r="Y466" s="288">
        <f t="shared" si="85"/>
        <v>0.1387395011665018</v>
      </c>
      <c r="Z466" s="256">
        <f t="shared" si="86"/>
        <v>181.74993027852094</v>
      </c>
      <c r="AA466" s="289">
        <f t="shared" si="87"/>
        <v>56896.103034624088</v>
      </c>
      <c r="AB466" s="288">
        <f t="shared" si="88"/>
        <v>0.28448051517312045</v>
      </c>
    </row>
    <row r="467" spans="13:28" ht="12" hidden="1" customHeight="1">
      <c r="M467" s="266"/>
      <c r="N467" s="288">
        <f t="shared" si="89"/>
        <v>8.7299999999999205</v>
      </c>
      <c r="O467" s="285">
        <f t="shared" si="75"/>
        <v>150</v>
      </c>
      <c r="P467" s="289">
        <f t="shared" si="76"/>
        <v>4000000</v>
      </c>
      <c r="Q467" s="285">
        <f t="shared" si="77"/>
        <v>110</v>
      </c>
      <c r="R467" s="285">
        <f t="shared" si="78"/>
        <v>85</v>
      </c>
      <c r="S467" s="285">
        <f t="shared" si="79"/>
        <v>0.35</v>
      </c>
      <c r="T467" s="285">
        <f t="shared" si="80"/>
        <v>3.2</v>
      </c>
      <c r="U467" s="285">
        <f t="shared" si="81"/>
        <v>1</v>
      </c>
      <c r="V467" s="285">
        <f t="shared" si="82"/>
        <v>4.5</v>
      </c>
      <c r="W467" s="285">
        <f t="shared" si="83"/>
        <v>1.5</v>
      </c>
      <c r="X467" s="289">
        <f t="shared" si="84"/>
        <v>27952.169482584548</v>
      </c>
      <c r="Y467" s="288">
        <f t="shared" si="85"/>
        <v>0.13976084741292275</v>
      </c>
      <c r="Z467" s="256">
        <f t="shared" si="86"/>
        <v>181.74993027852094</v>
      </c>
      <c r="AA467" s="289">
        <f t="shared" si="87"/>
        <v>57314.950016066134</v>
      </c>
      <c r="AB467" s="288">
        <f t="shared" si="88"/>
        <v>0.28657475008033068</v>
      </c>
    </row>
    <row r="468" spans="13:28" ht="12" hidden="1" customHeight="1">
      <c r="M468" s="266"/>
      <c r="N468" s="288">
        <f t="shared" si="89"/>
        <v>8.7399999999999203</v>
      </c>
      <c r="O468" s="285">
        <f t="shared" si="75"/>
        <v>150</v>
      </c>
      <c r="P468" s="289">
        <f t="shared" si="76"/>
        <v>4000000</v>
      </c>
      <c r="Q468" s="285">
        <f t="shared" si="77"/>
        <v>110</v>
      </c>
      <c r="R468" s="285">
        <f t="shared" si="78"/>
        <v>85</v>
      </c>
      <c r="S468" s="285">
        <f t="shared" si="79"/>
        <v>0.35</v>
      </c>
      <c r="T468" s="285">
        <f t="shared" si="80"/>
        <v>3.2</v>
      </c>
      <c r="U468" s="285">
        <f t="shared" si="81"/>
        <v>1</v>
      </c>
      <c r="V468" s="285">
        <f t="shared" si="82"/>
        <v>4.5</v>
      </c>
      <c r="W468" s="285">
        <f t="shared" si="83"/>
        <v>1.5</v>
      </c>
      <c r="X468" s="289">
        <f t="shared" si="84"/>
        <v>28157.73992641296</v>
      </c>
      <c r="Y468" s="288">
        <f t="shared" si="85"/>
        <v>0.14078869963206481</v>
      </c>
      <c r="Z468" s="256">
        <f t="shared" si="86"/>
        <v>181.74993027852094</v>
      </c>
      <c r="AA468" s="289">
        <f t="shared" si="87"/>
        <v>57736.465051604093</v>
      </c>
      <c r="AB468" s="288">
        <f t="shared" si="88"/>
        <v>0.28868232525802046</v>
      </c>
    </row>
    <row r="469" spans="13:28" ht="12" hidden="1" customHeight="1">
      <c r="M469" s="266"/>
      <c r="N469" s="288">
        <f t="shared" si="89"/>
        <v>8.7499999999999201</v>
      </c>
      <c r="O469" s="285">
        <f t="shared" si="75"/>
        <v>150</v>
      </c>
      <c r="P469" s="289">
        <f t="shared" si="76"/>
        <v>4000000</v>
      </c>
      <c r="Q469" s="285">
        <f t="shared" si="77"/>
        <v>110</v>
      </c>
      <c r="R469" s="285">
        <f t="shared" si="78"/>
        <v>85</v>
      </c>
      <c r="S469" s="285">
        <f t="shared" si="79"/>
        <v>0.35</v>
      </c>
      <c r="T469" s="285">
        <f t="shared" si="80"/>
        <v>3.2</v>
      </c>
      <c r="U469" s="285">
        <f t="shared" si="81"/>
        <v>1</v>
      </c>
      <c r="V469" s="285">
        <f t="shared" si="82"/>
        <v>4.5</v>
      </c>
      <c r="W469" s="285">
        <f t="shared" si="83"/>
        <v>1.5</v>
      </c>
      <c r="X469" s="289">
        <f t="shared" si="84"/>
        <v>28364.618554078093</v>
      </c>
      <c r="Y469" s="288">
        <f t="shared" si="85"/>
        <v>0.14182309277039046</v>
      </c>
      <c r="Z469" s="256">
        <f t="shared" si="86"/>
        <v>181.74993027852094</v>
      </c>
      <c r="AA469" s="289">
        <f t="shared" si="87"/>
        <v>58160.662472537886</v>
      </c>
      <c r="AB469" s="288">
        <f t="shared" si="88"/>
        <v>0.29080331236268941</v>
      </c>
    </row>
    <row r="470" spans="13:28" ht="12" hidden="1" customHeight="1">
      <c r="M470" s="266"/>
      <c r="N470" s="288">
        <f t="shared" si="89"/>
        <v>8.7599999999999199</v>
      </c>
      <c r="O470" s="285">
        <f t="shared" si="75"/>
        <v>150</v>
      </c>
      <c r="P470" s="289">
        <f t="shared" si="76"/>
        <v>4000000</v>
      </c>
      <c r="Q470" s="285">
        <f t="shared" si="77"/>
        <v>110</v>
      </c>
      <c r="R470" s="285">
        <f t="shared" si="78"/>
        <v>85</v>
      </c>
      <c r="S470" s="285">
        <f t="shared" si="79"/>
        <v>0.35</v>
      </c>
      <c r="T470" s="285">
        <f t="shared" si="80"/>
        <v>3.2</v>
      </c>
      <c r="U470" s="285">
        <f t="shared" si="81"/>
        <v>1</v>
      </c>
      <c r="V470" s="285">
        <f t="shared" si="82"/>
        <v>4.5</v>
      </c>
      <c r="W470" s="285">
        <f t="shared" si="83"/>
        <v>1.5</v>
      </c>
      <c r="X470" s="289">
        <f t="shared" si="84"/>
        <v>28572.812385407509</v>
      </c>
      <c r="Y470" s="288">
        <f t="shared" si="85"/>
        <v>0.14286406192703754</v>
      </c>
      <c r="Z470" s="256">
        <f t="shared" si="86"/>
        <v>181.74993027852094</v>
      </c>
      <c r="AA470" s="289">
        <f t="shared" si="87"/>
        <v>58587.55667277996</v>
      </c>
      <c r="AB470" s="288">
        <f t="shared" si="88"/>
        <v>0.29293778336389981</v>
      </c>
    </row>
    <row r="471" spans="13:28" ht="12" hidden="1" customHeight="1">
      <c r="M471" s="266"/>
      <c r="N471" s="288">
        <f t="shared" si="89"/>
        <v>8.7699999999999196</v>
      </c>
      <c r="O471" s="285">
        <f t="shared" si="75"/>
        <v>150</v>
      </c>
      <c r="P471" s="289">
        <f t="shared" si="76"/>
        <v>4000000</v>
      </c>
      <c r="Q471" s="285">
        <f t="shared" si="77"/>
        <v>110</v>
      </c>
      <c r="R471" s="285">
        <f t="shared" si="78"/>
        <v>85</v>
      </c>
      <c r="S471" s="285">
        <f t="shared" si="79"/>
        <v>0.35</v>
      </c>
      <c r="T471" s="285">
        <f t="shared" si="80"/>
        <v>3.2</v>
      </c>
      <c r="U471" s="285">
        <f t="shared" si="81"/>
        <v>1</v>
      </c>
      <c r="V471" s="285">
        <f t="shared" si="82"/>
        <v>4.5</v>
      </c>
      <c r="W471" s="285">
        <f t="shared" si="83"/>
        <v>1.5</v>
      </c>
      <c r="X471" s="289">
        <f t="shared" si="84"/>
        <v>28782.328470867091</v>
      </c>
      <c r="Y471" s="288">
        <f t="shared" si="85"/>
        <v>0.14391164235433546</v>
      </c>
      <c r="Z471" s="256">
        <f t="shared" si="86"/>
        <v>181.74993027852094</v>
      </c>
      <c r="AA471" s="289">
        <f t="shared" si="87"/>
        <v>59017.162109064848</v>
      </c>
      <c r="AB471" s="288">
        <f t="shared" si="88"/>
        <v>0.29508581054532423</v>
      </c>
    </row>
    <row r="472" spans="13:28" ht="12" hidden="1" customHeight="1">
      <c r="M472" s="266"/>
      <c r="N472" s="288">
        <f t="shared" si="89"/>
        <v>8.7799999999999194</v>
      </c>
      <c r="O472" s="285">
        <f t="shared" si="75"/>
        <v>150</v>
      </c>
      <c r="P472" s="289">
        <f t="shared" si="76"/>
        <v>4000000</v>
      </c>
      <c r="Q472" s="285">
        <f t="shared" si="77"/>
        <v>110</v>
      </c>
      <c r="R472" s="285">
        <f t="shared" si="78"/>
        <v>85</v>
      </c>
      <c r="S472" s="285">
        <f t="shared" si="79"/>
        <v>0.35</v>
      </c>
      <c r="T472" s="285">
        <f t="shared" si="80"/>
        <v>3.2</v>
      </c>
      <c r="U472" s="285">
        <f t="shared" si="81"/>
        <v>1</v>
      </c>
      <c r="V472" s="285">
        <f t="shared" si="82"/>
        <v>4.5</v>
      </c>
      <c r="W472" s="285">
        <f t="shared" si="83"/>
        <v>1.5</v>
      </c>
      <c r="X472" s="289">
        <f t="shared" si="84"/>
        <v>28993.17389166358</v>
      </c>
      <c r="Y472" s="288">
        <f t="shared" si="85"/>
        <v>0.14496586945831791</v>
      </c>
      <c r="Z472" s="256">
        <f t="shared" si="86"/>
        <v>181.74993027852094</v>
      </c>
      <c r="AA472" s="289">
        <f t="shared" si="87"/>
        <v>59449.493301160561</v>
      </c>
      <c r="AB472" s="288">
        <f t="shared" si="88"/>
        <v>0.2972474665058028</v>
      </c>
    </row>
    <row r="473" spans="13:28" ht="12" hidden="1" customHeight="1">
      <c r="M473" s="266"/>
      <c r="N473" s="288">
        <f t="shared" si="89"/>
        <v>8.7899999999999192</v>
      </c>
      <c r="O473" s="285">
        <f t="shared" si="75"/>
        <v>150</v>
      </c>
      <c r="P473" s="289">
        <f t="shared" si="76"/>
        <v>4000000</v>
      </c>
      <c r="Q473" s="285">
        <f t="shared" si="77"/>
        <v>110</v>
      </c>
      <c r="R473" s="285">
        <f t="shared" si="78"/>
        <v>85</v>
      </c>
      <c r="S473" s="285">
        <f t="shared" si="79"/>
        <v>0.35</v>
      </c>
      <c r="T473" s="285">
        <f t="shared" si="80"/>
        <v>3.2</v>
      </c>
      <c r="U473" s="285">
        <f t="shared" si="81"/>
        <v>1</v>
      </c>
      <c r="V473" s="285">
        <f t="shared" si="82"/>
        <v>4.5</v>
      </c>
      <c r="W473" s="285">
        <f t="shared" si="83"/>
        <v>1.5</v>
      </c>
      <c r="X473" s="289">
        <f t="shared" si="84"/>
        <v>29205.355759847989</v>
      </c>
      <c r="Y473" s="288">
        <f t="shared" si="85"/>
        <v>0.14602677879923995</v>
      </c>
      <c r="Z473" s="256">
        <f t="shared" si="86"/>
        <v>181.74993027852094</v>
      </c>
      <c r="AA473" s="289">
        <f t="shared" si="87"/>
        <v>59884.56483208001</v>
      </c>
      <c r="AB473" s="288">
        <f t="shared" si="88"/>
        <v>0.29942282416040006</v>
      </c>
    </row>
    <row r="474" spans="13:28" ht="12" hidden="1" customHeight="1">
      <c r="M474" s="266"/>
      <c r="N474" s="288">
        <f t="shared" si="89"/>
        <v>8.799999999999919</v>
      </c>
      <c r="O474" s="285">
        <f t="shared" si="75"/>
        <v>150</v>
      </c>
      <c r="P474" s="289">
        <f t="shared" si="76"/>
        <v>4000000</v>
      </c>
      <c r="Q474" s="285">
        <f t="shared" si="77"/>
        <v>110</v>
      </c>
      <c r="R474" s="285">
        <f t="shared" si="78"/>
        <v>85</v>
      </c>
      <c r="S474" s="285">
        <f t="shared" si="79"/>
        <v>0.35</v>
      </c>
      <c r="T474" s="285">
        <f t="shared" si="80"/>
        <v>3.2</v>
      </c>
      <c r="U474" s="285">
        <f t="shared" si="81"/>
        <v>1</v>
      </c>
      <c r="V474" s="285">
        <f t="shared" si="82"/>
        <v>4.5</v>
      </c>
      <c r="W474" s="285">
        <f t="shared" si="83"/>
        <v>1.5</v>
      </c>
      <c r="X474" s="289">
        <f t="shared" si="84"/>
        <v>29418.881218419123</v>
      </c>
      <c r="Y474" s="288">
        <f t="shared" si="85"/>
        <v>0.14709440609209562</v>
      </c>
      <c r="Z474" s="256">
        <f t="shared" si="86"/>
        <v>181.74993027852094</v>
      </c>
      <c r="AA474" s="289">
        <f t="shared" si="87"/>
        <v>60322.391348293255</v>
      </c>
      <c r="AB474" s="288">
        <f t="shared" si="88"/>
        <v>0.30161195674146629</v>
      </c>
    </row>
    <row r="475" spans="13:28" ht="12" hidden="1" customHeight="1">
      <c r="M475" s="266"/>
      <c r="N475" s="288">
        <f t="shared" si="89"/>
        <v>8.8099999999999188</v>
      </c>
      <c r="O475" s="285">
        <f t="shared" si="75"/>
        <v>150</v>
      </c>
      <c r="P475" s="289">
        <f t="shared" si="76"/>
        <v>4000000</v>
      </c>
      <c r="Q475" s="285">
        <f t="shared" si="77"/>
        <v>110</v>
      </c>
      <c r="R475" s="285">
        <f t="shared" si="78"/>
        <v>85</v>
      </c>
      <c r="S475" s="285">
        <f t="shared" si="79"/>
        <v>0.35</v>
      </c>
      <c r="T475" s="285">
        <f t="shared" si="80"/>
        <v>3.2</v>
      </c>
      <c r="U475" s="285">
        <f t="shared" si="81"/>
        <v>1</v>
      </c>
      <c r="V475" s="285">
        <f t="shared" si="82"/>
        <v>4.5</v>
      </c>
      <c r="W475" s="285">
        <f t="shared" si="83"/>
        <v>1.5</v>
      </c>
      <c r="X475" s="289">
        <f t="shared" si="84"/>
        <v>29633.757441427068</v>
      </c>
      <c r="Y475" s="288">
        <f t="shared" si="85"/>
        <v>0.14816878720713533</v>
      </c>
      <c r="Z475" s="256">
        <f t="shared" si="86"/>
        <v>181.74993027852094</v>
      </c>
      <c r="AA475" s="289">
        <f t="shared" si="87"/>
        <v>60762.987559940353</v>
      </c>
      <c r="AB475" s="288">
        <f t="shared" si="88"/>
        <v>0.30381493779970176</v>
      </c>
    </row>
    <row r="476" spans="13:28" ht="12" hidden="1" customHeight="1">
      <c r="M476" s="266"/>
      <c r="N476" s="288">
        <f t="shared" si="89"/>
        <v>8.8199999999999186</v>
      </c>
      <c r="O476" s="285">
        <f t="shared" si="75"/>
        <v>150</v>
      </c>
      <c r="P476" s="289">
        <f t="shared" si="76"/>
        <v>4000000</v>
      </c>
      <c r="Q476" s="285">
        <f t="shared" si="77"/>
        <v>110</v>
      </c>
      <c r="R476" s="285">
        <f t="shared" si="78"/>
        <v>85</v>
      </c>
      <c r="S476" s="285">
        <f t="shared" si="79"/>
        <v>0.35</v>
      </c>
      <c r="T476" s="285">
        <f t="shared" si="80"/>
        <v>3.2</v>
      </c>
      <c r="U476" s="285">
        <f t="shared" si="81"/>
        <v>1</v>
      </c>
      <c r="V476" s="285">
        <f t="shared" si="82"/>
        <v>4.5</v>
      </c>
      <c r="W476" s="285">
        <f t="shared" si="83"/>
        <v>1.5</v>
      </c>
      <c r="X476" s="289">
        <f t="shared" si="84"/>
        <v>29849.991634077269</v>
      </c>
      <c r="Y476" s="288">
        <f t="shared" si="85"/>
        <v>0.14924995817038633</v>
      </c>
      <c r="Z476" s="256">
        <f t="shared" si="86"/>
        <v>181.74993027852094</v>
      </c>
      <c r="AA476" s="289">
        <f t="shared" si="87"/>
        <v>61206.368241043921</v>
      </c>
      <c r="AB476" s="288">
        <f t="shared" si="88"/>
        <v>0.30603184120521959</v>
      </c>
    </row>
    <row r="477" spans="13:28" ht="12" hidden="1" customHeight="1">
      <c r="M477" s="266"/>
      <c r="N477" s="288">
        <f t="shared" si="89"/>
        <v>8.8299999999999184</v>
      </c>
      <c r="O477" s="285">
        <f t="shared" si="75"/>
        <v>150</v>
      </c>
      <c r="P477" s="289">
        <f t="shared" si="76"/>
        <v>4000000</v>
      </c>
      <c r="Q477" s="285">
        <f t="shared" si="77"/>
        <v>110</v>
      </c>
      <c r="R477" s="285">
        <f t="shared" si="78"/>
        <v>85</v>
      </c>
      <c r="S477" s="285">
        <f t="shared" si="79"/>
        <v>0.35</v>
      </c>
      <c r="T477" s="285">
        <f t="shared" si="80"/>
        <v>3.2</v>
      </c>
      <c r="U477" s="285">
        <f t="shared" si="81"/>
        <v>1</v>
      </c>
      <c r="V477" s="285">
        <f t="shared" si="82"/>
        <v>4.5</v>
      </c>
      <c r="W477" s="285">
        <f t="shared" si="83"/>
        <v>1.5</v>
      </c>
      <c r="X477" s="289">
        <f t="shared" si="84"/>
        <v>30067.591032834713</v>
      </c>
      <c r="Y477" s="288">
        <f t="shared" si="85"/>
        <v>0.15033795516417356</v>
      </c>
      <c r="Z477" s="256">
        <f t="shared" si="86"/>
        <v>181.74993027852094</v>
      </c>
      <c r="AA477" s="289">
        <f t="shared" si="87"/>
        <v>61652.548229723274</v>
      </c>
      <c r="AB477" s="288">
        <f t="shared" si="88"/>
        <v>0.30826274114861635</v>
      </c>
    </row>
    <row r="478" spans="13:28" ht="12" hidden="1" customHeight="1">
      <c r="M478" s="266"/>
      <c r="N478" s="288">
        <f t="shared" si="89"/>
        <v>8.8399999999999181</v>
      </c>
      <c r="O478" s="285">
        <f t="shared" ref="O478:O541" si="90">PCC_MR</f>
        <v>150</v>
      </c>
      <c r="P478" s="289">
        <f t="shared" ref="P478:P541" si="91">PCC_ME</f>
        <v>4000000</v>
      </c>
      <c r="Q478" s="285">
        <f t="shared" ref="Q478:Q541" si="92">K_MODULE</f>
        <v>110</v>
      </c>
      <c r="R478" s="285">
        <f t="shared" ref="R478:R541" si="93">R_</f>
        <v>85</v>
      </c>
      <c r="S478" s="285">
        <f t="shared" ref="S478:S541" si="94">So</f>
        <v>0.35</v>
      </c>
      <c r="T478" s="285">
        <f t="shared" ref="T478:T541" si="95">J_</f>
        <v>3.2</v>
      </c>
      <c r="U478" s="285">
        <f t="shared" ref="U478:U541" si="96">Cd_</f>
        <v>1</v>
      </c>
      <c r="V478" s="285">
        <f t="shared" ref="V478:V541" si="97">Pi</f>
        <v>4.5</v>
      </c>
      <c r="W478" s="285">
        <f t="shared" ref="W478:W541" si="98">Pt</f>
        <v>1.5</v>
      </c>
      <c r="X478" s="289">
        <f t="shared" ref="X478:X541" si="99">10^(-NORMSINV(R478/100)*S478+7.35*LOG10(N478+1)-0.06+((LOG10((V478-W478)/3))/(1+((1.625*10^7)/((N478+1)^8.46))))+((4.22-0.32*W478)*LOG10((O478*U478*((N478^0.75)-1.132))/(215.63*T478*((N478^0.75)-18.42*(Q478/P478)^0.25)))))</f>
        <v>30286.562905527975</v>
      </c>
      <c r="Y478" s="288">
        <f t="shared" ref="Y478:Y541" si="100">+X478/ESALS</f>
        <v>0.15143281452763988</v>
      </c>
      <c r="Z478" s="256">
        <f t="shared" ref="Z478:Z541" si="101">PCC_IMR</f>
        <v>181.74993027852094</v>
      </c>
      <c r="AA478" s="289">
        <f t="shared" ref="AA478:AA541" si="102">10^(-NORMSINV(R478/100)*S478+7.35*LOG10(N478+1)-0.06+((LOG10((V478-W478)/3))/(1+((1.625*10^7)/((N478+1)^8.46))))+((4.22-0.32*W478)*LOG10((Z478*U478*((N478^0.75)-1.132))/(215.63*T478*((N478^0.75)-18.42*(Q478/P478)^0.25)))))</f>
        <v>62101.542428408444</v>
      </c>
      <c r="AB478" s="288">
        <f t="shared" ref="AB478:AB541" si="103">+AA478/ESALS</f>
        <v>0.3105077121420422</v>
      </c>
    </row>
    <row r="479" spans="13:28" ht="12" hidden="1" customHeight="1">
      <c r="M479" s="266"/>
      <c r="N479" s="288">
        <f t="shared" ref="N479:N542" si="104">IF(N478 = "", "", IF(AND(0.995*ESALS&lt;=X478,X478&lt;=1.005*ESALS),"",(N478+D_Step)))</f>
        <v>8.8499999999999179</v>
      </c>
      <c r="O479" s="285">
        <f t="shared" si="90"/>
        <v>150</v>
      </c>
      <c r="P479" s="289">
        <f t="shared" si="91"/>
        <v>4000000</v>
      </c>
      <c r="Q479" s="285">
        <f t="shared" si="92"/>
        <v>110</v>
      </c>
      <c r="R479" s="285">
        <f t="shared" si="93"/>
        <v>85</v>
      </c>
      <c r="S479" s="285">
        <f t="shared" si="94"/>
        <v>0.35</v>
      </c>
      <c r="T479" s="285">
        <f t="shared" si="95"/>
        <v>3.2</v>
      </c>
      <c r="U479" s="285">
        <f t="shared" si="96"/>
        <v>1</v>
      </c>
      <c r="V479" s="285">
        <f t="shared" si="97"/>
        <v>4.5</v>
      </c>
      <c r="W479" s="285">
        <f t="shared" si="98"/>
        <v>1.5</v>
      </c>
      <c r="X479" s="289">
        <f t="shared" si="99"/>
        <v>30506.914551454436</v>
      </c>
      <c r="Y479" s="288">
        <f t="shared" si="100"/>
        <v>0.15253457275727217</v>
      </c>
      <c r="Z479" s="256">
        <f t="shared" si="101"/>
        <v>181.74993027852094</v>
      </c>
      <c r="AA479" s="289">
        <f t="shared" si="102"/>
        <v>62553.365804053705</v>
      </c>
      <c r="AB479" s="288">
        <f t="shared" si="103"/>
        <v>0.31276682902026853</v>
      </c>
    </row>
    <row r="480" spans="13:28" ht="12" hidden="1" customHeight="1">
      <c r="M480" s="266"/>
      <c r="N480" s="288">
        <f t="shared" si="104"/>
        <v>8.8599999999999177</v>
      </c>
      <c r="O480" s="285">
        <f t="shared" si="90"/>
        <v>150</v>
      </c>
      <c r="P480" s="289">
        <f t="shared" si="91"/>
        <v>4000000</v>
      </c>
      <c r="Q480" s="285">
        <f t="shared" si="92"/>
        <v>110</v>
      </c>
      <c r="R480" s="285">
        <f t="shared" si="93"/>
        <v>85</v>
      </c>
      <c r="S480" s="285">
        <f t="shared" si="94"/>
        <v>0.35</v>
      </c>
      <c r="T480" s="285">
        <f t="shared" si="95"/>
        <v>3.2</v>
      </c>
      <c r="U480" s="285">
        <f t="shared" si="96"/>
        <v>1</v>
      </c>
      <c r="V480" s="285">
        <f t="shared" si="97"/>
        <v>4.5</v>
      </c>
      <c r="W480" s="285">
        <f t="shared" si="98"/>
        <v>1.5</v>
      </c>
      <c r="X480" s="289">
        <f t="shared" si="99"/>
        <v>30728.653301484894</v>
      </c>
      <c r="Y480" s="288">
        <f t="shared" si="100"/>
        <v>0.15364326650742446</v>
      </c>
      <c r="Z480" s="256">
        <f t="shared" si="101"/>
        <v>181.74993027852094</v>
      </c>
      <c r="AA480" s="289">
        <f t="shared" si="102"/>
        <v>63008.033388354888</v>
      </c>
      <c r="AB480" s="288">
        <f t="shared" si="103"/>
        <v>0.31504016694177445</v>
      </c>
    </row>
    <row r="481" spans="13:28" ht="12" hidden="1" customHeight="1">
      <c r="M481" s="266"/>
      <c r="N481" s="288">
        <f t="shared" si="104"/>
        <v>8.8699999999999175</v>
      </c>
      <c r="O481" s="285">
        <f t="shared" si="90"/>
        <v>150</v>
      </c>
      <c r="P481" s="289">
        <f t="shared" si="91"/>
        <v>4000000</v>
      </c>
      <c r="Q481" s="285">
        <f t="shared" si="92"/>
        <v>110</v>
      </c>
      <c r="R481" s="285">
        <f t="shared" si="93"/>
        <v>85</v>
      </c>
      <c r="S481" s="285">
        <f t="shared" si="94"/>
        <v>0.35</v>
      </c>
      <c r="T481" s="285">
        <f t="shared" si="95"/>
        <v>3.2</v>
      </c>
      <c r="U481" s="285">
        <f t="shared" si="96"/>
        <v>1</v>
      </c>
      <c r="V481" s="285">
        <f t="shared" si="97"/>
        <v>4.5</v>
      </c>
      <c r="W481" s="285">
        <f t="shared" si="98"/>
        <v>1.5</v>
      </c>
      <c r="X481" s="289">
        <f t="shared" si="99"/>
        <v>30951.786518168839</v>
      </c>
      <c r="Y481" s="288">
        <f t="shared" si="100"/>
        <v>0.15475893259084419</v>
      </c>
      <c r="Z481" s="256">
        <f t="shared" si="101"/>
        <v>181.74993027852094</v>
      </c>
      <c r="AA481" s="289">
        <f t="shared" si="102"/>
        <v>63465.560277962839</v>
      </c>
      <c r="AB481" s="288">
        <f t="shared" si="103"/>
        <v>0.3173278013898142</v>
      </c>
    </row>
    <row r="482" spans="13:28" ht="12" hidden="1" customHeight="1">
      <c r="M482" s="266"/>
      <c r="N482" s="288">
        <f t="shared" si="104"/>
        <v>8.8799999999999173</v>
      </c>
      <c r="O482" s="285">
        <f t="shared" si="90"/>
        <v>150</v>
      </c>
      <c r="P482" s="289">
        <f t="shared" si="91"/>
        <v>4000000</v>
      </c>
      <c r="Q482" s="285">
        <f t="shared" si="92"/>
        <v>110</v>
      </c>
      <c r="R482" s="285">
        <f t="shared" si="93"/>
        <v>85</v>
      </c>
      <c r="S482" s="285">
        <f t="shared" si="94"/>
        <v>0.35</v>
      </c>
      <c r="T482" s="285">
        <f t="shared" si="95"/>
        <v>3.2</v>
      </c>
      <c r="U482" s="285">
        <f t="shared" si="96"/>
        <v>1</v>
      </c>
      <c r="V482" s="285">
        <f t="shared" si="97"/>
        <v>4.5</v>
      </c>
      <c r="W482" s="285">
        <f t="shared" si="98"/>
        <v>1.5</v>
      </c>
      <c r="X482" s="289">
        <f t="shared" si="99"/>
        <v>31176.321595839614</v>
      </c>
      <c r="Y482" s="288">
        <f t="shared" si="100"/>
        <v>0.15588160797919806</v>
      </c>
      <c r="Z482" s="256">
        <f t="shared" si="101"/>
        <v>181.74993027852094</v>
      </c>
      <c r="AA482" s="289">
        <f t="shared" si="102"/>
        <v>63925.961634700892</v>
      </c>
      <c r="AB482" s="288">
        <f t="shared" si="103"/>
        <v>0.31962980817350445</v>
      </c>
    </row>
    <row r="483" spans="13:28" ht="12" hidden="1" customHeight="1">
      <c r="M483" s="266"/>
      <c r="N483" s="288">
        <f t="shared" si="104"/>
        <v>8.8899999999999171</v>
      </c>
      <c r="O483" s="285">
        <f t="shared" si="90"/>
        <v>150</v>
      </c>
      <c r="P483" s="289">
        <f t="shared" si="91"/>
        <v>4000000</v>
      </c>
      <c r="Q483" s="285">
        <f t="shared" si="92"/>
        <v>110</v>
      </c>
      <c r="R483" s="285">
        <f t="shared" si="93"/>
        <v>85</v>
      </c>
      <c r="S483" s="285">
        <f t="shared" si="94"/>
        <v>0.35</v>
      </c>
      <c r="T483" s="285">
        <f t="shared" si="95"/>
        <v>3.2</v>
      </c>
      <c r="U483" s="285">
        <f t="shared" si="96"/>
        <v>1</v>
      </c>
      <c r="V483" s="285">
        <f t="shared" si="97"/>
        <v>4.5</v>
      </c>
      <c r="W483" s="285">
        <f t="shared" si="98"/>
        <v>1.5</v>
      </c>
      <c r="X483" s="289">
        <f t="shared" si="99"/>
        <v>31402.265960720237</v>
      </c>
      <c r="Y483" s="288">
        <f t="shared" si="100"/>
        <v>0.15701132980360119</v>
      </c>
      <c r="Z483" s="256">
        <f t="shared" si="101"/>
        <v>181.74993027852094</v>
      </c>
      <c r="AA483" s="289">
        <f t="shared" si="102"/>
        <v>64389.252685780608</v>
      </c>
      <c r="AB483" s="288">
        <f t="shared" si="103"/>
        <v>0.32194626342890303</v>
      </c>
    </row>
    <row r="484" spans="13:28" ht="12" hidden="1" customHeight="1">
      <c r="M484" s="266"/>
      <c r="N484" s="288">
        <f t="shared" si="104"/>
        <v>8.8999999999999169</v>
      </c>
      <c r="O484" s="285">
        <f t="shared" si="90"/>
        <v>150</v>
      </c>
      <c r="P484" s="289">
        <f t="shared" si="91"/>
        <v>4000000</v>
      </c>
      <c r="Q484" s="285">
        <f t="shared" si="92"/>
        <v>110</v>
      </c>
      <c r="R484" s="285">
        <f t="shared" si="93"/>
        <v>85</v>
      </c>
      <c r="S484" s="285">
        <f t="shared" si="94"/>
        <v>0.35</v>
      </c>
      <c r="T484" s="285">
        <f t="shared" si="95"/>
        <v>3.2</v>
      </c>
      <c r="U484" s="285">
        <f t="shared" si="96"/>
        <v>1</v>
      </c>
      <c r="V484" s="285">
        <f t="shared" si="97"/>
        <v>4.5</v>
      </c>
      <c r="W484" s="285">
        <f t="shared" si="98"/>
        <v>1.5</v>
      </c>
      <c r="X484" s="289">
        <f t="shared" si="99"/>
        <v>31629.627071029336</v>
      </c>
      <c r="Y484" s="288">
        <f t="shared" si="100"/>
        <v>0.15814813535514669</v>
      </c>
      <c r="Z484" s="256">
        <f t="shared" si="101"/>
        <v>181.74993027852094</v>
      </c>
      <c r="AA484" s="289">
        <f t="shared" si="102"/>
        <v>64855.448724019399</v>
      </c>
      <c r="AB484" s="288">
        <f t="shared" si="103"/>
        <v>0.32427724362009702</v>
      </c>
    </row>
    <row r="485" spans="13:28" ht="12" hidden="1" customHeight="1">
      <c r="M485" s="266"/>
      <c r="N485" s="288">
        <f t="shared" si="104"/>
        <v>8.9099999999999167</v>
      </c>
      <c r="O485" s="285">
        <f t="shared" si="90"/>
        <v>150</v>
      </c>
      <c r="P485" s="289">
        <f t="shared" si="91"/>
        <v>4000000</v>
      </c>
      <c r="Q485" s="285">
        <f t="shared" si="92"/>
        <v>110</v>
      </c>
      <c r="R485" s="285">
        <f t="shared" si="93"/>
        <v>85</v>
      </c>
      <c r="S485" s="285">
        <f t="shared" si="94"/>
        <v>0.35</v>
      </c>
      <c r="T485" s="285">
        <f t="shared" si="95"/>
        <v>3.2</v>
      </c>
      <c r="U485" s="285">
        <f t="shared" si="96"/>
        <v>1</v>
      </c>
      <c r="V485" s="285">
        <f t="shared" si="97"/>
        <v>4.5</v>
      </c>
      <c r="W485" s="285">
        <f t="shared" si="98"/>
        <v>1.5</v>
      </c>
      <c r="X485" s="289">
        <f t="shared" si="99"/>
        <v>31858.412417087136</v>
      </c>
      <c r="Y485" s="288">
        <f t="shared" si="100"/>
        <v>0.15929206208543567</v>
      </c>
      <c r="Z485" s="256">
        <f t="shared" si="101"/>
        <v>181.74993027852094</v>
      </c>
      <c r="AA485" s="289">
        <f t="shared" si="102"/>
        <v>65324.56510805837</v>
      </c>
      <c r="AB485" s="288">
        <f t="shared" si="103"/>
        <v>0.32662282554029187</v>
      </c>
    </row>
    <row r="486" spans="13:28" ht="12" hidden="1" customHeight="1">
      <c r="M486" s="266"/>
      <c r="N486" s="288">
        <f t="shared" si="104"/>
        <v>8.9199999999999164</v>
      </c>
      <c r="O486" s="285">
        <f t="shared" si="90"/>
        <v>150</v>
      </c>
      <c r="P486" s="289">
        <f t="shared" si="91"/>
        <v>4000000</v>
      </c>
      <c r="Q486" s="285">
        <f t="shared" si="92"/>
        <v>110</v>
      </c>
      <c r="R486" s="285">
        <f t="shared" si="93"/>
        <v>85</v>
      </c>
      <c r="S486" s="285">
        <f t="shared" si="94"/>
        <v>0.35</v>
      </c>
      <c r="T486" s="285">
        <f t="shared" si="95"/>
        <v>3.2</v>
      </c>
      <c r="U486" s="285">
        <f t="shared" si="96"/>
        <v>1</v>
      </c>
      <c r="V486" s="285">
        <f t="shared" si="97"/>
        <v>4.5</v>
      </c>
      <c r="W486" s="285">
        <f t="shared" si="98"/>
        <v>1.5</v>
      </c>
      <c r="X486" s="289">
        <f t="shared" si="99"/>
        <v>32088.629521422023</v>
      </c>
      <c r="Y486" s="288">
        <f t="shared" si="100"/>
        <v>0.16044314760711012</v>
      </c>
      <c r="Z486" s="256">
        <f t="shared" si="101"/>
        <v>181.74993027852094</v>
      </c>
      <c r="AA486" s="289">
        <f t="shared" si="102"/>
        <v>65796.617262579748</v>
      </c>
      <c r="AB486" s="288">
        <f t="shared" si="103"/>
        <v>0.32898308631289874</v>
      </c>
    </row>
    <row r="487" spans="13:28" ht="12" hidden="1" customHeight="1">
      <c r="M487" s="266"/>
      <c r="N487" s="288">
        <f t="shared" si="104"/>
        <v>8.9299999999999162</v>
      </c>
      <c r="O487" s="285">
        <f t="shared" si="90"/>
        <v>150</v>
      </c>
      <c r="P487" s="289">
        <f t="shared" si="91"/>
        <v>4000000</v>
      </c>
      <c r="Q487" s="285">
        <f t="shared" si="92"/>
        <v>110</v>
      </c>
      <c r="R487" s="285">
        <f t="shared" si="93"/>
        <v>85</v>
      </c>
      <c r="S487" s="285">
        <f t="shared" si="94"/>
        <v>0.35</v>
      </c>
      <c r="T487" s="285">
        <f t="shared" si="95"/>
        <v>3.2</v>
      </c>
      <c r="U487" s="285">
        <f t="shared" si="96"/>
        <v>1</v>
      </c>
      <c r="V487" s="285">
        <f t="shared" si="97"/>
        <v>4.5</v>
      </c>
      <c r="W487" s="285">
        <f t="shared" si="98"/>
        <v>1.5</v>
      </c>
      <c r="X487" s="289">
        <f t="shared" si="99"/>
        <v>32320.285938877059</v>
      </c>
      <c r="Y487" s="288">
        <f t="shared" si="100"/>
        <v>0.16160142969438529</v>
      </c>
      <c r="Z487" s="256">
        <f t="shared" si="101"/>
        <v>181.74993027852094</v>
      </c>
      <c r="AA487" s="289">
        <f t="shared" si="102"/>
        <v>66271.620678525884</v>
      </c>
      <c r="AB487" s="288">
        <f t="shared" si="103"/>
        <v>0.33135810339262944</v>
      </c>
    </row>
    <row r="488" spans="13:28" ht="12" hidden="1" customHeight="1">
      <c r="M488" s="266"/>
      <c r="N488" s="288">
        <f t="shared" si="104"/>
        <v>8.939999999999916</v>
      </c>
      <c r="O488" s="285">
        <f t="shared" si="90"/>
        <v>150</v>
      </c>
      <c r="P488" s="289">
        <f t="shared" si="91"/>
        <v>4000000</v>
      </c>
      <c r="Q488" s="285">
        <f t="shared" si="92"/>
        <v>110</v>
      </c>
      <c r="R488" s="285">
        <f t="shared" si="93"/>
        <v>85</v>
      </c>
      <c r="S488" s="285">
        <f t="shared" si="94"/>
        <v>0.35</v>
      </c>
      <c r="T488" s="285">
        <f t="shared" si="95"/>
        <v>3.2</v>
      </c>
      <c r="U488" s="285">
        <f t="shared" si="96"/>
        <v>1</v>
      </c>
      <c r="V488" s="285">
        <f t="shared" si="97"/>
        <v>4.5</v>
      </c>
      <c r="W488" s="285">
        <f t="shared" si="98"/>
        <v>1.5</v>
      </c>
      <c r="X488" s="289">
        <f t="shared" si="99"/>
        <v>32553.389256716709</v>
      </c>
      <c r="Y488" s="288">
        <f t="shared" si="100"/>
        <v>0.16276694628358354</v>
      </c>
      <c r="Z488" s="256">
        <f t="shared" si="101"/>
        <v>181.74993027852094</v>
      </c>
      <c r="AA488" s="289">
        <f t="shared" si="102"/>
        <v>66749.59091331868</v>
      </c>
      <c r="AB488" s="288">
        <f t="shared" si="103"/>
        <v>0.3337479545665934</v>
      </c>
    </row>
    <row r="489" spans="13:28" ht="12" hidden="1" customHeight="1">
      <c r="M489" s="266"/>
      <c r="N489" s="288">
        <f t="shared" si="104"/>
        <v>8.9499999999999158</v>
      </c>
      <c r="O489" s="285">
        <f t="shared" si="90"/>
        <v>150</v>
      </c>
      <c r="P489" s="289">
        <f t="shared" si="91"/>
        <v>4000000</v>
      </c>
      <c r="Q489" s="285">
        <f t="shared" si="92"/>
        <v>110</v>
      </c>
      <c r="R489" s="285">
        <f t="shared" si="93"/>
        <v>85</v>
      </c>
      <c r="S489" s="285">
        <f t="shared" si="94"/>
        <v>0.35</v>
      </c>
      <c r="T489" s="285">
        <f t="shared" si="95"/>
        <v>3.2</v>
      </c>
      <c r="U489" s="285">
        <f t="shared" si="96"/>
        <v>1</v>
      </c>
      <c r="V489" s="285">
        <f t="shared" si="97"/>
        <v>4.5</v>
      </c>
      <c r="W489" s="285">
        <f t="shared" si="98"/>
        <v>1.5</v>
      </c>
      <c r="X489" s="289">
        <f t="shared" si="99"/>
        <v>32787.947094734285</v>
      </c>
      <c r="Y489" s="288">
        <f t="shared" si="100"/>
        <v>0.16393973547367144</v>
      </c>
      <c r="Z489" s="256">
        <f t="shared" si="101"/>
        <v>181.74993027852094</v>
      </c>
      <c r="AA489" s="289">
        <f t="shared" si="102"/>
        <v>67230.543591078807</v>
      </c>
      <c r="AB489" s="288">
        <f t="shared" si="103"/>
        <v>0.33615271795539403</v>
      </c>
    </row>
    <row r="490" spans="13:28" ht="12" hidden="1" customHeight="1">
      <c r="M490" s="266"/>
      <c r="N490" s="288">
        <f t="shared" si="104"/>
        <v>8.9599999999999156</v>
      </c>
      <c r="O490" s="285">
        <f t="shared" si="90"/>
        <v>150</v>
      </c>
      <c r="P490" s="289">
        <f t="shared" si="91"/>
        <v>4000000</v>
      </c>
      <c r="Q490" s="285">
        <f t="shared" si="92"/>
        <v>110</v>
      </c>
      <c r="R490" s="285">
        <f t="shared" si="93"/>
        <v>85</v>
      </c>
      <c r="S490" s="285">
        <f t="shared" si="94"/>
        <v>0.35</v>
      </c>
      <c r="T490" s="285">
        <f t="shared" si="95"/>
        <v>3.2</v>
      </c>
      <c r="U490" s="285">
        <f t="shared" si="96"/>
        <v>1</v>
      </c>
      <c r="V490" s="285">
        <f t="shared" si="97"/>
        <v>4.5</v>
      </c>
      <c r="W490" s="285">
        <f t="shared" si="98"/>
        <v>1.5</v>
      </c>
      <c r="X490" s="289">
        <f t="shared" si="99"/>
        <v>33023.967105359203</v>
      </c>
      <c r="Y490" s="288">
        <f t="shared" si="100"/>
        <v>0.16511983552679602</v>
      </c>
      <c r="Z490" s="256">
        <f t="shared" si="101"/>
        <v>181.74993027852094</v>
      </c>
      <c r="AA490" s="289">
        <f t="shared" si="102"/>
        <v>67714.494402846278</v>
      </c>
      <c r="AB490" s="288">
        <f t="shared" si="103"/>
        <v>0.33857247201423141</v>
      </c>
    </row>
    <row r="491" spans="13:28" ht="12" hidden="1" customHeight="1">
      <c r="M491" s="266"/>
      <c r="N491" s="288">
        <f t="shared" si="104"/>
        <v>8.9699999999999154</v>
      </c>
      <c r="O491" s="285">
        <f t="shared" si="90"/>
        <v>150</v>
      </c>
      <c r="P491" s="289">
        <f t="shared" si="91"/>
        <v>4000000</v>
      </c>
      <c r="Q491" s="285">
        <f t="shared" si="92"/>
        <v>110</v>
      </c>
      <c r="R491" s="285">
        <f t="shared" si="93"/>
        <v>85</v>
      </c>
      <c r="S491" s="285">
        <f t="shared" si="94"/>
        <v>0.35</v>
      </c>
      <c r="T491" s="285">
        <f t="shared" si="95"/>
        <v>3.2</v>
      </c>
      <c r="U491" s="285">
        <f t="shared" si="96"/>
        <v>1</v>
      </c>
      <c r="V491" s="285">
        <f t="shared" si="97"/>
        <v>4.5</v>
      </c>
      <c r="W491" s="285">
        <f t="shared" si="98"/>
        <v>1.5</v>
      </c>
      <c r="X491" s="289">
        <f t="shared" si="99"/>
        <v>33261.456973764296</v>
      </c>
      <c r="Y491" s="288">
        <f t="shared" si="100"/>
        <v>0.16630728486882149</v>
      </c>
      <c r="Z491" s="256">
        <f t="shared" si="101"/>
        <v>181.74993027852094</v>
      </c>
      <c r="AA491" s="289">
        <f t="shared" si="102"/>
        <v>68201.459106800306</v>
      </c>
      <c r="AB491" s="288">
        <f t="shared" si="103"/>
        <v>0.34100729553400155</v>
      </c>
    </row>
    <row r="492" spans="13:28" ht="12" hidden="1" customHeight="1">
      <c r="M492" s="266"/>
      <c r="N492" s="288">
        <f t="shared" si="104"/>
        <v>8.9799999999999152</v>
      </c>
      <c r="O492" s="285">
        <f t="shared" si="90"/>
        <v>150</v>
      </c>
      <c r="P492" s="289">
        <f t="shared" si="91"/>
        <v>4000000</v>
      </c>
      <c r="Q492" s="285">
        <f t="shared" si="92"/>
        <v>110</v>
      </c>
      <c r="R492" s="285">
        <f t="shared" si="93"/>
        <v>85</v>
      </c>
      <c r="S492" s="285">
        <f t="shared" si="94"/>
        <v>0.35</v>
      </c>
      <c r="T492" s="285">
        <f t="shared" si="95"/>
        <v>3.2</v>
      </c>
      <c r="U492" s="285">
        <f t="shared" si="96"/>
        <v>1</v>
      </c>
      <c r="V492" s="285">
        <f t="shared" si="97"/>
        <v>4.5</v>
      </c>
      <c r="W492" s="285">
        <f t="shared" si="98"/>
        <v>1.5</v>
      </c>
      <c r="X492" s="289">
        <f t="shared" si="99"/>
        <v>33500.424417974224</v>
      </c>
      <c r="Y492" s="288">
        <f t="shared" si="100"/>
        <v>0.16750212208987111</v>
      </c>
      <c r="Z492" s="256">
        <f t="shared" si="101"/>
        <v>181.74993027852094</v>
      </c>
      <c r="AA492" s="289">
        <f t="shared" si="102"/>
        <v>68691.45352848171</v>
      </c>
      <c r="AB492" s="288">
        <f t="shared" si="103"/>
        <v>0.34345726764240853</v>
      </c>
    </row>
    <row r="493" spans="13:28" ht="12" hidden="1" customHeight="1">
      <c r="M493" s="266"/>
      <c r="N493" s="288">
        <f t="shared" si="104"/>
        <v>8.9899999999999149</v>
      </c>
      <c r="O493" s="285">
        <f t="shared" si="90"/>
        <v>150</v>
      </c>
      <c r="P493" s="289">
        <f t="shared" si="91"/>
        <v>4000000</v>
      </c>
      <c r="Q493" s="285">
        <f t="shared" si="92"/>
        <v>110</v>
      </c>
      <c r="R493" s="285">
        <f t="shared" si="93"/>
        <v>85</v>
      </c>
      <c r="S493" s="285">
        <f t="shared" si="94"/>
        <v>0.35</v>
      </c>
      <c r="T493" s="285">
        <f t="shared" si="95"/>
        <v>3.2</v>
      </c>
      <c r="U493" s="285">
        <f t="shared" si="96"/>
        <v>1</v>
      </c>
      <c r="V493" s="285">
        <f t="shared" si="97"/>
        <v>4.5</v>
      </c>
      <c r="W493" s="285">
        <f t="shared" si="98"/>
        <v>1.5</v>
      </c>
      <c r="X493" s="289">
        <f t="shared" si="99"/>
        <v>33740.877188973056</v>
      </c>
      <c r="Y493" s="288">
        <f t="shared" si="100"/>
        <v>0.16870438594486528</v>
      </c>
      <c r="Z493" s="256">
        <f t="shared" si="101"/>
        <v>181.74993027852094</v>
      </c>
      <c r="AA493" s="289">
        <f t="shared" si="102"/>
        <v>69184.493561013442</v>
      </c>
      <c r="AB493" s="288">
        <f t="shared" si="103"/>
        <v>0.34592246780506719</v>
      </c>
    </row>
    <row r="494" spans="13:28" ht="12" hidden="1" customHeight="1">
      <c r="M494" s="266"/>
      <c r="N494" s="288">
        <f t="shared" si="104"/>
        <v>8.9999999999999147</v>
      </c>
      <c r="O494" s="285">
        <f t="shared" si="90"/>
        <v>150</v>
      </c>
      <c r="P494" s="289">
        <f t="shared" si="91"/>
        <v>4000000</v>
      </c>
      <c r="Q494" s="285">
        <f t="shared" si="92"/>
        <v>110</v>
      </c>
      <c r="R494" s="285">
        <f t="shared" si="93"/>
        <v>85</v>
      </c>
      <c r="S494" s="285">
        <f t="shared" si="94"/>
        <v>0.35</v>
      </c>
      <c r="T494" s="285">
        <f t="shared" si="95"/>
        <v>3.2</v>
      </c>
      <c r="U494" s="285">
        <f t="shared" si="96"/>
        <v>1</v>
      </c>
      <c r="V494" s="285">
        <f t="shared" si="97"/>
        <v>4.5</v>
      </c>
      <c r="W494" s="285">
        <f t="shared" si="98"/>
        <v>1.5</v>
      </c>
      <c r="X494" s="289">
        <f t="shared" si="99"/>
        <v>33982.823070813407</v>
      </c>
      <c r="Y494" s="288">
        <f t="shared" si="100"/>
        <v>0.16991411535406703</v>
      </c>
      <c r="Z494" s="256">
        <f t="shared" si="101"/>
        <v>181.74993027852094</v>
      </c>
      <c r="AA494" s="289">
        <f t="shared" si="102"/>
        <v>69680.595165324063</v>
      </c>
      <c r="AB494" s="288">
        <f t="shared" si="103"/>
        <v>0.34840297582662033</v>
      </c>
    </row>
    <row r="495" spans="13:28" ht="12" hidden="1" customHeight="1">
      <c r="M495" s="266"/>
      <c r="N495" s="288">
        <f t="shared" si="104"/>
        <v>9.0099999999999145</v>
      </c>
      <c r="O495" s="285">
        <f t="shared" si="90"/>
        <v>150</v>
      </c>
      <c r="P495" s="289">
        <f t="shared" si="91"/>
        <v>4000000</v>
      </c>
      <c r="Q495" s="285">
        <f t="shared" si="92"/>
        <v>110</v>
      </c>
      <c r="R495" s="285">
        <f t="shared" si="93"/>
        <v>85</v>
      </c>
      <c r="S495" s="285">
        <f t="shared" si="94"/>
        <v>0.35</v>
      </c>
      <c r="T495" s="285">
        <f t="shared" si="95"/>
        <v>3.2</v>
      </c>
      <c r="U495" s="285">
        <f t="shared" si="96"/>
        <v>1</v>
      </c>
      <c r="V495" s="285">
        <f t="shared" si="97"/>
        <v>4.5</v>
      </c>
      <c r="W495" s="285">
        <f t="shared" si="98"/>
        <v>1.5</v>
      </c>
      <c r="X495" s="289">
        <f t="shared" si="99"/>
        <v>34226.269880723827</v>
      </c>
      <c r="Y495" s="288">
        <f t="shared" si="100"/>
        <v>0.17113134940361913</v>
      </c>
      <c r="Z495" s="256">
        <f t="shared" si="101"/>
        <v>181.74993027852094</v>
      </c>
      <c r="AA495" s="289">
        <f t="shared" si="102"/>
        <v>70179.774370368483</v>
      </c>
      <c r="AB495" s="288">
        <f t="shared" si="103"/>
        <v>0.35089887185184243</v>
      </c>
    </row>
    <row r="496" spans="13:28" ht="12" hidden="1" customHeight="1">
      <c r="M496" s="266"/>
      <c r="N496" s="288">
        <f t="shared" si="104"/>
        <v>9.0199999999999143</v>
      </c>
      <c r="O496" s="285">
        <f t="shared" si="90"/>
        <v>150</v>
      </c>
      <c r="P496" s="289">
        <f t="shared" si="91"/>
        <v>4000000</v>
      </c>
      <c r="Q496" s="285">
        <f t="shared" si="92"/>
        <v>110</v>
      </c>
      <c r="R496" s="285">
        <f t="shared" si="93"/>
        <v>85</v>
      </c>
      <c r="S496" s="285">
        <f t="shared" si="94"/>
        <v>0.35</v>
      </c>
      <c r="T496" s="285">
        <f t="shared" si="95"/>
        <v>3.2</v>
      </c>
      <c r="U496" s="285">
        <f t="shared" si="96"/>
        <v>1</v>
      </c>
      <c r="V496" s="285">
        <f t="shared" si="97"/>
        <v>4.5</v>
      </c>
      <c r="W496" s="285">
        <f t="shared" si="98"/>
        <v>1.5</v>
      </c>
      <c r="X496" s="289">
        <f t="shared" si="99"/>
        <v>34471.225469218807</v>
      </c>
      <c r="Y496" s="288">
        <f t="shared" si="100"/>
        <v>0.17235612734609404</v>
      </c>
      <c r="Z496" s="256">
        <f t="shared" si="101"/>
        <v>181.74993027852094</v>
      </c>
      <c r="AA496" s="289">
        <f t="shared" si="102"/>
        <v>70682.047273353455</v>
      </c>
      <c r="AB496" s="288">
        <f t="shared" si="103"/>
        <v>0.35341023636676727</v>
      </c>
    </row>
    <row r="497" spans="13:28" ht="12" hidden="1" customHeight="1">
      <c r="M497" s="266"/>
      <c r="N497" s="288">
        <f t="shared" si="104"/>
        <v>9.0299999999999141</v>
      </c>
      <c r="O497" s="285">
        <f t="shared" si="90"/>
        <v>150</v>
      </c>
      <c r="P497" s="289">
        <f t="shared" si="91"/>
        <v>4000000</v>
      </c>
      <c r="Q497" s="285">
        <f t="shared" si="92"/>
        <v>110</v>
      </c>
      <c r="R497" s="285">
        <f t="shared" si="93"/>
        <v>85</v>
      </c>
      <c r="S497" s="285">
        <f t="shared" si="94"/>
        <v>0.35</v>
      </c>
      <c r="T497" s="285">
        <f t="shared" si="95"/>
        <v>3.2</v>
      </c>
      <c r="U497" s="285">
        <f t="shared" si="96"/>
        <v>1</v>
      </c>
      <c r="V497" s="285">
        <f t="shared" si="97"/>
        <v>4.5</v>
      </c>
      <c r="W497" s="285">
        <f t="shared" si="98"/>
        <v>1.5</v>
      </c>
      <c r="X497" s="289">
        <f t="shared" si="99"/>
        <v>34717.697720207601</v>
      </c>
      <c r="Y497" s="288">
        <f t="shared" si="100"/>
        <v>0.17358848860103801</v>
      </c>
      <c r="Z497" s="256">
        <f t="shared" si="101"/>
        <v>181.74993027852094</v>
      </c>
      <c r="AA497" s="289">
        <f t="shared" si="102"/>
        <v>71187.430039960236</v>
      </c>
      <c r="AB497" s="288">
        <f t="shared" si="103"/>
        <v>0.35593715019980116</v>
      </c>
    </row>
    <row r="498" spans="13:28" ht="12" hidden="1" customHeight="1">
      <c r="M498" s="266"/>
      <c r="N498" s="288">
        <f t="shared" si="104"/>
        <v>9.0399999999999139</v>
      </c>
      <c r="O498" s="285">
        <f t="shared" si="90"/>
        <v>150</v>
      </c>
      <c r="P498" s="289">
        <f t="shared" si="91"/>
        <v>4000000</v>
      </c>
      <c r="Q498" s="285">
        <f t="shared" si="92"/>
        <v>110</v>
      </c>
      <c r="R498" s="285">
        <f t="shared" si="93"/>
        <v>85</v>
      </c>
      <c r="S498" s="285">
        <f t="shared" si="94"/>
        <v>0.35</v>
      </c>
      <c r="T498" s="285">
        <f t="shared" si="95"/>
        <v>3.2</v>
      </c>
      <c r="U498" s="285">
        <f t="shared" si="96"/>
        <v>1</v>
      </c>
      <c r="V498" s="285">
        <f t="shared" si="97"/>
        <v>4.5</v>
      </c>
      <c r="W498" s="285">
        <f t="shared" si="98"/>
        <v>1.5</v>
      </c>
      <c r="X498" s="289">
        <f t="shared" si="99"/>
        <v>34965.694551103086</v>
      </c>
      <c r="Y498" s="288">
        <f t="shared" si="100"/>
        <v>0.17482847275551544</v>
      </c>
      <c r="Z498" s="256">
        <f t="shared" si="101"/>
        <v>181.74993027852094</v>
      </c>
      <c r="AA498" s="289">
        <f t="shared" si="102"/>
        <v>71695.938904568044</v>
      </c>
      <c r="AB498" s="288">
        <f t="shared" si="103"/>
        <v>0.35847969452284023</v>
      </c>
    </row>
    <row r="499" spans="13:28" ht="12" hidden="1" customHeight="1">
      <c r="M499" s="266"/>
      <c r="N499" s="288">
        <f t="shared" si="104"/>
        <v>9.0499999999999137</v>
      </c>
      <c r="O499" s="285">
        <f t="shared" si="90"/>
        <v>150</v>
      </c>
      <c r="P499" s="289">
        <f t="shared" si="91"/>
        <v>4000000</v>
      </c>
      <c r="Q499" s="285">
        <f t="shared" si="92"/>
        <v>110</v>
      </c>
      <c r="R499" s="285">
        <f t="shared" si="93"/>
        <v>85</v>
      </c>
      <c r="S499" s="285">
        <f t="shared" si="94"/>
        <v>0.35</v>
      </c>
      <c r="T499" s="285">
        <f t="shared" si="95"/>
        <v>3.2</v>
      </c>
      <c r="U499" s="285">
        <f t="shared" si="96"/>
        <v>1</v>
      </c>
      <c r="V499" s="285">
        <f t="shared" si="97"/>
        <v>4.5</v>
      </c>
      <c r="W499" s="285">
        <f t="shared" si="98"/>
        <v>1.5</v>
      </c>
      <c r="X499" s="289">
        <f t="shared" si="99"/>
        <v>35215.223912932233</v>
      </c>
      <c r="Y499" s="288">
        <f t="shared" si="100"/>
        <v>0.17607611956466115</v>
      </c>
      <c r="Z499" s="256">
        <f t="shared" si="101"/>
        <v>181.74993027852094</v>
      </c>
      <c r="AA499" s="289">
        <f t="shared" si="102"/>
        <v>72207.59017048114</v>
      </c>
      <c r="AB499" s="288">
        <f t="shared" si="103"/>
        <v>0.3610379508524057</v>
      </c>
    </row>
    <row r="500" spans="13:28" ht="12" hidden="1" customHeight="1">
      <c r="M500" s="266"/>
      <c r="N500" s="288">
        <f t="shared" si="104"/>
        <v>9.0599999999999135</v>
      </c>
      <c r="O500" s="285">
        <f t="shared" si="90"/>
        <v>150</v>
      </c>
      <c r="P500" s="289">
        <f t="shared" si="91"/>
        <v>4000000</v>
      </c>
      <c r="Q500" s="285">
        <f t="shared" si="92"/>
        <v>110</v>
      </c>
      <c r="R500" s="285">
        <f t="shared" si="93"/>
        <v>85</v>
      </c>
      <c r="S500" s="285">
        <f t="shared" si="94"/>
        <v>0.35</v>
      </c>
      <c r="T500" s="285">
        <f t="shared" si="95"/>
        <v>3.2</v>
      </c>
      <c r="U500" s="285">
        <f t="shared" si="96"/>
        <v>1</v>
      </c>
      <c r="V500" s="285">
        <f t="shared" si="97"/>
        <v>4.5</v>
      </c>
      <c r="W500" s="285">
        <f t="shared" si="98"/>
        <v>1.5</v>
      </c>
      <c r="X500" s="289">
        <f t="shared" si="99"/>
        <v>35466.293790444892</v>
      </c>
      <c r="Y500" s="288">
        <f t="shared" si="100"/>
        <v>0.17733146895222446</v>
      </c>
      <c r="Z500" s="256">
        <f t="shared" si="101"/>
        <v>181.74993027852094</v>
      </c>
      <c r="AA500" s="289">
        <f t="shared" si="102"/>
        <v>72722.400210150518</v>
      </c>
      <c r="AB500" s="288">
        <f t="shared" si="103"/>
        <v>0.36361200105075259</v>
      </c>
    </row>
    <row r="501" spans="13:28" ht="12" hidden="1" customHeight="1">
      <c r="M501" s="266"/>
      <c r="N501" s="288">
        <f t="shared" si="104"/>
        <v>9.0699999999999132</v>
      </c>
      <c r="O501" s="285">
        <f t="shared" si="90"/>
        <v>150</v>
      </c>
      <c r="P501" s="289">
        <f t="shared" si="91"/>
        <v>4000000</v>
      </c>
      <c r="Q501" s="285">
        <f t="shared" si="92"/>
        <v>110</v>
      </c>
      <c r="R501" s="285">
        <f t="shared" si="93"/>
        <v>85</v>
      </c>
      <c r="S501" s="285">
        <f t="shared" si="94"/>
        <v>0.35</v>
      </c>
      <c r="T501" s="285">
        <f t="shared" si="95"/>
        <v>3.2</v>
      </c>
      <c r="U501" s="285">
        <f t="shared" si="96"/>
        <v>1</v>
      </c>
      <c r="V501" s="285">
        <f t="shared" si="97"/>
        <v>4.5</v>
      </c>
      <c r="W501" s="285">
        <f t="shared" si="98"/>
        <v>1.5</v>
      </c>
      <c r="X501" s="289">
        <f t="shared" si="99"/>
        <v>35718.912202225081</v>
      </c>
      <c r="Y501" s="288">
        <f t="shared" si="100"/>
        <v>0.17859456101112542</v>
      </c>
      <c r="Z501" s="256">
        <f t="shared" si="101"/>
        <v>181.74993027852094</v>
      </c>
      <c r="AA501" s="289">
        <f t="shared" si="102"/>
        <v>73240.385465404048</v>
      </c>
      <c r="AB501" s="288">
        <f t="shared" si="103"/>
        <v>0.36620192732702023</v>
      </c>
    </row>
    <row r="502" spans="13:28" ht="12" hidden="1" customHeight="1">
      <c r="M502" s="266"/>
      <c r="N502" s="288">
        <f t="shared" si="104"/>
        <v>9.079999999999913</v>
      </c>
      <c r="O502" s="285">
        <f t="shared" si="90"/>
        <v>150</v>
      </c>
      <c r="P502" s="289">
        <f t="shared" si="91"/>
        <v>4000000</v>
      </c>
      <c r="Q502" s="285">
        <f t="shared" si="92"/>
        <v>110</v>
      </c>
      <c r="R502" s="285">
        <f t="shared" si="93"/>
        <v>85</v>
      </c>
      <c r="S502" s="285">
        <f t="shared" si="94"/>
        <v>0.35</v>
      </c>
      <c r="T502" s="285">
        <f t="shared" si="95"/>
        <v>3.2</v>
      </c>
      <c r="U502" s="285">
        <f t="shared" si="96"/>
        <v>1</v>
      </c>
      <c r="V502" s="285">
        <f t="shared" si="97"/>
        <v>4.5</v>
      </c>
      <c r="W502" s="285">
        <f t="shared" si="98"/>
        <v>1.5</v>
      </c>
      <c r="X502" s="289">
        <f t="shared" si="99"/>
        <v>35973.08720080067</v>
      </c>
      <c r="Y502" s="288">
        <f t="shared" si="100"/>
        <v>0.17986543600400334</v>
      </c>
      <c r="Z502" s="256">
        <f t="shared" si="101"/>
        <v>181.74993027852094</v>
      </c>
      <c r="AA502" s="289">
        <f t="shared" si="102"/>
        <v>73761.562447668941</v>
      </c>
      <c r="AB502" s="288">
        <f t="shared" si="103"/>
        <v>0.36880781223834469</v>
      </c>
    </row>
    <row r="503" spans="13:28" ht="12" hidden="1" customHeight="1">
      <c r="M503" s="266"/>
      <c r="N503" s="288">
        <f t="shared" si="104"/>
        <v>9.0899999999999128</v>
      </c>
      <c r="O503" s="285">
        <f t="shared" si="90"/>
        <v>150</v>
      </c>
      <c r="P503" s="289">
        <f t="shared" si="91"/>
        <v>4000000</v>
      </c>
      <c r="Q503" s="285">
        <f t="shared" si="92"/>
        <v>110</v>
      </c>
      <c r="R503" s="285">
        <f t="shared" si="93"/>
        <v>85</v>
      </c>
      <c r="S503" s="285">
        <f t="shared" si="94"/>
        <v>0.35</v>
      </c>
      <c r="T503" s="285">
        <f t="shared" si="95"/>
        <v>3.2</v>
      </c>
      <c r="U503" s="285">
        <f t="shared" si="96"/>
        <v>1</v>
      </c>
      <c r="V503" s="285">
        <f t="shared" si="97"/>
        <v>4.5</v>
      </c>
      <c r="W503" s="285">
        <f t="shared" si="98"/>
        <v>1.5</v>
      </c>
      <c r="X503" s="289">
        <f t="shared" si="99"/>
        <v>36228.826872754122</v>
      </c>
      <c r="Y503" s="288">
        <f t="shared" si="100"/>
        <v>0.18114413436377061</v>
      </c>
      <c r="Z503" s="256">
        <f t="shared" si="101"/>
        <v>181.74993027852094</v>
      </c>
      <c r="AA503" s="289">
        <f t="shared" si="102"/>
        <v>74285.947738201387</v>
      </c>
      <c r="AB503" s="288">
        <f t="shared" si="103"/>
        <v>0.37142973869100693</v>
      </c>
    </row>
    <row r="504" spans="13:28" ht="12" hidden="1" customHeight="1">
      <c r="M504" s="266"/>
      <c r="N504" s="288">
        <f t="shared" si="104"/>
        <v>9.0999999999999126</v>
      </c>
      <c r="O504" s="285">
        <f t="shared" si="90"/>
        <v>150</v>
      </c>
      <c r="P504" s="289">
        <f t="shared" si="91"/>
        <v>4000000</v>
      </c>
      <c r="Q504" s="285">
        <f t="shared" si="92"/>
        <v>110</v>
      </c>
      <c r="R504" s="285">
        <f t="shared" si="93"/>
        <v>85</v>
      </c>
      <c r="S504" s="285">
        <f t="shared" si="94"/>
        <v>0.35</v>
      </c>
      <c r="T504" s="285">
        <f t="shared" si="95"/>
        <v>3.2</v>
      </c>
      <c r="U504" s="285">
        <f t="shared" si="96"/>
        <v>1</v>
      </c>
      <c r="V504" s="285">
        <f t="shared" si="97"/>
        <v>4.5</v>
      </c>
      <c r="W504" s="285">
        <f t="shared" si="98"/>
        <v>1.5</v>
      </c>
      <c r="X504" s="289">
        <f t="shared" si="99"/>
        <v>36486.13933883328</v>
      </c>
      <c r="Y504" s="288">
        <f t="shared" si="100"/>
        <v>0.18243069669416639</v>
      </c>
      <c r="Z504" s="256">
        <f t="shared" si="101"/>
        <v>181.74993027852094</v>
      </c>
      <c r="AA504" s="289">
        <f t="shared" si="102"/>
        <v>74813.557988312023</v>
      </c>
      <c r="AB504" s="288">
        <f t="shared" si="103"/>
        <v>0.37406778994156009</v>
      </c>
    </row>
    <row r="505" spans="13:28" ht="12" hidden="1" customHeight="1">
      <c r="M505" s="266"/>
      <c r="N505" s="288">
        <f t="shared" si="104"/>
        <v>9.1099999999999124</v>
      </c>
      <c r="O505" s="285">
        <f t="shared" si="90"/>
        <v>150</v>
      </c>
      <c r="P505" s="289">
        <f t="shared" si="91"/>
        <v>4000000</v>
      </c>
      <c r="Q505" s="285">
        <f t="shared" si="92"/>
        <v>110</v>
      </c>
      <c r="R505" s="285">
        <f t="shared" si="93"/>
        <v>85</v>
      </c>
      <c r="S505" s="285">
        <f t="shared" si="94"/>
        <v>0.35</v>
      </c>
      <c r="T505" s="285">
        <f t="shared" si="95"/>
        <v>3.2</v>
      </c>
      <c r="U505" s="285">
        <f t="shared" si="96"/>
        <v>1</v>
      </c>
      <c r="V505" s="285">
        <f t="shared" si="97"/>
        <v>4.5</v>
      </c>
      <c r="W505" s="285">
        <f t="shared" si="98"/>
        <v>1.5</v>
      </c>
      <c r="X505" s="289">
        <f t="shared" si="99"/>
        <v>36745.03275406282</v>
      </c>
      <c r="Y505" s="288">
        <f t="shared" si="100"/>
        <v>0.18372516377031411</v>
      </c>
      <c r="Z505" s="256">
        <f t="shared" si="101"/>
        <v>181.74993027852094</v>
      </c>
      <c r="AA505" s="289">
        <f t="shared" si="102"/>
        <v>75344.409919594676</v>
      </c>
      <c r="AB505" s="288">
        <f t="shared" si="103"/>
        <v>0.3767220495979734</v>
      </c>
    </row>
    <row r="506" spans="13:28" ht="12" hidden="1" customHeight="1">
      <c r="M506" s="266"/>
      <c r="N506" s="288">
        <f t="shared" si="104"/>
        <v>9.1199999999999122</v>
      </c>
      <c r="O506" s="285">
        <f t="shared" si="90"/>
        <v>150</v>
      </c>
      <c r="P506" s="289">
        <f t="shared" si="91"/>
        <v>4000000</v>
      </c>
      <c r="Q506" s="285">
        <f t="shared" si="92"/>
        <v>110</v>
      </c>
      <c r="R506" s="285">
        <f t="shared" si="93"/>
        <v>85</v>
      </c>
      <c r="S506" s="285">
        <f t="shared" si="94"/>
        <v>0.35</v>
      </c>
      <c r="T506" s="285">
        <f t="shared" si="95"/>
        <v>3.2</v>
      </c>
      <c r="U506" s="285">
        <f t="shared" si="96"/>
        <v>1</v>
      </c>
      <c r="V506" s="285">
        <f t="shared" si="97"/>
        <v>4.5</v>
      </c>
      <c r="W506" s="285">
        <f t="shared" si="98"/>
        <v>1.5</v>
      </c>
      <c r="X506" s="289">
        <f t="shared" si="99"/>
        <v>37005.515307855218</v>
      </c>
      <c r="Y506" s="288">
        <f t="shared" si="100"/>
        <v>0.1850275765392761</v>
      </c>
      <c r="Z506" s="256">
        <f t="shared" si="101"/>
        <v>181.74993027852094</v>
      </c>
      <c r="AA506" s="289">
        <f t="shared" si="102"/>
        <v>75878.520324154379</v>
      </c>
      <c r="AB506" s="288">
        <f t="shared" si="103"/>
        <v>0.37939260162077187</v>
      </c>
    </row>
    <row r="507" spans="13:28" ht="12" hidden="1" customHeight="1">
      <c r="M507" s="266"/>
      <c r="N507" s="288">
        <f t="shared" si="104"/>
        <v>9.129999999999912</v>
      </c>
      <c r="O507" s="285">
        <f t="shared" si="90"/>
        <v>150</v>
      </c>
      <c r="P507" s="289">
        <f t="shared" si="91"/>
        <v>4000000</v>
      </c>
      <c r="Q507" s="285">
        <f t="shared" si="92"/>
        <v>110</v>
      </c>
      <c r="R507" s="285">
        <f t="shared" si="93"/>
        <v>85</v>
      </c>
      <c r="S507" s="285">
        <f t="shared" si="94"/>
        <v>0.35</v>
      </c>
      <c r="T507" s="285">
        <f t="shared" si="95"/>
        <v>3.2</v>
      </c>
      <c r="U507" s="285">
        <f t="shared" si="96"/>
        <v>1</v>
      </c>
      <c r="V507" s="285">
        <f t="shared" si="97"/>
        <v>4.5</v>
      </c>
      <c r="W507" s="285">
        <f t="shared" si="98"/>
        <v>1.5</v>
      </c>
      <c r="X507" s="289">
        <f t="shared" si="99"/>
        <v>37267.595224122895</v>
      </c>
      <c r="Y507" s="288">
        <f t="shared" si="100"/>
        <v>0.18633797612061448</v>
      </c>
      <c r="Z507" s="256">
        <f t="shared" si="101"/>
        <v>181.74993027852094</v>
      </c>
      <c r="AA507" s="289">
        <f t="shared" si="102"/>
        <v>76415.906064837443</v>
      </c>
      <c r="AB507" s="288">
        <f t="shared" si="103"/>
        <v>0.38207953032418723</v>
      </c>
    </row>
    <row r="508" spans="13:28" ht="12" hidden="1" customHeight="1">
      <c r="M508" s="266"/>
      <c r="N508" s="288">
        <f t="shared" si="104"/>
        <v>9.1399999999999118</v>
      </c>
      <c r="O508" s="285">
        <f t="shared" si="90"/>
        <v>150</v>
      </c>
      <c r="P508" s="289">
        <f t="shared" si="91"/>
        <v>4000000</v>
      </c>
      <c r="Q508" s="285">
        <f t="shared" si="92"/>
        <v>110</v>
      </c>
      <c r="R508" s="285">
        <f t="shared" si="93"/>
        <v>85</v>
      </c>
      <c r="S508" s="285">
        <f t="shared" si="94"/>
        <v>0.35</v>
      </c>
      <c r="T508" s="285">
        <f t="shared" si="95"/>
        <v>3.2</v>
      </c>
      <c r="U508" s="285">
        <f t="shared" si="96"/>
        <v>1</v>
      </c>
      <c r="V508" s="285">
        <f t="shared" si="97"/>
        <v>4.5</v>
      </c>
      <c r="W508" s="285">
        <f t="shared" si="98"/>
        <v>1.5</v>
      </c>
      <c r="X508" s="289">
        <f t="shared" si="99"/>
        <v>37531.280761389549</v>
      </c>
      <c r="Y508" s="288">
        <f t="shared" si="100"/>
        <v>0.18765640380694776</v>
      </c>
      <c r="Z508" s="256">
        <f t="shared" si="101"/>
        <v>181.74993027852094</v>
      </c>
      <c r="AA508" s="289">
        <f t="shared" si="102"/>
        <v>76956.584075458901</v>
      </c>
      <c r="AB508" s="288">
        <f t="shared" si="103"/>
        <v>0.3847829203772945</v>
      </c>
    </row>
    <row r="509" spans="13:28" ht="12" hidden="1" customHeight="1">
      <c r="M509" s="266"/>
      <c r="N509" s="288">
        <f t="shared" si="104"/>
        <v>9.1499999999999115</v>
      </c>
      <c r="O509" s="285">
        <f t="shared" si="90"/>
        <v>150</v>
      </c>
      <c r="P509" s="289">
        <f t="shared" si="91"/>
        <v>4000000</v>
      </c>
      <c r="Q509" s="285">
        <f t="shared" si="92"/>
        <v>110</v>
      </c>
      <c r="R509" s="285">
        <f t="shared" si="93"/>
        <v>85</v>
      </c>
      <c r="S509" s="285">
        <f t="shared" si="94"/>
        <v>0.35</v>
      </c>
      <c r="T509" s="285">
        <f t="shared" si="95"/>
        <v>3.2</v>
      </c>
      <c r="U509" s="285">
        <f t="shared" si="96"/>
        <v>1</v>
      </c>
      <c r="V509" s="285">
        <f t="shared" si="97"/>
        <v>4.5</v>
      </c>
      <c r="W509" s="285">
        <f t="shared" si="98"/>
        <v>1.5</v>
      </c>
      <c r="X509" s="289">
        <f t="shared" si="99"/>
        <v>37796.580212902911</v>
      </c>
      <c r="Y509" s="288">
        <f t="shared" si="100"/>
        <v>0.18898290106451454</v>
      </c>
      <c r="Z509" s="256">
        <f t="shared" si="101"/>
        <v>181.74993027852094</v>
      </c>
      <c r="AA509" s="289">
        <f t="shared" si="102"/>
        <v>77500.571361034556</v>
      </c>
      <c r="AB509" s="288">
        <f t="shared" si="103"/>
        <v>0.38750285680517277</v>
      </c>
    </row>
    <row r="510" spans="13:28" ht="12" hidden="1" customHeight="1">
      <c r="M510" s="266"/>
      <c r="N510" s="288">
        <f t="shared" si="104"/>
        <v>9.1599999999999113</v>
      </c>
      <c r="O510" s="285">
        <f t="shared" si="90"/>
        <v>150</v>
      </c>
      <c r="P510" s="289">
        <f t="shared" si="91"/>
        <v>4000000</v>
      </c>
      <c r="Q510" s="285">
        <f t="shared" si="92"/>
        <v>110</v>
      </c>
      <c r="R510" s="285">
        <f t="shared" si="93"/>
        <v>85</v>
      </c>
      <c r="S510" s="285">
        <f t="shared" si="94"/>
        <v>0.35</v>
      </c>
      <c r="T510" s="285">
        <f t="shared" si="95"/>
        <v>3.2</v>
      </c>
      <c r="U510" s="285">
        <f t="shared" si="96"/>
        <v>1</v>
      </c>
      <c r="V510" s="285">
        <f t="shared" si="97"/>
        <v>4.5</v>
      </c>
      <c r="W510" s="285">
        <f t="shared" si="98"/>
        <v>1.5</v>
      </c>
      <c r="X510" s="289">
        <f t="shared" si="99"/>
        <v>38063.501906746424</v>
      </c>
      <c r="Y510" s="288">
        <f t="shared" si="100"/>
        <v>0.19031750953373211</v>
      </c>
      <c r="Z510" s="256">
        <f t="shared" si="101"/>
        <v>181.74993027852094</v>
      </c>
      <c r="AA510" s="289">
        <f t="shared" si="102"/>
        <v>78047.884998008914</v>
      </c>
      <c r="AB510" s="288">
        <f t="shared" si="103"/>
        <v>0.39023942499004455</v>
      </c>
    </row>
    <row r="511" spans="13:28" ht="12" hidden="1" customHeight="1">
      <c r="M511" s="266"/>
      <c r="N511" s="288">
        <f t="shared" si="104"/>
        <v>9.1699999999999111</v>
      </c>
      <c r="O511" s="285">
        <f t="shared" si="90"/>
        <v>150</v>
      </c>
      <c r="P511" s="289">
        <f t="shared" si="91"/>
        <v>4000000</v>
      </c>
      <c r="Q511" s="285">
        <f t="shared" si="92"/>
        <v>110</v>
      </c>
      <c r="R511" s="285">
        <f t="shared" si="93"/>
        <v>85</v>
      </c>
      <c r="S511" s="285">
        <f t="shared" si="94"/>
        <v>0.35</v>
      </c>
      <c r="T511" s="285">
        <f t="shared" si="95"/>
        <v>3.2</v>
      </c>
      <c r="U511" s="285">
        <f t="shared" si="96"/>
        <v>1</v>
      </c>
      <c r="V511" s="285">
        <f t="shared" si="97"/>
        <v>4.5</v>
      </c>
      <c r="W511" s="285">
        <f t="shared" si="98"/>
        <v>1.5</v>
      </c>
      <c r="X511" s="289">
        <f t="shared" si="99"/>
        <v>38332.054205952605</v>
      </c>
      <c r="Y511" s="288">
        <f t="shared" si="100"/>
        <v>0.19166027102976302</v>
      </c>
      <c r="Z511" s="256">
        <f t="shared" si="101"/>
        <v>181.74993027852094</v>
      </c>
      <c r="AA511" s="289">
        <f t="shared" si="102"/>
        <v>78598.542134489704</v>
      </c>
      <c r="AB511" s="288">
        <f t="shared" si="103"/>
        <v>0.39299271067244851</v>
      </c>
    </row>
    <row r="512" spans="13:28" ht="12" hidden="1" customHeight="1">
      <c r="M512" s="266"/>
      <c r="N512" s="288">
        <f t="shared" si="104"/>
        <v>9.1799999999999109</v>
      </c>
      <c r="O512" s="285">
        <f t="shared" si="90"/>
        <v>150</v>
      </c>
      <c r="P512" s="289">
        <f t="shared" si="91"/>
        <v>4000000</v>
      </c>
      <c r="Q512" s="285">
        <f t="shared" si="92"/>
        <v>110</v>
      </c>
      <c r="R512" s="285">
        <f t="shared" si="93"/>
        <v>85</v>
      </c>
      <c r="S512" s="285">
        <f t="shared" si="94"/>
        <v>0.35</v>
      </c>
      <c r="T512" s="285">
        <f t="shared" si="95"/>
        <v>3.2</v>
      </c>
      <c r="U512" s="285">
        <f t="shared" si="96"/>
        <v>1</v>
      </c>
      <c r="V512" s="285">
        <f t="shared" si="97"/>
        <v>4.5</v>
      </c>
      <c r="W512" s="285">
        <f t="shared" si="98"/>
        <v>1.5</v>
      </c>
      <c r="X512" s="289">
        <f t="shared" si="99"/>
        <v>38602.245508615553</v>
      </c>
      <c r="Y512" s="288">
        <f t="shared" si="100"/>
        <v>0.19301122754307776</v>
      </c>
      <c r="Z512" s="256">
        <f t="shared" si="101"/>
        <v>181.74993027852094</v>
      </c>
      <c r="AA512" s="289">
        <f t="shared" si="102"/>
        <v>79152.559990475842</v>
      </c>
      <c r="AB512" s="288">
        <f t="shared" si="103"/>
        <v>0.39576279995237923</v>
      </c>
    </row>
    <row r="513" spans="13:28" ht="12" hidden="1" customHeight="1">
      <c r="M513" s="266"/>
      <c r="N513" s="288">
        <f t="shared" si="104"/>
        <v>9.1899999999999107</v>
      </c>
      <c r="O513" s="285">
        <f t="shared" si="90"/>
        <v>150</v>
      </c>
      <c r="P513" s="289">
        <f t="shared" si="91"/>
        <v>4000000</v>
      </c>
      <c r="Q513" s="285">
        <f t="shared" si="92"/>
        <v>110</v>
      </c>
      <c r="R513" s="285">
        <f t="shared" si="93"/>
        <v>85</v>
      </c>
      <c r="S513" s="285">
        <f t="shared" si="94"/>
        <v>0.35</v>
      </c>
      <c r="T513" s="285">
        <f t="shared" si="95"/>
        <v>3.2</v>
      </c>
      <c r="U513" s="285">
        <f t="shared" si="96"/>
        <v>1</v>
      </c>
      <c r="V513" s="285">
        <f t="shared" si="97"/>
        <v>4.5</v>
      </c>
      <c r="W513" s="285">
        <f t="shared" si="98"/>
        <v>1.5</v>
      </c>
      <c r="X513" s="289">
        <f t="shared" si="99"/>
        <v>38874.084248004059</v>
      </c>
      <c r="Y513" s="288">
        <f t="shared" si="100"/>
        <v>0.1943704212400203</v>
      </c>
      <c r="Z513" s="256">
        <f t="shared" si="101"/>
        <v>181.74993027852094</v>
      </c>
      <c r="AA513" s="289">
        <f t="shared" si="102"/>
        <v>79709.955858091271</v>
      </c>
      <c r="AB513" s="288">
        <f t="shared" si="103"/>
        <v>0.39854977929045637</v>
      </c>
    </row>
    <row r="514" spans="13:28" ht="12" hidden="1" customHeight="1">
      <c r="M514" s="266"/>
      <c r="N514" s="288">
        <f t="shared" si="104"/>
        <v>9.1999999999999105</v>
      </c>
      <c r="O514" s="285">
        <f t="shared" si="90"/>
        <v>150</v>
      </c>
      <c r="P514" s="289">
        <f t="shared" si="91"/>
        <v>4000000</v>
      </c>
      <c r="Q514" s="285">
        <f t="shared" si="92"/>
        <v>110</v>
      </c>
      <c r="R514" s="285">
        <f t="shared" si="93"/>
        <v>85</v>
      </c>
      <c r="S514" s="285">
        <f t="shared" si="94"/>
        <v>0.35</v>
      </c>
      <c r="T514" s="285">
        <f t="shared" si="95"/>
        <v>3.2</v>
      </c>
      <c r="U514" s="285">
        <f t="shared" si="96"/>
        <v>1</v>
      </c>
      <c r="V514" s="285">
        <f t="shared" si="97"/>
        <v>4.5</v>
      </c>
      <c r="W514" s="285">
        <f t="shared" si="98"/>
        <v>1.5</v>
      </c>
      <c r="X514" s="289">
        <f t="shared" si="99"/>
        <v>39147.578892675469</v>
      </c>
      <c r="Y514" s="288">
        <f t="shared" si="100"/>
        <v>0.19573789446337733</v>
      </c>
      <c r="Z514" s="256">
        <f t="shared" si="101"/>
        <v>181.74993027852094</v>
      </c>
      <c r="AA514" s="289">
        <f t="shared" si="102"/>
        <v>80270.747101818313</v>
      </c>
      <c r="AB514" s="288">
        <f t="shared" si="103"/>
        <v>0.40135373550909159</v>
      </c>
    </row>
    <row r="515" spans="13:28" ht="12" hidden="1" customHeight="1">
      <c r="M515" s="266"/>
      <c r="N515" s="288">
        <f t="shared" si="104"/>
        <v>9.2099999999999103</v>
      </c>
      <c r="O515" s="285">
        <f t="shared" si="90"/>
        <v>150</v>
      </c>
      <c r="P515" s="289">
        <f t="shared" si="91"/>
        <v>4000000</v>
      </c>
      <c r="Q515" s="285">
        <f t="shared" si="92"/>
        <v>110</v>
      </c>
      <c r="R515" s="285">
        <f t="shared" si="93"/>
        <v>85</v>
      </c>
      <c r="S515" s="285">
        <f t="shared" si="94"/>
        <v>0.35</v>
      </c>
      <c r="T515" s="285">
        <f t="shared" si="95"/>
        <v>3.2</v>
      </c>
      <c r="U515" s="285">
        <f t="shared" si="96"/>
        <v>1</v>
      </c>
      <c r="V515" s="285">
        <f t="shared" si="97"/>
        <v>4.5</v>
      </c>
      <c r="W515" s="285">
        <f t="shared" si="98"/>
        <v>1.5</v>
      </c>
      <c r="X515" s="289">
        <f t="shared" si="99"/>
        <v>39422.737946588903</v>
      </c>
      <c r="Y515" s="288">
        <f t="shared" si="100"/>
        <v>0.19711368973294452</v>
      </c>
      <c r="Z515" s="256">
        <f t="shared" si="101"/>
        <v>181.74993027852094</v>
      </c>
      <c r="AA515" s="289">
        <f t="shared" si="102"/>
        <v>80834.951158728407</v>
      </c>
      <c r="AB515" s="288">
        <f t="shared" si="103"/>
        <v>0.40417475579364204</v>
      </c>
    </row>
    <row r="516" spans="13:28" ht="12" hidden="1" customHeight="1">
      <c r="M516" s="266"/>
      <c r="N516" s="288">
        <f t="shared" si="104"/>
        <v>9.21999999999991</v>
      </c>
      <c r="O516" s="285">
        <f t="shared" si="90"/>
        <v>150</v>
      </c>
      <c r="P516" s="289">
        <f t="shared" si="91"/>
        <v>4000000</v>
      </c>
      <c r="Q516" s="285">
        <f t="shared" si="92"/>
        <v>110</v>
      </c>
      <c r="R516" s="285">
        <f t="shared" si="93"/>
        <v>85</v>
      </c>
      <c r="S516" s="285">
        <f t="shared" si="94"/>
        <v>0.35</v>
      </c>
      <c r="T516" s="285">
        <f t="shared" si="95"/>
        <v>3.2</v>
      </c>
      <c r="U516" s="285">
        <f t="shared" si="96"/>
        <v>1</v>
      </c>
      <c r="V516" s="285">
        <f t="shared" si="97"/>
        <v>4.5</v>
      </c>
      <c r="W516" s="285">
        <f t="shared" si="98"/>
        <v>1.5</v>
      </c>
      <c r="X516" s="289">
        <f t="shared" si="99"/>
        <v>39699.56994921928</v>
      </c>
      <c r="Y516" s="288">
        <f t="shared" si="100"/>
        <v>0.19849784974609641</v>
      </c>
      <c r="Z516" s="256">
        <f t="shared" si="101"/>
        <v>181.74993027852094</v>
      </c>
      <c r="AA516" s="289">
        <f t="shared" si="102"/>
        <v>81402.585538718165</v>
      </c>
      <c r="AB516" s="288">
        <f t="shared" si="103"/>
        <v>0.40701292769359082</v>
      </c>
    </row>
    <row r="517" spans="13:28" ht="12" hidden="1" customHeight="1">
      <c r="M517" s="266"/>
      <c r="N517" s="288">
        <f t="shared" si="104"/>
        <v>9.2299999999999098</v>
      </c>
      <c r="O517" s="285">
        <f t="shared" si="90"/>
        <v>150</v>
      </c>
      <c r="P517" s="289">
        <f t="shared" si="91"/>
        <v>4000000</v>
      </c>
      <c r="Q517" s="285">
        <f t="shared" si="92"/>
        <v>110</v>
      </c>
      <c r="R517" s="285">
        <f t="shared" si="93"/>
        <v>85</v>
      </c>
      <c r="S517" s="285">
        <f t="shared" si="94"/>
        <v>0.35</v>
      </c>
      <c r="T517" s="285">
        <f t="shared" si="95"/>
        <v>3.2</v>
      </c>
      <c r="U517" s="285">
        <f t="shared" si="96"/>
        <v>1</v>
      </c>
      <c r="V517" s="285">
        <f t="shared" si="97"/>
        <v>4.5</v>
      </c>
      <c r="W517" s="285">
        <f t="shared" si="98"/>
        <v>1.5</v>
      </c>
      <c r="X517" s="289">
        <f t="shared" si="99"/>
        <v>39978.083475672021</v>
      </c>
      <c r="Y517" s="288">
        <f t="shared" si="100"/>
        <v>0.19989041737836011</v>
      </c>
      <c r="Z517" s="256">
        <f t="shared" si="101"/>
        <v>181.74993027852094</v>
      </c>
      <c r="AA517" s="289">
        <f t="shared" si="102"/>
        <v>81973.667824741773</v>
      </c>
      <c r="AB517" s="288">
        <f t="shared" si="103"/>
        <v>0.40986833912370885</v>
      </c>
    </row>
    <row r="518" spans="13:28" ht="12" hidden="1" customHeight="1">
      <c r="M518" s="266"/>
      <c r="N518" s="288">
        <f t="shared" si="104"/>
        <v>9.2399999999999096</v>
      </c>
      <c r="O518" s="285">
        <f t="shared" si="90"/>
        <v>150</v>
      </c>
      <c r="P518" s="289">
        <f t="shared" si="91"/>
        <v>4000000</v>
      </c>
      <c r="Q518" s="285">
        <f t="shared" si="92"/>
        <v>110</v>
      </c>
      <c r="R518" s="285">
        <f t="shared" si="93"/>
        <v>85</v>
      </c>
      <c r="S518" s="285">
        <f t="shared" si="94"/>
        <v>0.35</v>
      </c>
      <c r="T518" s="285">
        <f t="shared" si="95"/>
        <v>3.2</v>
      </c>
      <c r="U518" s="285">
        <f t="shared" si="96"/>
        <v>1</v>
      </c>
      <c r="V518" s="285">
        <f t="shared" si="97"/>
        <v>4.5</v>
      </c>
      <c r="W518" s="285">
        <f t="shared" si="98"/>
        <v>1.5</v>
      </c>
      <c r="X518" s="289">
        <f t="shared" si="99"/>
        <v>40258.28713679652</v>
      </c>
      <c r="Y518" s="288">
        <f t="shared" si="100"/>
        <v>0.20129143568398261</v>
      </c>
      <c r="Z518" s="256">
        <f t="shared" si="101"/>
        <v>181.74993027852094</v>
      </c>
      <c r="AA518" s="289">
        <f t="shared" si="102"/>
        <v>82548.215673046536</v>
      </c>
      <c r="AB518" s="288">
        <f t="shared" si="103"/>
        <v>0.41274107836523266</v>
      </c>
    </row>
    <row r="519" spans="13:28" ht="12" hidden="1" customHeight="1">
      <c r="M519" s="266"/>
      <c r="N519" s="288">
        <f t="shared" si="104"/>
        <v>9.2499999999999094</v>
      </c>
      <c r="O519" s="285">
        <f t="shared" si="90"/>
        <v>150</v>
      </c>
      <c r="P519" s="289">
        <f t="shared" si="91"/>
        <v>4000000</v>
      </c>
      <c r="Q519" s="285">
        <f t="shared" si="92"/>
        <v>110</v>
      </c>
      <c r="R519" s="285">
        <f t="shared" si="93"/>
        <v>85</v>
      </c>
      <c r="S519" s="285">
        <f t="shared" si="94"/>
        <v>0.35</v>
      </c>
      <c r="T519" s="285">
        <f t="shared" si="95"/>
        <v>3.2</v>
      </c>
      <c r="U519" s="285">
        <f t="shared" si="96"/>
        <v>1</v>
      </c>
      <c r="V519" s="285">
        <f t="shared" si="97"/>
        <v>4.5</v>
      </c>
      <c r="W519" s="285">
        <f t="shared" si="98"/>
        <v>1.5</v>
      </c>
      <c r="X519" s="289">
        <f t="shared" si="99"/>
        <v>40540.189579301645</v>
      </c>
      <c r="Y519" s="288">
        <f t="shared" si="100"/>
        <v>0.20270094789650822</v>
      </c>
      <c r="Z519" s="256">
        <f t="shared" si="101"/>
        <v>181.74993027852094</v>
      </c>
      <c r="AA519" s="289">
        <f t="shared" si="102"/>
        <v>83126.246813408041</v>
      </c>
      <c r="AB519" s="288">
        <f t="shared" si="103"/>
        <v>0.41563123406704022</v>
      </c>
    </row>
    <row r="520" spans="13:28" ht="12" hidden="1" customHeight="1">
      <c r="M520" s="266"/>
      <c r="N520" s="288">
        <f t="shared" si="104"/>
        <v>9.2599999999999092</v>
      </c>
      <c r="O520" s="285">
        <f t="shared" si="90"/>
        <v>150</v>
      </c>
      <c r="P520" s="289">
        <f t="shared" si="91"/>
        <v>4000000</v>
      </c>
      <c r="Q520" s="285">
        <f t="shared" si="92"/>
        <v>110</v>
      </c>
      <c r="R520" s="285">
        <f t="shared" si="93"/>
        <v>85</v>
      </c>
      <c r="S520" s="285">
        <f t="shared" si="94"/>
        <v>0.35</v>
      </c>
      <c r="T520" s="285">
        <f t="shared" si="95"/>
        <v>3.2</v>
      </c>
      <c r="U520" s="285">
        <f t="shared" si="96"/>
        <v>1</v>
      </c>
      <c r="V520" s="285">
        <f t="shared" si="97"/>
        <v>4.5</v>
      </c>
      <c r="W520" s="285">
        <f t="shared" si="98"/>
        <v>1.5</v>
      </c>
      <c r="X520" s="289">
        <f t="shared" si="99"/>
        <v>40823.799485871117</v>
      </c>
      <c r="Y520" s="288">
        <f t="shared" si="100"/>
        <v>0.20411899742935558</v>
      </c>
      <c r="Z520" s="256">
        <f t="shared" si="101"/>
        <v>181.74993027852094</v>
      </c>
      <c r="AA520" s="289">
        <f t="shared" si="102"/>
        <v>83707.77904936613</v>
      </c>
      <c r="AB520" s="288">
        <f t="shared" si="103"/>
        <v>0.41853889524683063</v>
      </c>
    </row>
    <row r="521" spans="13:28" ht="12" hidden="1" customHeight="1">
      <c r="M521" s="266"/>
      <c r="N521" s="288">
        <f t="shared" si="104"/>
        <v>9.269999999999909</v>
      </c>
      <c r="O521" s="285">
        <f t="shared" si="90"/>
        <v>150</v>
      </c>
      <c r="P521" s="289">
        <f t="shared" si="91"/>
        <v>4000000</v>
      </c>
      <c r="Q521" s="285">
        <f t="shared" si="92"/>
        <v>110</v>
      </c>
      <c r="R521" s="285">
        <f t="shared" si="93"/>
        <v>85</v>
      </c>
      <c r="S521" s="285">
        <f t="shared" si="94"/>
        <v>0.35</v>
      </c>
      <c r="T521" s="285">
        <f t="shared" si="95"/>
        <v>3.2</v>
      </c>
      <c r="U521" s="285">
        <f t="shared" si="96"/>
        <v>1</v>
      </c>
      <c r="V521" s="285">
        <f t="shared" si="97"/>
        <v>4.5</v>
      </c>
      <c r="W521" s="285">
        <f t="shared" si="98"/>
        <v>1.5</v>
      </c>
      <c r="X521" s="289">
        <f t="shared" si="99"/>
        <v>41109.125575276877</v>
      </c>
      <c r="Y521" s="288">
        <f t="shared" si="100"/>
        <v>0.20554562787638439</v>
      </c>
      <c r="Z521" s="256">
        <f t="shared" si="101"/>
        <v>181.74993027852094</v>
      </c>
      <c r="AA521" s="289">
        <f t="shared" si="102"/>
        <v>84292.83025845926</v>
      </c>
      <c r="AB521" s="288">
        <f t="shared" si="103"/>
        <v>0.42146415129229631</v>
      </c>
    </row>
    <row r="522" spans="13:28" ht="12" hidden="1" customHeight="1">
      <c r="M522" s="266"/>
      <c r="N522" s="288">
        <f t="shared" si="104"/>
        <v>9.2799999999999088</v>
      </c>
      <c r="O522" s="285">
        <f t="shared" si="90"/>
        <v>150</v>
      </c>
      <c r="P522" s="289">
        <f t="shared" si="91"/>
        <v>4000000</v>
      </c>
      <c r="Q522" s="285">
        <f t="shared" si="92"/>
        <v>110</v>
      </c>
      <c r="R522" s="285">
        <f t="shared" si="93"/>
        <v>85</v>
      </c>
      <c r="S522" s="285">
        <f t="shared" si="94"/>
        <v>0.35</v>
      </c>
      <c r="T522" s="285">
        <f t="shared" si="95"/>
        <v>3.2</v>
      </c>
      <c r="U522" s="285">
        <f t="shared" si="96"/>
        <v>1</v>
      </c>
      <c r="V522" s="285">
        <f t="shared" si="97"/>
        <v>4.5</v>
      </c>
      <c r="W522" s="285">
        <f t="shared" si="98"/>
        <v>1.5</v>
      </c>
      <c r="X522" s="289">
        <f t="shared" si="99"/>
        <v>41396.176602496598</v>
      </c>
      <c r="Y522" s="288">
        <f t="shared" si="100"/>
        <v>0.20698088301248299</v>
      </c>
      <c r="Z522" s="256">
        <f t="shared" si="101"/>
        <v>181.74993027852094</v>
      </c>
      <c r="AA522" s="289">
        <f t="shared" si="102"/>
        <v>84881.418392464882</v>
      </c>
      <c r="AB522" s="288">
        <f t="shared" si="103"/>
        <v>0.4244070919623244</v>
      </c>
    </row>
    <row r="523" spans="13:28" ht="12" hidden="1" customHeight="1">
      <c r="M523" s="266"/>
      <c r="N523" s="288">
        <f t="shared" si="104"/>
        <v>9.2899999999999086</v>
      </c>
      <c r="O523" s="285">
        <f t="shared" si="90"/>
        <v>150</v>
      </c>
      <c r="P523" s="289">
        <f t="shared" si="91"/>
        <v>4000000</v>
      </c>
      <c r="Q523" s="285">
        <f t="shared" si="92"/>
        <v>110</v>
      </c>
      <c r="R523" s="285">
        <f t="shared" si="93"/>
        <v>85</v>
      </c>
      <c r="S523" s="285">
        <f t="shared" si="94"/>
        <v>0.35</v>
      </c>
      <c r="T523" s="285">
        <f t="shared" si="95"/>
        <v>3.2</v>
      </c>
      <c r="U523" s="285">
        <f t="shared" si="96"/>
        <v>1</v>
      </c>
      <c r="V523" s="285">
        <f t="shared" si="97"/>
        <v>4.5</v>
      </c>
      <c r="W523" s="285">
        <f t="shared" si="98"/>
        <v>1.5</v>
      </c>
      <c r="X523" s="289">
        <f t="shared" si="99"/>
        <v>41684.961358828426</v>
      </c>
      <c r="Y523" s="288">
        <f t="shared" si="100"/>
        <v>0.20842480679414213</v>
      </c>
      <c r="Z523" s="256">
        <f t="shared" si="101"/>
        <v>181.74993027852094</v>
      </c>
      <c r="AA523" s="289">
        <f t="shared" si="102"/>
        <v>85473.561477633019</v>
      </c>
      <c r="AB523" s="288">
        <f t="shared" si="103"/>
        <v>0.4273678073881651</v>
      </c>
    </row>
    <row r="524" spans="13:28" ht="12" hidden="1" customHeight="1">
      <c r="M524" s="266"/>
      <c r="N524" s="288">
        <f t="shared" si="104"/>
        <v>9.2999999999999083</v>
      </c>
      <c r="O524" s="285">
        <f t="shared" si="90"/>
        <v>150</v>
      </c>
      <c r="P524" s="289">
        <f t="shared" si="91"/>
        <v>4000000</v>
      </c>
      <c r="Q524" s="285">
        <f t="shared" si="92"/>
        <v>110</v>
      </c>
      <c r="R524" s="285">
        <f t="shared" si="93"/>
        <v>85</v>
      </c>
      <c r="S524" s="285">
        <f t="shared" si="94"/>
        <v>0.35</v>
      </c>
      <c r="T524" s="285">
        <f t="shared" si="95"/>
        <v>3.2</v>
      </c>
      <c r="U524" s="285">
        <f t="shared" si="96"/>
        <v>1</v>
      </c>
      <c r="V524" s="285">
        <f t="shared" si="97"/>
        <v>4.5</v>
      </c>
      <c r="W524" s="285">
        <f t="shared" si="98"/>
        <v>1.5</v>
      </c>
      <c r="X524" s="289">
        <f t="shared" si="99"/>
        <v>41975.488672007297</v>
      </c>
      <c r="Y524" s="288">
        <f t="shared" si="100"/>
        <v>0.2098774433600365</v>
      </c>
      <c r="Z524" s="256">
        <f t="shared" si="101"/>
        <v>181.74993027852094</v>
      </c>
      <c r="AA524" s="289">
        <f t="shared" si="102"/>
        <v>86069.277614926905</v>
      </c>
      <c r="AB524" s="288">
        <f t="shared" si="103"/>
        <v>0.43034638807463454</v>
      </c>
    </row>
    <row r="525" spans="13:28" ht="12" hidden="1" customHeight="1">
      <c r="M525" s="266"/>
      <c r="N525" s="288">
        <f t="shared" si="104"/>
        <v>9.3099999999999081</v>
      </c>
      <c r="O525" s="285">
        <f t="shared" si="90"/>
        <v>150</v>
      </c>
      <c r="P525" s="289">
        <f t="shared" si="91"/>
        <v>4000000</v>
      </c>
      <c r="Q525" s="285">
        <f t="shared" si="92"/>
        <v>110</v>
      </c>
      <c r="R525" s="285">
        <f t="shared" si="93"/>
        <v>85</v>
      </c>
      <c r="S525" s="285">
        <f t="shared" si="94"/>
        <v>0.35</v>
      </c>
      <c r="T525" s="285">
        <f t="shared" si="95"/>
        <v>3.2</v>
      </c>
      <c r="U525" s="285">
        <f t="shared" si="96"/>
        <v>1</v>
      </c>
      <c r="V525" s="285">
        <f t="shared" si="97"/>
        <v>4.5</v>
      </c>
      <c r="W525" s="285">
        <f t="shared" si="98"/>
        <v>1.5</v>
      </c>
      <c r="X525" s="289">
        <f t="shared" si="99"/>
        <v>42267.767406321043</v>
      </c>
      <c r="Y525" s="288">
        <f t="shared" si="100"/>
        <v>0.21133883703160522</v>
      </c>
      <c r="Z525" s="256">
        <f t="shared" si="101"/>
        <v>181.74993027852094</v>
      </c>
      <c r="AA525" s="289">
        <f t="shared" si="102"/>
        <v>86668.58498025997</v>
      </c>
      <c r="AB525" s="288">
        <f t="shared" si="103"/>
        <v>0.43334292490129983</v>
      </c>
    </row>
    <row r="526" spans="13:28" ht="12" hidden="1" customHeight="1">
      <c r="M526" s="266"/>
      <c r="N526" s="288">
        <f t="shared" si="104"/>
        <v>9.3199999999999079</v>
      </c>
      <c r="O526" s="285">
        <f t="shared" si="90"/>
        <v>150</v>
      </c>
      <c r="P526" s="289">
        <f t="shared" si="91"/>
        <v>4000000</v>
      </c>
      <c r="Q526" s="285">
        <f t="shared" si="92"/>
        <v>110</v>
      </c>
      <c r="R526" s="285">
        <f t="shared" si="93"/>
        <v>85</v>
      </c>
      <c r="S526" s="285">
        <f t="shared" si="94"/>
        <v>0.35</v>
      </c>
      <c r="T526" s="285">
        <f t="shared" si="95"/>
        <v>3.2</v>
      </c>
      <c r="U526" s="285">
        <f t="shared" si="96"/>
        <v>1</v>
      </c>
      <c r="V526" s="285">
        <f t="shared" si="97"/>
        <v>4.5</v>
      </c>
      <c r="W526" s="285">
        <f t="shared" si="98"/>
        <v>1.5</v>
      </c>
      <c r="X526" s="289">
        <f t="shared" si="99"/>
        <v>42561.806462726643</v>
      </c>
      <c r="Y526" s="288">
        <f t="shared" si="100"/>
        <v>0.21280903231363321</v>
      </c>
      <c r="Z526" s="256">
        <f t="shared" si="101"/>
        <v>181.74993027852094</v>
      </c>
      <c r="AA526" s="289">
        <f t="shared" si="102"/>
        <v>87271.501824734558</v>
      </c>
      <c r="AB526" s="288">
        <f t="shared" si="103"/>
        <v>0.43635750912367277</v>
      </c>
    </row>
    <row r="527" spans="13:28" ht="12" hidden="1" customHeight="1">
      <c r="M527" s="266"/>
      <c r="N527" s="288">
        <f t="shared" si="104"/>
        <v>9.3299999999999077</v>
      </c>
      <c r="O527" s="285">
        <f t="shared" si="90"/>
        <v>150</v>
      </c>
      <c r="P527" s="289">
        <f t="shared" si="91"/>
        <v>4000000</v>
      </c>
      <c r="Q527" s="285">
        <f t="shared" si="92"/>
        <v>110</v>
      </c>
      <c r="R527" s="285">
        <f t="shared" si="93"/>
        <v>85</v>
      </c>
      <c r="S527" s="285">
        <f t="shared" si="94"/>
        <v>0.35</v>
      </c>
      <c r="T527" s="285">
        <f t="shared" si="95"/>
        <v>3.2</v>
      </c>
      <c r="U527" s="285">
        <f t="shared" si="96"/>
        <v>1</v>
      </c>
      <c r="V527" s="285">
        <f t="shared" si="97"/>
        <v>4.5</v>
      </c>
      <c r="W527" s="285">
        <f t="shared" si="98"/>
        <v>1.5</v>
      </c>
      <c r="X527" s="289">
        <f t="shared" si="99"/>
        <v>42857.614778967923</v>
      </c>
      <c r="Y527" s="288">
        <f t="shared" si="100"/>
        <v>0.21428807389483961</v>
      </c>
      <c r="Z527" s="256">
        <f t="shared" si="101"/>
        <v>181.74993027852094</v>
      </c>
      <c r="AA527" s="289">
        <f t="shared" si="102"/>
        <v>87878.046474883042</v>
      </c>
      <c r="AB527" s="288">
        <f t="shared" si="103"/>
        <v>0.43939023237441521</v>
      </c>
    </row>
    <row r="528" spans="13:28" ht="12" hidden="1" customHeight="1">
      <c r="M528" s="266"/>
      <c r="N528" s="288">
        <f t="shared" si="104"/>
        <v>9.3399999999999075</v>
      </c>
      <c r="O528" s="285">
        <f t="shared" si="90"/>
        <v>150</v>
      </c>
      <c r="P528" s="289">
        <f t="shared" si="91"/>
        <v>4000000</v>
      </c>
      <c r="Q528" s="285">
        <f t="shared" si="92"/>
        <v>110</v>
      </c>
      <c r="R528" s="285">
        <f t="shared" si="93"/>
        <v>85</v>
      </c>
      <c r="S528" s="285">
        <f t="shared" si="94"/>
        <v>0.35</v>
      </c>
      <c r="T528" s="285">
        <f t="shared" si="95"/>
        <v>3.2</v>
      </c>
      <c r="U528" s="285">
        <f t="shared" si="96"/>
        <v>1</v>
      </c>
      <c r="V528" s="285">
        <f t="shared" si="97"/>
        <v>4.5</v>
      </c>
      <c r="W528" s="285">
        <f t="shared" si="98"/>
        <v>1.5</v>
      </c>
      <c r="X528" s="289">
        <f t="shared" si="99"/>
        <v>43155.201329691554</v>
      </c>
      <c r="Y528" s="288">
        <f t="shared" si="100"/>
        <v>0.21577600664845778</v>
      </c>
      <c r="Z528" s="256">
        <f t="shared" si="101"/>
        <v>181.74993027852094</v>
      </c>
      <c r="AA528" s="289">
        <f t="shared" si="102"/>
        <v>88488.237332905905</v>
      </c>
      <c r="AB528" s="288">
        <f t="shared" si="103"/>
        <v>0.44244118666452953</v>
      </c>
    </row>
    <row r="529" spans="13:28" ht="12" hidden="1" customHeight="1">
      <c r="M529" s="266"/>
      <c r="N529" s="288">
        <f t="shared" si="104"/>
        <v>9.3499999999999073</v>
      </c>
      <c r="O529" s="285">
        <f t="shared" si="90"/>
        <v>150</v>
      </c>
      <c r="P529" s="289">
        <f t="shared" si="91"/>
        <v>4000000</v>
      </c>
      <c r="Q529" s="285">
        <f t="shared" si="92"/>
        <v>110</v>
      </c>
      <c r="R529" s="285">
        <f t="shared" si="93"/>
        <v>85</v>
      </c>
      <c r="S529" s="285">
        <f t="shared" si="94"/>
        <v>0.35</v>
      </c>
      <c r="T529" s="285">
        <f t="shared" si="95"/>
        <v>3.2</v>
      </c>
      <c r="U529" s="285">
        <f t="shared" si="96"/>
        <v>1</v>
      </c>
      <c r="V529" s="285">
        <f t="shared" si="97"/>
        <v>4.5</v>
      </c>
      <c r="W529" s="285">
        <f t="shared" si="98"/>
        <v>1.5</v>
      </c>
      <c r="X529" s="289">
        <f t="shared" si="99"/>
        <v>43454.57512656445</v>
      </c>
      <c r="Y529" s="288">
        <f t="shared" si="100"/>
        <v>0.21727287563282224</v>
      </c>
      <c r="Z529" s="256">
        <f t="shared" si="101"/>
        <v>181.74993027852094</v>
      </c>
      <c r="AA529" s="289">
        <f t="shared" si="102"/>
        <v>89102.092876912269</v>
      </c>
      <c r="AB529" s="288">
        <f t="shared" si="103"/>
        <v>0.44551046438456132</v>
      </c>
    </row>
    <row r="530" spans="13:28" ht="12" hidden="1" customHeight="1">
      <c r="M530" s="266"/>
      <c r="N530" s="288">
        <f t="shared" si="104"/>
        <v>9.3599999999999071</v>
      </c>
      <c r="O530" s="285">
        <f t="shared" si="90"/>
        <v>150</v>
      </c>
      <c r="P530" s="289">
        <f t="shared" si="91"/>
        <v>4000000</v>
      </c>
      <c r="Q530" s="285">
        <f t="shared" si="92"/>
        <v>110</v>
      </c>
      <c r="R530" s="285">
        <f t="shared" si="93"/>
        <v>85</v>
      </c>
      <c r="S530" s="285">
        <f t="shared" si="94"/>
        <v>0.35</v>
      </c>
      <c r="T530" s="285">
        <f t="shared" si="95"/>
        <v>3.2</v>
      </c>
      <c r="U530" s="285">
        <f t="shared" si="96"/>
        <v>1</v>
      </c>
      <c r="V530" s="285">
        <f t="shared" si="97"/>
        <v>4.5</v>
      </c>
      <c r="W530" s="285">
        <f t="shared" si="98"/>
        <v>1.5</v>
      </c>
      <c r="X530" s="289">
        <f t="shared" si="99"/>
        <v>43755.74521839276</v>
      </c>
      <c r="Y530" s="288">
        <f t="shared" si="100"/>
        <v>0.2187787260919638</v>
      </c>
      <c r="Z530" s="256">
        <f t="shared" si="101"/>
        <v>181.74993027852094</v>
      </c>
      <c r="AA530" s="289">
        <f t="shared" si="102"/>
        <v>89719.631661164167</v>
      </c>
      <c r="AB530" s="288">
        <f t="shared" si="103"/>
        <v>0.44859815830582084</v>
      </c>
    </row>
    <row r="531" spans="13:28" ht="12" hidden="1" customHeight="1">
      <c r="M531" s="266"/>
      <c r="N531" s="288">
        <f t="shared" si="104"/>
        <v>9.3699999999999068</v>
      </c>
      <c r="O531" s="285">
        <f t="shared" si="90"/>
        <v>150</v>
      </c>
      <c r="P531" s="289">
        <f t="shared" si="91"/>
        <v>4000000</v>
      </c>
      <c r="Q531" s="285">
        <f t="shared" si="92"/>
        <v>110</v>
      </c>
      <c r="R531" s="285">
        <f t="shared" si="93"/>
        <v>85</v>
      </c>
      <c r="S531" s="285">
        <f t="shared" si="94"/>
        <v>0.35</v>
      </c>
      <c r="T531" s="285">
        <f t="shared" si="95"/>
        <v>3.2</v>
      </c>
      <c r="U531" s="285">
        <f t="shared" si="96"/>
        <v>1</v>
      </c>
      <c r="V531" s="285">
        <f t="shared" si="97"/>
        <v>4.5</v>
      </c>
      <c r="W531" s="285">
        <f t="shared" si="98"/>
        <v>1.5</v>
      </c>
      <c r="X531" s="289">
        <f t="shared" si="99"/>
        <v>44058.720691237679</v>
      </c>
      <c r="Y531" s="288">
        <f t="shared" si="100"/>
        <v>0.2202936034561884</v>
      </c>
      <c r="Z531" s="256">
        <f t="shared" si="101"/>
        <v>181.74993027852094</v>
      </c>
      <c r="AA531" s="289">
        <f t="shared" si="102"/>
        <v>90340.872316312816</v>
      </c>
      <c r="AB531" s="288">
        <f t="shared" si="103"/>
        <v>0.45170436158156407</v>
      </c>
    </row>
    <row r="532" spans="13:28" ht="12" hidden="1" customHeight="1">
      <c r="M532" s="266"/>
      <c r="N532" s="288">
        <f t="shared" si="104"/>
        <v>9.3799999999999066</v>
      </c>
      <c r="O532" s="285">
        <f t="shared" si="90"/>
        <v>150</v>
      </c>
      <c r="P532" s="289">
        <f t="shared" si="91"/>
        <v>4000000</v>
      </c>
      <c r="Q532" s="285">
        <f t="shared" si="92"/>
        <v>110</v>
      </c>
      <c r="R532" s="285">
        <f t="shared" si="93"/>
        <v>85</v>
      </c>
      <c r="S532" s="285">
        <f t="shared" si="94"/>
        <v>0.35</v>
      </c>
      <c r="T532" s="285">
        <f t="shared" si="95"/>
        <v>3.2</v>
      </c>
      <c r="U532" s="285">
        <f t="shared" si="96"/>
        <v>1</v>
      </c>
      <c r="V532" s="285">
        <f t="shared" si="97"/>
        <v>4.5</v>
      </c>
      <c r="W532" s="285">
        <f t="shared" si="98"/>
        <v>1.5</v>
      </c>
      <c r="X532" s="289">
        <f t="shared" si="99"/>
        <v>44363.510668534524</v>
      </c>
      <c r="Y532" s="288">
        <f t="shared" si="100"/>
        <v>0.22181755334267261</v>
      </c>
      <c r="Z532" s="256">
        <f t="shared" si="101"/>
        <v>181.74993027852094</v>
      </c>
      <c r="AA532" s="289">
        <f t="shared" si="102"/>
        <v>90965.83354964621</v>
      </c>
      <c r="AB532" s="288">
        <f t="shared" si="103"/>
        <v>0.45482916774823107</v>
      </c>
    </row>
    <row r="533" spans="13:28" ht="12" hidden="1" customHeight="1">
      <c r="M533" s="266"/>
      <c r="N533" s="288">
        <f t="shared" si="104"/>
        <v>9.3899999999999064</v>
      </c>
      <c r="O533" s="285">
        <f t="shared" si="90"/>
        <v>150</v>
      </c>
      <c r="P533" s="289">
        <f t="shared" si="91"/>
        <v>4000000</v>
      </c>
      <c r="Q533" s="285">
        <f t="shared" si="92"/>
        <v>110</v>
      </c>
      <c r="R533" s="285">
        <f t="shared" si="93"/>
        <v>85</v>
      </c>
      <c r="S533" s="285">
        <f t="shared" si="94"/>
        <v>0.35</v>
      </c>
      <c r="T533" s="285">
        <f t="shared" si="95"/>
        <v>3.2</v>
      </c>
      <c r="U533" s="285">
        <f t="shared" si="96"/>
        <v>1</v>
      </c>
      <c r="V533" s="285">
        <f t="shared" si="97"/>
        <v>4.5</v>
      </c>
      <c r="W533" s="285">
        <f t="shared" si="98"/>
        <v>1.5</v>
      </c>
      <c r="X533" s="289">
        <f t="shared" si="99"/>
        <v>44670.124311211905</v>
      </c>
      <c r="Y533" s="288">
        <f t="shared" si="100"/>
        <v>0.22335062155605953</v>
      </c>
      <c r="Z533" s="256">
        <f t="shared" si="101"/>
        <v>181.74993027852094</v>
      </c>
      <c r="AA533" s="289">
        <f t="shared" si="102"/>
        <v>91594.534145327634</v>
      </c>
      <c r="AB533" s="288">
        <f t="shared" si="103"/>
        <v>0.45797267072663816</v>
      </c>
    </row>
    <row r="534" spans="13:28" ht="12" hidden="1" customHeight="1">
      <c r="M534" s="266"/>
      <c r="N534" s="288">
        <f t="shared" si="104"/>
        <v>9.3999999999999062</v>
      </c>
      <c r="O534" s="285">
        <f t="shared" si="90"/>
        <v>150</v>
      </c>
      <c r="P534" s="289">
        <f t="shared" si="91"/>
        <v>4000000</v>
      </c>
      <c r="Q534" s="285">
        <f t="shared" si="92"/>
        <v>110</v>
      </c>
      <c r="R534" s="285">
        <f t="shared" si="93"/>
        <v>85</v>
      </c>
      <c r="S534" s="285">
        <f t="shared" si="94"/>
        <v>0.35</v>
      </c>
      <c r="T534" s="285">
        <f t="shared" si="95"/>
        <v>3.2</v>
      </c>
      <c r="U534" s="285">
        <f t="shared" si="96"/>
        <v>1</v>
      </c>
      <c r="V534" s="285">
        <f t="shared" si="97"/>
        <v>4.5</v>
      </c>
      <c r="W534" s="285">
        <f t="shared" si="98"/>
        <v>1.5</v>
      </c>
      <c r="X534" s="289">
        <f t="shared" si="99"/>
        <v>44978.570817808155</v>
      </c>
      <c r="Y534" s="288">
        <f t="shared" si="100"/>
        <v>0.22489285408904078</v>
      </c>
      <c r="Z534" s="256">
        <f t="shared" si="101"/>
        <v>181.74993027852094</v>
      </c>
      <c r="AA534" s="289">
        <f t="shared" si="102"/>
        <v>92226.992964641031</v>
      </c>
      <c r="AB534" s="288">
        <f t="shared" si="103"/>
        <v>0.46113496482320515</v>
      </c>
    </row>
    <row r="535" spans="13:28" ht="12" hidden="1" customHeight="1">
      <c r="M535" s="266"/>
      <c r="N535" s="288">
        <f t="shared" si="104"/>
        <v>9.409999999999906</v>
      </c>
      <c r="O535" s="285">
        <f t="shared" si="90"/>
        <v>150</v>
      </c>
      <c r="P535" s="289">
        <f t="shared" si="91"/>
        <v>4000000</v>
      </c>
      <c r="Q535" s="285">
        <f t="shared" si="92"/>
        <v>110</v>
      </c>
      <c r="R535" s="285">
        <f t="shared" si="93"/>
        <v>85</v>
      </c>
      <c r="S535" s="285">
        <f t="shared" si="94"/>
        <v>0.35</v>
      </c>
      <c r="T535" s="285">
        <f t="shared" si="95"/>
        <v>3.2</v>
      </c>
      <c r="U535" s="285">
        <f t="shared" si="96"/>
        <v>1</v>
      </c>
      <c r="V535" s="285">
        <f t="shared" si="97"/>
        <v>4.5</v>
      </c>
      <c r="W535" s="285">
        <f t="shared" si="98"/>
        <v>1.5</v>
      </c>
      <c r="X535" s="289">
        <f t="shared" si="99"/>
        <v>45288.859424592505</v>
      </c>
      <c r="Y535" s="288">
        <f t="shared" si="100"/>
        <v>0.22644429712296252</v>
      </c>
      <c r="Z535" s="256">
        <f t="shared" si="101"/>
        <v>181.74993027852094</v>
      </c>
      <c r="AA535" s="289">
        <f t="shared" si="102"/>
        <v>92863.228946233663</v>
      </c>
      <c r="AB535" s="288">
        <f t="shared" si="103"/>
        <v>0.46431614473116833</v>
      </c>
    </row>
    <row r="536" spans="13:28" ht="12" hidden="1" customHeight="1">
      <c r="M536" s="266"/>
      <c r="N536" s="288">
        <f t="shared" si="104"/>
        <v>9.4199999999999058</v>
      </c>
      <c r="O536" s="285">
        <f t="shared" si="90"/>
        <v>150</v>
      </c>
      <c r="P536" s="289">
        <f t="shared" si="91"/>
        <v>4000000</v>
      </c>
      <c r="Q536" s="285">
        <f t="shared" si="92"/>
        <v>110</v>
      </c>
      <c r="R536" s="285">
        <f t="shared" si="93"/>
        <v>85</v>
      </c>
      <c r="S536" s="285">
        <f t="shared" si="94"/>
        <v>0.35</v>
      </c>
      <c r="T536" s="285">
        <f t="shared" si="95"/>
        <v>3.2</v>
      </c>
      <c r="U536" s="285">
        <f t="shared" si="96"/>
        <v>1</v>
      </c>
      <c r="V536" s="285">
        <f t="shared" si="97"/>
        <v>4.5</v>
      </c>
      <c r="W536" s="285">
        <f t="shared" si="98"/>
        <v>1.5</v>
      </c>
      <c r="X536" s="289">
        <f t="shared" si="99"/>
        <v>45600.999405683186</v>
      </c>
      <c r="Y536" s="288">
        <f t="shared" si="100"/>
        <v>0.22800499702841592</v>
      </c>
      <c r="Z536" s="256">
        <f t="shared" si="101"/>
        <v>181.74993027852094</v>
      </c>
      <c r="AA536" s="289">
        <f t="shared" si="102"/>
        <v>93503.261106362406</v>
      </c>
      <c r="AB536" s="288">
        <f t="shared" si="103"/>
        <v>0.467516305531812</v>
      </c>
    </row>
    <row r="537" spans="13:28" ht="12" hidden="1" customHeight="1">
      <c r="M537" s="266"/>
      <c r="N537" s="288">
        <f t="shared" si="104"/>
        <v>9.4299999999999056</v>
      </c>
      <c r="O537" s="285">
        <f t="shared" si="90"/>
        <v>150</v>
      </c>
      <c r="P537" s="289">
        <f t="shared" si="91"/>
        <v>4000000</v>
      </c>
      <c r="Q537" s="285">
        <f t="shared" si="92"/>
        <v>110</v>
      </c>
      <c r="R537" s="285">
        <f t="shared" si="93"/>
        <v>85</v>
      </c>
      <c r="S537" s="285">
        <f t="shared" si="94"/>
        <v>0.35</v>
      </c>
      <c r="T537" s="285">
        <f t="shared" si="95"/>
        <v>3.2</v>
      </c>
      <c r="U537" s="285">
        <f t="shared" si="96"/>
        <v>1</v>
      </c>
      <c r="V537" s="285">
        <f t="shared" si="97"/>
        <v>4.5</v>
      </c>
      <c r="W537" s="285">
        <f t="shared" si="98"/>
        <v>1.5</v>
      </c>
      <c r="X537" s="289">
        <f t="shared" si="99"/>
        <v>45915.000073166302</v>
      </c>
      <c r="Y537" s="288">
        <f t="shared" si="100"/>
        <v>0.22957500036583151</v>
      </c>
      <c r="Z537" s="256">
        <f t="shared" si="101"/>
        <v>181.74993027852094</v>
      </c>
      <c r="AA537" s="289">
        <f t="shared" si="102"/>
        <v>94147.108539135879</v>
      </c>
      <c r="AB537" s="288">
        <f t="shared" si="103"/>
        <v>0.47073554269567941</v>
      </c>
    </row>
    <row r="538" spans="13:28" ht="12" hidden="1" customHeight="1">
      <c r="M538" s="266"/>
      <c r="N538" s="288">
        <f t="shared" si="104"/>
        <v>9.4399999999999054</v>
      </c>
      <c r="O538" s="285">
        <f t="shared" si="90"/>
        <v>150</v>
      </c>
      <c r="P538" s="289">
        <f t="shared" si="91"/>
        <v>4000000</v>
      </c>
      <c r="Q538" s="285">
        <f t="shared" si="92"/>
        <v>110</v>
      </c>
      <c r="R538" s="285">
        <f t="shared" si="93"/>
        <v>85</v>
      </c>
      <c r="S538" s="285">
        <f t="shared" si="94"/>
        <v>0.35</v>
      </c>
      <c r="T538" s="285">
        <f t="shared" si="95"/>
        <v>3.2</v>
      </c>
      <c r="U538" s="285">
        <f t="shared" si="96"/>
        <v>1</v>
      </c>
      <c r="V538" s="285">
        <f t="shared" si="97"/>
        <v>4.5</v>
      </c>
      <c r="W538" s="285">
        <f t="shared" si="98"/>
        <v>1.5</v>
      </c>
      <c r="X538" s="289">
        <f t="shared" si="99"/>
        <v>46230.870777216667</v>
      </c>
      <c r="Y538" s="288">
        <f t="shared" si="100"/>
        <v>0.23115435388608332</v>
      </c>
      <c r="Z538" s="256">
        <f t="shared" si="101"/>
        <v>181.74993027852094</v>
      </c>
      <c r="AA538" s="289">
        <f t="shared" si="102"/>
        <v>94794.79041676136</v>
      </c>
      <c r="AB538" s="288">
        <f t="shared" si="103"/>
        <v>0.47397395208380677</v>
      </c>
    </row>
    <row r="539" spans="13:28" ht="12" hidden="1" customHeight="1">
      <c r="M539" s="266"/>
      <c r="N539" s="288">
        <f t="shared" si="104"/>
        <v>9.4499999999999051</v>
      </c>
      <c r="O539" s="285">
        <f t="shared" si="90"/>
        <v>150</v>
      </c>
      <c r="P539" s="289">
        <f t="shared" si="91"/>
        <v>4000000</v>
      </c>
      <c r="Q539" s="285">
        <f t="shared" si="92"/>
        <v>110</v>
      </c>
      <c r="R539" s="285">
        <f t="shared" si="93"/>
        <v>85</v>
      </c>
      <c r="S539" s="285">
        <f t="shared" si="94"/>
        <v>0.35</v>
      </c>
      <c r="T539" s="285">
        <f t="shared" si="95"/>
        <v>3.2</v>
      </c>
      <c r="U539" s="285">
        <f t="shared" si="96"/>
        <v>1</v>
      </c>
      <c r="V539" s="285">
        <f t="shared" si="97"/>
        <v>4.5</v>
      </c>
      <c r="W539" s="285">
        <f t="shared" si="98"/>
        <v>1.5</v>
      </c>
      <c r="X539" s="289">
        <f t="shared" si="99"/>
        <v>46548.620906216958</v>
      </c>
      <c r="Y539" s="288">
        <f t="shared" si="100"/>
        <v>0.23274310453108479</v>
      </c>
      <c r="Z539" s="256">
        <f t="shared" si="101"/>
        <v>181.74993027852094</v>
      </c>
      <c r="AA539" s="289">
        <f t="shared" si="102"/>
        <v>95446.325989790756</v>
      </c>
      <c r="AB539" s="288">
        <f t="shared" si="103"/>
        <v>0.47723162994895379</v>
      </c>
    </row>
    <row r="540" spans="13:28" ht="12" hidden="1" customHeight="1">
      <c r="M540" s="266"/>
      <c r="N540" s="288">
        <f t="shared" si="104"/>
        <v>9.4599999999999049</v>
      </c>
      <c r="O540" s="285">
        <f t="shared" si="90"/>
        <v>150</v>
      </c>
      <c r="P540" s="289">
        <f t="shared" si="91"/>
        <v>4000000</v>
      </c>
      <c r="Q540" s="285">
        <f t="shared" si="92"/>
        <v>110</v>
      </c>
      <c r="R540" s="285">
        <f t="shared" si="93"/>
        <v>85</v>
      </c>
      <c r="S540" s="285">
        <f t="shared" si="94"/>
        <v>0.35</v>
      </c>
      <c r="T540" s="285">
        <f t="shared" si="95"/>
        <v>3.2</v>
      </c>
      <c r="U540" s="285">
        <f t="shared" si="96"/>
        <v>1</v>
      </c>
      <c r="V540" s="285">
        <f t="shared" si="97"/>
        <v>4.5</v>
      </c>
      <c r="W540" s="285">
        <f t="shared" si="98"/>
        <v>1.5</v>
      </c>
      <c r="X540" s="289">
        <f t="shared" si="99"/>
        <v>46868.259886877495</v>
      </c>
      <c r="Y540" s="288">
        <f t="shared" si="100"/>
        <v>0.23434129943438747</v>
      </c>
      <c r="Z540" s="256">
        <f t="shared" si="101"/>
        <v>181.74993027852094</v>
      </c>
      <c r="AA540" s="289">
        <f t="shared" si="102"/>
        <v>96101.734587365412</v>
      </c>
      <c r="AB540" s="288">
        <f t="shared" si="103"/>
        <v>0.48050867293682709</v>
      </c>
    </row>
    <row r="541" spans="13:28" ht="12" hidden="1" customHeight="1">
      <c r="M541" s="266"/>
      <c r="N541" s="288">
        <f t="shared" si="104"/>
        <v>9.4699999999999047</v>
      </c>
      <c r="O541" s="285">
        <f t="shared" si="90"/>
        <v>150</v>
      </c>
      <c r="P541" s="289">
        <f t="shared" si="91"/>
        <v>4000000</v>
      </c>
      <c r="Q541" s="285">
        <f t="shared" si="92"/>
        <v>110</v>
      </c>
      <c r="R541" s="285">
        <f t="shared" si="93"/>
        <v>85</v>
      </c>
      <c r="S541" s="285">
        <f t="shared" si="94"/>
        <v>0.35</v>
      </c>
      <c r="T541" s="285">
        <f t="shared" si="95"/>
        <v>3.2</v>
      </c>
      <c r="U541" s="285">
        <f t="shared" si="96"/>
        <v>1</v>
      </c>
      <c r="V541" s="285">
        <f t="shared" si="97"/>
        <v>4.5</v>
      </c>
      <c r="W541" s="285">
        <f t="shared" si="98"/>
        <v>1.5</v>
      </c>
      <c r="X541" s="289">
        <f t="shared" si="99"/>
        <v>47189.797184358642</v>
      </c>
      <c r="Y541" s="288">
        <f t="shared" si="100"/>
        <v>0.2359489859217932</v>
      </c>
      <c r="Z541" s="256">
        <f t="shared" si="101"/>
        <v>181.74993027852094</v>
      </c>
      <c r="AA541" s="289">
        <f t="shared" si="102"/>
        <v>96761.035617466681</v>
      </c>
      <c r="AB541" s="288">
        <f t="shared" si="103"/>
        <v>0.48380517808733342</v>
      </c>
    </row>
    <row r="542" spans="13:28" ht="12" hidden="1" customHeight="1">
      <c r="M542" s="266"/>
      <c r="N542" s="288">
        <f t="shared" si="104"/>
        <v>9.4799999999999045</v>
      </c>
      <c r="O542" s="285">
        <f t="shared" ref="O542:O605" si="105">PCC_MR</f>
        <v>150</v>
      </c>
      <c r="P542" s="289">
        <f t="shared" ref="P542:P605" si="106">PCC_ME</f>
        <v>4000000</v>
      </c>
      <c r="Q542" s="285">
        <f t="shared" ref="Q542:Q605" si="107">K_MODULE</f>
        <v>110</v>
      </c>
      <c r="R542" s="285">
        <f t="shared" ref="R542:R605" si="108">R_</f>
        <v>85</v>
      </c>
      <c r="S542" s="285">
        <f t="shared" ref="S542:S605" si="109">So</f>
        <v>0.35</v>
      </c>
      <c r="T542" s="285">
        <f t="shared" ref="T542:T605" si="110">J_</f>
        <v>3.2</v>
      </c>
      <c r="U542" s="285">
        <f t="shared" ref="U542:U605" si="111">Cd_</f>
        <v>1</v>
      </c>
      <c r="V542" s="285">
        <f t="shared" ref="V542:V605" si="112">Pi</f>
        <v>4.5</v>
      </c>
      <c r="W542" s="285">
        <f t="shared" ref="W542:W605" si="113">Pt</f>
        <v>1.5</v>
      </c>
      <c r="X542" s="289">
        <f t="shared" ref="X542:X605" si="114">10^(-NORMSINV(R542/100)*S542+7.35*LOG10(N542+1)-0.06+((LOG10((V542-W542)/3))/(1+((1.625*10^7)/((N542+1)^8.46))))+((4.22-0.32*W542)*LOG10((O542*U542*((N542^0.75)-1.132))/(215.63*T542*((N542^0.75)-18.42*(Q542/P542)^0.25)))))</f>
        <v>47513.242302389408</v>
      </c>
      <c r="Y542" s="288">
        <f t="shared" ref="Y542:Y605" si="115">+X542/ESALS</f>
        <v>0.23756621151194704</v>
      </c>
      <c r="Z542" s="256">
        <f t="shared" ref="Z542:Z605" si="116">PCC_IMR</f>
        <v>181.74993027852094</v>
      </c>
      <c r="AA542" s="289">
        <f t="shared" ref="AA542:AA605" si="117">10^(-NORMSINV(R542/100)*S542+7.35*LOG10(N542+1)-0.06+((LOG10((V542-W542)/3))/(1+((1.625*10^7)/((N542+1)^8.46))))+((4.22-0.32*W542)*LOG10((Z542*U542*((N542^0.75)-1.132))/(215.63*T542*((N542^0.75)-18.42*(Q542/P542)^0.25)))))</f>
        <v>97424.248567160044</v>
      </c>
      <c r="AB542" s="288">
        <f t="shared" ref="AB542:AB605" si="118">+AA542/ESALS</f>
        <v>0.48712124283580022</v>
      </c>
    </row>
    <row r="543" spans="13:28" ht="12" hidden="1" customHeight="1">
      <c r="M543" s="266"/>
      <c r="N543" s="288">
        <f t="shared" ref="N543:N606" si="119">IF(N542 = "", "", IF(AND(0.995*ESALS&lt;=X542,X542&lt;=1.005*ESALS),"",(N542+D_Step)))</f>
        <v>9.4899999999999043</v>
      </c>
      <c r="O543" s="285">
        <f t="shared" si="105"/>
        <v>150</v>
      </c>
      <c r="P543" s="289">
        <f t="shared" si="106"/>
        <v>4000000</v>
      </c>
      <c r="Q543" s="285">
        <f t="shared" si="107"/>
        <v>110</v>
      </c>
      <c r="R543" s="285">
        <f t="shared" si="108"/>
        <v>85</v>
      </c>
      <c r="S543" s="285">
        <f t="shared" si="109"/>
        <v>0.35</v>
      </c>
      <c r="T543" s="285">
        <f t="shared" si="110"/>
        <v>3.2</v>
      </c>
      <c r="U543" s="285">
        <f t="shared" si="111"/>
        <v>1</v>
      </c>
      <c r="V543" s="285">
        <f t="shared" si="112"/>
        <v>4.5</v>
      </c>
      <c r="W543" s="285">
        <f t="shared" si="113"/>
        <v>1.5</v>
      </c>
      <c r="X543" s="289">
        <f t="shared" si="114"/>
        <v>47838.604783388699</v>
      </c>
      <c r="Y543" s="288">
        <f t="shared" si="115"/>
        <v>0.2391930239169435</v>
      </c>
      <c r="Z543" s="256">
        <f t="shared" si="116"/>
        <v>181.74993027852094</v>
      </c>
      <c r="AA543" s="289">
        <f t="shared" si="117"/>
        <v>98091.393002843339</v>
      </c>
      <c r="AB543" s="288">
        <f t="shared" si="118"/>
        <v>0.49045696501421671</v>
      </c>
    </row>
    <row r="544" spans="13:28" ht="12" hidden="1" customHeight="1">
      <c r="M544" s="266"/>
      <c r="N544" s="288">
        <f t="shared" si="119"/>
        <v>9.4999999999999041</v>
      </c>
      <c r="O544" s="285">
        <f t="shared" si="105"/>
        <v>150</v>
      </c>
      <c r="P544" s="289">
        <f t="shared" si="106"/>
        <v>4000000</v>
      </c>
      <c r="Q544" s="285">
        <f t="shared" si="107"/>
        <v>110</v>
      </c>
      <c r="R544" s="285">
        <f t="shared" si="108"/>
        <v>85</v>
      </c>
      <c r="S544" s="285">
        <f t="shared" si="109"/>
        <v>0.35</v>
      </c>
      <c r="T544" s="285">
        <f t="shared" si="110"/>
        <v>3.2</v>
      </c>
      <c r="U544" s="285">
        <f t="shared" si="111"/>
        <v>1</v>
      </c>
      <c r="V544" s="285">
        <f t="shared" si="112"/>
        <v>4.5</v>
      </c>
      <c r="W544" s="285">
        <f t="shared" si="113"/>
        <v>1.5</v>
      </c>
      <c r="X544" s="289">
        <f t="shared" si="114"/>
        <v>48165.894208588448</v>
      </c>
      <c r="Y544" s="288">
        <f t="shared" si="115"/>
        <v>0.24082947104294225</v>
      </c>
      <c r="Z544" s="256">
        <f t="shared" si="116"/>
        <v>181.74993027852094</v>
      </c>
      <c r="AA544" s="289">
        <f t="shared" si="117"/>
        <v>98762.488570498055</v>
      </c>
      <c r="AB544" s="288">
        <f t="shared" si="118"/>
        <v>0.49381244285249026</v>
      </c>
    </row>
    <row r="545" spans="13:28" ht="12" hidden="1" customHeight="1">
      <c r="M545" s="266"/>
      <c r="N545" s="288">
        <f t="shared" si="119"/>
        <v>9.5099999999999039</v>
      </c>
      <c r="O545" s="285">
        <f t="shared" si="105"/>
        <v>150</v>
      </c>
      <c r="P545" s="289">
        <f t="shared" si="106"/>
        <v>4000000</v>
      </c>
      <c r="Q545" s="285">
        <f t="shared" si="107"/>
        <v>110</v>
      </c>
      <c r="R545" s="285">
        <f t="shared" si="108"/>
        <v>85</v>
      </c>
      <c r="S545" s="285">
        <f t="shared" si="109"/>
        <v>0.35</v>
      </c>
      <c r="T545" s="285">
        <f t="shared" si="110"/>
        <v>3.2</v>
      </c>
      <c r="U545" s="285">
        <f t="shared" si="111"/>
        <v>1</v>
      </c>
      <c r="V545" s="285">
        <f t="shared" si="112"/>
        <v>4.5</v>
      </c>
      <c r="W545" s="285">
        <f t="shared" si="113"/>
        <v>1.5</v>
      </c>
      <c r="X545" s="289">
        <f t="shared" si="114"/>
        <v>48495.120198152588</v>
      </c>
      <c r="Y545" s="288">
        <f t="shared" si="115"/>
        <v>0.24247560099076293</v>
      </c>
      <c r="Z545" s="256">
        <f t="shared" si="116"/>
        <v>181.74993027852094</v>
      </c>
      <c r="AA545" s="289">
        <f t="shared" si="117"/>
        <v>99437.554995937069</v>
      </c>
      <c r="AB545" s="288">
        <f t="shared" si="118"/>
        <v>0.49718777497968536</v>
      </c>
    </row>
    <row r="546" spans="13:28" ht="12" hidden="1" customHeight="1">
      <c r="M546" s="266"/>
      <c r="N546" s="288">
        <f t="shared" si="119"/>
        <v>9.5199999999999037</v>
      </c>
      <c r="O546" s="285">
        <f t="shared" si="105"/>
        <v>150</v>
      </c>
      <c r="P546" s="289">
        <f t="shared" si="106"/>
        <v>4000000</v>
      </c>
      <c r="Q546" s="285">
        <f t="shared" si="107"/>
        <v>110</v>
      </c>
      <c r="R546" s="285">
        <f t="shared" si="108"/>
        <v>85</v>
      </c>
      <c r="S546" s="285">
        <f t="shared" si="109"/>
        <v>0.35</v>
      </c>
      <c r="T546" s="285">
        <f t="shared" si="110"/>
        <v>3.2</v>
      </c>
      <c r="U546" s="285">
        <f t="shared" si="111"/>
        <v>1</v>
      </c>
      <c r="V546" s="285">
        <f t="shared" si="112"/>
        <v>4.5</v>
      </c>
      <c r="W546" s="285">
        <f t="shared" si="113"/>
        <v>1.5</v>
      </c>
      <c r="X546" s="289">
        <f t="shared" si="114"/>
        <v>48826.292411301154</v>
      </c>
      <c r="Y546" s="288">
        <f t="shared" si="115"/>
        <v>0.24413146205650577</v>
      </c>
      <c r="Z546" s="256">
        <f t="shared" si="116"/>
        <v>181.74993027852094</v>
      </c>
      <c r="AA546" s="289">
        <f t="shared" si="117"/>
        <v>100116.6120850525</v>
      </c>
      <c r="AB546" s="288">
        <f t="shared" si="118"/>
        <v>0.50058306042526257</v>
      </c>
    </row>
    <row r="547" spans="13:28" ht="12" hidden="1" customHeight="1">
      <c r="M547" s="266"/>
      <c r="N547" s="288">
        <f t="shared" si="119"/>
        <v>9.5299999999999034</v>
      </c>
      <c r="O547" s="285">
        <f t="shared" si="105"/>
        <v>150</v>
      </c>
      <c r="P547" s="289">
        <f t="shared" si="106"/>
        <v>4000000</v>
      </c>
      <c r="Q547" s="285">
        <f t="shared" si="107"/>
        <v>110</v>
      </c>
      <c r="R547" s="285">
        <f t="shared" si="108"/>
        <v>85</v>
      </c>
      <c r="S547" s="285">
        <f t="shared" si="109"/>
        <v>0.35</v>
      </c>
      <c r="T547" s="285">
        <f t="shared" si="110"/>
        <v>3.2</v>
      </c>
      <c r="U547" s="285">
        <f t="shared" si="111"/>
        <v>1</v>
      </c>
      <c r="V547" s="285">
        <f t="shared" si="112"/>
        <v>4.5</v>
      </c>
      <c r="W547" s="285">
        <f t="shared" si="113"/>
        <v>1.5</v>
      </c>
      <c r="X547" s="289">
        <f t="shared" si="114"/>
        <v>49159.420546429967</v>
      </c>
      <c r="Y547" s="288">
        <f t="shared" si="115"/>
        <v>0.24579710273214983</v>
      </c>
      <c r="Z547" s="256">
        <f t="shared" si="116"/>
        <v>181.74993027852094</v>
      </c>
      <c r="AA547" s="289">
        <f t="shared" si="117"/>
        <v>100799.67972406918</v>
      </c>
      <c r="AB547" s="288">
        <f t="shared" si="118"/>
        <v>0.5039983986203459</v>
      </c>
    </row>
    <row r="548" spans="13:28" ht="12" hidden="1" customHeight="1">
      <c r="M548" s="266"/>
      <c r="N548" s="288">
        <f t="shared" si="119"/>
        <v>9.5399999999999032</v>
      </c>
      <c r="O548" s="285">
        <f t="shared" si="105"/>
        <v>150</v>
      </c>
      <c r="P548" s="289">
        <f t="shared" si="106"/>
        <v>4000000</v>
      </c>
      <c r="Q548" s="285">
        <f t="shared" si="107"/>
        <v>110</v>
      </c>
      <c r="R548" s="285">
        <f t="shared" si="108"/>
        <v>85</v>
      </c>
      <c r="S548" s="285">
        <f t="shared" si="109"/>
        <v>0.35</v>
      </c>
      <c r="T548" s="285">
        <f t="shared" si="110"/>
        <v>3.2</v>
      </c>
      <c r="U548" s="285">
        <f t="shared" si="111"/>
        <v>1</v>
      </c>
      <c r="V548" s="285">
        <f t="shared" si="112"/>
        <v>4.5</v>
      </c>
      <c r="W548" s="285">
        <f t="shared" si="113"/>
        <v>1.5</v>
      </c>
      <c r="X548" s="289">
        <f t="shared" si="114"/>
        <v>49494.514341235488</v>
      </c>
      <c r="Y548" s="288">
        <f t="shared" si="115"/>
        <v>0.24747257170617745</v>
      </c>
      <c r="Z548" s="256">
        <f t="shared" si="116"/>
        <v>181.74993027852094</v>
      </c>
      <c r="AA548" s="289">
        <f t="shared" si="117"/>
        <v>101486.77787979315</v>
      </c>
      <c r="AB548" s="288">
        <f t="shared" si="118"/>
        <v>0.50743388939896572</v>
      </c>
    </row>
    <row r="549" spans="13:28" ht="12" hidden="1" customHeight="1">
      <c r="M549" s="266"/>
      <c r="N549" s="288">
        <f t="shared" si="119"/>
        <v>9.549999999999903</v>
      </c>
      <c r="O549" s="285">
        <f t="shared" si="105"/>
        <v>150</v>
      </c>
      <c r="P549" s="289">
        <f t="shared" si="106"/>
        <v>4000000</v>
      </c>
      <c r="Q549" s="285">
        <f t="shared" si="107"/>
        <v>110</v>
      </c>
      <c r="R549" s="285">
        <f t="shared" si="108"/>
        <v>85</v>
      </c>
      <c r="S549" s="285">
        <f t="shared" si="109"/>
        <v>0.35</v>
      </c>
      <c r="T549" s="285">
        <f t="shared" si="110"/>
        <v>3.2</v>
      </c>
      <c r="U549" s="285">
        <f t="shared" si="111"/>
        <v>1</v>
      </c>
      <c r="V549" s="285">
        <f t="shared" si="112"/>
        <v>4.5</v>
      </c>
      <c r="W549" s="285">
        <f t="shared" si="113"/>
        <v>1.5</v>
      </c>
      <c r="X549" s="289">
        <f t="shared" si="114"/>
        <v>49831.583572835531</v>
      </c>
      <c r="Y549" s="288">
        <f t="shared" si="115"/>
        <v>0.24915791786417765</v>
      </c>
      <c r="Z549" s="256">
        <f t="shared" si="116"/>
        <v>181.74993027852094</v>
      </c>
      <c r="AA549" s="289">
        <f t="shared" si="117"/>
        <v>102177.92659986448</v>
      </c>
      <c r="AB549" s="288">
        <f t="shared" si="118"/>
        <v>0.51088963299932244</v>
      </c>
    </row>
    <row r="550" spans="13:28" ht="12" hidden="1" customHeight="1">
      <c r="M550" s="266"/>
      <c r="N550" s="288">
        <f t="shared" si="119"/>
        <v>9.5599999999999028</v>
      </c>
      <c r="O550" s="285">
        <f t="shared" si="105"/>
        <v>150</v>
      </c>
      <c r="P550" s="289">
        <f t="shared" si="106"/>
        <v>4000000</v>
      </c>
      <c r="Q550" s="285">
        <f t="shared" si="107"/>
        <v>110</v>
      </c>
      <c r="R550" s="285">
        <f t="shared" si="108"/>
        <v>85</v>
      </c>
      <c r="S550" s="285">
        <f t="shared" si="109"/>
        <v>0.35</v>
      </c>
      <c r="T550" s="285">
        <f t="shared" si="110"/>
        <v>3.2</v>
      </c>
      <c r="U550" s="285">
        <f t="shared" si="111"/>
        <v>1</v>
      </c>
      <c r="V550" s="285">
        <f t="shared" si="112"/>
        <v>4.5</v>
      </c>
      <c r="W550" s="285">
        <f t="shared" si="113"/>
        <v>1.5</v>
      </c>
      <c r="X550" s="289">
        <f t="shared" si="114"/>
        <v>50170.638057892837</v>
      </c>
      <c r="Y550" s="288">
        <f t="shared" si="115"/>
        <v>0.25085319028946418</v>
      </c>
      <c r="Z550" s="256">
        <f t="shared" si="116"/>
        <v>181.74993027852094</v>
      </c>
      <c r="AA550" s="289">
        <f t="shared" si="117"/>
        <v>102873.14601300843</v>
      </c>
      <c r="AB550" s="288">
        <f t="shared" si="118"/>
        <v>0.51436573006504216</v>
      </c>
    </row>
    <row r="551" spans="13:28" ht="12" hidden="1" customHeight="1">
      <c r="M551" s="266"/>
      <c r="N551" s="288">
        <f t="shared" si="119"/>
        <v>9.5699999999999026</v>
      </c>
      <c r="O551" s="285">
        <f t="shared" si="105"/>
        <v>150</v>
      </c>
      <c r="P551" s="289">
        <f t="shared" si="106"/>
        <v>4000000</v>
      </c>
      <c r="Q551" s="285">
        <f t="shared" si="107"/>
        <v>110</v>
      </c>
      <c r="R551" s="285">
        <f t="shared" si="108"/>
        <v>85</v>
      </c>
      <c r="S551" s="285">
        <f t="shared" si="109"/>
        <v>0.35</v>
      </c>
      <c r="T551" s="285">
        <f t="shared" si="110"/>
        <v>3.2</v>
      </c>
      <c r="U551" s="285">
        <f t="shared" si="111"/>
        <v>1</v>
      </c>
      <c r="V551" s="285">
        <f t="shared" si="112"/>
        <v>4.5</v>
      </c>
      <c r="W551" s="285">
        <f t="shared" si="113"/>
        <v>1.5</v>
      </c>
      <c r="X551" s="289">
        <f t="shared" si="114"/>
        <v>50511.687652738445</v>
      </c>
      <c r="Y551" s="288">
        <f t="shared" si="115"/>
        <v>0.25255843826369223</v>
      </c>
      <c r="Z551" s="256">
        <f t="shared" si="116"/>
        <v>181.74993027852094</v>
      </c>
      <c r="AA551" s="289">
        <f t="shared" si="117"/>
        <v>103572.45632928832</v>
      </c>
      <c r="AB551" s="288">
        <f t="shared" si="118"/>
        <v>0.51786228164644166</v>
      </c>
    </row>
    <row r="552" spans="13:28" ht="12" hidden="1" customHeight="1">
      <c r="M552" s="266"/>
      <c r="N552" s="288">
        <f t="shared" si="119"/>
        <v>9.5799999999999024</v>
      </c>
      <c r="O552" s="285">
        <f t="shared" si="105"/>
        <v>150</v>
      </c>
      <c r="P552" s="289">
        <f t="shared" si="106"/>
        <v>4000000</v>
      </c>
      <c r="Q552" s="285">
        <f t="shared" si="107"/>
        <v>110</v>
      </c>
      <c r="R552" s="285">
        <f t="shared" si="108"/>
        <v>85</v>
      </c>
      <c r="S552" s="285">
        <f t="shared" si="109"/>
        <v>0.35</v>
      </c>
      <c r="T552" s="285">
        <f t="shared" si="110"/>
        <v>3.2</v>
      </c>
      <c r="U552" s="285">
        <f t="shared" si="111"/>
        <v>1</v>
      </c>
      <c r="V552" s="285">
        <f t="shared" si="112"/>
        <v>4.5</v>
      </c>
      <c r="W552" s="285">
        <f t="shared" si="113"/>
        <v>1.5</v>
      </c>
      <c r="X552" s="289">
        <f t="shared" si="114"/>
        <v>50854.742253494354</v>
      </c>
      <c r="Y552" s="288">
        <f t="shared" si="115"/>
        <v>0.25427371126747178</v>
      </c>
      <c r="Z552" s="256">
        <f t="shared" si="116"/>
        <v>181.74993027852094</v>
      </c>
      <c r="AA552" s="289">
        <f t="shared" si="117"/>
        <v>104275.87784035788</v>
      </c>
      <c r="AB552" s="288">
        <f t="shared" si="118"/>
        <v>0.52137938920178939</v>
      </c>
    </row>
    <row r="553" spans="13:28" ht="12" hidden="1" customHeight="1">
      <c r="M553" s="266"/>
      <c r="N553" s="288">
        <f t="shared" si="119"/>
        <v>9.5899999999999022</v>
      </c>
      <c r="O553" s="285">
        <f t="shared" si="105"/>
        <v>150</v>
      </c>
      <c r="P553" s="289">
        <f t="shared" si="106"/>
        <v>4000000</v>
      </c>
      <c r="Q553" s="285">
        <f t="shared" si="107"/>
        <v>110</v>
      </c>
      <c r="R553" s="285">
        <f t="shared" si="108"/>
        <v>85</v>
      </c>
      <c r="S553" s="285">
        <f t="shared" si="109"/>
        <v>0.35</v>
      </c>
      <c r="T553" s="285">
        <f t="shared" si="110"/>
        <v>3.2</v>
      </c>
      <c r="U553" s="285">
        <f t="shared" si="111"/>
        <v>1</v>
      </c>
      <c r="V553" s="285">
        <f t="shared" si="112"/>
        <v>4.5</v>
      </c>
      <c r="W553" s="285">
        <f t="shared" si="113"/>
        <v>1.5</v>
      </c>
      <c r="X553" s="289">
        <f t="shared" si="114"/>
        <v>51199.811796197806</v>
      </c>
      <c r="Y553" s="288">
        <f t="shared" si="115"/>
        <v>0.25599905898098901</v>
      </c>
      <c r="Z553" s="256">
        <f t="shared" si="116"/>
        <v>181.74993027852094</v>
      </c>
      <c r="AA553" s="289">
        <f t="shared" si="117"/>
        <v>104983.43091971501</v>
      </c>
      <c r="AB553" s="288">
        <f t="shared" si="118"/>
        <v>0.52491715459857502</v>
      </c>
    </row>
    <row r="554" spans="13:28" ht="12" hidden="1" customHeight="1">
      <c r="M554" s="266"/>
      <c r="N554" s="288">
        <f t="shared" si="119"/>
        <v>9.5999999999999019</v>
      </c>
      <c r="O554" s="285">
        <f t="shared" si="105"/>
        <v>150</v>
      </c>
      <c r="P554" s="289">
        <f t="shared" si="106"/>
        <v>4000000</v>
      </c>
      <c r="Q554" s="285">
        <f t="shared" si="107"/>
        <v>110</v>
      </c>
      <c r="R554" s="285">
        <f t="shared" si="108"/>
        <v>85</v>
      </c>
      <c r="S554" s="285">
        <f t="shared" si="109"/>
        <v>0.35</v>
      </c>
      <c r="T554" s="285">
        <f t="shared" si="110"/>
        <v>3.2</v>
      </c>
      <c r="U554" s="285">
        <f t="shared" si="111"/>
        <v>1</v>
      </c>
      <c r="V554" s="285">
        <f t="shared" si="112"/>
        <v>4.5</v>
      </c>
      <c r="W554" s="285">
        <f t="shared" si="113"/>
        <v>1.5</v>
      </c>
      <c r="X554" s="289">
        <f t="shared" si="114"/>
        <v>51546.906256925075</v>
      </c>
      <c r="Y554" s="288">
        <f t="shared" si="115"/>
        <v>0.25773453128462537</v>
      </c>
      <c r="Z554" s="256">
        <f t="shared" si="116"/>
        <v>181.74993027852094</v>
      </c>
      <c r="AA554" s="289">
        <f t="shared" si="117"/>
        <v>105695.13602295706</v>
      </c>
      <c r="AB554" s="288">
        <f t="shared" si="118"/>
        <v>0.5284756801147853</v>
      </c>
    </row>
    <row r="555" spans="13:28" ht="12" hidden="1" customHeight="1">
      <c r="M555" s="266"/>
      <c r="N555" s="288">
        <f t="shared" si="119"/>
        <v>9.6099999999999017</v>
      </c>
      <c r="O555" s="285">
        <f t="shared" si="105"/>
        <v>150</v>
      </c>
      <c r="P555" s="289">
        <f t="shared" si="106"/>
        <v>4000000</v>
      </c>
      <c r="Q555" s="285">
        <f t="shared" si="107"/>
        <v>110</v>
      </c>
      <c r="R555" s="285">
        <f t="shared" si="108"/>
        <v>85</v>
      </c>
      <c r="S555" s="285">
        <f t="shared" si="109"/>
        <v>0.35</v>
      </c>
      <c r="T555" s="285">
        <f t="shared" si="110"/>
        <v>3.2</v>
      </c>
      <c r="U555" s="285">
        <f t="shared" si="111"/>
        <v>1</v>
      </c>
      <c r="V555" s="285">
        <f t="shared" si="112"/>
        <v>4.5</v>
      </c>
      <c r="W555" s="285">
        <f t="shared" si="113"/>
        <v>1.5</v>
      </c>
      <c r="X555" s="289">
        <f t="shared" si="114"/>
        <v>51896.035651915852</v>
      </c>
      <c r="Y555" s="288">
        <f t="shared" si="115"/>
        <v>0.25948017825957925</v>
      </c>
      <c r="Z555" s="256">
        <f t="shared" si="116"/>
        <v>181.74993027852094</v>
      </c>
      <c r="AA555" s="289">
        <f t="shared" si="117"/>
        <v>106411.01368803412</v>
      </c>
      <c r="AB555" s="288">
        <f t="shared" si="118"/>
        <v>0.53205506844017059</v>
      </c>
    </row>
    <row r="556" spans="13:28" ht="12" hidden="1" customHeight="1">
      <c r="M556" s="266"/>
      <c r="N556" s="288">
        <f t="shared" si="119"/>
        <v>9.6199999999999015</v>
      </c>
      <c r="O556" s="285">
        <f t="shared" si="105"/>
        <v>150</v>
      </c>
      <c r="P556" s="289">
        <f t="shared" si="106"/>
        <v>4000000</v>
      </c>
      <c r="Q556" s="285">
        <f t="shared" si="107"/>
        <v>110</v>
      </c>
      <c r="R556" s="285">
        <f t="shared" si="108"/>
        <v>85</v>
      </c>
      <c r="S556" s="285">
        <f t="shared" si="109"/>
        <v>0.35</v>
      </c>
      <c r="T556" s="285">
        <f t="shared" si="110"/>
        <v>3.2</v>
      </c>
      <c r="U556" s="285">
        <f t="shared" si="111"/>
        <v>1</v>
      </c>
      <c r="V556" s="285">
        <f t="shared" si="112"/>
        <v>4.5</v>
      </c>
      <c r="W556" s="285">
        <f t="shared" si="113"/>
        <v>1.5</v>
      </c>
      <c r="X556" s="289">
        <f t="shared" si="114"/>
        <v>52247.210037697085</v>
      </c>
      <c r="Y556" s="288">
        <f t="shared" si="115"/>
        <v>0.26123605018848545</v>
      </c>
      <c r="Z556" s="256">
        <f t="shared" si="116"/>
        <v>181.74993027852094</v>
      </c>
      <c r="AA556" s="289">
        <f t="shared" si="117"/>
        <v>107131.08453550519</v>
      </c>
      <c r="AB556" s="288">
        <f t="shared" si="118"/>
        <v>0.53565542267752597</v>
      </c>
    </row>
    <row r="557" spans="13:28" ht="12" hidden="1" customHeight="1">
      <c r="M557" s="266"/>
      <c r="N557" s="288">
        <f t="shared" si="119"/>
        <v>9.6299999999999013</v>
      </c>
      <c r="O557" s="285">
        <f t="shared" si="105"/>
        <v>150</v>
      </c>
      <c r="P557" s="289">
        <f t="shared" si="106"/>
        <v>4000000</v>
      </c>
      <c r="Q557" s="285">
        <f t="shared" si="107"/>
        <v>110</v>
      </c>
      <c r="R557" s="285">
        <f t="shared" si="108"/>
        <v>85</v>
      </c>
      <c r="S557" s="285">
        <f t="shared" si="109"/>
        <v>0.35</v>
      </c>
      <c r="T557" s="285">
        <f t="shared" si="110"/>
        <v>3.2</v>
      </c>
      <c r="U557" s="285">
        <f t="shared" si="111"/>
        <v>1</v>
      </c>
      <c r="V557" s="285">
        <f t="shared" si="112"/>
        <v>4.5</v>
      </c>
      <c r="W557" s="285">
        <f t="shared" si="113"/>
        <v>1.5</v>
      </c>
      <c r="X557" s="289">
        <f t="shared" si="114"/>
        <v>52600.439511208373</v>
      </c>
      <c r="Y557" s="288">
        <f t="shared" si="115"/>
        <v>0.26300219755604187</v>
      </c>
      <c r="Z557" s="256">
        <f t="shared" si="116"/>
        <v>181.74993027852094</v>
      </c>
      <c r="AA557" s="289">
        <f t="shared" si="117"/>
        <v>107855.36926879249</v>
      </c>
      <c r="AB557" s="288">
        <f t="shared" si="118"/>
        <v>0.53927684634396245</v>
      </c>
    </row>
    <row r="558" spans="13:28" ht="12" hidden="1" customHeight="1">
      <c r="M558" s="266"/>
      <c r="N558" s="288">
        <f t="shared" si="119"/>
        <v>9.6399999999999011</v>
      </c>
      <c r="O558" s="285">
        <f t="shared" si="105"/>
        <v>150</v>
      </c>
      <c r="P558" s="289">
        <f t="shared" si="106"/>
        <v>4000000</v>
      </c>
      <c r="Q558" s="285">
        <f t="shared" si="107"/>
        <v>110</v>
      </c>
      <c r="R558" s="285">
        <f t="shared" si="108"/>
        <v>85</v>
      </c>
      <c r="S558" s="285">
        <f t="shared" si="109"/>
        <v>0.35</v>
      </c>
      <c r="T558" s="285">
        <f t="shared" si="110"/>
        <v>3.2</v>
      </c>
      <c r="U558" s="285">
        <f t="shared" si="111"/>
        <v>1</v>
      </c>
      <c r="V558" s="285">
        <f t="shared" si="112"/>
        <v>4.5</v>
      </c>
      <c r="W558" s="285">
        <f t="shared" si="113"/>
        <v>1.5</v>
      </c>
      <c r="X558" s="289">
        <f t="shared" si="114"/>
        <v>52955.734209926843</v>
      </c>
      <c r="Y558" s="288">
        <f t="shared" si="115"/>
        <v>0.26477867104963421</v>
      </c>
      <c r="Z558" s="256">
        <f t="shared" si="116"/>
        <v>181.74993027852094</v>
      </c>
      <c r="AA558" s="289">
        <f t="shared" si="117"/>
        <v>108583.88867444023</v>
      </c>
      <c r="AB558" s="288">
        <f t="shared" si="118"/>
        <v>0.5429194433722011</v>
      </c>
    </row>
    <row r="559" spans="13:28" ht="12" hidden="1" customHeight="1">
      <c r="M559" s="266"/>
      <c r="N559" s="288">
        <f t="shared" si="119"/>
        <v>9.6499999999999009</v>
      </c>
      <c r="O559" s="285">
        <f t="shared" si="105"/>
        <v>150</v>
      </c>
      <c r="P559" s="289">
        <f t="shared" si="106"/>
        <v>4000000</v>
      </c>
      <c r="Q559" s="285">
        <f t="shared" si="107"/>
        <v>110</v>
      </c>
      <c r="R559" s="285">
        <f t="shared" si="108"/>
        <v>85</v>
      </c>
      <c r="S559" s="285">
        <f t="shared" si="109"/>
        <v>0.35</v>
      </c>
      <c r="T559" s="285">
        <f t="shared" si="110"/>
        <v>3.2</v>
      </c>
      <c r="U559" s="285">
        <f t="shared" si="111"/>
        <v>1</v>
      </c>
      <c r="V559" s="285">
        <f t="shared" si="112"/>
        <v>4.5</v>
      </c>
      <c r="W559" s="285">
        <f t="shared" si="113"/>
        <v>1.5</v>
      </c>
      <c r="X559" s="289">
        <f t="shared" si="114"/>
        <v>53313.104311992101</v>
      </c>
      <c r="Y559" s="288">
        <f t="shared" si="115"/>
        <v>0.26656552155996049</v>
      </c>
      <c r="Z559" s="256">
        <f t="shared" si="116"/>
        <v>181.74993027852094</v>
      </c>
      <c r="AA559" s="289">
        <f t="shared" si="117"/>
        <v>109316.66362236954</v>
      </c>
      <c r="AB559" s="288">
        <f t="shared" si="118"/>
        <v>0.54658331811184768</v>
      </c>
    </row>
    <row r="560" spans="13:28" ht="12" hidden="1" customHeight="1">
      <c r="M560" s="266"/>
      <c r="N560" s="288">
        <f t="shared" si="119"/>
        <v>9.6599999999999007</v>
      </c>
      <c r="O560" s="285">
        <f t="shared" si="105"/>
        <v>150</v>
      </c>
      <c r="P560" s="289">
        <f t="shared" si="106"/>
        <v>4000000</v>
      </c>
      <c r="Q560" s="285">
        <f t="shared" si="107"/>
        <v>110</v>
      </c>
      <c r="R560" s="285">
        <f t="shared" si="108"/>
        <v>85</v>
      </c>
      <c r="S560" s="285">
        <f t="shared" si="109"/>
        <v>0.35</v>
      </c>
      <c r="T560" s="285">
        <f t="shared" si="110"/>
        <v>3.2</v>
      </c>
      <c r="U560" s="285">
        <f t="shared" si="111"/>
        <v>1</v>
      </c>
      <c r="V560" s="285">
        <f t="shared" si="112"/>
        <v>4.5</v>
      </c>
      <c r="W560" s="285">
        <f t="shared" si="113"/>
        <v>1.5</v>
      </c>
      <c r="X560" s="289">
        <f t="shared" si="114"/>
        <v>53672.560036332266</v>
      </c>
      <c r="Y560" s="288">
        <f t="shared" si="115"/>
        <v>0.26836280018166131</v>
      </c>
      <c r="Z560" s="256">
        <f t="shared" si="116"/>
        <v>181.74993027852094</v>
      </c>
      <c r="AA560" s="289">
        <f t="shared" si="117"/>
        <v>110053.71506613605</v>
      </c>
      <c r="AB560" s="288">
        <f t="shared" si="118"/>
        <v>0.5502685753306803</v>
      </c>
    </row>
    <row r="561" spans="13:28" ht="12" hidden="1" customHeight="1">
      <c r="M561" s="266"/>
      <c r="N561" s="288">
        <f t="shared" si="119"/>
        <v>9.6699999999999005</v>
      </c>
      <c r="O561" s="285">
        <f t="shared" si="105"/>
        <v>150</v>
      </c>
      <c r="P561" s="289">
        <f t="shared" si="106"/>
        <v>4000000</v>
      </c>
      <c r="Q561" s="285">
        <f t="shared" si="107"/>
        <v>110</v>
      </c>
      <c r="R561" s="285">
        <f t="shared" si="108"/>
        <v>85</v>
      </c>
      <c r="S561" s="285">
        <f t="shared" si="109"/>
        <v>0.35</v>
      </c>
      <c r="T561" s="285">
        <f t="shared" si="110"/>
        <v>3.2</v>
      </c>
      <c r="U561" s="285">
        <f t="shared" si="111"/>
        <v>1</v>
      </c>
      <c r="V561" s="285">
        <f t="shared" si="112"/>
        <v>4.5</v>
      </c>
      <c r="W561" s="285">
        <f t="shared" si="113"/>
        <v>1.5</v>
      </c>
      <c r="X561" s="289">
        <f t="shared" si="114"/>
        <v>54034.111642789569</v>
      </c>
      <c r="Y561" s="288">
        <f t="shared" si="115"/>
        <v>0.27017055821394786</v>
      </c>
      <c r="Z561" s="256">
        <f t="shared" si="116"/>
        <v>181.74993027852094</v>
      </c>
      <c r="AA561" s="289">
        <f t="shared" si="117"/>
        <v>110795.06404318954</v>
      </c>
      <c r="AB561" s="288">
        <f t="shared" si="118"/>
        <v>0.55397532021594775</v>
      </c>
    </row>
    <row r="562" spans="13:28" ht="12" hidden="1" customHeight="1">
      <c r="M562" s="266"/>
      <c r="N562" s="288">
        <f t="shared" si="119"/>
        <v>9.6799999999999002</v>
      </c>
      <c r="O562" s="285">
        <f t="shared" si="105"/>
        <v>150</v>
      </c>
      <c r="P562" s="289">
        <f t="shared" si="106"/>
        <v>4000000</v>
      </c>
      <c r="Q562" s="285">
        <f t="shared" si="107"/>
        <v>110</v>
      </c>
      <c r="R562" s="285">
        <f t="shared" si="108"/>
        <v>85</v>
      </c>
      <c r="S562" s="285">
        <f t="shared" si="109"/>
        <v>0.35</v>
      </c>
      <c r="T562" s="285">
        <f t="shared" si="110"/>
        <v>3.2</v>
      </c>
      <c r="U562" s="285">
        <f t="shared" si="111"/>
        <v>1</v>
      </c>
      <c r="V562" s="285">
        <f t="shared" si="112"/>
        <v>4.5</v>
      </c>
      <c r="W562" s="285">
        <f t="shared" si="113"/>
        <v>1.5</v>
      </c>
      <c r="X562" s="289">
        <f t="shared" si="114"/>
        <v>54397.769432246489</v>
      </c>
      <c r="Y562" s="288">
        <f t="shared" si="115"/>
        <v>0.27198884716123245</v>
      </c>
      <c r="Z562" s="256">
        <f t="shared" si="116"/>
        <v>181.74993027852094</v>
      </c>
      <c r="AA562" s="289">
        <f t="shared" si="117"/>
        <v>111540.73167512979</v>
      </c>
      <c r="AB562" s="288">
        <f t="shared" si="118"/>
        <v>0.55770365837564895</v>
      </c>
    </row>
    <row r="563" spans="13:28" ht="12" hidden="1" customHeight="1">
      <c r="M563" s="266"/>
      <c r="N563" s="288">
        <f t="shared" si="119"/>
        <v>9.6899999999999</v>
      </c>
      <c r="O563" s="285">
        <f t="shared" si="105"/>
        <v>150</v>
      </c>
      <c r="P563" s="289">
        <f t="shared" si="106"/>
        <v>4000000</v>
      </c>
      <c r="Q563" s="285">
        <f t="shared" si="107"/>
        <v>110</v>
      </c>
      <c r="R563" s="285">
        <f t="shared" si="108"/>
        <v>85</v>
      </c>
      <c r="S563" s="285">
        <f t="shared" si="109"/>
        <v>0.35</v>
      </c>
      <c r="T563" s="285">
        <f t="shared" si="110"/>
        <v>3.2</v>
      </c>
      <c r="U563" s="285">
        <f t="shared" si="111"/>
        <v>1</v>
      </c>
      <c r="V563" s="285">
        <f t="shared" si="112"/>
        <v>4.5</v>
      </c>
      <c r="W563" s="285">
        <f t="shared" si="113"/>
        <v>1.5</v>
      </c>
      <c r="X563" s="289">
        <f t="shared" si="114"/>
        <v>54763.543746752061</v>
      </c>
      <c r="Y563" s="288">
        <f t="shared" si="115"/>
        <v>0.27381771873376032</v>
      </c>
      <c r="Z563" s="256">
        <f t="shared" si="116"/>
        <v>181.74993027852094</v>
      </c>
      <c r="AA563" s="289">
        <f t="shared" si="117"/>
        <v>112290.73916796892</v>
      </c>
      <c r="AB563" s="288">
        <f t="shared" si="118"/>
        <v>0.56145369583984461</v>
      </c>
    </row>
    <row r="564" spans="13:28" ht="12" hidden="1" customHeight="1">
      <c r="M564" s="266"/>
      <c r="N564" s="288">
        <f t="shared" si="119"/>
        <v>9.6999999999998998</v>
      </c>
      <c r="O564" s="285">
        <f t="shared" si="105"/>
        <v>150</v>
      </c>
      <c r="P564" s="289">
        <f t="shared" si="106"/>
        <v>4000000</v>
      </c>
      <c r="Q564" s="285">
        <f t="shared" si="107"/>
        <v>110</v>
      </c>
      <c r="R564" s="285">
        <f t="shared" si="108"/>
        <v>85</v>
      </c>
      <c r="S564" s="285">
        <f t="shared" si="109"/>
        <v>0.35</v>
      </c>
      <c r="T564" s="285">
        <f t="shared" si="110"/>
        <v>3.2</v>
      </c>
      <c r="U564" s="285">
        <f t="shared" si="111"/>
        <v>1</v>
      </c>
      <c r="V564" s="285">
        <f t="shared" si="112"/>
        <v>4.5</v>
      </c>
      <c r="W564" s="285">
        <f t="shared" si="113"/>
        <v>1.5</v>
      </c>
      <c r="X564" s="289">
        <f t="shared" si="114"/>
        <v>55131.444969648634</v>
      </c>
      <c r="Y564" s="288">
        <f t="shared" si="115"/>
        <v>0.27565722484824318</v>
      </c>
      <c r="Z564" s="256">
        <f t="shared" si="116"/>
        <v>181.74993027852094</v>
      </c>
      <c r="AA564" s="289">
        <f t="shared" si="117"/>
        <v>113045.10781238841</v>
      </c>
      <c r="AB564" s="288">
        <f t="shared" si="118"/>
        <v>0.56522553906194206</v>
      </c>
    </row>
    <row r="565" spans="13:28" ht="12" hidden="1" customHeight="1">
      <c r="M565" s="266"/>
      <c r="N565" s="288">
        <f t="shared" si="119"/>
        <v>9.7099999999998996</v>
      </c>
      <c r="O565" s="285">
        <f t="shared" si="105"/>
        <v>150</v>
      </c>
      <c r="P565" s="289">
        <f t="shared" si="106"/>
        <v>4000000</v>
      </c>
      <c r="Q565" s="285">
        <f t="shared" si="107"/>
        <v>110</v>
      </c>
      <c r="R565" s="285">
        <f t="shared" si="108"/>
        <v>85</v>
      </c>
      <c r="S565" s="285">
        <f t="shared" si="109"/>
        <v>0.35</v>
      </c>
      <c r="T565" s="285">
        <f t="shared" si="110"/>
        <v>3.2</v>
      </c>
      <c r="U565" s="285">
        <f t="shared" si="111"/>
        <v>1</v>
      </c>
      <c r="V565" s="285">
        <f t="shared" si="112"/>
        <v>4.5</v>
      </c>
      <c r="W565" s="285">
        <f t="shared" si="113"/>
        <v>1.5</v>
      </c>
      <c r="X565" s="289">
        <f t="shared" si="114"/>
        <v>55501.483525698794</v>
      </c>
      <c r="Y565" s="288">
        <f t="shared" si="115"/>
        <v>0.27750741762849396</v>
      </c>
      <c r="Z565" s="256">
        <f t="shared" si="116"/>
        <v>181.74993027852094</v>
      </c>
      <c r="AA565" s="289">
        <f t="shared" si="117"/>
        <v>113803.85898400107</v>
      </c>
      <c r="AB565" s="288">
        <f t="shared" si="118"/>
        <v>0.56901929492000536</v>
      </c>
    </row>
    <row r="566" spans="13:28" ht="12" hidden="1" customHeight="1">
      <c r="M566" s="266"/>
      <c r="N566" s="288">
        <f t="shared" si="119"/>
        <v>9.7199999999998994</v>
      </c>
      <c r="O566" s="285">
        <f t="shared" si="105"/>
        <v>150</v>
      </c>
      <c r="P566" s="289">
        <f t="shared" si="106"/>
        <v>4000000</v>
      </c>
      <c r="Q566" s="285">
        <f t="shared" si="107"/>
        <v>110</v>
      </c>
      <c r="R566" s="285">
        <f t="shared" si="108"/>
        <v>85</v>
      </c>
      <c r="S566" s="285">
        <f t="shared" si="109"/>
        <v>0.35</v>
      </c>
      <c r="T566" s="285">
        <f t="shared" si="110"/>
        <v>3.2</v>
      </c>
      <c r="U566" s="285">
        <f t="shared" si="111"/>
        <v>1</v>
      </c>
      <c r="V566" s="285">
        <f t="shared" si="112"/>
        <v>4.5</v>
      </c>
      <c r="W566" s="285">
        <f t="shared" si="113"/>
        <v>1.5</v>
      </c>
      <c r="X566" s="289">
        <f t="shared" si="114"/>
        <v>55873.669881212118</v>
      </c>
      <c r="Y566" s="288">
        <f t="shared" si="115"/>
        <v>0.27936834940606059</v>
      </c>
      <c r="Z566" s="256">
        <f t="shared" si="116"/>
        <v>181.74993027852094</v>
      </c>
      <c r="AA566" s="289">
        <f t="shared" si="117"/>
        <v>114567.01414361037</v>
      </c>
      <c r="AB566" s="288">
        <f t="shared" si="118"/>
        <v>0.57283507071805184</v>
      </c>
    </row>
    <row r="567" spans="13:28" ht="12" hidden="1" customHeight="1">
      <c r="M567" s="266"/>
      <c r="N567" s="288">
        <f t="shared" si="119"/>
        <v>9.7299999999998992</v>
      </c>
      <c r="O567" s="285">
        <f t="shared" si="105"/>
        <v>150</v>
      </c>
      <c r="P567" s="289">
        <f t="shared" si="106"/>
        <v>4000000</v>
      </c>
      <c r="Q567" s="285">
        <f t="shared" si="107"/>
        <v>110</v>
      </c>
      <c r="R567" s="285">
        <f t="shared" si="108"/>
        <v>85</v>
      </c>
      <c r="S567" s="285">
        <f t="shared" si="109"/>
        <v>0.35</v>
      </c>
      <c r="T567" s="285">
        <f t="shared" si="110"/>
        <v>3.2</v>
      </c>
      <c r="U567" s="285">
        <f t="shared" si="111"/>
        <v>1</v>
      </c>
      <c r="V567" s="285">
        <f t="shared" si="112"/>
        <v>4.5</v>
      </c>
      <c r="W567" s="285">
        <f t="shared" si="113"/>
        <v>1.5</v>
      </c>
      <c r="X567" s="289">
        <f t="shared" si="114"/>
        <v>56248.014544173442</v>
      </c>
      <c r="Y567" s="288">
        <f t="shared" si="115"/>
        <v>0.28124007272086721</v>
      </c>
      <c r="Z567" s="256">
        <f t="shared" si="116"/>
        <v>181.74993027852094</v>
      </c>
      <c r="AA567" s="289">
        <f t="shared" si="117"/>
        <v>115334.59483747325</v>
      </c>
      <c r="AB567" s="288">
        <f t="shared" si="118"/>
        <v>0.57667297418736629</v>
      </c>
    </row>
    <row r="568" spans="13:28" ht="12" hidden="1" customHeight="1">
      <c r="M568" s="266"/>
      <c r="N568" s="288">
        <f t="shared" si="119"/>
        <v>9.739999999999899</v>
      </c>
      <c r="O568" s="285">
        <f t="shared" si="105"/>
        <v>150</v>
      </c>
      <c r="P568" s="289">
        <f t="shared" si="106"/>
        <v>4000000</v>
      </c>
      <c r="Q568" s="285">
        <f t="shared" si="107"/>
        <v>110</v>
      </c>
      <c r="R568" s="285">
        <f t="shared" si="108"/>
        <v>85</v>
      </c>
      <c r="S568" s="285">
        <f t="shared" si="109"/>
        <v>0.35</v>
      </c>
      <c r="T568" s="285">
        <f t="shared" si="110"/>
        <v>3.2</v>
      </c>
      <c r="U568" s="285">
        <f t="shared" si="111"/>
        <v>1</v>
      </c>
      <c r="V568" s="285">
        <f t="shared" si="112"/>
        <v>4.5</v>
      </c>
      <c r="W568" s="285">
        <f t="shared" si="113"/>
        <v>1.5</v>
      </c>
      <c r="X568" s="289">
        <f t="shared" si="114"/>
        <v>56624.528064370228</v>
      </c>
      <c r="Y568" s="288">
        <f t="shared" si="115"/>
        <v>0.28312264032185114</v>
      </c>
      <c r="Z568" s="256">
        <f t="shared" si="116"/>
        <v>181.74993027852094</v>
      </c>
      <c r="AA568" s="289">
        <f t="shared" si="117"/>
        <v>116106.62269756108</v>
      </c>
      <c r="AB568" s="288">
        <f t="shared" si="118"/>
        <v>0.58053311348780534</v>
      </c>
    </row>
    <row r="569" spans="13:28" ht="12" hidden="1" customHeight="1">
      <c r="M569" s="266"/>
      <c r="N569" s="288">
        <f t="shared" si="119"/>
        <v>9.7499999999998987</v>
      </c>
      <c r="O569" s="285">
        <f t="shared" si="105"/>
        <v>150</v>
      </c>
      <c r="P569" s="289">
        <f t="shared" si="106"/>
        <v>4000000</v>
      </c>
      <c r="Q569" s="285">
        <f t="shared" si="107"/>
        <v>110</v>
      </c>
      <c r="R569" s="285">
        <f t="shared" si="108"/>
        <v>85</v>
      </c>
      <c r="S569" s="285">
        <f t="shared" si="109"/>
        <v>0.35</v>
      </c>
      <c r="T569" s="285">
        <f t="shared" si="110"/>
        <v>3.2</v>
      </c>
      <c r="U569" s="285">
        <f t="shared" si="111"/>
        <v>1</v>
      </c>
      <c r="V569" s="285">
        <f t="shared" si="112"/>
        <v>4.5</v>
      </c>
      <c r="W569" s="285">
        <f t="shared" si="113"/>
        <v>1.5</v>
      </c>
      <c r="X569" s="289">
        <f t="shared" si="114"/>
        <v>57003.221033520604</v>
      </c>
      <c r="Y569" s="288">
        <f t="shared" si="115"/>
        <v>0.28501610516760301</v>
      </c>
      <c r="Z569" s="256">
        <f t="shared" si="116"/>
        <v>181.74993027852094</v>
      </c>
      <c r="AA569" s="289">
        <f t="shared" si="117"/>
        <v>116883.11944182297</v>
      </c>
      <c r="AB569" s="288">
        <f t="shared" si="118"/>
        <v>0.58441559720911485</v>
      </c>
    </row>
    <row r="570" spans="13:28" ht="12" hidden="1" customHeight="1">
      <c r="M570" s="266"/>
      <c r="N570" s="288">
        <f t="shared" si="119"/>
        <v>9.7599999999998985</v>
      </c>
      <c r="O570" s="285">
        <f t="shared" si="105"/>
        <v>150</v>
      </c>
      <c r="P570" s="289">
        <f t="shared" si="106"/>
        <v>4000000</v>
      </c>
      <c r="Q570" s="285">
        <f t="shared" si="107"/>
        <v>110</v>
      </c>
      <c r="R570" s="285">
        <f t="shared" si="108"/>
        <v>85</v>
      </c>
      <c r="S570" s="285">
        <f t="shared" si="109"/>
        <v>0.35</v>
      </c>
      <c r="T570" s="285">
        <f t="shared" si="110"/>
        <v>3.2</v>
      </c>
      <c r="U570" s="285">
        <f t="shared" si="111"/>
        <v>1</v>
      </c>
      <c r="V570" s="285">
        <f t="shared" si="112"/>
        <v>4.5</v>
      </c>
      <c r="W570" s="285">
        <f t="shared" si="113"/>
        <v>1.5</v>
      </c>
      <c r="X570" s="289">
        <f t="shared" si="114"/>
        <v>57384.104085400897</v>
      </c>
      <c r="Y570" s="288">
        <f t="shared" si="115"/>
        <v>0.2869205204270045</v>
      </c>
      <c r="Z570" s="256">
        <f t="shared" si="116"/>
        <v>181.74993027852094</v>
      </c>
      <c r="AA570" s="289">
        <f t="shared" si="117"/>
        <v>117664.10687444737</v>
      </c>
      <c r="AB570" s="288">
        <f t="shared" si="118"/>
        <v>0.58832053437223686</v>
      </c>
    </row>
    <row r="571" spans="13:28" ht="12" hidden="1" customHeight="1">
      <c r="M571" s="266"/>
      <c r="N571" s="288">
        <f t="shared" si="119"/>
        <v>9.7699999999998983</v>
      </c>
      <c r="O571" s="285">
        <f t="shared" si="105"/>
        <v>150</v>
      </c>
      <c r="P571" s="289">
        <f t="shared" si="106"/>
        <v>4000000</v>
      </c>
      <c r="Q571" s="285">
        <f t="shared" si="107"/>
        <v>110</v>
      </c>
      <c r="R571" s="285">
        <f t="shared" si="108"/>
        <v>85</v>
      </c>
      <c r="S571" s="285">
        <f t="shared" si="109"/>
        <v>0.35</v>
      </c>
      <c r="T571" s="285">
        <f t="shared" si="110"/>
        <v>3.2</v>
      </c>
      <c r="U571" s="285">
        <f t="shared" si="111"/>
        <v>1</v>
      </c>
      <c r="V571" s="285">
        <f t="shared" si="112"/>
        <v>4.5</v>
      </c>
      <c r="W571" s="285">
        <f t="shared" si="113"/>
        <v>1.5</v>
      </c>
      <c r="X571" s="289">
        <f t="shared" si="114"/>
        <v>57767.187895975796</v>
      </c>
      <c r="Y571" s="288">
        <f t="shared" si="115"/>
        <v>0.28883593947987896</v>
      </c>
      <c r="Z571" s="256">
        <f t="shared" si="116"/>
        <v>181.74993027852094</v>
      </c>
      <c r="AA571" s="289">
        <f t="shared" si="117"/>
        <v>118449.60688612807</v>
      </c>
      <c r="AB571" s="288">
        <f t="shared" si="118"/>
        <v>0.59224803443064034</v>
      </c>
    </row>
    <row r="572" spans="13:28" ht="12" hidden="1" customHeight="1">
      <c r="M572" s="266"/>
      <c r="N572" s="288">
        <f t="shared" si="119"/>
        <v>9.7799999999998981</v>
      </c>
      <c r="O572" s="285">
        <f t="shared" si="105"/>
        <v>150</v>
      </c>
      <c r="P572" s="289">
        <f t="shared" si="106"/>
        <v>4000000</v>
      </c>
      <c r="Q572" s="285">
        <f t="shared" si="107"/>
        <v>110</v>
      </c>
      <c r="R572" s="285">
        <f t="shared" si="108"/>
        <v>85</v>
      </c>
      <c r="S572" s="285">
        <f t="shared" si="109"/>
        <v>0.35</v>
      </c>
      <c r="T572" s="285">
        <f t="shared" si="110"/>
        <v>3.2</v>
      </c>
      <c r="U572" s="285">
        <f t="shared" si="111"/>
        <v>1</v>
      </c>
      <c r="V572" s="285">
        <f t="shared" si="112"/>
        <v>4.5</v>
      </c>
      <c r="W572" s="285">
        <f t="shared" si="113"/>
        <v>1.5</v>
      </c>
      <c r="X572" s="289">
        <f t="shared" si="114"/>
        <v>58152.483183525968</v>
      </c>
      <c r="Y572" s="288">
        <f t="shared" si="115"/>
        <v>0.29076241591762986</v>
      </c>
      <c r="Z572" s="256">
        <f t="shared" si="116"/>
        <v>181.74993027852094</v>
      </c>
      <c r="AA572" s="289">
        <f t="shared" si="117"/>
        <v>119239.64145432581</v>
      </c>
      <c r="AB572" s="288">
        <f t="shared" si="118"/>
        <v>0.59619820727162909</v>
      </c>
    </row>
    <row r="573" spans="13:28" ht="12" hidden="1" customHeight="1">
      <c r="M573" s="266"/>
      <c r="N573" s="288">
        <f t="shared" si="119"/>
        <v>9.7899999999998979</v>
      </c>
      <c r="O573" s="285">
        <f t="shared" si="105"/>
        <v>150</v>
      </c>
      <c r="P573" s="289">
        <f t="shared" si="106"/>
        <v>4000000</v>
      </c>
      <c r="Q573" s="285">
        <f t="shared" si="107"/>
        <v>110</v>
      </c>
      <c r="R573" s="285">
        <f t="shared" si="108"/>
        <v>85</v>
      </c>
      <c r="S573" s="285">
        <f t="shared" si="109"/>
        <v>0.35</v>
      </c>
      <c r="T573" s="285">
        <f t="shared" si="110"/>
        <v>3.2</v>
      </c>
      <c r="U573" s="285">
        <f t="shared" si="111"/>
        <v>1</v>
      </c>
      <c r="V573" s="285">
        <f t="shared" si="112"/>
        <v>4.5</v>
      </c>
      <c r="W573" s="285">
        <f t="shared" si="113"/>
        <v>1.5</v>
      </c>
      <c r="X573" s="289">
        <f t="shared" si="114"/>
        <v>58540.000708777261</v>
      </c>
      <c r="Y573" s="288">
        <f t="shared" si="115"/>
        <v>0.29270000354388631</v>
      </c>
      <c r="Z573" s="256">
        <f t="shared" si="116"/>
        <v>181.74993027852094</v>
      </c>
      <c r="AA573" s="289">
        <f t="shared" si="117"/>
        <v>120034.2326435342</v>
      </c>
      <c r="AB573" s="288">
        <f t="shared" si="118"/>
        <v>0.60017116321767094</v>
      </c>
    </row>
    <row r="574" spans="13:28" ht="12" hidden="1" customHeight="1">
      <c r="M574" s="266"/>
      <c r="N574" s="288">
        <f t="shared" si="119"/>
        <v>9.7999999999998977</v>
      </c>
      <c r="O574" s="285">
        <f t="shared" si="105"/>
        <v>150</v>
      </c>
      <c r="P574" s="289">
        <f t="shared" si="106"/>
        <v>4000000</v>
      </c>
      <c r="Q574" s="285">
        <f t="shared" si="107"/>
        <v>110</v>
      </c>
      <c r="R574" s="285">
        <f t="shared" si="108"/>
        <v>85</v>
      </c>
      <c r="S574" s="285">
        <f t="shared" si="109"/>
        <v>0.35</v>
      </c>
      <c r="T574" s="285">
        <f t="shared" si="110"/>
        <v>3.2</v>
      </c>
      <c r="U574" s="285">
        <f t="shared" si="111"/>
        <v>1</v>
      </c>
      <c r="V574" s="285">
        <f t="shared" si="112"/>
        <v>4.5</v>
      </c>
      <c r="W574" s="285">
        <f t="shared" si="113"/>
        <v>1.5</v>
      </c>
      <c r="X574" s="289">
        <f t="shared" si="114"/>
        <v>58929.751275030932</v>
      </c>
      <c r="Y574" s="288">
        <f t="shared" si="115"/>
        <v>0.29464875637515464</v>
      </c>
      <c r="Z574" s="256">
        <f t="shared" si="116"/>
        <v>181.74993027852094</v>
      </c>
      <c r="AA574" s="289">
        <f t="shared" si="117"/>
        <v>120833.40260554709</v>
      </c>
      <c r="AB574" s="288">
        <f t="shared" si="118"/>
        <v>0.60416701302773546</v>
      </c>
    </row>
    <row r="575" spans="13:28" ht="12" hidden="1" customHeight="1">
      <c r="M575" s="266"/>
      <c r="N575" s="288">
        <f t="shared" si="119"/>
        <v>9.8099999999998975</v>
      </c>
      <c r="O575" s="285">
        <f t="shared" si="105"/>
        <v>150</v>
      </c>
      <c r="P575" s="289">
        <f t="shared" si="106"/>
        <v>4000000</v>
      </c>
      <c r="Q575" s="285">
        <f t="shared" si="107"/>
        <v>110</v>
      </c>
      <c r="R575" s="285">
        <f t="shared" si="108"/>
        <v>85</v>
      </c>
      <c r="S575" s="285">
        <f t="shared" si="109"/>
        <v>0.35</v>
      </c>
      <c r="T575" s="285">
        <f t="shared" si="110"/>
        <v>3.2</v>
      </c>
      <c r="U575" s="285">
        <f t="shared" si="111"/>
        <v>1</v>
      </c>
      <c r="V575" s="285">
        <f t="shared" si="112"/>
        <v>4.5</v>
      </c>
      <c r="W575" s="285">
        <f t="shared" si="113"/>
        <v>1.5</v>
      </c>
      <c r="X575" s="289">
        <f t="shared" si="114"/>
        <v>59321.74572829227</v>
      </c>
      <c r="Y575" s="288">
        <f t="shared" si="115"/>
        <v>0.29660872864146137</v>
      </c>
      <c r="Z575" s="256">
        <f t="shared" si="116"/>
        <v>181.74993027852094</v>
      </c>
      <c r="AA575" s="289">
        <f t="shared" si="117"/>
        <v>121637.17357971927</v>
      </c>
      <c r="AB575" s="288">
        <f t="shared" si="118"/>
        <v>0.6081858678985963</v>
      </c>
    </row>
    <row r="576" spans="13:28" ht="12" hidden="1" customHeight="1">
      <c r="M576" s="266"/>
      <c r="N576" s="288">
        <f t="shared" si="119"/>
        <v>9.8199999999998973</v>
      </c>
      <c r="O576" s="285">
        <f t="shared" si="105"/>
        <v>150</v>
      </c>
      <c r="P576" s="289">
        <f t="shared" si="106"/>
        <v>4000000</v>
      </c>
      <c r="Q576" s="285">
        <f t="shared" si="107"/>
        <v>110</v>
      </c>
      <c r="R576" s="285">
        <f t="shared" si="108"/>
        <v>85</v>
      </c>
      <c r="S576" s="285">
        <f t="shared" si="109"/>
        <v>0.35</v>
      </c>
      <c r="T576" s="285">
        <f t="shared" si="110"/>
        <v>3.2</v>
      </c>
      <c r="U576" s="285">
        <f t="shared" si="111"/>
        <v>1</v>
      </c>
      <c r="V576" s="285">
        <f t="shared" si="112"/>
        <v>4.5</v>
      </c>
      <c r="W576" s="285">
        <f t="shared" si="113"/>
        <v>1.5</v>
      </c>
      <c r="X576" s="289">
        <f t="shared" si="114"/>
        <v>59715.994957400952</v>
      </c>
      <c r="Y576" s="288">
        <f t="shared" si="115"/>
        <v>0.29857997478700476</v>
      </c>
      <c r="Z576" s="256">
        <f t="shared" si="116"/>
        <v>181.74993027852094</v>
      </c>
      <c r="AA576" s="289">
        <f t="shared" si="117"/>
        <v>122445.56789323813</v>
      </c>
      <c r="AB576" s="288">
        <f t="shared" si="118"/>
        <v>0.61222783946619064</v>
      </c>
    </row>
    <row r="577" spans="13:28" ht="12" hidden="1" customHeight="1">
      <c r="M577" s="266"/>
      <c r="N577" s="288">
        <f t="shared" si="119"/>
        <v>9.829999999999897</v>
      </c>
      <c r="O577" s="285">
        <f t="shared" si="105"/>
        <v>150</v>
      </c>
      <c r="P577" s="289">
        <f t="shared" si="106"/>
        <v>4000000</v>
      </c>
      <c r="Q577" s="285">
        <f t="shared" si="107"/>
        <v>110</v>
      </c>
      <c r="R577" s="285">
        <f t="shared" si="108"/>
        <v>85</v>
      </c>
      <c r="S577" s="285">
        <f t="shared" si="109"/>
        <v>0.35</v>
      </c>
      <c r="T577" s="285">
        <f t="shared" si="110"/>
        <v>3.2</v>
      </c>
      <c r="U577" s="285">
        <f t="shared" si="111"/>
        <v>1</v>
      </c>
      <c r="V577" s="285">
        <f t="shared" si="112"/>
        <v>4.5</v>
      </c>
      <c r="W577" s="285">
        <f t="shared" si="113"/>
        <v>1.5</v>
      </c>
      <c r="X577" s="289">
        <f t="shared" si="114"/>
        <v>60112.509894162009</v>
      </c>
      <c r="Y577" s="288">
        <f t="shared" si="115"/>
        <v>0.30056254947081007</v>
      </c>
      <c r="Z577" s="256">
        <f t="shared" si="116"/>
        <v>181.74993027852094</v>
      </c>
      <c r="AA577" s="289">
        <f t="shared" si="117"/>
        <v>123258.60796138893</v>
      </c>
      <c r="AB577" s="288">
        <f t="shared" si="118"/>
        <v>0.61629303980694461</v>
      </c>
    </row>
    <row r="578" spans="13:28" ht="12" hidden="1" customHeight="1">
      <c r="M578" s="266"/>
      <c r="N578" s="288">
        <f t="shared" si="119"/>
        <v>9.8399999999998968</v>
      </c>
      <c r="O578" s="285">
        <f t="shared" si="105"/>
        <v>150</v>
      </c>
      <c r="P578" s="289">
        <f t="shared" si="106"/>
        <v>4000000</v>
      </c>
      <c r="Q578" s="285">
        <f t="shared" si="107"/>
        <v>110</v>
      </c>
      <c r="R578" s="285">
        <f t="shared" si="108"/>
        <v>85</v>
      </c>
      <c r="S578" s="285">
        <f t="shared" si="109"/>
        <v>0.35</v>
      </c>
      <c r="T578" s="285">
        <f t="shared" si="110"/>
        <v>3.2</v>
      </c>
      <c r="U578" s="285">
        <f t="shared" si="111"/>
        <v>1</v>
      </c>
      <c r="V578" s="285">
        <f t="shared" si="112"/>
        <v>4.5</v>
      </c>
      <c r="W578" s="285">
        <f t="shared" si="113"/>
        <v>1.5</v>
      </c>
      <c r="X578" s="289">
        <f t="shared" si="114"/>
        <v>60511.301513474398</v>
      </c>
      <c r="Y578" s="288">
        <f t="shared" si="115"/>
        <v>0.30255650756737201</v>
      </c>
      <c r="Z578" s="256">
        <f t="shared" si="116"/>
        <v>181.74993027852094</v>
      </c>
      <c r="AA578" s="289">
        <f t="shared" si="117"/>
        <v>124076.31628781979</v>
      </c>
      <c r="AB578" s="288">
        <f t="shared" si="118"/>
        <v>0.62038158143909894</v>
      </c>
    </row>
    <row r="579" spans="13:28" ht="12" hidden="1" customHeight="1">
      <c r="M579" s="266"/>
      <c r="N579" s="288">
        <f t="shared" si="119"/>
        <v>9.8499999999998966</v>
      </c>
      <c r="O579" s="285">
        <f t="shared" si="105"/>
        <v>150</v>
      </c>
      <c r="P579" s="289">
        <f t="shared" si="106"/>
        <v>4000000</v>
      </c>
      <c r="Q579" s="285">
        <f t="shared" si="107"/>
        <v>110</v>
      </c>
      <c r="R579" s="285">
        <f t="shared" si="108"/>
        <v>85</v>
      </c>
      <c r="S579" s="285">
        <f t="shared" si="109"/>
        <v>0.35</v>
      </c>
      <c r="T579" s="285">
        <f t="shared" si="110"/>
        <v>3.2</v>
      </c>
      <c r="U579" s="285">
        <f t="shared" si="111"/>
        <v>1</v>
      </c>
      <c r="V579" s="285">
        <f t="shared" si="112"/>
        <v>4.5</v>
      </c>
      <c r="W579" s="285">
        <f t="shared" si="113"/>
        <v>1.5</v>
      </c>
      <c r="X579" s="289">
        <f t="shared" si="114"/>
        <v>60912.380833464667</v>
      </c>
      <c r="Y579" s="288">
        <f t="shared" si="115"/>
        <v>0.30456190416732332</v>
      </c>
      <c r="Z579" s="256">
        <f t="shared" si="116"/>
        <v>181.74993027852094</v>
      </c>
      <c r="AA579" s="289">
        <f t="shared" si="117"/>
        <v>124898.71546481566</v>
      </c>
      <c r="AB579" s="288">
        <f t="shared" si="118"/>
        <v>0.62449357732407829</v>
      </c>
    </row>
    <row r="580" spans="13:28" ht="12" hidden="1" customHeight="1">
      <c r="M580" s="266"/>
      <c r="N580" s="288">
        <f t="shared" si="119"/>
        <v>9.8599999999998964</v>
      </c>
      <c r="O580" s="285">
        <f t="shared" si="105"/>
        <v>150</v>
      </c>
      <c r="P580" s="289">
        <f t="shared" si="106"/>
        <v>4000000</v>
      </c>
      <c r="Q580" s="285">
        <f t="shared" si="107"/>
        <v>110</v>
      </c>
      <c r="R580" s="285">
        <f t="shared" si="108"/>
        <v>85</v>
      </c>
      <c r="S580" s="285">
        <f t="shared" si="109"/>
        <v>0.35</v>
      </c>
      <c r="T580" s="285">
        <f t="shared" si="110"/>
        <v>3.2</v>
      </c>
      <c r="U580" s="285">
        <f t="shared" si="111"/>
        <v>1</v>
      </c>
      <c r="V580" s="285">
        <f t="shared" si="112"/>
        <v>4.5</v>
      </c>
      <c r="W580" s="285">
        <f t="shared" si="113"/>
        <v>1.5</v>
      </c>
      <c r="X580" s="289">
        <f t="shared" si="114"/>
        <v>61315.758915615166</v>
      </c>
      <c r="Y580" s="288">
        <f t="shared" si="115"/>
        <v>0.30657879457807585</v>
      </c>
      <c r="Z580" s="256">
        <f t="shared" si="116"/>
        <v>181.74993027852094</v>
      </c>
      <c r="AA580" s="289">
        <f t="shared" si="117"/>
        <v>125725.82817356016</v>
      </c>
      <c r="AB580" s="288">
        <f t="shared" si="118"/>
        <v>0.62862914086780086</v>
      </c>
    </row>
    <row r="581" spans="13:28" ht="12" hidden="1" customHeight="1">
      <c r="M581" s="266"/>
      <c r="N581" s="288">
        <f t="shared" si="119"/>
        <v>9.8699999999998962</v>
      </c>
      <c r="O581" s="285">
        <f t="shared" si="105"/>
        <v>150</v>
      </c>
      <c r="P581" s="289">
        <f t="shared" si="106"/>
        <v>4000000</v>
      </c>
      <c r="Q581" s="285">
        <f t="shared" si="107"/>
        <v>110</v>
      </c>
      <c r="R581" s="285">
        <f t="shared" si="108"/>
        <v>85</v>
      </c>
      <c r="S581" s="285">
        <f t="shared" si="109"/>
        <v>0.35</v>
      </c>
      <c r="T581" s="285">
        <f t="shared" si="110"/>
        <v>3.2</v>
      </c>
      <c r="U581" s="285">
        <f t="shared" si="111"/>
        <v>1</v>
      </c>
      <c r="V581" s="285">
        <f t="shared" si="112"/>
        <v>4.5</v>
      </c>
      <c r="W581" s="285">
        <f t="shared" si="113"/>
        <v>1.5</v>
      </c>
      <c r="X581" s="289">
        <f t="shared" si="114"/>
        <v>61721.446864897094</v>
      </c>
      <c r="Y581" s="288">
        <f t="shared" si="115"/>
        <v>0.30860723432448545</v>
      </c>
      <c r="Z581" s="256">
        <f t="shared" si="116"/>
        <v>181.74993027852094</v>
      </c>
      <c r="AA581" s="289">
        <f t="shared" si="117"/>
        <v>126557.67718441092</v>
      </c>
      <c r="AB581" s="288">
        <f t="shared" si="118"/>
        <v>0.63278838592205455</v>
      </c>
    </row>
    <row r="582" spans="13:28" ht="12" hidden="1" customHeight="1">
      <c r="M582" s="266"/>
      <c r="N582" s="288">
        <f t="shared" si="119"/>
        <v>9.879999999999896</v>
      </c>
      <c r="O582" s="285">
        <f t="shared" si="105"/>
        <v>150</v>
      </c>
      <c r="P582" s="289">
        <f t="shared" si="106"/>
        <v>4000000</v>
      </c>
      <c r="Q582" s="285">
        <f t="shared" si="107"/>
        <v>110</v>
      </c>
      <c r="R582" s="285">
        <f t="shared" si="108"/>
        <v>85</v>
      </c>
      <c r="S582" s="285">
        <f t="shared" si="109"/>
        <v>0.35</v>
      </c>
      <c r="T582" s="285">
        <f t="shared" si="110"/>
        <v>3.2</v>
      </c>
      <c r="U582" s="285">
        <f t="shared" si="111"/>
        <v>1</v>
      </c>
      <c r="V582" s="285">
        <f t="shared" si="112"/>
        <v>4.5</v>
      </c>
      <c r="W582" s="285">
        <f t="shared" si="113"/>
        <v>1.5</v>
      </c>
      <c r="X582" s="289">
        <f t="shared" si="114"/>
        <v>62129.455829901257</v>
      </c>
      <c r="Y582" s="288">
        <f t="shared" si="115"/>
        <v>0.31064727914950629</v>
      </c>
      <c r="Z582" s="256">
        <f t="shared" si="116"/>
        <v>181.74993027852094</v>
      </c>
      <c r="AA582" s="289">
        <f t="shared" si="117"/>
        <v>127394.28535716416</v>
      </c>
      <c r="AB582" s="288">
        <f t="shared" si="118"/>
        <v>0.63697142678582075</v>
      </c>
    </row>
    <row r="583" spans="13:28" ht="12" hidden="1" customHeight="1">
      <c r="M583" s="266"/>
      <c r="N583" s="288">
        <f t="shared" si="119"/>
        <v>9.8899999999998958</v>
      </c>
      <c r="O583" s="285">
        <f t="shared" si="105"/>
        <v>150</v>
      </c>
      <c r="P583" s="289">
        <f t="shared" si="106"/>
        <v>4000000</v>
      </c>
      <c r="Q583" s="285">
        <f t="shared" si="107"/>
        <v>110</v>
      </c>
      <c r="R583" s="285">
        <f t="shared" si="108"/>
        <v>85</v>
      </c>
      <c r="S583" s="285">
        <f t="shared" si="109"/>
        <v>0.35</v>
      </c>
      <c r="T583" s="285">
        <f t="shared" si="110"/>
        <v>3.2</v>
      </c>
      <c r="U583" s="285">
        <f t="shared" si="111"/>
        <v>1</v>
      </c>
      <c r="V583" s="285">
        <f t="shared" si="112"/>
        <v>4.5</v>
      </c>
      <c r="W583" s="285">
        <f t="shared" si="113"/>
        <v>1.5</v>
      </c>
      <c r="X583" s="289">
        <f t="shared" si="114"/>
        <v>62539.797002971085</v>
      </c>
      <c r="Y583" s="288">
        <f t="shared" si="115"/>
        <v>0.31269898501485544</v>
      </c>
      <c r="Z583" s="256">
        <f t="shared" si="116"/>
        <v>181.74993027852094</v>
      </c>
      <c r="AA583" s="289">
        <f t="shared" si="117"/>
        <v>128235.67564133123</v>
      </c>
      <c r="AB583" s="288">
        <f t="shared" si="118"/>
        <v>0.64117837820665613</v>
      </c>
    </row>
    <row r="584" spans="13:28" ht="12" hidden="1" customHeight="1">
      <c r="M584" s="266"/>
      <c r="N584" s="288">
        <f t="shared" si="119"/>
        <v>9.8999999999998956</v>
      </c>
      <c r="O584" s="285">
        <f t="shared" si="105"/>
        <v>150</v>
      </c>
      <c r="P584" s="289">
        <f t="shared" si="106"/>
        <v>4000000</v>
      </c>
      <c r="Q584" s="285">
        <f t="shared" si="107"/>
        <v>110</v>
      </c>
      <c r="R584" s="285">
        <f t="shared" si="108"/>
        <v>85</v>
      </c>
      <c r="S584" s="285">
        <f t="shared" si="109"/>
        <v>0.35</v>
      </c>
      <c r="T584" s="285">
        <f t="shared" si="110"/>
        <v>3.2</v>
      </c>
      <c r="U584" s="285">
        <f t="shared" si="111"/>
        <v>1</v>
      </c>
      <c r="V584" s="285">
        <f t="shared" si="112"/>
        <v>4.5</v>
      </c>
      <c r="W584" s="285">
        <f t="shared" si="113"/>
        <v>1.5</v>
      </c>
      <c r="X584" s="289">
        <f t="shared" si="114"/>
        <v>62952.481620332743</v>
      </c>
      <c r="Y584" s="288">
        <f t="shared" si="115"/>
        <v>0.31476240810166373</v>
      </c>
      <c r="Z584" s="256">
        <f t="shared" si="116"/>
        <v>181.74993027852094</v>
      </c>
      <c r="AA584" s="289">
        <f t="shared" si="117"/>
        <v>129081.87107640183</v>
      </c>
      <c r="AB584" s="288">
        <f t="shared" si="118"/>
        <v>0.64540935538200916</v>
      </c>
    </row>
    <row r="585" spans="13:28" ht="12" hidden="1" customHeight="1">
      <c r="M585" s="266"/>
      <c r="N585" s="288">
        <f t="shared" si="119"/>
        <v>9.9099999999998953</v>
      </c>
      <c r="O585" s="285">
        <f t="shared" si="105"/>
        <v>150</v>
      </c>
      <c r="P585" s="289">
        <f t="shared" si="106"/>
        <v>4000000</v>
      </c>
      <c r="Q585" s="285">
        <f t="shared" si="107"/>
        <v>110</v>
      </c>
      <c r="R585" s="285">
        <f t="shared" si="108"/>
        <v>85</v>
      </c>
      <c r="S585" s="285">
        <f t="shared" si="109"/>
        <v>0.35</v>
      </c>
      <c r="T585" s="285">
        <f t="shared" si="110"/>
        <v>3.2</v>
      </c>
      <c r="U585" s="285">
        <f t="shared" si="111"/>
        <v>1</v>
      </c>
      <c r="V585" s="285">
        <f t="shared" si="112"/>
        <v>4.5</v>
      </c>
      <c r="W585" s="285">
        <f t="shared" si="113"/>
        <v>1.5</v>
      </c>
      <c r="X585" s="289">
        <f t="shared" si="114"/>
        <v>63367.520962230883</v>
      </c>
      <c r="Y585" s="288">
        <f t="shared" si="115"/>
        <v>0.31683760481115442</v>
      </c>
      <c r="Z585" s="256">
        <f t="shared" si="116"/>
        <v>181.74993027852094</v>
      </c>
      <c r="AA585" s="289">
        <f t="shared" si="117"/>
        <v>129932.89479212479</v>
      </c>
      <c r="AB585" s="288">
        <f t="shared" si="118"/>
        <v>0.64966447396062399</v>
      </c>
    </row>
    <row r="586" spans="13:28" ht="12" hidden="1" customHeight="1">
      <c r="M586" s="266"/>
      <c r="N586" s="288">
        <f t="shared" si="119"/>
        <v>9.9199999999998951</v>
      </c>
      <c r="O586" s="285">
        <f t="shared" si="105"/>
        <v>150</v>
      </c>
      <c r="P586" s="289">
        <f t="shared" si="106"/>
        <v>4000000</v>
      </c>
      <c r="Q586" s="285">
        <f t="shared" si="107"/>
        <v>110</v>
      </c>
      <c r="R586" s="285">
        <f t="shared" si="108"/>
        <v>85</v>
      </c>
      <c r="S586" s="285">
        <f t="shared" si="109"/>
        <v>0.35</v>
      </c>
      <c r="T586" s="285">
        <f t="shared" si="110"/>
        <v>3.2</v>
      </c>
      <c r="U586" s="285">
        <f t="shared" si="111"/>
        <v>1</v>
      </c>
      <c r="V586" s="285">
        <f t="shared" si="112"/>
        <v>4.5</v>
      </c>
      <c r="W586" s="285">
        <f t="shared" si="113"/>
        <v>1.5</v>
      </c>
      <c r="X586" s="289">
        <f t="shared" si="114"/>
        <v>63784.926353057206</v>
      </c>
      <c r="Y586" s="288">
        <f t="shared" si="115"/>
        <v>0.31892463176528602</v>
      </c>
      <c r="Z586" s="256">
        <f t="shared" si="116"/>
        <v>181.74993027852094</v>
      </c>
      <c r="AA586" s="289">
        <f t="shared" si="117"/>
        <v>130788.77000877107</v>
      </c>
      <c r="AB586" s="288">
        <f t="shared" si="118"/>
        <v>0.65394385004385536</v>
      </c>
    </row>
    <row r="587" spans="13:28" ht="12" hidden="1" customHeight="1">
      <c r="M587" s="266"/>
      <c r="N587" s="288">
        <f t="shared" si="119"/>
        <v>9.9299999999998949</v>
      </c>
      <c r="O587" s="285">
        <f t="shared" si="105"/>
        <v>150</v>
      </c>
      <c r="P587" s="289">
        <f t="shared" si="106"/>
        <v>4000000</v>
      </c>
      <c r="Q587" s="285">
        <f t="shared" si="107"/>
        <v>110</v>
      </c>
      <c r="R587" s="285">
        <f t="shared" si="108"/>
        <v>85</v>
      </c>
      <c r="S587" s="285">
        <f t="shared" si="109"/>
        <v>0.35</v>
      </c>
      <c r="T587" s="285">
        <f t="shared" si="110"/>
        <v>3.2</v>
      </c>
      <c r="U587" s="285">
        <f t="shared" si="111"/>
        <v>1</v>
      </c>
      <c r="V587" s="285">
        <f t="shared" si="112"/>
        <v>4.5</v>
      </c>
      <c r="W587" s="285">
        <f t="shared" si="113"/>
        <v>1.5</v>
      </c>
      <c r="X587" s="289">
        <f t="shared" si="114"/>
        <v>64204.709161487153</v>
      </c>
      <c r="Y587" s="288">
        <f t="shared" si="115"/>
        <v>0.32102354580743575</v>
      </c>
      <c r="Z587" s="256">
        <f t="shared" si="116"/>
        <v>181.74993027852094</v>
      </c>
      <c r="AA587" s="289">
        <f t="shared" si="117"/>
        <v>131649.52003741445</v>
      </c>
      <c r="AB587" s="288">
        <f t="shared" si="118"/>
        <v>0.65824760018707229</v>
      </c>
    </row>
    <row r="588" spans="13:28" ht="12" hidden="1" customHeight="1">
      <c r="M588" s="266"/>
      <c r="N588" s="288">
        <f t="shared" si="119"/>
        <v>9.9399999999998947</v>
      </c>
      <c r="O588" s="285">
        <f t="shared" si="105"/>
        <v>150</v>
      </c>
      <c r="P588" s="289">
        <f t="shared" si="106"/>
        <v>4000000</v>
      </c>
      <c r="Q588" s="285">
        <f t="shared" si="107"/>
        <v>110</v>
      </c>
      <c r="R588" s="285">
        <f t="shared" si="108"/>
        <v>85</v>
      </c>
      <c r="S588" s="285">
        <f t="shared" si="109"/>
        <v>0.35</v>
      </c>
      <c r="T588" s="285">
        <f t="shared" si="110"/>
        <v>3.2</v>
      </c>
      <c r="U588" s="285">
        <f t="shared" si="111"/>
        <v>1</v>
      </c>
      <c r="V588" s="285">
        <f t="shared" si="112"/>
        <v>4.5</v>
      </c>
      <c r="W588" s="285">
        <f t="shared" si="113"/>
        <v>1.5</v>
      </c>
      <c r="X588" s="289">
        <f t="shared" si="114"/>
        <v>64626.880800611085</v>
      </c>
      <c r="Y588" s="288">
        <f t="shared" si="115"/>
        <v>0.32313440400305543</v>
      </c>
      <c r="Z588" s="256">
        <f t="shared" si="116"/>
        <v>181.74993027852094</v>
      </c>
      <c r="AA588" s="289">
        <f t="shared" si="117"/>
        <v>132515.16828019783</v>
      </c>
      <c r="AB588" s="288">
        <f t="shared" si="118"/>
        <v>0.66257584140098913</v>
      </c>
    </row>
    <row r="589" spans="13:28" ht="12" hidden="1" customHeight="1">
      <c r="M589" s="266"/>
      <c r="N589" s="288">
        <f t="shared" si="119"/>
        <v>9.9499999999998945</v>
      </c>
      <c r="O589" s="285">
        <f t="shared" si="105"/>
        <v>150</v>
      </c>
      <c r="P589" s="289">
        <f t="shared" si="106"/>
        <v>4000000</v>
      </c>
      <c r="Q589" s="285">
        <f t="shared" si="107"/>
        <v>110</v>
      </c>
      <c r="R589" s="285">
        <f t="shared" si="108"/>
        <v>85</v>
      </c>
      <c r="S589" s="285">
        <f t="shared" si="109"/>
        <v>0.35</v>
      </c>
      <c r="T589" s="285">
        <f t="shared" si="110"/>
        <v>3.2</v>
      </c>
      <c r="U589" s="285">
        <f t="shared" si="111"/>
        <v>1</v>
      </c>
      <c r="V589" s="285">
        <f t="shared" si="112"/>
        <v>4.5</v>
      </c>
      <c r="W589" s="285">
        <f t="shared" si="113"/>
        <v>1.5</v>
      </c>
      <c r="X589" s="289">
        <f t="shared" si="114"/>
        <v>65051.452728069133</v>
      </c>
      <c r="Y589" s="288">
        <f t="shared" si="115"/>
        <v>0.32525726364034568</v>
      </c>
      <c r="Z589" s="256">
        <f t="shared" si="116"/>
        <v>181.74993027852094</v>
      </c>
      <c r="AA589" s="289">
        <f t="shared" si="117"/>
        <v>133385.73823061417</v>
      </c>
      <c r="AB589" s="288">
        <f t="shared" si="118"/>
        <v>0.66692869115307085</v>
      </c>
    </row>
    <row r="590" spans="13:28" ht="12" hidden="1" customHeight="1">
      <c r="M590" s="266"/>
      <c r="N590" s="288">
        <f t="shared" si="119"/>
        <v>9.9599999999998943</v>
      </c>
      <c r="O590" s="285">
        <f t="shared" si="105"/>
        <v>150</v>
      </c>
      <c r="P590" s="289">
        <f t="shared" si="106"/>
        <v>4000000</v>
      </c>
      <c r="Q590" s="285">
        <f t="shared" si="107"/>
        <v>110</v>
      </c>
      <c r="R590" s="285">
        <f t="shared" si="108"/>
        <v>85</v>
      </c>
      <c r="S590" s="285">
        <f t="shared" si="109"/>
        <v>0.35</v>
      </c>
      <c r="T590" s="285">
        <f t="shared" si="110"/>
        <v>3.2</v>
      </c>
      <c r="U590" s="285">
        <f t="shared" si="111"/>
        <v>1</v>
      </c>
      <c r="V590" s="285">
        <f t="shared" si="112"/>
        <v>4.5</v>
      </c>
      <c r="W590" s="285">
        <f t="shared" si="113"/>
        <v>1.5</v>
      </c>
      <c r="X590" s="289">
        <f t="shared" si="114"/>
        <v>65478.436446183347</v>
      </c>
      <c r="Y590" s="288">
        <f t="shared" si="115"/>
        <v>0.32739218223091671</v>
      </c>
      <c r="Z590" s="256">
        <f t="shared" si="116"/>
        <v>181.74993027852094</v>
      </c>
      <c r="AA590" s="289">
        <f t="shared" si="117"/>
        <v>134261.25347377404</v>
      </c>
      <c r="AB590" s="288">
        <f t="shared" si="118"/>
        <v>0.67130626736887022</v>
      </c>
    </row>
    <row r="591" spans="13:28" ht="12" hidden="1" customHeight="1">
      <c r="M591" s="266"/>
      <c r="N591" s="288">
        <f t="shared" si="119"/>
        <v>9.9699999999998941</v>
      </c>
      <c r="O591" s="285">
        <f t="shared" si="105"/>
        <v>150</v>
      </c>
      <c r="P591" s="289">
        <f t="shared" si="106"/>
        <v>4000000</v>
      </c>
      <c r="Q591" s="285">
        <f t="shared" si="107"/>
        <v>110</v>
      </c>
      <c r="R591" s="285">
        <f t="shared" si="108"/>
        <v>85</v>
      </c>
      <c r="S591" s="285">
        <f t="shared" si="109"/>
        <v>0.35</v>
      </c>
      <c r="T591" s="285">
        <f t="shared" si="110"/>
        <v>3.2</v>
      </c>
      <c r="U591" s="285">
        <f t="shared" si="111"/>
        <v>1</v>
      </c>
      <c r="V591" s="285">
        <f t="shared" si="112"/>
        <v>4.5</v>
      </c>
      <c r="W591" s="285">
        <f t="shared" si="113"/>
        <v>1.5</v>
      </c>
      <c r="X591" s="289">
        <f t="shared" si="114"/>
        <v>65907.843502093441</v>
      </c>
      <c r="Y591" s="288">
        <f t="shared" si="115"/>
        <v>0.32953921751046722</v>
      </c>
      <c r="Z591" s="256">
        <f t="shared" si="116"/>
        <v>181.74993027852094</v>
      </c>
      <c r="AA591" s="289">
        <f t="shared" si="117"/>
        <v>135141.73768668497</v>
      </c>
      <c r="AB591" s="288">
        <f t="shared" si="118"/>
        <v>0.6757086884334248</v>
      </c>
    </row>
    <row r="592" spans="13:28" ht="12" hidden="1" customHeight="1">
      <c r="M592" s="266"/>
      <c r="N592" s="288">
        <f t="shared" si="119"/>
        <v>9.9799999999998938</v>
      </c>
      <c r="O592" s="285">
        <f t="shared" si="105"/>
        <v>150</v>
      </c>
      <c r="P592" s="289">
        <f t="shared" si="106"/>
        <v>4000000</v>
      </c>
      <c r="Q592" s="285">
        <f t="shared" si="107"/>
        <v>110</v>
      </c>
      <c r="R592" s="285">
        <f t="shared" si="108"/>
        <v>85</v>
      </c>
      <c r="S592" s="285">
        <f t="shared" si="109"/>
        <v>0.35</v>
      </c>
      <c r="T592" s="285">
        <f t="shared" si="110"/>
        <v>3.2</v>
      </c>
      <c r="U592" s="285">
        <f t="shared" si="111"/>
        <v>1</v>
      </c>
      <c r="V592" s="285">
        <f t="shared" si="112"/>
        <v>4.5</v>
      </c>
      <c r="W592" s="285">
        <f t="shared" si="113"/>
        <v>1.5</v>
      </c>
      <c r="X592" s="289">
        <f t="shared" si="114"/>
        <v>66339.685487891271</v>
      </c>
      <c r="Y592" s="288">
        <f t="shared" si="115"/>
        <v>0.33169842743945638</v>
      </c>
      <c r="Z592" s="256">
        <f t="shared" si="116"/>
        <v>181.74993027852094</v>
      </c>
      <c r="AA592" s="289">
        <f t="shared" si="117"/>
        <v>136027.21463852856</v>
      </c>
      <c r="AB592" s="288">
        <f t="shared" si="118"/>
        <v>0.6801360731926428</v>
      </c>
    </row>
    <row r="593" spans="13:28" ht="12" hidden="1" customHeight="1">
      <c r="M593" s="266"/>
      <c r="N593" s="288">
        <f t="shared" si="119"/>
        <v>9.9899999999998936</v>
      </c>
      <c r="O593" s="285">
        <f t="shared" si="105"/>
        <v>150</v>
      </c>
      <c r="P593" s="289">
        <f t="shared" si="106"/>
        <v>4000000</v>
      </c>
      <c r="Q593" s="285">
        <f t="shared" si="107"/>
        <v>110</v>
      </c>
      <c r="R593" s="285">
        <f t="shared" si="108"/>
        <v>85</v>
      </c>
      <c r="S593" s="285">
        <f t="shared" si="109"/>
        <v>0.35</v>
      </c>
      <c r="T593" s="285">
        <f t="shared" si="110"/>
        <v>3.2</v>
      </c>
      <c r="U593" s="285">
        <f t="shared" si="111"/>
        <v>1</v>
      </c>
      <c r="V593" s="285">
        <f t="shared" si="112"/>
        <v>4.5</v>
      </c>
      <c r="W593" s="285">
        <f t="shared" si="113"/>
        <v>1.5</v>
      </c>
      <c r="X593" s="289">
        <f t="shared" si="114"/>
        <v>66773.974040754008</v>
      </c>
      <c r="Y593" s="288">
        <f t="shared" si="115"/>
        <v>0.33386987020377007</v>
      </c>
      <c r="Z593" s="256">
        <f t="shared" si="116"/>
        <v>181.74993027852094</v>
      </c>
      <c r="AA593" s="289">
        <f t="shared" si="117"/>
        <v>136917.7081909299</v>
      </c>
      <c r="AB593" s="288">
        <f t="shared" si="118"/>
        <v>0.68458854095464949</v>
      </c>
    </row>
    <row r="594" spans="13:28" ht="12" hidden="1" customHeight="1">
      <c r="M594" s="266"/>
      <c r="N594" s="288">
        <f t="shared" si="119"/>
        <v>9.9999999999998934</v>
      </c>
      <c r="O594" s="285">
        <f t="shared" si="105"/>
        <v>150</v>
      </c>
      <c r="P594" s="289">
        <f t="shared" si="106"/>
        <v>4000000</v>
      </c>
      <c r="Q594" s="285">
        <f t="shared" si="107"/>
        <v>110</v>
      </c>
      <c r="R594" s="285">
        <f t="shared" si="108"/>
        <v>85</v>
      </c>
      <c r="S594" s="285">
        <f t="shared" si="109"/>
        <v>0.35</v>
      </c>
      <c r="T594" s="285">
        <f t="shared" si="110"/>
        <v>3.2</v>
      </c>
      <c r="U594" s="285">
        <f t="shared" si="111"/>
        <v>1</v>
      </c>
      <c r="V594" s="285">
        <f t="shared" si="112"/>
        <v>4.5</v>
      </c>
      <c r="W594" s="285">
        <f t="shared" si="113"/>
        <v>1.5</v>
      </c>
      <c r="X594" s="289">
        <f t="shared" si="114"/>
        <v>67210.720843081028</v>
      </c>
      <c r="Y594" s="288">
        <f t="shared" si="115"/>
        <v>0.33605360421540514</v>
      </c>
      <c r="Z594" s="256">
        <f t="shared" si="116"/>
        <v>181.74993027852094</v>
      </c>
      <c r="AA594" s="289">
        <f t="shared" si="117"/>
        <v>137813.24229824272</v>
      </c>
      <c r="AB594" s="288">
        <f t="shared" si="118"/>
        <v>0.68906621149121361</v>
      </c>
    </row>
    <row r="595" spans="13:28" ht="12" hidden="1" customHeight="1">
      <c r="M595" s="266"/>
      <c r="N595" s="288">
        <f t="shared" si="119"/>
        <v>10.009999999999893</v>
      </c>
      <c r="O595" s="285">
        <f t="shared" si="105"/>
        <v>150</v>
      </c>
      <c r="P595" s="289">
        <f t="shared" si="106"/>
        <v>4000000</v>
      </c>
      <c r="Q595" s="285">
        <f t="shared" si="107"/>
        <v>110</v>
      </c>
      <c r="R595" s="285">
        <f t="shared" si="108"/>
        <v>85</v>
      </c>
      <c r="S595" s="285">
        <f t="shared" si="109"/>
        <v>0.35</v>
      </c>
      <c r="T595" s="285">
        <f t="shared" si="110"/>
        <v>3.2</v>
      </c>
      <c r="U595" s="285">
        <f t="shared" si="111"/>
        <v>1</v>
      </c>
      <c r="V595" s="285">
        <f t="shared" si="112"/>
        <v>4.5</v>
      </c>
      <c r="W595" s="285">
        <f t="shared" si="113"/>
        <v>1.5</v>
      </c>
      <c r="X595" s="289">
        <f t="shared" si="114"/>
        <v>67649.937622626443</v>
      </c>
      <c r="Y595" s="288">
        <f t="shared" si="115"/>
        <v>0.33824968811313222</v>
      </c>
      <c r="Z595" s="256">
        <f t="shared" si="116"/>
        <v>181.74993027852094</v>
      </c>
      <c r="AA595" s="289">
        <f t="shared" si="117"/>
        <v>138713.84100781914</v>
      </c>
      <c r="AB595" s="288">
        <f t="shared" si="118"/>
        <v>0.69356920503909569</v>
      </c>
    </row>
    <row r="596" spans="13:28" ht="12" hidden="1" customHeight="1">
      <c r="M596" s="266"/>
      <c r="N596" s="288">
        <f t="shared" si="119"/>
        <v>10.019999999999893</v>
      </c>
      <c r="O596" s="285">
        <f t="shared" si="105"/>
        <v>150</v>
      </c>
      <c r="P596" s="289">
        <f t="shared" si="106"/>
        <v>4000000</v>
      </c>
      <c r="Q596" s="285">
        <f t="shared" si="107"/>
        <v>110</v>
      </c>
      <c r="R596" s="285">
        <f t="shared" si="108"/>
        <v>85</v>
      </c>
      <c r="S596" s="285">
        <f t="shared" si="109"/>
        <v>0.35</v>
      </c>
      <c r="T596" s="285">
        <f t="shared" si="110"/>
        <v>3.2</v>
      </c>
      <c r="U596" s="285">
        <f t="shared" si="111"/>
        <v>1</v>
      </c>
      <c r="V596" s="285">
        <f t="shared" si="112"/>
        <v>4.5</v>
      </c>
      <c r="W596" s="285">
        <f t="shared" si="113"/>
        <v>1.5</v>
      </c>
      <c r="X596" s="289">
        <f t="shared" si="114"/>
        <v>68091.636152639141</v>
      </c>
      <c r="Y596" s="288">
        <f t="shared" si="115"/>
        <v>0.34045818076319573</v>
      </c>
      <c r="Z596" s="256">
        <f t="shared" si="116"/>
        <v>181.74993027852094</v>
      </c>
      <c r="AA596" s="289">
        <f t="shared" si="117"/>
        <v>139619.52846029421</v>
      </c>
      <c r="AB596" s="288">
        <f t="shared" si="118"/>
        <v>0.69809764230147109</v>
      </c>
    </row>
    <row r="597" spans="13:28" ht="12" hidden="1" customHeight="1">
      <c r="M597" s="266"/>
      <c r="N597" s="288">
        <f t="shared" si="119"/>
        <v>10.029999999999893</v>
      </c>
      <c r="O597" s="285">
        <f t="shared" si="105"/>
        <v>150</v>
      </c>
      <c r="P597" s="289">
        <f t="shared" si="106"/>
        <v>4000000</v>
      </c>
      <c r="Q597" s="285">
        <f t="shared" si="107"/>
        <v>110</v>
      </c>
      <c r="R597" s="285">
        <f t="shared" si="108"/>
        <v>85</v>
      </c>
      <c r="S597" s="285">
        <f t="shared" si="109"/>
        <v>0.35</v>
      </c>
      <c r="T597" s="285">
        <f t="shared" si="110"/>
        <v>3.2</v>
      </c>
      <c r="U597" s="285">
        <f t="shared" si="111"/>
        <v>1</v>
      </c>
      <c r="V597" s="285">
        <f t="shared" si="112"/>
        <v>4.5</v>
      </c>
      <c r="W597" s="285">
        <f t="shared" si="113"/>
        <v>1.5</v>
      </c>
      <c r="X597" s="289">
        <f t="shared" si="114"/>
        <v>68535.828251993153</v>
      </c>
      <c r="Y597" s="288">
        <f t="shared" si="115"/>
        <v>0.34267914125996574</v>
      </c>
      <c r="Z597" s="256">
        <f t="shared" si="116"/>
        <v>181.74993027852094</v>
      </c>
      <c r="AA597" s="289">
        <f t="shared" si="117"/>
        <v>140530.32888985955</v>
      </c>
      <c r="AB597" s="288">
        <f t="shared" si="118"/>
        <v>0.70265164444929773</v>
      </c>
    </row>
    <row r="598" spans="13:28" ht="12" hidden="1" customHeight="1">
      <c r="M598" s="266"/>
      <c r="N598" s="288">
        <f t="shared" si="119"/>
        <v>10.039999999999893</v>
      </c>
      <c r="O598" s="285">
        <f t="shared" si="105"/>
        <v>150</v>
      </c>
      <c r="P598" s="289">
        <f t="shared" si="106"/>
        <v>4000000</v>
      </c>
      <c r="Q598" s="285">
        <f t="shared" si="107"/>
        <v>110</v>
      </c>
      <c r="R598" s="285">
        <f t="shared" si="108"/>
        <v>85</v>
      </c>
      <c r="S598" s="285">
        <f t="shared" si="109"/>
        <v>0.35</v>
      </c>
      <c r="T598" s="285">
        <f t="shared" si="110"/>
        <v>3.2</v>
      </c>
      <c r="U598" s="285">
        <f t="shared" si="111"/>
        <v>1</v>
      </c>
      <c r="V598" s="285">
        <f t="shared" si="112"/>
        <v>4.5</v>
      </c>
      <c r="W598" s="285">
        <f t="shared" si="113"/>
        <v>1.5</v>
      </c>
      <c r="X598" s="289">
        <f t="shared" si="114"/>
        <v>68982.525785328675</v>
      </c>
      <c r="Y598" s="288">
        <f t="shared" si="115"/>
        <v>0.34491262892664337</v>
      </c>
      <c r="Z598" s="256">
        <f t="shared" si="116"/>
        <v>181.74993027852094</v>
      </c>
      <c r="AA598" s="289">
        <f t="shared" si="117"/>
        <v>141446.26662454536</v>
      </c>
      <c r="AB598" s="288">
        <f t="shared" si="118"/>
        <v>0.70723133312272679</v>
      </c>
    </row>
    <row r="599" spans="13:28" ht="12" hidden="1" customHeight="1">
      <c r="M599" s="266"/>
      <c r="N599" s="288">
        <f t="shared" si="119"/>
        <v>10.049999999999892</v>
      </c>
      <c r="O599" s="285">
        <f t="shared" si="105"/>
        <v>150</v>
      </c>
      <c r="P599" s="289">
        <f t="shared" si="106"/>
        <v>4000000</v>
      </c>
      <c r="Q599" s="285">
        <f t="shared" si="107"/>
        <v>110</v>
      </c>
      <c r="R599" s="285">
        <f t="shared" si="108"/>
        <v>85</v>
      </c>
      <c r="S599" s="285">
        <f t="shared" si="109"/>
        <v>0.35</v>
      </c>
      <c r="T599" s="285">
        <f t="shared" si="110"/>
        <v>3.2</v>
      </c>
      <c r="U599" s="285">
        <f t="shared" si="111"/>
        <v>1</v>
      </c>
      <c r="V599" s="285">
        <f t="shared" si="112"/>
        <v>4.5</v>
      </c>
      <c r="W599" s="285">
        <f t="shared" si="113"/>
        <v>1.5</v>
      </c>
      <c r="X599" s="289">
        <f t="shared" si="114"/>
        <v>69431.740663185337</v>
      </c>
      <c r="Y599" s="288">
        <f t="shared" si="115"/>
        <v>0.34715870331592669</v>
      </c>
      <c r="Z599" s="256">
        <f t="shared" si="116"/>
        <v>181.74993027852094</v>
      </c>
      <c r="AA599" s="289">
        <f t="shared" si="117"/>
        <v>142367.36608649761</v>
      </c>
      <c r="AB599" s="288">
        <f t="shared" si="118"/>
        <v>0.71183683043248802</v>
      </c>
    </row>
    <row r="600" spans="13:28" ht="12" hidden="1" customHeight="1">
      <c r="M600" s="266"/>
      <c r="N600" s="288">
        <f t="shared" si="119"/>
        <v>10.059999999999892</v>
      </c>
      <c r="O600" s="285">
        <f t="shared" si="105"/>
        <v>150</v>
      </c>
      <c r="P600" s="289">
        <f t="shared" si="106"/>
        <v>4000000</v>
      </c>
      <c r="Q600" s="285">
        <f t="shared" si="107"/>
        <v>110</v>
      </c>
      <c r="R600" s="285">
        <f t="shared" si="108"/>
        <v>85</v>
      </c>
      <c r="S600" s="285">
        <f t="shared" si="109"/>
        <v>0.35</v>
      </c>
      <c r="T600" s="285">
        <f t="shared" si="110"/>
        <v>3.2</v>
      </c>
      <c r="U600" s="285">
        <f t="shared" si="111"/>
        <v>1</v>
      </c>
      <c r="V600" s="285">
        <f t="shared" si="112"/>
        <v>4.5</v>
      </c>
      <c r="W600" s="285">
        <f t="shared" si="113"/>
        <v>1.5</v>
      </c>
      <c r="X600" s="289">
        <f t="shared" si="114"/>
        <v>69883.484842139296</v>
      </c>
      <c r="Y600" s="288">
        <f t="shared" si="115"/>
        <v>0.34941742421069649</v>
      </c>
      <c r="Z600" s="256">
        <f t="shared" si="116"/>
        <v>181.74993027852094</v>
      </c>
      <c r="AA600" s="289">
        <f t="shared" si="117"/>
        <v>143293.65179226157</v>
      </c>
      <c r="AB600" s="288">
        <f t="shared" si="118"/>
        <v>0.71646825896130784</v>
      </c>
    </row>
    <row r="601" spans="13:28" ht="12" hidden="1" customHeight="1">
      <c r="M601" s="266"/>
      <c r="N601" s="288">
        <f t="shared" si="119"/>
        <v>10.069999999999892</v>
      </c>
      <c r="O601" s="285">
        <f t="shared" si="105"/>
        <v>150</v>
      </c>
      <c r="P601" s="289">
        <f t="shared" si="106"/>
        <v>4000000</v>
      </c>
      <c r="Q601" s="285">
        <f t="shared" si="107"/>
        <v>110</v>
      </c>
      <c r="R601" s="285">
        <f t="shared" si="108"/>
        <v>85</v>
      </c>
      <c r="S601" s="285">
        <f t="shared" si="109"/>
        <v>0.35</v>
      </c>
      <c r="T601" s="285">
        <f t="shared" si="110"/>
        <v>3.2</v>
      </c>
      <c r="U601" s="285">
        <f t="shared" si="111"/>
        <v>1</v>
      </c>
      <c r="V601" s="285">
        <f t="shared" si="112"/>
        <v>4.5</v>
      </c>
      <c r="W601" s="285">
        <f t="shared" si="113"/>
        <v>1.5</v>
      </c>
      <c r="X601" s="289">
        <f t="shared" si="114"/>
        <v>70337.770324942685</v>
      </c>
      <c r="Y601" s="288">
        <f t="shared" si="115"/>
        <v>0.35168885162471342</v>
      </c>
      <c r="Z601" s="256">
        <f t="shared" si="116"/>
        <v>181.74993027852094</v>
      </c>
      <c r="AA601" s="289">
        <f t="shared" si="117"/>
        <v>144225.14835306065</v>
      </c>
      <c r="AB601" s="288">
        <f t="shared" si="118"/>
        <v>0.7211257417653032</v>
      </c>
    </row>
    <row r="602" spans="13:28" ht="12" hidden="1" customHeight="1">
      <c r="M602" s="266"/>
      <c r="N602" s="288">
        <f t="shared" si="119"/>
        <v>10.079999999999892</v>
      </c>
      <c r="O602" s="285">
        <f t="shared" si="105"/>
        <v>150</v>
      </c>
      <c r="P602" s="289">
        <f t="shared" si="106"/>
        <v>4000000</v>
      </c>
      <c r="Q602" s="285">
        <f t="shared" si="107"/>
        <v>110</v>
      </c>
      <c r="R602" s="285">
        <f t="shared" si="108"/>
        <v>85</v>
      </c>
      <c r="S602" s="285">
        <f t="shared" si="109"/>
        <v>0.35</v>
      </c>
      <c r="T602" s="285">
        <f t="shared" si="110"/>
        <v>3.2</v>
      </c>
      <c r="U602" s="285">
        <f t="shared" si="111"/>
        <v>1</v>
      </c>
      <c r="V602" s="285">
        <f t="shared" si="112"/>
        <v>4.5</v>
      </c>
      <c r="W602" s="285">
        <f t="shared" si="113"/>
        <v>1.5</v>
      </c>
      <c r="X602" s="289">
        <f t="shared" si="114"/>
        <v>70794.609160657186</v>
      </c>
      <c r="Y602" s="288">
        <f t="shared" si="115"/>
        <v>0.35397304580328592</v>
      </c>
      <c r="Z602" s="256">
        <f t="shared" si="116"/>
        <v>181.74993027852094</v>
      </c>
      <c r="AA602" s="289">
        <f t="shared" si="117"/>
        <v>145161.8804750765</v>
      </c>
      <c r="AB602" s="288">
        <f t="shared" si="118"/>
        <v>0.7258094023753825</v>
      </c>
    </row>
    <row r="603" spans="13:28" ht="12" hidden="1" customHeight="1">
      <c r="M603" s="266"/>
      <c r="N603" s="288">
        <f t="shared" si="119"/>
        <v>10.089999999999892</v>
      </c>
      <c r="O603" s="285">
        <f t="shared" si="105"/>
        <v>150</v>
      </c>
      <c r="P603" s="289">
        <f t="shared" si="106"/>
        <v>4000000</v>
      </c>
      <c r="Q603" s="285">
        <f t="shared" si="107"/>
        <v>110</v>
      </c>
      <c r="R603" s="285">
        <f t="shared" si="108"/>
        <v>85</v>
      </c>
      <c r="S603" s="285">
        <f t="shared" si="109"/>
        <v>0.35</v>
      </c>
      <c r="T603" s="285">
        <f t="shared" si="110"/>
        <v>3.2</v>
      </c>
      <c r="U603" s="285">
        <f t="shared" si="111"/>
        <v>1</v>
      </c>
      <c r="V603" s="285">
        <f t="shared" si="112"/>
        <v>4.5</v>
      </c>
      <c r="W603" s="285">
        <f t="shared" si="113"/>
        <v>1.5</v>
      </c>
      <c r="X603" s="289">
        <f t="shared" si="114"/>
        <v>71254.013444794269</v>
      </c>
      <c r="Y603" s="288">
        <f t="shared" si="115"/>
        <v>0.35627006722397137</v>
      </c>
      <c r="Z603" s="256">
        <f t="shared" si="116"/>
        <v>181.74993027852094</v>
      </c>
      <c r="AA603" s="289">
        <f t="shared" si="117"/>
        <v>146103.87295973432</v>
      </c>
      <c r="AB603" s="288">
        <f t="shared" si="118"/>
        <v>0.73051936479867163</v>
      </c>
    </row>
    <row r="604" spans="13:28" ht="12" hidden="1" customHeight="1">
      <c r="M604" s="266"/>
      <c r="N604" s="288">
        <f t="shared" si="119"/>
        <v>10.099999999999891</v>
      </c>
      <c r="O604" s="285">
        <f t="shared" si="105"/>
        <v>150</v>
      </c>
      <c r="P604" s="289">
        <f t="shared" si="106"/>
        <v>4000000</v>
      </c>
      <c r="Q604" s="285">
        <f t="shared" si="107"/>
        <v>110</v>
      </c>
      <c r="R604" s="285">
        <f t="shared" si="108"/>
        <v>85</v>
      </c>
      <c r="S604" s="285">
        <f t="shared" si="109"/>
        <v>0.35</v>
      </c>
      <c r="T604" s="285">
        <f t="shared" si="110"/>
        <v>3.2</v>
      </c>
      <c r="U604" s="285">
        <f t="shared" si="111"/>
        <v>1</v>
      </c>
      <c r="V604" s="285">
        <f t="shared" si="112"/>
        <v>4.5</v>
      </c>
      <c r="W604" s="285">
        <f t="shared" si="113"/>
        <v>1.5</v>
      </c>
      <c r="X604" s="289">
        <f t="shared" si="114"/>
        <v>71715.995319451962</v>
      </c>
      <c r="Y604" s="288">
        <f t="shared" si="115"/>
        <v>0.35857997659725982</v>
      </c>
      <c r="Z604" s="256">
        <f t="shared" si="116"/>
        <v>181.74993027852094</v>
      </c>
      <c r="AA604" s="289">
        <f t="shared" si="117"/>
        <v>147051.15070398353</v>
      </c>
      <c r="AB604" s="288">
        <f t="shared" si="118"/>
        <v>0.73525575351991768</v>
      </c>
    </row>
    <row r="605" spans="13:28" ht="12" hidden="1" customHeight="1">
      <c r="M605" s="266"/>
      <c r="N605" s="288">
        <f t="shared" si="119"/>
        <v>10.109999999999891</v>
      </c>
      <c r="O605" s="285">
        <f t="shared" si="105"/>
        <v>150</v>
      </c>
      <c r="P605" s="289">
        <f t="shared" si="106"/>
        <v>4000000</v>
      </c>
      <c r="Q605" s="285">
        <f t="shared" si="107"/>
        <v>110</v>
      </c>
      <c r="R605" s="285">
        <f t="shared" si="108"/>
        <v>85</v>
      </c>
      <c r="S605" s="285">
        <f t="shared" si="109"/>
        <v>0.35</v>
      </c>
      <c r="T605" s="285">
        <f t="shared" si="110"/>
        <v>3.2</v>
      </c>
      <c r="U605" s="285">
        <f t="shared" si="111"/>
        <v>1</v>
      </c>
      <c r="V605" s="285">
        <f t="shared" si="112"/>
        <v>4.5</v>
      </c>
      <c r="W605" s="285">
        <f t="shared" si="113"/>
        <v>1.5</v>
      </c>
      <c r="X605" s="289">
        <f t="shared" si="114"/>
        <v>72180.566973453184</v>
      </c>
      <c r="Y605" s="288">
        <f t="shared" si="115"/>
        <v>0.36090283486726593</v>
      </c>
      <c r="Z605" s="256">
        <f t="shared" si="116"/>
        <v>181.74993027852094</v>
      </c>
      <c r="AA605" s="289">
        <f t="shared" si="117"/>
        <v>148003.73870058128</v>
      </c>
      <c r="AB605" s="288">
        <f t="shared" si="118"/>
        <v>0.74001869350290639</v>
      </c>
    </row>
    <row r="606" spans="13:28" ht="12" hidden="1" customHeight="1">
      <c r="M606" s="266"/>
      <c r="N606" s="288">
        <f t="shared" si="119"/>
        <v>10.119999999999891</v>
      </c>
      <c r="O606" s="285">
        <f t="shared" ref="O606:O669" si="120">PCC_MR</f>
        <v>150</v>
      </c>
      <c r="P606" s="289">
        <f t="shared" ref="P606:P669" si="121">PCC_ME</f>
        <v>4000000</v>
      </c>
      <c r="Q606" s="285">
        <f t="shared" ref="Q606:Q669" si="122">K_MODULE</f>
        <v>110</v>
      </c>
      <c r="R606" s="285">
        <f t="shared" ref="R606:R669" si="123">R_</f>
        <v>85</v>
      </c>
      <c r="S606" s="285">
        <f t="shared" ref="S606:S669" si="124">So</f>
        <v>0.35</v>
      </c>
      <c r="T606" s="285">
        <f t="shared" ref="T606:T669" si="125">J_</f>
        <v>3.2</v>
      </c>
      <c r="U606" s="285">
        <f t="shared" ref="U606:U669" si="126">Cd_</f>
        <v>1</v>
      </c>
      <c r="V606" s="285">
        <f t="shared" ref="V606:V669" si="127">Pi</f>
        <v>4.5</v>
      </c>
      <c r="W606" s="285">
        <f t="shared" ref="W606:W669" si="128">Pt</f>
        <v>1.5</v>
      </c>
      <c r="X606" s="289">
        <f t="shared" ref="X606:X669" si="129">10^(-NORMSINV(R606/100)*S606+7.35*LOG10(N606+1)-0.06+((LOG10((V606-W606)/3))/(1+((1.625*10^7)/((N606+1)^8.46))))+((4.22-0.32*W606)*LOG10((O606*U606*((N606^0.75)-1.132))/(215.63*T606*((N606^0.75)-18.42*(Q606/P606)^0.25)))))</f>
        <v>72647.740642484685</v>
      </c>
      <c r="Y606" s="288">
        <f t="shared" ref="Y606:Y669" si="130">+X606/ESALS</f>
        <v>0.36323870321242341</v>
      </c>
      <c r="Z606" s="256">
        <f t="shared" ref="Z606:Z669" si="131">PCC_IMR</f>
        <v>181.74993027852094</v>
      </c>
      <c r="AA606" s="289">
        <f t="shared" ref="AA606:AA669" si="132">10^(-NORMSINV(R606/100)*S606+7.35*LOG10(N606+1)-0.06+((LOG10((V606-W606)/3))/(1+((1.625*10^7)/((N606+1)^8.46))))+((4.22-0.32*W606)*LOG10((Z606*U606*((N606^0.75)-1.132))/(215.63*T606*((N606^0.75)-18.42*(Q606/P606)^0.25)))))</f>
        <v>148961.6620383758</v>
      </c>
      <c r="AB606" s="288">
        <f t="shared" ref="AB606:AB669" si="133">+AA606/ESALS</f>
        <v>0.74480831019187899</v>
      </c>
    </row>
    <row r="607" spans="13:28" ht="12" hidden="1" customHeight="1">
      <c r="M607" s="266"/>
      <c r="N607" s="288">
        <f t="shared" ref="N607:N670" si="134">IF(N606 = "", "", IF(AND(0.995*ESALS&lt;=X606,X606&lt;=1.005*ESALS),"",(N606+D_Step)))</f>
        <v>10.129999999999891</v>
      </c>
      <c r="O607" s="285">
        <f t="shared" si="120"/>
        <v>150</v>
      </c>
      <c r="P607" s="289">
        <f t="shared" si="121"/>
        <v>4000000</v>
      </c>
      <c r="Q607" s="285">
        <f t="shared" si="122"/>
        <v>110</v>
      </c>
      <c r="R607" s="285">
        <f t="shared" si="123"/>
        <v>85</v>
      </c>
      <c r="S607" s="285">
        <f t="shared" si="124"/>
        <v>0.35</v>
      </c>
      <c r="T607" s="285">
        <f t="shared" si="125"/>
        <v>3.2</v>
      </c>
      <c r="U607" s="285">
        <f t="shared" si="126"/>
        <v>1</v>
      </c>
      <c r="V607" s="285">
        <f t="shared" si="127"/>
        <v>4.5</v>
      </c>
      <c r="W607" s="285">
        <f t="shared" si="128"/>
        <v>1.5</v>
      </c>
      <c r="X607" s="289">
        <f t="shared" si="129"/>
        <v>73117.528609233937</v>
      </c>
      <c r="Y607" s="288">
        <f t="shared" si="130"/>
        <v>0.3655876430461697</v>
      </c>
      <c r="Z607" s="256">
        <f t="shared" si="131"/>
        <v>181.74993027852094</v>
      </c>
      <c r="AA607" s="289">
        <f t="shared" si="132"/>
        <v>149924.94590259099</v>
      </c>
      <c r="AB607" s="288">
        <f t="shared" si="133"/>
        <v>0.74962472951295489</v>
      </c>
    </row>
    <row r="608" spans="13:28" ht="12" hidden="1" customHeight="1">
      <c r="M608" s="266"/>
      <c r="N608" s="288">
        <f t="shared" si="134"/>
        <v>10.13999999999989</v>
      </c>
      <c r="O608" s="285">
        <f t="shared" si="120"/>
        <v>150</v>
      </c>
      <c r="P608" s="289">
        <f t="shared" si="121"/>
        <v>4000000</v>
      </c>
      <c r="Q608" s="285">
        <f t="shared" si="122"/>
        <v>110</v>
      </c>
      <c r="R608" s="285">
        <f t="shared" si="123"/>
        <v>85</v>
      </c>
      <c r="S608" s="285">
        <f t="shared" si="124"/>
        <v>0.35</v>
      </c>
      <c r="T608" s="285">
        <f t="shared" si="125"/>
        <v>3.2</v>
      </c>
      <c r="U608" s="285">
        <f t="shared" si="126"/>
        <v>1</v>
      </c>
      <c r="V608" s="285">
        <f t="shared" si="127"/>
        <v>4.5</v>
      </c>
      <c r="W608" s="285">
        <f t="shared" si="128"/>
        <v>1.5</v>
      </c>
      <c r="X608" s="289">
        <f t="shared" si="129"/>
        <v>73589.943203530842</v>
      </c>
      <c r="Y608" s="288">
        <f t="shared" si="130"/>
        <v>0.36794971601765419</v>
      </c>
      <c r="Z608" s="256">
        <f t="shared" si="131"/>
        <v>181.74993027852094</v>
      </c>
      <c r="AA608" s="289">
        <f t="shared" si="132"/>
        <v>150893.61557511371</v>
      </c>
      <c r="AB608" s="288">
        <f t="shared" si="133"/>
        <v>0.75446807787556858</v>
      </c>
    </row>
    <row r="609" spans="13:28" ht="12" hidden="1" customHeight="1">
      <c r="M609" s="266"/>
      <c r="N609" s="288">
        <f t="shared" si="134"/>
        <v>10.14999999999989</v>
      </c>
      <c r="O609" s="285">
        <f t="shared" si="120"/>
        <v>150</v>
      </c>
      <c r="P609" s="289">
        <f t="shared" si="121"/>
        <v>4000000</v>
      </c>
      <c r="Q609" s="285">
        <f t="shared" si="122"/>
        <v>110</v>
      </c>
      <c r="R609" s="285">
        <f t="shared" si="123"/>
        <v>85</v>
      </c>
      <c r="S609" s="285">
        <f t="shared" si="124"/>
        <v>0.35</v>
      </c>
      <c r="T609" s="285">
        <f t="shared" si="125"/>
        <v>3.2</v>
      </c>
      <c r="U609" s="285">
        <f t="shared" si="126"/>
        <v>1</v>
      </c>
      <c r="V609" s="285">
        <f t="shared" si="127"/>
        <v>4.5</v>
      </c>
      <c r="W609" s="285">
        <f t="shared" si="128"/>
        <v>1.5</v>
      </c>
      <c r="X609" s="289">
        <f t="shared" si="129"/>
        <v>74064.996802484195</v>
      </c>
      <c r="Y609" s="288">
        <f t="shared" si="130"/>
        <v>0.37032498401242098</v>
      </c>
      <c r="Z609" s="256">
        <f t="shared" si="131"/>
        <v>181.74993027852094</v>
      </c>
      <c r="AA609" s="289">
        <f t="shared" si="132"/>
        <v>151867.69643477394</v>
      </c>
      <c r="AB609" s="288">
        <f t="shared" si="133"/>
        <v>0.75933848217386968</v>
      </c>
    </row>
    <row r="610" spans="13:28" ht="12" hidden="1" customHeight="1">
      <c r="M610" s="266"/>
      <c r="N610" s="288">
        <f t="shared" si="134"/>
        <v>10.15999999999989</v>
      </c>
      <c r="O610" s="285">
        <f t="shared" si="120"/>
        <v>150</v>
      </c>
      <c r="P610" s="289">
        <f t="shared" si="121"/>
        <v>4000000</v>
      </c>
      <c r="Q610" s="285">
        <f t="shared" si="122"/>
        <v>110</v>
      </c>
      <c r="R610" s="285">
        <f t="shared" si="123"/>
        <v>85</v>
      </c>
      <c r="S610" s="285">
        <f t="shared" si="124"/>
        <v>0.35</v>
      </c>
      <c r="T610" s="285">
        <f t="shared" si="125"/>
        <v>3.2</v>
      </c>
      <c r="U610" s="285">
        <f t="shared" si="126"/>
        <v>1</v>
      </c>
      <c r="V610" s="285">
        <f t="shared" si="127"/>
        <v>4.5</v>
      </c>
      <c r="W610" s="285">
        <f t="shared" si="128"/>
        <v>1.5</v>
      </c>
      <c r="X610" s="289">
        <f t="shared" si="129"/>
        <v>74542.701830623715</v>
      </c>
      <c r="Y610" s="288">
        <f t="shared" si="130"/>
        <v>0.37271350915311857</v>
      </c>
      <c r="Z610" s="256">
        <f t="shared" si="131"/>
        <v>181.74993027852094</v>
      </c>
      <c r="AA610" s="289">
        <f t="shared" si="132"/>
        <v>152847.21395763737</v>
      </c>
      <c r="AB610" s="288">
        <f t="shared" si="133"/>
        <v>0.76423606978818692</v>
      </c>
    </row>
    <row r="611" spans="13:28" ht="12" hidden="1" customHeight="1">
      <c r="M611" s="266"/>
      <c r="N611" s="288">
        <f t="shared" si="134"/>
        <v>10.16999999999989</v>
      </c>
      <c r="O611" s="285">
        <f t="shared" si="120"/>
        <v>150</v>
      </c>
      <c r="P611" s="289">
        <f t="shared" si="121"/>
        <v>4000000</v>
      </c>
      <c r="Q611" s="285">
        <f t="shared" si="122"/>
        <v>110</v>
      </c>
      <c r="R611" s="285">
        <f t="shared" si="123"/>
        <v>85</v>
      </c>
      <c r="S611" s="285">
        <f t="shared" si="124"/>
        <v>0.35</v>
      </c>
      <c r="T611" s="285">
        <f t="shared" si="125"/>
        <v>3.2</v>
      </c>
      <c r="U611" s="285">
        <f t="shared" si="126"/>
        <v>1</v>
      </c>
      <c r="V611" s="285">
        <f t="shared" si="127"/>
        <v>4.5</v>
      </c>
      <c r="W611" s="285">
        <f t="shared" si="128"/>
        <v>1.5</v>
      </c>
      <c r="X611" s="289">
        <f t="shared" si="129"/>
        <v>75023.070760038187</v>
      </c>
      <c r="Y611" s="288">
        <f t="shared" si="130"/>
        <v>0.37511535380019095</v>
      </c>
      <c r="Z611" s="256">
        <f t="shared" si="131"/>
        <v>181.74993027852094</v>
      </c>
      <c r="AA611" s="289">
        <f t="shared" si="132"/>
        <v>153832.19371728774</v>
      </c>
      <c r="AB611" s="288">
        <f t="shared" si="133"/>
        <v>0.76916096858643868</v>
      </c>
    </row>
    <row r="612" spans="13:28" ht="12" hidden="1" customHeight="1">
      <c r="M612" s="266"/>
      <c r="N612" s="288">
        <f t="shared" si="134"/>
        <v>10.17999999999989</v>
      </c>
      <c r="O612" s="285">
        <f t="shared" si="120"/>
        <v>150</v>
      </c>
      <c r="P612" s="289">
        <f t="shared" si="121"/>
        <v>4000000</v>
      </c>
      <c r="Q612" s="285">
        <f t="shared" si="122"/>
        <v>110</v>
      </c>
      <c r="R612" s="285">
        <f t="shared" si="123"/>
        <v>85</v>
      </c>
      <c r="S612" s="285">
        <f t="shared" si="124"/>
        <v>0.35</v>
      </c>
      <c r="T612" s="285">
        <f t="shared" si="125"/>
        <v>3.2</v>
      </c>
      <c r="U612" s="285">
        <f t="shared" si="126"/>
        <v>1</v>
      </c>
      <c r="V612" s="285">
        <f t="shared" si="127"/>
        <v>4.5</v>
      </c>
      <c r="W612" s="285">
        <f t="shared" si="128"/>
        <v>1.5</v>
      </c>
      <c r="X612" s="289">
        <f t="shared" si="129"/>
        <v>75506.116110516494</v>
      </c>
      <c r="Y612" s="288">
        <f t="shared" si="130"/>
        <v>0.37753058055258248</v>
      </c>
      <c r="Z612" s="256">
        <f t="shared" si="131"/>
        <v>181.74993027852094</v>
      </c>
      <c r="AA612" s="289">
        <f t="shared" si="132"/>
        <v>154822.66138511576</v>
      </c>
      <c r="AB612" s="288">
        <f t="shared" si="133"/>
        <v>0.77411330692557878</v>
      </c>
    </row>
    <row r="613" spans="13:28" ht="12" hidden="1" customHeight="1">
      <c r="M613" s="266"/>
      <c r="N613" s="288">
        <f t="shared" si="134"/>
        <v>10.189999999999889</v>
      </c>
      <c r="O613" s="285">
        <f t="shared" si="120"/>
        <v>150</v>
      </c>
      <c r="P613" s="289">
        <f t="shared" si="121"/>
        <v>4000000</v>
      </c>
      <c r="Q613" s="285">
        <f t="shared" si="122"/>
        <v>110</v>
      </c>
      <c r="R613" s="285">
        <f t="shared" si="123"/>
        <v>85</v>
      </c>
      <c r="S613" s="285">
        <f t="shared" si="124"/>
        <v>0.35</v>
      </c>
      <c r="T613" s="285">
        <f t="shared" si="125"/>
        <v>3.2</v>
      </c>
      <c r="U613" s="285">
        <f t="shared" si="126"/>
        <v>1</v>
      </c>
      <c r="V613" s="285">
        <f t="shared" si="127"/>
        <v>4.5</v>
      </c>
      <c r="W613" s="285">
        <f t="shared" si="128"/>
        <v>1.5</v>
      </c>
      <c r="X613" s="289">
        <f t="shared" si="129"/>
        <v>75991.85044968735</v>
      </c>
      <c r="Y613" s="288">
        <f t="shared" si="130"/>
        <v>0.37995925224843674</v>
      </c>
      <c r="Z613" s="256">
        <f t="shared" si="131"/>
        <v>181.74993027852094</v>
      </c>
      <c r="AA613" s="289">
        <f t="shared" si="132"/>
        <v>155818.64273060649</v>
      </c>
      <c r="AB613" s="288">
        <f t="shared" si="133"/>
        <v>0.77909321365303241</v>
      </c>
    </row>
    <row r="614" spans="13:28" ht="12" hidden="1" customHeight="1">
      <c r="M614" s="266"/>
      <c r="N614" s="288">
        <f t="shared" si="134"/>
        <v>10.199999999999889</v>
      </c>
      <c r="O614" s="285">
        <f t="shared" si="120"/>
        <v>150</v>
      </c>
      <c r="P614" s="289">
        <f t="shared" si="121"/>
        <v>4000000</v>
      </c>
      <c r="Q614" s="285">
        <f t="shared" si="122"/>
        <v>110</v>
      </c>
      <c r="R614" s="285">
        <f t="shared" si="123"/>
        <v>85</v>
      </c>
      <c r="S614" s="285">
        <f t="shared" si="124"/>
        <v>0.35</v>
      </c>
      <c r="T614" s="285">
        <f t="shared" si="125"/>
        <v>3.2</v>
      </c>
      <c r="U614" s="285">
        <f t="shared" si="126"/>
        <v>1</v>
      </c>
      <c r="V614" s="285">
        <f t="shared" si="127"/>
        <v>4.5</v>
      </c>
      <c r="W614" s="285">
        <f t="shared" si="128"/>
        <v>1.5</v>
      </c>
      <c r="X614" s="289">
        <f t="shared" si="129"/>
        <v>76480.286393160568</v>
      </c>
      <c r="Y614" s="288">
        <f t="shared" si="130"/>
        <v>0.38240143196580284</v>
      </c>
      <c r="Z614" s="256">
        <f t="shared" si="131"/>
        <v>181.74993027852094</v>
      </c>
      <c r="AA614" s="289">
        <f t="shared" si="132"/>
        <v>156820.16362162953</v>
      </c>
      <c r="AB614" s="288">
        <f t="shared" si="133"/>
        <v>0.78410081810814769</v>
      </c>
    </row>
    <row r="615" spans="13:28" ht="12" hidden="1" customHeight="1">
      <c r="M615" s="266"/>
      <c r="N615" s="288">
        <f t="shared" si="134"/>
        <v>10.209999999999889</v>
      </c>
      <c r="O615" s="285">
        <f t="shared" si="120"/>
        <v>150</v>
      </c>
      <c r="P615" s="289">
        <f t="shared" si="121"/>
        <v>4000000</v>
      </c>
      <c r="Q615" s="285">
        <f t="shared" si="122"/>
        <v>110</v>
      </c>
      <c r="R615" s="285">
        <f t="shared" si="123"/>
        <v>85</v>
      </c>
      <c r="S615" s="285">
        <f t="shared" si="124"/>
        <v>0.35</v>
      </c>
      <c r="T615" s="285">
        <f t="shared" si="125"/>
        <v>3.2</v>
      </c>
      <c r="U615" s="285">
        <f t="shared" si="126"/>
        <v>1</v>
      </c>
      <c r="V615" s="285">
        <f t="shared" si="127"/>
        <v>4.5</v>
      </c>
      <c r="W615" s="285">
        <f t="shared" si="128"/>
        <v>1.5</v>
      </c>
      <c r="X615" s="289">
        <f t="shared" si="129"/>
        <v>76971.436604668168</v>
      </c>
      <c r="Y615" s="288">
        <f t="shared" si="130"/>
        <v>0.38485718302334082</v>
      </c>
      <c r="Z615" s="256">
        <f t="shared" si="131"/>
        <v>181.74993027852094</v>
      </c>
      <c r="AA615" s="289">
        <f t="shared" si="132"/>
        <v>157827.25002472586</v>
      </c>
      <c r="AB615" s="288">
        <f t="shared" si="133"/>
        <v>0.78913625012362931</v>
      </c>
    </row>
    <row r="616" spans="13:28" ht="12" hidden="1" customHeight="1">
      <c r="M616" s="266"/>
      <c r="N616" s="288">
        <f t="shared" si="134"/>
        <v>10.219999999999889</v>
      </c>
      <c r="O616" s="285">
        <f t="shared" si="120"/>
        <v>150</v>
      </c>
      <c r="P616" s="289">
        <f t="shared" si="121"/>
        <v>4000000</v>
      </c>
      <c r="Q616" s="285">
        <f t="shared" si="122"/>
        <v>110</v>
      </c>
      <c r="R616" s="285">
        <f t="shared" si="123"/>
        <v>85</v>
      </c>
      <c r="S616" s="285">
        <f t="shared" si="124"/>
        <v>0.35</v>
      </c>
      <c r="T616" s="285">
        <f t="shared" si="125"/>
        <v>3.2</v>
      </c>
      <c r="U616" s="285">
        <f t="shared" si="126"/>
        <v>1</v>
      </c>
      <c r="V616" s="285">
        <f t="shared" si="127"/>
        <v>4.5</v>
      </c>
      <c r="W616" s="285">
        <f t="shared" si="128"/>
        <v>1.5</v>
      </c>
      <c r="X616" s="289">
        <f t="shared" si="129"/>
        <v>77465.31379620498</v>
      </c>
      <c r="Y616" s="288">
        <f t="shared" si="130"/>
        <v>0.38732656898102491</v>
      </c>
      <c r="Z616" s="256">
        <f t="shared" si="131"/>
        <v>181.74993027852094</v>
      </c>
      <c r="AA616" s="289">
        <f t="shared" si="132"/>
        <v>158839.92800539694</v>
      </c>
      <c r="AB616" s="288">
        <f t="shared" si="133"/>
        <v>0.79419964002698473</v>
      </c>
    </row>
    <row r="617" spans="13:28" ht="12" hidden="1" customHeight="1">
      <c r="M617" s="266"/>
      <c r="N617" s="288">
        <f t="shared" si="134"/>
        <v>10.229999999999889</v>
      </c>
      <c r="O617" s="285">
        <f t="shared" si="120"/>
        <v>150</v>
      </c>
      <c r="P617" s="289">
        <f t="shared" si="121"/>
        <v>4000000</v>
      </c>
      <c r="Q617" s="285">
        <f t="shared" si="122"/>
        <v>110</v>
      </c>
      <c r="R617" s="285">
        <f t="shared" si="123"/>
        <v>85</v>
      </c>
      <c r="S617" s="285">
        <f t="shared" si="124"/>
        <v>0.35</v>
      </c>
      <c r="T617" s="285">
        <f t="shared" si="125"/>
        <v>3.2</v>
      </c>
      <c r="U617" s="285">
        <f t="shared" si="126"/>
        <v>1</v>
      </c>
      <c r="V617" s="285">
        <f t="shared" si="127"/>
        <v>4.5</v>
      </c>
      <c r="W617" s="285">
        <f t="shared" si="128"/>
        <v>1.5</v>
      </c>
      <c r="X617" s="289">
        <f t="shared" si="129"/>
        <v>77961.930728171312</v>
      </c>
      <c r="Y617" s="288">
        <f t="shared" si="130"/>
        <v>0.38980965364085657</v>
      </c>
      <c r="Z617" s="256">
        <f t="shared" si="131"/>
        <v>181.74993027852094</v>
      </c>
      <c r="AA617" s="289">
        <f t="shared" si="132"/>
        <v>159858.22372840004</v>
      </c>
      <c r="AB617" s="288">
        <f t="shared" si="133"/>
        <v>0.7992911186420002</v>
      </c>
    </row>
    <row r="618" spans="13:28" ht="12" hidden="1" customHeight="1">
      <c r="M618" s="266"/>
      <c r="N618" s="288">
        <f t="shared" si="134"/>
        <v>10.239999999999888</v>
      </c>
      <c r="O618" s="285">
        <f t="shared" si="120"/>
        <v>150</v>
      </c>
      <c r="P618" s="289">
        <f t="shared" si="121"/>
        <v>4000000</v>
      </c>
      <c r="Q618" s="285">
        <f t="shared" si="122"/>
        <v>110</v>
      </c>
      <c r="R618" s="285">
        <f t="shared" si="123"/>
        <v>85</v>
      </c>
      <c r="S618" s="285">
        <f t="shared" si="124"/>
        <v>0.35</v>
      </c>
      <c r="T618" s="285">
        <f t="shared" si="125"/>
        <v>3.2</v>
      </c>
      <c r="U618" s="285">
        <f t="shared" si="126"/>
        <v>1</v>
      </c>
      <c r="V618" s="285">
        <f t="shared" si="127"/>
        <v>4.5</v>
      </c>
      <c r="W618" s="285">
        <f t="shared" si="128"/>
        <v>1.5</v>
      </c>
      <c r="X618" s="289">
        <f t="shared" si="129"/>
        <v>78461.300209513356</v>
      </c>
      <c r="Y618" s="288">
        <f t="shared" si="130"/>
        <v>0.39230650104756676</v>
      </c>
      <c r="Z618" s="256">
        <f t="shared" si="131"/>
        <v>181.74993027852094</v>
      </c>
      <c r="AA618" s="289">
        <f t="shared" si="132"/>
        <v>160882.16345803387</v>
      </c>
      <c r="AB618" s="288">
        <f t="shared" si="133"/>
        <v>0.80441081729016939</v>
      </c>
    </row>
    <row r="619" spans="13:28" ht="12" hidden="1" customHeight="1">
      <c r="M619" s="266"/>
      <c r="N619" s="288">
        <f t="shared" si="134"/>
        <v>10.249999999999888</v>
      </c>
      <c r="O619" s="285">
        <f t="shared" si="120"/>
        <v>150</v>
      </c>
      <c r="P619" s="289">
        <f t="shared" si="121"/>
        <v>4000000</v>
      </c>
      <c r="Q619" s="285">
        <f t="shared" si="122"/>
        <v>110</v>
      </c>
      <c r="R619" s="285">
        <f t="shared" si="123"/>
        <v>85</v>
      </c>
      <c r="S619" s="285">
        <f t="shared" si="124"/>
        <v>0.35</v>
      </c>
      <c r="T619" s="285">
        <f t="shared" si="125"/>
        <v>3.2</v>
      </c>
      <c r="U619" s="285">
        <f t="shared" si="126"/>
        <v>1</v>
      </c>
      <c r="V619" s="285">
        <f t="shared" si="127"/>
        <v>4.5</v>
      </c>
      <c r="W619" s="285">
        <f t="shared" si="128"/>
        <v>1.5</v>
      </c>
      <c r="X619" s="289">
        <f t="shared" si="129"/>
        <v>78963.435097867128</v>
      </c>
      <c r="Y619" s="288">
        <f t="shared" si="130"/>
        <v>0.39481717548933565</v>
      </c>
      <c r="Z619" s="256">
        <f t="shared" si="131"/>
        <v>181.74993027852094</v>
      </c>
      <c r="AA619" s="289">
        <f t="shared" si="132"/>
        <v>161911.77355843235</v>
      </c>
      <c r="AB619" s="288">
        <f t="shared" si="133"/>
        <v>0.8095588677921618</v>
      </c>
    </row>
    <row r="620" spans="13:28" ht="12" hidden="1" customHeight="1">
      <c r="M620" s="266"/>
      <c r="N620" s="288">
        <f t="shared" si="134"/>
        <v>10.259999999999888</v>
      </c>
      <c r="O620" s="285">
        <f t="shared" si="120"/>
        <v>150</v>
      </c>
      <c r="P620" s="289">
        <f t="shared" si="121"/>
        <v>4000000</v>
      </c>
      <c r="Q620" s="285">
        <f t="shared" si="122"/>
        <v>110</v>
      </c>
      <c r="R620" s="285">
        <f t="shared" si="123"/>
        <v>85</v>
      </c>
      <c r="S620" s="285">
        <f t="shared" si="124"/>
        <v>0.35</v>
      </c>
      <c r="T620" s="285">
        <f t="shared" si="125"/>
        <v>3.2</v>
      </c>
      <c r="U620" s="285">
        <f t="shared" si="126"/>
        <v>1</v>
      </c>
      <c r="V620" s="285">
        <f t="shared" si="127"/>
        <v>4.5</v>
      </c>
      <c r="W620" s="285">
        <f t="shared" si="128"/>
        <v>1.5</v>
      </c>
      <c r="X620" s="289">
        <f t="shared" si="129"/>
        <v>79468.348299698671</v>
      </c>
      <c r="Y620" s="288">
        <f t="shared" si="130"/>
        <v>0.39734174149849338</v>
      </c>
      <c r="Z620" s="256">
        <f t="shared" si="131"/>
        <v>181.74993027852094</v>
      </c>
      <c r="AA620" s="289">
        <f t="shared" si="132"/>
        <v>162947.08049385491</v>
      </c>
      <c r="AB620" s="288">
        <f t="shared" si="133"/>
        <v>0.81473540246927456</v>
      </c>
    </row>
    <row r="621" spans="13:28" ht="12" hidden="1" customHeight="1">
      <c r="M621" s="266"/>
      <c r="N621" s="288">
        <f t="shared" si="134"/>
        <v>10.269999999999888</v>
      </c>
      <c r="O621" s="285">
        <f t="shared" si="120"/>
        <v>150</v>
      </c>
      <c r="P621" s="289">
        <f t="shared" si="121"/>
        <v>4000000</v>
      </c>
      <c r="Q621" s="285">
        <f t="shared" si="122"/>
        <v>110</v>
      </c>
      <c r="R621" s="285">
        <f t="shared" si="123"/>
        <v>85</v>
      </c>
      <c r="S621" s="285">
        <f t="shared" si="124"/>
        <v>0.35</v>
      </c>
      <c r="T621" s="285">
        <f t="shared" si="125"/>
        <v>3.2</v>
      </c>
      <c r="U621" s="285">
        <f t="shared" si="126"/>
        <v>1</v>
      </c>
      <c r="V621" s="285">
        <f t="shared" si="127"/>
        <v>4.5</v>
      </c>
      <c r="W621" s="285">
        <f t="shared" si="128"/>
        <v>1.5</v>
      </c>
      <c r="X621" s="289">
        <f t="shared" si="129"/>
        <v>79976.05277044978</v>
      </c>
      <c r="Y621" s="288">
        <f t="shared" si="130"/>
        <v>0.3998802638522489</v>
      </c>
      <c r="Z621" s="256">
        <f t="shared" si="131"/>
        <v>181.74993027852094</v>
      </c>
      <c r="AA621" s="289">
        <f t="shared" si="132"/>
        <v>163988.11082898377</v>
      </c>
      <c r="AB621" s="288">
        <f t="shared" si="133"/>
        <v>0.81994055414491884</v>
      </c>
    </row>
    <row r="622" spans="13:28" ht="12" hidden="1" customHeight="1">
      <c r="M622" s="266"/>
      <c r="N622" s="288">
        <f t="shared" si="134"/>
        <v>10.279999999999887</v>
      </c>
      <c r="O622" s="285">
        <f t="shared" si="120"/>
        <v>150</v>
      </c>
      <c r="P622" s="289">
        <f t="shared" si="121"/>
        <v>4000000</v>
      </c>
      <c r="Q622" s="285">
        <f t="shared" si="122"/>
        <v>110</v>
      </c>
      <c r="R622" s="285">
        <f t="shared" si="123"/>
        <v>85</v>
      </c>
      <c r="S622" s="285">
        <f t="shared" si="124"/>
        <v>0.35</v>
      </c>
      <c r="T622" s="285">
        <f t="shared" si="125"/>
        <v>3.2</v>
      </c>
      <c r="U622" s="285">
        <f t="shared" si="126"/>
        <v>1</v>
      </c>
      <c r="V622" s="285">
        <f t="shared" si="127"/>
        <v>4.5</v>
      </c>
      <c r="W622" s="285">
        <f t="shared" si="128"/>
        <v>1.5</v>
      </c>
      <c r="X622" s="289">
        <f t="shared" si="129"/>
        <v>80486.561514678193</v>
      </c>
      <c r="Y622" s="288">
        <f t="shared" si="130"/>
        <v>0.40243280757339095</v>
      </c>
      <c r="Z622" s="256">
        <f t="shared" si="131"/>
        <v>181.74993027852094</v>
      </c>
      <c r="AA622" s="289">
        <f t="shared" si="132"/>
        <v>165034.89122921191</v>
      </c>
      <c r="AB622" s="288">
        <f t="shared" si="133"/>
        <v>0.82517445614605955</v>
      </c>
    </row>
    <row r="623" spans="13:28" ht="12" hidden="1" customHeight="1">
      <c r="M623" s="266"/>
      <c r="N623" s="288">
        <f t="shared" si="134"/>
        <v>10.289999999999887</v>
      </c>
      <c r="O623" s="285">
        <f t="shared" si="120"/>
        <v>150</v>
      </c>
      <c r="P623" s="289">
        <f t="shared" si="121"/>
        <v>4000000</v>
      </c>
      <c r="Q623" s="285">
        <f t="shared" si="122"/>
        <v>110</v>
      </c>
      <c r="R623" s="285">
        <f t="shared" si="123"/>
        <v>85</v>
      </c>
      <c r="S623" s="285">
        <f t="shared" si="124"/>
        <v>0.35</v>
      </c>
      <c r="T623" s="285">
        <f t="shared" si="125"/>
        <v>3.2</v>
      </c>
      <c r="U623" s="285">
        <f t="shared" si="126"/>
        <v>1</v>
      </c>
      <c r="V623" s="285">
        <f t="shared" si="127"/>
        <v>4.5</v>
      </c>
      <c r="W623" s="285">
        <f t="shared" si="128"/>
        <v>1.5</v>
      </c>
      <c r="X623" s="289">
        <f t="shared" si="129"/>
        <v>80999.887586202167</v>
      </c>
      <c r="Y623" s="288">
        <f t="shared" si="130"/>
        <v>0.40499943793101084</v>
      </c>
      <c r="Z623" s="256">
        <f t="shared" si="131"/>
        <v>181.74993027852094</v>
      </c>
      <c r="AA623" s="289">
        <f t="shared" si="132"/>
        <v>166087.44846093847</v>
      </c>
      <c r="AB623" s="288">
        <f t="shared" si="133"/>
        <v>0.83043724230469229</v>
      </c>
    </row>
    <row r="624" spans="13:28" ht="12" hidden="1" customHeight="1">
      <c r="M624" s="266"/>
      <c r="N624" s="288">
        <f t="shared" si="134"/>
        <v>10.299999999999887</v>
      </c>
      <c r="O624" s="285">
        <f t="shared" si="120"/>
        <v>150</v>
      </c>
      <c r="P624" s="289">
        <f t="shared" si="121"/>
        <v>4000000</v>
      </c>
      <c r="Q624" s="285">
        <f t="shared" si="122"/>
        <v>110</v>
      </c>
      <c r="R624" s="285">
        <f t="shared" si="123"/>
        <v>85</v>
      </c>
      <c r="S624" s="285">
        <f t="shared" si="124"/>
        <v>0.35</v>
      </c>
      <c r="T624" s="285">
        <f t="shared" si="125"/>
        <v>3.2</v>
      </c>
      <c r="U624" s="285">
        <f t="shared" si="126"/>
        <v>1</v>
      </c>
      <c r="V624" s="285">
        <f t="shared" si="127"/>
        <v>4.5</v>
      </c>
      <c r="W624" s="285">
        <f t="shared" si="128"/>
        <v>1.5</v>
      </c>
      <c r="X624" s="289">
        <f t="shared" si="129"/>
        <v>81516.04408824502</v>
      </c>
      <c r="Y624" s="288">
        <f t="shared" si="130"/>
        <v>0.40758022044122511</v>
      </c>
      <c r="Z624" s="256">
        <f t="shared" si="131"/>
        <v>181.74993027852094</v>
      </c>
      <c r="AA624" s="289">
        <f t="shared" si="132"/>
        <v>167145.80939186618</v>
      </c>
      <c r="AB624" s="288">
        <f t="shared" si="133"/>
        <v>0.83572904695933092</v>
      </c>
    </row>
    <row r="625" spans="13:28" ht="12" hidden="1" customHeight="1">
      <c r="M625" s="266"/>
      <c r="N625" s="288">
        <f t="shared" si="134"/>
        <v>10.309999999999887</v>
      </c>
      <c r="O625" s="285">
        <f t="shared" si="120"/>
        <v>150</v>
      </c>
      <c r="P625" s="289">
        <f t="shared" si="121"/>
        <v>4000000</v>
      </c>
      <c r="Q625" s="285">
        <f t="shared" si="122"/>
        <v>110</v>
      </c>
      <c r="R625" s="285">
        <f t="shared" si="123"/>
        <v>85</v>
      </c>
      <c r="S625" s="285">
        <f t="shared" si="124"/>
        <v>0.35</v>
      </c>
      <c r="T625" s="285">
        <f t="shared" si="125"/>
        <v>3.2</v>
      </c>
      <c r="U625" s="285">
        <f t="shared" si="126"/>
        <v>1</v>
      </c>
      <c r="V625" s="285">
        <f t="shared" si="127"/>
        <v>4.5</v>
      </c>
      <c r="W625" s="285">
        <f t="shared" si="128"/>
        <v>1.5</v>
      </c>
      <c r="X625" s="289">
        <f t="shared" si="129"/>
        <v>82035.044173577364</v>
      </c>
      <c r="Y625" s="288">
        <f t="shared" si="130"/>
        <v>0.41017522086788683</v>
      </c>
      <c r="Z625" s="256">
        <f t="shared" si="131"/>
        <v>181.74993027852094</v>
      </c>
      <c r="AA625" s="289">
        <f t="shared" si="132"/>
        <v>168210.00099129457</v>
      </c>
      <c r="AB625" s="288">
        <f t="shared" si="133"/>
        <v>0.84105000495647286</v>
      </c>
    </row>
    <row r="626" spans="13:28" ht="12" hidden="1" customHeight="1">
      <c r="M626" s="266"/>
      <c r="N626" s="288">
        <f t="shared" si="134"/>
        <v>10.319999999999887</v>
      </c>
      <c r="O626" s="285">
        <f t="shared" si="120"/>
        <v>150</v>
      </c>
      <c r="P626" s="289">
        <f t="shared" si="121"/>
        <v>4000000</v>
      </c>
      <c r="Q626" s="285">
        <f t="shared" si="122"/>
        <v>110</v>
      </c>
      <c r="R626" s="285">
        <f t="shared" si="123"/>
        <v>85</v>
      </c>
      <c r="S626" s="285">
        <f t="shared" si="124"/>
        <v>0.35</v>
      </c>
      <c r="T626" s="285">
        <f t="shared" si="125"/>
        <v>3.2</v>
      </c>
      <c r="U626" s="285">
        <f t="shared" si="126"/>
        <v>1</v>
      </c>
      <c r="V626" s="285">
        <f t="shared" si="127"/>
        <v>4.5</v>
      </c>
      <c r="W626" s="285">
        <f t="shared" si="128"/>
        <v>1.5</v>
      </c>
      <c r="X626" s="289">
        <f t="shared" si="129"/>
        <v>82556.901044662052</v>
      </c>
      <c r="Y626" s="288">
        <f t="shared" si="130"/>
        <v>0.41278450522331028</v>
      </c>
      <c r="Z626" s="256">
        <f t="shared" si="131"/>
        <v>181.74993027852094</v>
      </c>
      <c r="AA626" s="289">
        <f t="shared" si="132"/>
        <v>169280.05033041307</v>
      </c>
      <c r="AB626" s="288">
        <f t="shared" si="133"/>
        <v>0.84640025165206534</v>
      </c>
    </row>
    <row r="627" spans="13:28" ht="12" hidden="1" customHeight="1">
      <c r="M627" s="266"/>
      <c r="N627" s="288">
        <f t="shared" si="134"/>
        <v>10.329999999999886</v>
      </c>
      <c r="O627" s="285">
        <f t="shared" si="120"/>
        <v>150</v>
      </c>
      <c r="P627" s="289">
        <f t="shared" si="121"/>
        <v>4000000</v>
      </c>
      <c r="Q627" s="285">
        <f t="shared" si="122"/>
        <v>110</v>
      </c>
      <c r="R627" s="285">
        <f t="shared" si="123"/>
        <v>85</v>
      </c>
      <c r="S627" s="285">
        <f t="shared" si="124"/>
        <v>0.35</v>
      </c>
      <c r="T627" s="285">
        <f t="shared" si="125"/>
        <v>3.2</v>
      </c>
      <c r="U627" s="285">
        <f t="shared" si="126"/>
        <v>1</v>
      </c>
      <c r="V627" s="285">
        <f t="shared" si="127"/>
        <v>4.5</v>
      </c>
      <c r="W627" s="285">
        <f t="shared" si="128"/>
        <v>1.5</v>
      </c>
      <c r="X627" s="289">
        <f t="shared" si="129"/>
        <v>83081.627953798685</v>
      </c>
      <c r="Y627" s="288">
        <f t="shared" si="130"/>
        <v>0.41540813976899343</v>
      </c>
      <c r="Z627" s="256">
        <f t="shared" si="131"/>
        <v>181.74993027852094</v>
      </c>
      <c r="AA627" s="289">
        <f t="shared" si="132"/>
        <v>170355.98458260045</v>
      </c>
      <c r="AB627" s="288">
        <f t="shared" si="133"/>
        <v>0.8517799229130022</v>
      </c>
    </row>
    <row r="628" spans="13:28" ht="12" hidden="1" customHeight="1">
      <c r="M628" s="266"/>
      <c r="N628" s="288">
        <f t="shared" si="134"/>
        <v>10.339999999999886</v>
      </c>
      <c r="O628" s="285">
        <f t="shared" si="120"/>
        <v>150</v>
      </c>
      <c r="P628" s="289">
        <f t="shared" si="121"/>
        <v>4000000</v>
      </c>
      <c r="Q628" s="285">
        <f t="shared" si="122"/>
        <v>110</v>
      </c>
      <c r="R628" s="285">
        <f t="shared" si="123"/>
        <v>85</v>
      </c>
      <c r="S628" s="285">
        <f t="shared" si="124"/>
        <v>0.35</v>
      </c>
      <c r="T628" s="285">
        <f t="shared" si="125"/>
        <v>3.2</v>
      </c>
      <c r="U628" s="285">
        <f t="shared" si="126"/>
        <v>1</v>
      </c>
      <c r="V628" s="285">
        <f t="shared" si="127"/>
        <v>4.5</v>
      </c>
      <c r="W628" s="285">
        <f t="shared" si="128"/>
        <v>1.5</v>
      </c>
      <c r="X628" s="289">
        <f t="shared" si="129"/>
        <v>83609.238203269822</v>
      </c>
      <c r="Y628" s="288">
        <f t="shared" si="130"/>
        <v>0.4180461910163491</v>
      </c>
      <c r="Z628" s="256">
        <f t="shared" si="131"/>
        <v>181.74993027852094</v>
      </c>
      <c r="AA628" s="289">
        <f t="shared" si="132"/>
        <v>171437.83102372263</v>
      </c>
      <c r="AB628" s="288">
        <f t="shared" si="133"/>
        <v>0.85718915511861316</v>
      </c>
    </row>
    <row r="629" spans="13:28" ht="12" hidden="1" customHeight="1">
      <c r="M629" s="266"/>
      <c r="N629" s="288">
        <f t="shared" si="134"/>
        <v>10.349999999999886</v>
      </c>
      <c r="O629" s="285">
        <f t="shared" si="120"/>
        <v>150</v>
      </c>
      <c r="P629" s="289">
        <f t="shared" si="121"/>
        <v>4000000</v>
      </c>
      <c r="Q629" s="285">
        <f t="shared" si="122"/>
        <v>110</v>
      </c>
      <c r="R629" s="285">
        <f t="shared" si="123"/>
        <v>85</v>
      </c>
      <c r="S629" s="285">
        <f t="shared" si="124"/>
        <v>0.35</v>
      </c>
      <c r="T629" s="285">
        <f t="shared" si="125"/>
        <v>3.2</v>
      </c>
      <c r="U629" s="285">
        <f t="shared" si="126"/>
        <v>1</v>
      </c>
      <c r="V629" s="285">
        <f t="shared" si="127"/>
        <v>4.5</v>
      </c>
      <c r="W629" s="285">
        <f t="shared" si="128"/>
        <v>1.5</v>
      </c>
      <c r="X629" s="289">
        <f t="shared" si="129"/>
        <v>84139.745145481938</v>
      </c>
      <c r="Y629" s="288">
        <f t="shared" si="130"/>
        <v>0.42069872572740968</v>
      </c>
      <c r="Z629" s="256">
        <f t="shared" si="131"/>
        <v>181.74993027852094</v>
      </c>
      <c r="AA629" s="289">
        <f t="shared" si="132"/>
        <v>172525.61703242638</v>
      </c>
      <c r="AB629" s="288">
        <f t="shared" si="133"/>
        <v>0.86262808516213185</v>
      </c>
    </row>
    <row r="630" spans="13:28" ht="12" hidden="1" customHeight="1">
      <c r="M630" s="266"/>
      <c r="N630" s="288">
        <f t="shared" si="134"/>
        <v>10.359999999999886</v>
      </c>
      <c r="O630" s="285">
        <f t="shared" si="120"/>
        <v>150</v>
      </c>
      <c r="P630" s="289">
        <f t="shared" si="121"/>
        <v>4000000</v>
      </c>
      <c r="Q630" s="285">
        <f t="shared" si="122"/>
        <v>110</v>
      </c>
      <c r="R630" s="285">
        <f t="shared" si="123"/>
        <v>85</v>
      </c>
      <c r="S630" s="285">
        <f t="shared" si="124"/>
        <v>0.35</v>
      </c>
      <c r="T630" s="285">
        <f t="shared" si="125"/>
        <v>3.2</v>
      </c>
      <c r="U630" s="285">
        <f t="shared" si="126"/>
        <v>1</v>
      </c>
      <c r="V630" s="285">
        <f t="shared" si="127"/>
        <v>4.5</v>
      </c>
      <c r="W630" s="285">
        <f t="shared" si="128"/>
        <v>1.5</v>
      </c>
      <c r="X630" s="289">
        <f t="shared" si="129"/>
        <v>84673.162183116219</v>
      </c>
      <c r="Y630" s="288">
        <f t="shared" si="130"/>
        <v>0.42336581091558112</v>
      </c>
      <c r="Z630" s="256">
        <f t="shared" si="131"/>
        <v>181.74993027852094</v>
      </c>
      <c r="AA630" s="289">
        <f t="shared" si="132"/>
        <v>173619.37009044128</v>
      </c>
      <c r="AB630" s="288">
        <f t="shared" si="133"/>
        <v>0.86809685045220641</v>
      </c>
    </row>
    <row r="631" spans="13:28" ht="12" hidden="1" customHeight="1">
      <c r="M631" s="266"/>
      <c r="N631" s="288">
        <f t="shared" si="134"/>
        <v>10.369999999999886</v>
      </c>
      <c r="O631" s="285">
        <f t="shared" si="120"/>
        <v>150</v>
      </c>
      <c r="P631" s="289">
        <f t="shared" si="121"/>
        <v>4000000</v>
      </c>
      <c r="Q631" s="285">
        <f t="shared" si="122"/>
        <v>110</v>
      </c>
      <c r="R631" s="285">
        <f t="shared" si="123"/>
        <v>85</v>
      </c>
      <c r="S631" s="285">
        <f t="shared" si="124"/>
        <v>0.35</v>
      </c>
      <c r="T631" s="285">
        <f t="shared" si="125"/>
        <v>3.2</v>
      </c>
      <c r="U631" s="285">
        <f t="shared" si="126"/>
        <v>1</v>
      </c>
      <c r="V631" s="285">
        <f t="shared" si="127"/>
        <v>4.5</v>
      </c>
      <c r="W631" s="285">
        <f t="shared" si="128"/>
        <v>1.5</v>
      </c>
      <c r="X631" s="289">
        <f t="shared" si="129"/>
        <v>85209.502769270854</v>
      </c>
      <c r="Y631" s="288">
        <f t="shared" si="130"/>
        <v>0.42604751384635425</v>
      </c>
      <c r="Z631" s="256">
        <f t="shared" si="131"/>
        <v>181.74993027852094</v>
      </c>
      <c r="AA631" s="289">
        <f t="shared" si="132"/>
        <v>174719.11778287715</v>
      </c>
      <c r="AB631" s="288">
        <f t="shared" si="133"/>
        <v>0.87359558891438571</v>
      </c>
    </row>
    <row r="632" spans="13:28" ht="12" hidden="1" customHeight="1">
      <c r="M632" s="266"/>
      <c r="N632" s="288">
        <f t="shared" si="134"/>
        <v>10.379999999999885</v>
      </c>
      <c r="O632" s="285">
        <f t="shared" si="120"/>
        <v>150</v>
      </c>
      <c r="P632" s="289">
        <f t="shared" si="121"/>
        <v>4000000</v>
      </c>
      <c r="Q632" s="285">
        <f t="shared" si="122"/>
        <v>110</v>
      </c>
      <c r="R632" s="285">
        <f t="shared" si="123"/>
        <v>85</v>
      </c>
      <c r="S632" s="285">
        <f t="shared" si="124"/>
        <v>0.35</v>
      </c>
      <c r="T632" s="285">
        <f t="shared" si="125"/>
        <v>3.2</v>
      </c>
      <c r="U632" s="285">
        <f t="shared" si="126"/>
        <v>1</v>
      </c>
      <c r="V632" s="285">
        <f t="shared" si="127"/>
        <v>4.5</v>
      </c>
      <c r="W632" s="285">
        <f t="shared" si="128"/>
        <v>1.5</v>
      </c>
      <c r="X632" s="289">
        <f t="shared" si="129"/>
        <v>85748.780407607192</v>
      </c>
      <c r="Y632" s="288">
        <f t="shared" si="130"/>
        <v>0.42874390203803597</v>
      </c>
      <c r="Z632" s="256">
        <f t="shared" si="131"/>
        <v>181.74993027852094</v>
      </c>
      <c r="AA632" s="289">
        <f t="shared" si="132"/>
        <v>175824.88779852042</v>
      </c>
      <c r="AB632" s="288">
        <f t="shared" si="133"/>
        <v>0.87912443899260206</v>
      </c>
    </row>
    <row r="633" spans="13:28" ht="12" hidden="1" customHeight="1">
      <c r="M633" s="266"/>
      <c r="N633" s="288">
        <f t="shared" si="134"/>
        <v>10.389999999999885</v>
      </c>
      <c r="O633" s="285">
        <f t="shared" si="120"/>
        <v>150</v>
      </c>
      <c r="P633" s="289">
        <f t="shared" si="121"/>
        <v>4000000</v>
      </c>
      <c r="Q633" s="285">
        <f t="shared" si="122"/>
        <v>110</v>
      </c>
      <c r="R633" s="285">
        <f t="shared" si="123"/>
        <v>85</v>
      </c>
      <c r="S633" s="285">
        <f t="shared" si="124"/>
        <v>0.35</v>
      </c>
      <c r="T633" s="285">
        <f t="shared" si="125"/>
        <v>3.2</v>
      </c>
      <c r="U633" s="285">
        <f t="shared" si="126"/>
        <v>1</v>
      </c>
      <c r="V633" s="285">
        <f t="shared" si="127"/>
        <v>4.5</v>
      </c>
      <c r="W633" s="285">
        <f t="shared" si="128"/>
        <v>1.5</v>
      </c>
      <c r="X633" s="289">
        <f t="shared" si="129"/>
        <v>86291.008652497418</v>
      </c>
      <c r="Y633" s="288">
        <f t="shared" si="130"/>
        <v>0.43145504326248707</v>
      </c>
      <c r="Z633" s="256">
        <f t="shared" si="131"/>
        <v>181.74993027852094</v>
      </c>
      <c r="AA633" s="289">
        <f t="shared" si="132"/>
        <v>176936.70793014011</v>
      </c>
      <c r="AB633" s="288">
        <f t="shared" si="133"/>
        <v>0.88468353965070057</v>
      </c>
    </row>
    <row r="634" spans="13:28" ht="12" hidden="1" customHeight="1">
      <c r="M634" s="266"/>
      <c r="N634" s="288">
        <f t="shared" si="134"/>
        <v>10.399999999999885</v>
      </c>
      <c r="O634" s="285">
        <f t="shared" si="120"/>
        <v>150</v>
      </c>
      <c r="P634" s="289">
        <f t="shared" si="121"/>
        <v>4000000</v>
      </c>
      <c r="Q634" s="285">
        <f t="shared" si="122"/>
        <v>110</v>
      </c>
      <c r="R634" s="285">
        <f t="shared" si="123"/>
        <v>85</v>
      </c>
      <c r="S634" s="285">
        <f t="shared" si="124"/>
        <v>0.35</v>
      </c>
      <c r="T634" s="285">
        <f t="shared" si="125"/>
        <v>3.2</v>
      </c>
      <c r="U634" s="285">
        <f t="shared" si="126"/>
        <v>1</v>
      </c>
      <c r="V634" s="285">
        <f t="shared" si="127"/>
        <v>4.5</v>
      </c>
      <c r="W634" s="285">
        <f t="shared" si="128"/>
        <v>1.5</v>
      </c>
      <c r="X634" s="289">
        <f t="shared" si="129"/>
        <v>86836.20110917007</v>
      </c>
      <c r="Y634" s="288">
        <f t="shared" si="130"/>
        <v>0.43418100554585037</v>
      </c>
      <c r="Z634" s="256">
        <f t="shared" si="131"/>
        <v>181.74993027852094</v>
      </c>
      <c r="AA634" s="289">
        <f t="shared" si="132"/>
        <v>178054.60607478378</v>
      </c>
      <c r="AB634" s="288">
        <f t="shared" si="133"/>
        <v>0.89027303037391892</v>
      </c>
    </row>
    <row r="635" spans="13:28" ht="12" hidden="1" customHeight="1">
      <c r="M635" s="266"/>
      <c r="N635" s="288">
        <f t="shared" si="134"/>
        <v>10.409999999999885</v>
      </c>
      <c r="O635" s="285">
        <f t="shared" si="120"/>
        <v>150</v>
      </c>
      <c r="P635" s="289">
        <f t="shared" si="121"/>
        <v>4000000</v>
      </c>
      <c r="Q635" s="285">
        <f t="shared" si="122"/>
        <v>110</v>
      </c>
      <c r="R635" s="285">
        <f t="shared" si="123"/>
        <v>85</v>
      </c>
      <c r="S635" s="285">
        <f t="shared" si="124"/>
        <v>0.35</v>
      </c>
      <c r="T635" s="285">
        <f t="shared" si="125"/>
        <v>3.2</v>
      </c>
      <c r="U635" s="285">
        <f t="shared" si="126"/>
        <v>1</v>
      </c>
      <c r="V635" s="285">
        <f t="shared" si="127"/>
        <v>4.5</v>
      </c>
      <c r="W635" s="285">
        <f t="shared" si="128"/>
        <v>1.5</v>
      </c>
      <c r="X635" s="289">
        <f t="shared" si="129"/>
        <v>87384.371433856752</v>
      </c>
      <c r="Y635" s="288">
        <f t="shared" si="130"/>
        <v>0.43692185716928378</v>
      </c>
      <c r="Z635" s="256">
        <f t="shared" si="131"/>
        <v>181.74993027852094</v>
      </c>
      <c r="AA635" s="289">
        <f t="shared" si="132"/>
        <v>179178.61023407688</v>
      </c>
      <c r="AB635" s="288">
        <f t="shared" si="133"/>
        <v>0.89589305117038442</v>
      </c>
    </row>
    <row r="636" spans="13:28" ht="12" hidden="1" customHeight="1">
      <c r="M636" s="266"/>
      <c r="N636" s="288">
        <f t="shared" si="134"/>
        <v>10.419999999999884</v>
      </c>
      <c r="O636" s="285">
        <f t="shared" si="120"/>
        <v>150</v>
      </c>
      <c r="P636" s="289">
        <f t="shared" si="121"/>
        <v>4000000</v>
      </c>
      <c r="Q636" s="285">
        <f t="shared" si="122"/>
        <v>110</v>
      </c>
      <c r="R636" s="285">
        <f t="shared" si="123"/>
        <v>85</v>
      </c>
      <c r="S636" s="285">
        <f t="shared" si="124"/>
        <v>0.35</v>
      </c>
      <c r="T636" s="285">
        <f t="shared" si="125"/>
        <v>3.2</v>
      </c>
      <c r="U636" s="285">
        <f t="shared" si="126"/>
        <v>1</v>
      </c>
      <c r="V636" s="285">
        <f t="shared" si="127"/>
        <v>4.5</v>
      </c>
      <c r="W636" s="285">
        <f t="shared" si="128"/>
        <v>1.5</v>
      </c>
      <c r="X636" s="289">
        <f t="shared" si="129"/>
        <v>87935.53333394129</v>
      </c>
      <c r="Y636" s="288">
        <f t="shared" si="130"/>
        <v>0.43967766666970642</v>
      </c>
      <c r="Z636" s="256">
        <f t="shared" si="131"/>
        <v>181.74993027852094</v>
      </c>
      <c r="AA636" s="289">
        <f t="shared" si="132"/>
        <v>180308.74851453438</v>
      </c>
      <c r="AB636" s="288">
        <f t="shared" si="133"/>
        <v>0.90154374257267189</v>
      </c>
    </row>
    <row r="637" spans="13:28" ht="12" hidden="1" customHeight="1">
      <c r="M637" s="266"/>
      <c r="N637" s="288">
        <f t="shared" si="134"/>
        <v>10.429999999999884</v>
      </c>
      <c r="O637" s="285">
        <f t="shared" si="120"/>
        <v>150</v>
      </c>
      <c r="P637" s="289">
        <f t="shared" si="121"/>
        <v>4000000</v>
      </c>
      <c r="Q637" s="285">
        <f t="shared" si="122"/>
        <v>110</v>
      </c>
      <c r="R637" s="285">
        <f t="shared" si="123"/>
        <v>85</v>
      </c>
      <c r="S637" s="285">
        <f t="shared" si="124"/>
        <v>0.35</v>
      </c>
      <c r="T637" s="285">
        <f t="shared" si="125"/>
        <v>3.2</v>
      </c>
      <c r="U637" s="285">
        <f t="shared" si="126"/>
        <v>1</v>
      </c>
      <c r="V637" s="285">
        <f t="shared" si="127"/>
        <v>4.5</v>
      </c>
      <c r="W637" s="285">
        <f t="shared" si="128"/>
        <v>1.5</v>
      </c>
      <c r="X637" s="289">
        <f t="shared" si="129"/>
        <v>88489.700568103595</v>
      </c>
      <c r="Y637" s="288">
        <f t="shared" si="130"/>
        <v>0.44244850284051795</v>
      </c>
      <c r="Z637" s="256">
        <f t="shared" si="131"/>
        <v>181.74993027852094</v>
      </c>
      <c r="AA637" s="289">
        <f t="shared" si="132"/>
        <v>181445.04912784972</v>
      </c>
      <c r="AB637" s="288">
        <f t="shared" si="133"/>
        <v>0.90722524563924856</v>
      </c>
    </row>
    <row r="638" spans="13:28" ht="12" hidden="1" customHeight="1">
      <c r="M638" s="266"/>
      <c r="N638" s="288">
        <f t="shared" si="134"/>
        <v>10.439999999999884</v>
      </c>
      <c r="O638" s="285">
        <f t="shared" si="120"/>
        <v>150</v>
      </c>
      <c r="P638" s="289">
        <f t="shared" si="121"/>
        <v>4000000</v>
      </c>
      <c r="Q638" s="285">
        <f t="shared" si="122"/>
        <v>110</v>
      </c>
      <c r="R638" s="285">
        <f t="shared" si="123"/>
        <v>85</v>
      </c>
      <c r="S638" s="285">
        <f t="shared" si="124"/>
        <v>0.35</v>
      </c>
      <c r="T638" s="285">
        <f t="shared" si="125"/>
        <v>3.2</v>
      </c>
      <c r="U638" s="285">
        <f t="shared" si="126"/>
        <v>1</v>
      </c>
      <c r="V638" s="285">
        <f t="shared" si="127"/>
        <v>4.5</v>
      </c>
      <c r="W638" s="285">
        <f t="shared" si="128"/>
        <v>1.5</v>
      </c>
      <c r="X638" s="289">
        <f t="shared" si="129"/>
        <v>89046.886946471059</v>
      </c>
      <c r="Y638" s="288">
        <f t="shared" si="130"/>
        <v>0.4452344347323553</v>
      </c>
      <c r="Z638" s="256">
        <f t="shared" si="131"/>
        <v>181.74993027852094</v>
      </c>
      <c r="AA638" s="289">
        <f t="shared" si="132"/>
        <v>182587.54039120805</v>
      </c>
      <c r="AB638" s="288">
        <f t="shared" si="133"/>
        <v>0.91293770195604029</v>
      </c>
    </row>
    <row r="639" spans="13:28" ht="12" hidden="1" customHeight="1">
      <c r="M639" s="266"/>
      <c r="N639" s="288">
        <f t="shared" si="134"/>
        <v>10.449999999999884</v>
      </c>
      <c r="O639" s="285">
        <f t="shared" si="120"/>
        <v>150</v>
      </c>
      <c r="P639" s="289">
        <f t="shared" si="121"/>
        <v>4000000</v>
      </c>
      <c r="Q639" s="285">
        <f t="shared" si="122"/>
        <v>110</v>
      </c>
      <c r="R639" s="285">
        <f t="shared" si="123"/>
        <v>85</v>
      </c>
      <c r="S639" s="285">
        <f t="shared" si="124"/>
        <v>0.35</v>
      </c>
      <c r="T639" s="285">
        <f t="shared" si="125"/>
        <v>3.2</v>
      </c>
      <c r="U639" s="285">
        <f t="shared" si="126"/>
        <v>1</v>
      </c>
      <c r="V639" s="285">
        <f t="shared" si="127"/>
        <v>4.5</v>
      </c>
      <c r="W639" s="285">
        <f t="shared" si="128"/>
        <v>1.5</v>
      </c>
      <c r="X639" s="289">
        <f t="shared" si="129"/>
        <v>89607.106330764625</v>
      </c>
      <c r="Y639" s="288">
        <f t="shared" si="130"/>
        <v>0.44803553165382315</v>
      </c>
      <c r="Z639" s="256">
        <f t="shared" si="131"/>
        <v>181.74993027852094</v>
      </c>
      <c r="AA639" s="289">
        <f t="shared" si="132"/>
        <v>183736.25072758575</v>
      </c>
      <c r="AB639" s="288">
        <f t="shared" si="133"/>
        <v>0.91868125363792874</v>
      </c>
    </row>
    <row r="640" spans="13:28" ht="12" hidden="1" customHeight="1">
      <c r="M640" s="266"/>
      <c r="N640" s="288">
        <f t="shared" si="134"/>
        <v>10.459999999999884</v>
      </c>
      <c r="O640" s="285">
        <f t="shared" si="120"/>
        <v>150</v>
      </c>
      <c r="P640" s="289">
        <f t="shared" si="121"/>
        <v>4000000</v>
      </c>
      <c r="Q640" s="285">
        <f t="shared" si="122"/>
        <v>110</v>
      </c>
      <c r="R640" s="285">
        <f t="shared" si="123"/>
        <v>85</v>
      </c>
      <c r="S640" s="285">
        <f t="shared" si="124"/>
        <v>0.35</v>
      </c>
      <c r="T640" s="285">
        <f t="shared" si="125"/>
        <v>3.2</v>
      </c>
      <c r="U640" s="285">
        <f t="shared" si="126"/>
        <v>1</v>
      </c>
      <c r="V640" s="285">
        <f t="shared" si="127"/>
        <v>4.5</v>
      </c>
      <c r="W640" s="285">
        <f t="shared" si="128"/>
        <v>1.5</v>
      </c>
      <c r="X640" s="289">
        <f t="shared" si="129"/>
        <v>90170.372634447835</v>
      </c>
      <c r="Y640" s="288">
        <f t="shared" si="130"/>
        <v>0.45085186317223919</v>
      </c>
      <c r="Z640" s="256">
        <f t="shared" si="131"/>
        <v>181.74993027852094</v>
      </c>
      <c r="AA640" s="289">
        <f t="shared" si="132"/>
        <v>184891.20866605459</v>
      </c>
      <c r="AB640" s="288">
        <f t="shared" si="133"/>
        <v>0.92445604333027298</v>
      </c>
    </row>
    <row r="641" spans="13:28" ht="12" hidden="1" customHeight="1">
      <c r="M641" s="266"/>
      <c r="N641" s="288">
        <f t="shared" si="134"/>
        <v>10.469999999999883</v>
      </c>
      <c r="O641" s="285">
        <f t="shared" si="120"/>
        <v>150</v>
      </c>
      <c r="P641" s="289">
        <f t="shared" si="121"/>
        <v>4000000</v>
      </c>
      <c r="Q641" s="285">
        <f t="shared" si="122"/>
        <v>110</v>
      </c>
      <c r="R641" s="285">
        <f t="shared" si="123"/>
        <v>85</v>
      </c>
      <c r="S641" s="285">
        <f t="shared" si="124"/>
        <v>0.35</v>
      </c>
      <c r="T641" s="285">
        <f t="shared" si="125"/>
        <v>3.2</v>
      </c>
      <c r="U641" s="285">
        <f t="shared" si="126"/>
        <v>1</v>
      </c>
      <c r="V641" s="285">
        <f t="shared" si="127"/>
        <v>4.5</v>
      </c>
      <c r="W641" s="285">
        <f t="shared" si="128"/>
        <v>1.5</v>
      </c>
      <c r="X641" s="289">
        <f t="shared" si="129"/>
        <v>90736.699822874885</v>
      </c>
      <c r="Y641" s="288">
        <f t="shared" si="130"/>
        <v>0.45368349911437444</v>
      </c>
      <c r="Z641" s="256">
        <f t="shared" si="131"/>
        <v>181.74993027852094</v>
      </c>
      <c r="AA641" s="289">
        <f t="shared" si="132"/>
        <v>186052.44284208698</v>
      </c>
      <c r="AB641" s="288">
        <f t="shared" si="133"/>
        <v>0.93026221421043487</v>
      </c>
    </row>
    <row r="642" spans="13:28" ht="12" hidden="1" customHeight="1">
      <c r="M642" s="266"/>
      <c r="N642" s="288">
        <f t="shared" si="134"/>
        <v>10.479999999999883</v>
      </c>
      <c r="O642" s="285">
        <f t="shared" si="120"/>
        <v>150</v>
      </c>
      <c r="P642" s="289">
        <f t="shared" si="121"/>
        <v>4000000</v>
      </c>
      <c r="Q642" s="285">
        <f t="shared" si="122"/>
        <v>110</v>
      </c>
      <c r="R642" s="285">
        <f t="shared" si="123"/>
        <v>85</v>
      </c>
      <c r="S642" s="285">
        <f t="shared" si="124"/>
        <v>0.35</v>
      </c>
      <c r="T642" s="285">
        <f t="shared" si="125"/>
        <v>3.2</v>
      </c>
      <c r="U642" s="285">
        <f t="shared" si="126"/>
        <v>1</v>
      </c>
      <c r="V642" s="285">
        <f t="shared" si="127"/>
        <v>4.5</v>
      </c>
      <c r="W642" s="285">
        <f t="shared" si="128"/>
        <v>1.5</v>
      </c>
      <c r="X642" s="289">
        <f t="shared" si="129"/>
        <v>91306.101913440463</v>
      </c>
      <c r="Y642" s="288">
        <f t="shared" si="130"/>
        <v>0.45653050956720231</v>
      </c>
      <c r="Z642" s="256">
        <f t="shared" si="131"/>
        <v>181.74993027852094</v>
      </c>
      <c r="AA642" s="289">
        <f t="shared" si="132"/>
        <v>187219.98199786316</v>
      </c>
      <c r="AB642" s="288">
        <f t="shared" si="133"/>
        <v>0.9360999099893158</v>
      </c>
    </row>
    <row r="643" spans="13:28" ht="12" hidden="1" customHeight="1">
      <c r="M643" s="266"/>
      <c r="N643" s="288">
        <f t="shared" si="134"/>
        <v>10.489999999999883</v>
      </c>
      <c r="O643" s="285">
        <f t="shared" si="120"/>
        <v>150</v>
      </c>
      <c r="P643" s="289">
        <f t="shared" si="121"/>
        <v>4000000</v>
      </c>
      <c r="Q643" s="285">
        <f t="shared" si="122"/>
        <v>110</v>
      </c>
      <c r="R643" s="285">
        <f t="shared" si="123"/>
        <v>85</v>
      </c>
      <c r="S643" s="285">
        <f t="shared" si="124"/>
        <v>0.35</v>
      </c>
      <c r="T643" s="285">
        <f t="shared" si="125"/>
        <v>3.2</v>
      </c>
      <c r="U643" s="285">
        <f t="shared" si="126"/>
        <v>1</v>
      </c>
      <c r="V643" s="285">
        <f t="shared" si="127"/>
        <v>4.5</v>
      </c>
      <c r="W643" s="285">
        <f t="shared" si="128"/>
        <v>1.5</v>
      </c>
      <c r="X643" s="289">
        <f t="shared" si="129"/>
        <v>91878.592975728825</v>
      </c>
      <c r="Y643" s="288">
        <f t="shared" si="130"/>
        <v>0.45939296487864412</v>
      </c>
      <c r="Z643" s="256">
        <f t="shared" si="131"/>
        <v>181.74993027852094</v>
      </c>
      <c r="AA643" s="289">
        <f t="shared" si="132"/>
        <v>188393.85498257569</v>
      </c>
      <c r="AB643" s="288">
        <f t="shared" si="133"/>
        <v>0.94196927491287852</v>
      </c>
    </row>
    <row r="644" spans="13:28" ht="12" hidden="1" customHeight="1">
      <c r="M644" s="266"/>
      <c r="N644" s="288">
        <f t="shared" si="134"/>
        <v>10.499999999999883</v>
      </c>
      <c r="O644" s="285">
        <f t="shared" si="120"/>
        <v>150</v>
      </c>
      <c r="P644" s="289">
        <f t="shared" si="121"/>
        <v>4000000</v>
      </c>
      <c r="Q644" s="285">
        <f t="shared" si="122"/>
        <v>110</v>
      </c>
      <c r="R644" s="285">
        <f t="shared" si="123"/>
        <v>85</v>
      </c>
      <c r="S644" s="285">
        <f t="shared" si="124"/>
        <v>0.35</v>
      </c>
      <c r="T644" s="285">
        <f t="shared" si="125"/>
        <v>3.2</v>
      </c>
      <c r="U644" s="285">
        <f t="shared" si="126"/>
        <v>1</v>
      </c>
      <c r="V644" s="285">
        <f t="shared" si="127"/>
        <v>4.5</v>
      </c>
      <c r="W644" s="285">
        <f t="shared" si="128"/>
        <v>1.5</v>
      </c>
      <c r="X644" s="289">
        <f t="shared" si="129"/>
        <v>92454.187131661849</v>
      </c>
      <c r="Y644" s="288">
        <f t="shared" si="130"/>
        <v>0.46227093565830923</v>
      </c>
      <c r="Z644" s="256">
        <f t="shared" si="131"/>
        <v>181.74993027852094</v>
      </c>
      <c r="AA644" s="289">
        <f t="shared" si="132"/>
        <v>189574.0907527325</v>
      </c>
      <c r="AB644" s="288">
        <f t="shared" si="133"/>
        <v>0.94787045376366252</v>
      </c>
    </row>
    <row r="645" spans="13:28" ht="12" hidden="1" customHeight="1">
      <c r="M645" s="266"/>
      <c r="N645" s="288">
        <f t="shared" si="134"/>
        <v>10.509999999999883</v>
      </c>
      <c r="O645" s="285">
        <f t="shared" si="120"/>
        <v>150</v>
      </c>
      <c r="P645" s="289">
        <f t="shared" si="121"/>
        <v>4000000</v>
      </c>
      <c r="Q645" s="285">
        <f t="shared" si="122"/>
        <v>110</v>
      </c>
      <c r="R645" s="285">
        <f t="shared" si="123"/>
        <v>85</v>
      </c>
      <c r="S645" s="285">
        <f t="shared" si="124"/>
        <v>0.35</v>
      </c>
      <c r="T645" s="285">
        <f t="shared" si="125"/>
        <v>3.2</v>
      </c>
      <c r="U645" s="285">
        <f t="shared" si="126"/>
        <v>1</v>
      </c>
      <c r="V645" s="285">
        <f t="shared" si="127"/>
        <v>4.5</v>
      </c>
      <c r="W645" s="285">
        <f t="shared" si="128"/>
        <v>1.5</v>
      </c>
      <c r="X645" s="289">
        <f t="shared" si="129"/>
        <v>93032.898555651758</v>
      </c>
      <c r="Y645" s="288">
        <f t="shared" si="130"/>
        <v>0.46516449277825878</v>
      </c>
      <c r="Z645" s="256">
        <f t="shared" si="131"/>
        <v>181.74993027852094</v>
      </c>
      <c r="AA645" s="289">
        <f t="shared" si="132"/>
        <v>190760.7183724732</v>
      </c>
      <c r="AB645" s="288">
        <f t="shared" si="133"/>
        <v>0.95380359186236596</v>
      </c>
    </row>
    <row r="646" spans="13:28" ht="12" hidden="1" customHeight="1">
      <c r="M646" s="266"/>
      <c r="N646" s="288">
        <f t="shared" si="134"/>
        <v>10.519999999999882</v>
      </c>
      <c r="O646" s="285">
        <f t="shared" si="120"/>
        <v>150</v>
      </c>
      <c r="P646" s="289">
        <f t="shared" si="121"/>
        <v>4000000</v>
      </c>
      <c r="Q646" s="285">
        <f t="shared" si="122"/>
        <v>110</v>
      </c>
      <c r="R646" s="285">
        <f t="shared" si="123"/>
        <v>85</v>
      </c>
      <c r="S646" s="285">
        <f t="shared" si="124"/>
        <v>0.35</v>
      </c>
      <c r="T646" s="285">
        <f t="shared" si="125"/>
        <v>3.2</v>
      </c>
      <c r="U646" s="285">
        <f t="shared" si="126"/>
        <v>1</v>
      </c>
      <c r="V646" s="285">
        <f t="shared" si="127"/>
        <v>4.5</v>
      </c>
      <c r="W646" s="285">
        <f t="shared" si="128"/>
        <v>1.5</v>
      </c>
      <c r="X646" s="289">
        <f t="shared" si="129"/>
        <v>93614.741474748866</v>
      </c>
      <c r="Y646" s="288">
        <f t="shared" si="130"/>
        <v>0.46807370737374432</v>
      </c>
      <c r="Z646" s="256">
        <f t="shared" si="131"/>
        <v>181.74993027852094</v>
      </c>
      <c r="AA646" s="289">
        <f t="shared" si="132"/>
        <v>191953.76701386832</v>
      </c>
      <c r="AB646" s="288">
        <f t="shared" si="133"/>
        <v>0.95976883506934163</v>
      </c>
    </row>
    <row r="647" spans="13:28" ht="12" hidden="1" customHeight="1">
      <c r="M647" s="266"/>
      <c r="N647" s="288">
        <f t="shared" si="134"/>
        <v>10.529999999999882</v>
      </c>
      <c r="O647" s="285">
        <f t="shared" si="120"/>
        <v>150</v>
      </c>
      <c r="P647" s="289">
        <f t="shared" si="121"/>
        <v>4000000</v>
      </c>
      <c r="Q647" s="285">
        <f t="shared" si="122"/>
        <v>110</v>
      </c>
      <c r="R647" s="285">
        <f t="shared" si="123"/>
        <v>85</v>
      </c>
      <c r="S647" s="285">
        <f t="shared" si="124"/>
        <v>0.35</v>
      </c>
      <c r="T647" s="285">
        <f t="shared" si="125"/>
        <v>3.2</v>
      </c>
      <c r="U647" s="285">
        <f t="shared" si="126"/>
        <v>1</v>
      </c>
      <c r="V647" s="285">
        <f t="shared" si="127"/>
        <v>4.5</v>
      </c>
      <c r="W647" s="285">
        <f t="shared" si="128"/>
        <v>1.5</v>
      </c>
      <c r="X647" s="289">
        <f t="shared" si="129"/>
        <v>94199.730168791997</v>
      </c>
      <c r="Y647" s="288">
        <f t="shared" si="130"/>
        <v>0.47099865084395998</v>
      </c>
      <c r="Z647" s="256">
        <f t="shared" si="131"/>
        <v>181.74993027852094</v>
      </c>
      <c r="AA647" s="289">
        <f t="shared" si="132"/>
        <v>193153.26595723099</v>
      </c>
      <c r="AB647" s="288">
        <f t="shared" si="133"/>
        <v>0.96576632978615495</v>
      </c>
    </row>
    <row r="648" spans="13:28" ht="12" hidden="1" customHeight="1">
      <c r="M648" s="266"/>
      <c r="N648" s="288">
        <f t="shared" si="134"/>
        <v>10.539999999999882</v>
      </c>
      <c r="O648" s="285">
        <f t="shared" si="120"/>
        <v>150</v>
      </c>
      <c r="P648" s="289">
        <f t="shared" si="121"/>
        <v>4000000</v>
      </c>
      <c r="Q648" s="285">
        <f t="shared" si="122"/>
        <v>110</v>
      </c>
      <c r="R648" s="285">
        <f t="shared" si="123"/>
        <v>85</v>
      </c>
      <c r="S648" s="285">
        <f t="shared" si="124"/>
        <v>0.35</v>
      </c>
      <c r="T648" s="285">
        <f t="shared" si="125"/>
        <v>3.2</v>
      </c>
      <c r="U648" s="285">
        <f t="shared" si="126"/>
        <v>1</v>
      </c>
      <c r="V648" s="285">
        <f t="shared" si="127"/>
        <v>4.5</v>
      </c>
      <c r="W648" s="285">
        <f t="shared" si="128"/>
        <v>1.5</v>
      </c>
      <c r="X648" s="289">
        <f t="shared" si="129"/>
        <v>94787.878970562175</v>
      </c>
      <c r="Y648" s="288">
        <f t="shared" si="130"/>
        <v>0.47393939485281089</v>
      </c>
      <c r="Z648" s="256">
        <f t="shared" si="131"/>
        <v>181.74993027852094</v>
      </c>
      <c r="AA648" s="289">
        <f t="shared" si="132"/>
        <v>194359.24459142864</v>
      </c>
      <c r="AB648" s="288">
        <f t="shared" si="133"/>
        <v>0.97179622295714319</v>
      </c>
    </row>
    <row r="649" spans="13:28" ht="12" hidden="1" customHeight="1">
      <c r="M649" s="266"/>
      <c r="N649" s="288">
        <f t="shared" si="134"/>
        <v>10.549999999999882</v>
      </c>
      <c r="O649" s="285">
        <f t="shared" si="120"/>
        <v>150</v>
      </c>
      <c r="P649" s="289">
        <f t="shared" si="121"/>
        <v>4000000</v>
      </c>
      <c r="Q649" s="285">
        <f t="shared" si="122"/>
        <v>110</v>
      </c>
      <c r="R649" s="285">
        <f t="shared" si="123"/>
        <v>85</v>
      </c>
      <c r="S649" s="285">
        <f t="shared" si="124"/>
        <v>0.35</v>
      </c>
      <c r="T649" s="285">
        <f t="shared" si="125"/>
        <v>3.2</v>
      </c>
      <c r="U649" s="285">
        <f t="shared" si="126"/>
        <v>1</v>
      </c>
      <c r="V649" s="285">
        <f t="shared" si="127"/>
        <v>4.5</v>
      </c>
      <c r="W649" s="285">
        <f t="shared" si="128"/>
        <v>1.5</v>
      </c>
      <c r="X649" s="289">
        <f t="shared" si="129"/>
        <v>95379.202265930478</v>
      </c>
      <c r="Y649" s="288">
        <f t="shared" si="130"/>
        <v>0.47689601132965237</v>
      </c>
      <c r="Z649" s="256">
        <f t="shared" si="131"/>
        <v>181.74993027852094</v>
      </c>
      <c r="AA649" s="289">
        <f t="shared" si="132"/>
        <v>195571.73241418941</v>
      </c>
      <c r="AB649" s="288">
        <f t="shared" si="133"/>
        <v>0.97785866207094707</v>
      </c>
    </row>
    <row r="650" spans="13:28" ht="12" hidden="1" customHeight="1">
      <c r="M650" s="266"/>
      <c r="N650" s="288">
        <f t="shared" si="134"/>
        <v>10.559999999999881</v>
      </c>
      <c r="O650" s="285">
        <f t="shared" si="120"/>
        <v>150</v>
      </c>
      <c r="P650" s="289">
        <f t="shared" si="121"/>
        <v>4000000</v>
      </c>
      <c r="Q650" s="285">
        <f t="shared" si="122"/>
        <v>110</v>
      </c>
      <c r="R650" s="285">
        <f t="shared" si="123"/>
        <v>85</v>
      </c>
      <c r="S650" s="285">
        <f t="shared" si="124"/>
        <v>0.35</v>
      </c>
      <c r="T650" s="285">
        <f t="shared" si="125"/>
        <v>3.2</v>
      </c>
      <c r="U650" s="285">
        <f t="shared" si="126"/>
        <v>1</v>
      </c>
      <c r="V650" s="285">
        <f t="shared" si="127"/>
        <v>4.5</v>
      </c>
      <c r="W650" s="285">
        <f t="shared" si="128"/>
        <v>1.5</v>
      </c>
      <c r="X650" s="289">
        <f t="shared" si="129"/>
        <v>95973.714494009997</v>
      </c>
      <c r="Y650" s="288">
        <f t="shared" si="130"/>
        <v>0.47986857247004999</v>
      </c>
      <c r="Z650" s="256">
        <f t="shared" si="131"/>
        <v>181.74993027852094</v>
      </c>
      <c r="AA650" s="289">
        <f t="shared" si="132"/>
        <v>196790.75903241121</v>
      </c>
      <c r="AB650" s="288">
        <f t="shared" si="133"/>
        <v>0.98395379516205606</v>
      </c>
    </row>
    <row r="651" spans="13:28" ht="12" hidden="1" customHeight="1">
      <c r="M651" s="266"/>
      <c r="N651" s="288">
        <f t="shared" si="134"/>
        <v>10.569999999999881</v>
      </c>
      <c r="O651" s="285">
        <f t="shared" si="120"/>
        <v>150</v>
      </c>
      <c r="P651" s="289">
        <f t="shared" si="121"/>
        <v>4000000</v>
      </c>
      <c r="Q651" s="285">
        <f t="shared" si="122"/>
        <v>110</v>
      </c>
      <c r="R651" s="285">
        <f t="shared" si="123"/>
        <v>85</v>
      </c>
      <c r="S651" s="285">
        <f t="shared" si="124"/>
        <v>0.35</v>
      </c>
      <c r="T651" s="285">
        <f t="shared" si="125"/>
        <v>3.2</v>
      </c>
      <c r="U651" s="285">
        <f t="shared" si="126"/>
        <v>1</v>
      </c>
      <c r="V651" s="285">
        <f t="shared" si="127"/>
        <v>4.5</v>
      </c>
      <c r="W651" s="285">
        <f t="shared" si="128"/>
        <v>1.5</v>
      </c>
      <c r="X651" s="289">
        <f t="shared" si="129"/>
        <v>96571.430147309642</v>
      </c>
      <c r="Y651" s="288">
        <f t="shared" si="130"/>
        <v>0.48285715073654822</v>
      </c>
      <c r="Z651" s="256">
        <f t="shared" si="131"/>
        <v>181.74993027852094</v>
      </c>
      <c r="AA651" s="289">
        <f t="shared" si="132"/>
        <v>198016.35416247917</v>
      </c>
      <c r="AB651" s="288">
        <f t="shared" si="133"/>
        <v>0.99008177081239579</v>
      </c>
    </row>
    <row r="652" spans="13:28" ht="12" hidden="1" customHeight="1">
      <c r="M652" s="266"/>
      <c r="N652" s="288">
        <f t="shared" si="134"/>
        <v>10.579999999999881</v>
      </c>
      <c r="O652" s="285">
        <f t="shared" si="120"/>
        <v>150</v>
      </c>
      <c r="P652" s="289">
        <f t="shared" si="121"/>
        <v>4000000</v>
      </c>
      <c r="Q652" s="285">
        <f t="shared" si="122"/>
        <v>110</v>
      </c>
      <c r="R652" s="285">
        <f t="shared" si="123"/>
        <v>85</v>
      </c>
      <c r="S652" s="285">
        <f t="shared" si="124"/>
        <v>0.35</v>
      </c>
      <c r="T652" s="285">
        <f t="shared" si="125"/>
        <v>3.2</v>
      </c>
      <c r="U652" s="285">
        <f t="shared" si="126"/>
        <v>1</v>
      </c>
      <c r="V652" s="285">
        <f t="shared" si="127"/>
        <v>4.5</v>
      </c>
      <c r="W652" s="285">
        <f t="shared" si="128"/>
        <v>1.5</v>
      </c>
      <c r="X652" s="289">
        <f t="shared" si="129"/>
        <v>97172.363771883014</v>
      </c>
      <c r="Y652" s="288">
        <f t="shared" si="130"/>
        <v>0.4858618188594151</v>
      </c>
      <c r="Z652" s="256">
        <f t="shared" si="131"/>
        <v>181.74993027852094</v>
      </c>
      <c r="AA652" s="289">
        <f t="shared" si="132"/>
        <v>199248.54763056923</v>
      </c>
      <c r="AB652" s="288">
        <f t="shared" si="133"/>
        <v>0.99624273815284614</v>
      </c>
    </row>
    <row r="653" spans="13:28" ht="12" hidden="1" customHeight="1">
      <c r="M653" s="266"/>
      <c r="N653" s="288">
        <f t="shared" si="134"/>
        <v>10.589999999999881</v>
      </c>
      <c r="O653" s="285">
        <f t="shared" si="120"/>
        <v>150</v>
      </c>
      <c r="P653" s="289">
        <f t="shared" si="121"/>
        <v>4000000</v>
      </c>
      <c r="Q653" s="285">
        <f t="shared" si="122"/>
        <v>110</v>
      </c>
      <c r="R653" s="285">
        <f t="shared" si="123"/>
        <v>85</v>
      </c>
      <c r="S653" s="285">
        <f t="shared" si="124"/>
        <v>0.35</v>
      </c>
      <c r="T653" s="285">
        <f t="shared" si="125"/>
        <v>3.2</v>
      </c>
      <c r="U653" s="285">
        <f t="shared" si="126"/>
        <v>1</v>
      </c>
      <c r="V653" s="285">
        <f t="shared" si="127"/>
        <v>4.5</v>
      </c>
      <c r="W653" s="285">
        <f t="shared" si="128"/>
        <v>1.5</v>
      </c>
      <c r="X653" s="289">
        <f t="shared" si="129"/>
        <v>97776.529967483948</v>
      </c>
      <c r="Y653" s="288">
        <f t="shared" si="130"/>
        <v>0.48888264983741975</v>
      </c>
      <c r="Z653" s="256">
        <f t="shared" si="131"/>
        <v>181.74993027852094</v>
      </c>
      <c r="AA653" s="289">
        <f t="shared" si="132"/>
        <v>200487.36937296882</v>
      </c>
      <c r="AB653" s="288">
        <f t="shared" si="133"/>
        <v>1.0024368468648441</v>
      </c>
    </row>
    <row r="654" spans="13:28" ht="12" hidden="1" customHeight="1">
      <c r="M654" s="266"/>
      <c r="N654" s="288">
        <f t="shared" si="134"/>
        <v>10.599999999999881</v>
      </c>
      <c r="O654" s="285">
        <f t="shared" si="120"/>
        <v>150</v>
      </c>
      <c r="P654" s="289">
        <f t="shared" si="121"/>
        <v>4000000</v>
      </c>
      <c r="Q654" s="285">
        <f t="shared" si="122"/>
        <v>110</v>
      </c>
      <c r="R654" s="285">
        <f t="shared" si="123"/>
        <v>85</v>
      </c>
      <c r="S654" s="285">
        <f t="shared" si="124"/>
        <v>0.35</v>
      </c>
      <c r="T654" s="285">
        <f t="shared" si="125"/>
        <v>3.2</v>
      </c>
      <c r="U654" s="285">
        <f t="shared" si="126"/>
        <v>1</v>
      </c>
      <c r="V654" s="285">
        <f t="shared" si="127"/>
        <v>4.5</v>
      </c>
      <c r="W654" s="285">
        <f t="shared" si="128"/>
        <v>1.5</v>
      </c>
      <c r="X654" s="289">
        <f t="shared" si="129"/>
        <v>98383.943387715335</v>
      </c>
      <c r="Y654" s="288">
        <f t="shared" si="130"/>
        <v>0.49191971693857667</v>
      </c>
      <c r="Z654" s="256">
        <f t="shared" si="131"/>
        <v>181.74993027852094</v>
      </c>
      <c r="AA654" s="289">
        <f t="shared" si="132"/>
        <v>201732.84943638073</v>
      </c>
      <c r="AB654" s="288">
        <f t="shared" si="133"/>
        <v>1.0086642471819036</v>
      </c>
    </row>
    <row r="655" spans="13:28" ht="12" hidden="1" customHeight="1">
      <c r="M655" s="266"/>
      <c r="N655" s="288">
        <f t="shared" si="134"/>
        <v>10.60999999999988</v>
      </c>
      <c r="O655" s="285">
        <f t="shared" si="120"/>
        <v>150</v>
      </c>
      <c r="P655" s="289">
        <f t="shared" si="121"/>
        <v>4000000</v>
      </c>
      <c r="Q655" s="285">
        <f t="shared" si="122"/>
        <v>110</v>
      </c>
      <c r="R655" s="285">
        <f t="shared" si="123"/>
        <v>85</v>
      </c>
      <c r="S655" s="285">
        <f t="shared" si="124"/>
        <v>0.35</v>
      </c>
      <c r="T655" s="285">
        <f t="shared" si="125"/>
        <v>3.2</v>
      </c>
      <c r="U655" s="285">
        <f t="shared" si="126"/>
        <v>1</v>
      </c>
      <c r="V655" s="285">
        <f t="shared" si="127"/>
        <v>4.5</v>
      </c>
      <c r="W655" s="285">
        <f t="shared" si="128"/>
        <v>1.5</v>
      </c>
      <c r="X655" s="289">
        <f t="shared" si="129"/>
        <v>98994.61874018643</v>
      </c>
      <c r="Y655" s="288">
        <f t="shared" si="130"/>
        <v>0.49497309370093218</v>
      </c>
      <c r="Z655" s="256">
        <f t="shared" si="131"/>
        <v>181.74993027852094</v>
      </c>
      <c r="AA655" s="289">
        <f t="shared" si="132"/>
        <v>202985.01797824336</v>
      </c>
      <c r="AB655" s="288">
        <f t="shared" si="133"/>
        <v>1.0149250898912168</v>
      </c>
    </row>
    <row r="656" spans="13:28" ht="12" hidden="1" customHeight="1">
      <c r="M656" s="266"/>
      <c r="N656" s="288">
        <f t="shared" si="134"/>
        <v>10.61999999999988</v>
      </c>
      <c r="O656" s="285">
        <f t="shared" si="120"/>
        <v>150</v>
      </c>
      <c r="P656" s="289">
        <f t="shared" si="121"/>
        <v>4000000</v>
      </c>
      <c r="Q656" s="285">
        <f t="shared" si="122"/>
        <v>110</v>
      </c>
      <c r="R656" s="285">
        <f t="shared" si="123"/>
        <v>85</v>
      </c>
      <c r="S656" s="285">
        <f t="shared" si="124"/>
        <v>0.35</v>
      </c>
      <c r="T656" s="285">
        <f t="shared" si="125"/>
        <v>3.2</v>
      </c>
      <c r="U656" s="285">
        <f t="shared" si="126"/>
        <v>1</v>
      </c>
      <c r="V656" s="285">
        <f t="shared" si="127"/>
        <v>4.5</v>
      </c>
      <c r="W656" s="285">
        <f t="shared" si="128"/>
        <v>1.5</v>
      </c>
      <c r="X656" s="289">
        <f t="shared" si="129"/>
        <v>99608.570786662109</v>
      </c>
      <c r="Y656" s="288">
        <f t="shared" si="130"/>
        <v>0.49804285393331055</v>
      </c>
      <c r="Z656" s="256">
        <f t="shared" si="131"/>
        <v>181.74993027852094</v>
      </c>
      <c r="AA656" s="289">
        <f t="shared" si="132"/>
        <v>204243.90526704394</v>
      </c>
      <c r="AB656" s="288">
        <f t="shared" si="133"/>
        <v>1.0212195263352197</v>
      </c>
    </row>
    <row r="657" spans="13:28" ht="12" hidden="1" customHeight="1">
      <c r="M657" s="266"/>
      <c r="N657" s="288">
        <f t="shared" si="134"/>
        <v>10.62999999999988</v>
      </c>
      <c r="O657" s="285">
        <f t="shared" si="120"/>
        <v>150</v>
      </c>
      <c r="P657" s="289">
        <f t="shared" si="121"/>
        <v>4000000</v>
      </c>
      <c r="Q657" s="285">
        <f t="shared" si="122"/>
        <v>110</v>
      </c>
      <c r="R657" s="285">
        <f t="shared" si="123"/>
        <v>85</v>
      </c>
      <c r="S657" s="285">
        <f t="shared" si="124"/>
        <v>0.35</v>
      </c>
      <c r="T657" s="285">
        <f t="shared" si="125"/>
        <v>3.2</v>
      </c>
      <c r="U657" s="285">
        <f t="shared" si="126"/>
        <v>1</v>
      </c>
      <c r="V657" s="285">
        <f t="shared" si="127"/>
        <v>4.5</v>
      </c>
      <c r="W657" s="285">
        <f t="shared" si="128"/>
        <v>1.5</v>
      </c>
      <c r="X657" s="289">
        <f t="shared" si="129"/>
        <v>100225.81434321837</v>
      </c>
      <c r="Y657" s="288">
        <f t="shared" si="130"/>
        <v>0.50112907171609189</v>
      </c>
      <c r="Z657" s="256">
        <f t="shared" si="131"/>
        <v>181.74993027852094</v>
      </c>
      <c r="AA657" s="289">
        <f t="shared" si="132"/>
        <v>205509.54168262816</v>
      </c>
      <c r="AB657" s="288">
        <f t="shared" si="133"/>
        <v>1.0275477084131408</v>
      </c>
    </row>
    <row r="658" spans="13:28" ht="12" hidden="1" customHeight="1">
      <c r="M658" s="266"/>
      <c r="N658" s="288">
        <f t="shared" si="134"/>
        <v>10.63999999999988</v>
      </c>
      <c r="O658" s="285">
        <f t="shared" si="120"/>
        <v>150</v>
      </c>
      <c r="P658" s="289">
        <f t="shared" si="121"/>
        <v>4000000</v>
      </c>
      <c r="Q658" s="285">
        <f t="shared" si="122"/>
        <v>110</v>
      </c>
      <c r="R658" s="285">
        <f t="shared" si="123"/>
        <v>85</v>
      </c>
      <c r="S658" s="285">
        <f t="shared" si="124"/>
        <v>0.35</v>
      </c>
      <c r="T658" s="285">
        <f t="shared" si="125"/>
        <v>3.2</v>
      </c>
      <c r="U658" s="285">
        <f t="shared" si="126"/>
        <v>1</v>
      </c>
      <c r="V658" s="285">
        <f t="shared" si="127"/>
        <v>4.5</v>
      </c>
      <c r="W658" s="285">
        <f t="shared" si="128"/>
        <v>1.5</v>
      </c>
      <c r="X658" s="289">
        <f t="shared" si="129"/>
        <v>100846.36428039579</v>
      </c>
      <c r="Y658" s="288">
        <f t="shared" si="130"/>
        <v>0.50423182140197897</v>
      </c>
      <c r="Z658" s="256">
        <f t="shared" si="131"/>
        <v>181.74993027852094</v>
      </c>
      <c r="AA658" s="289">
        <f t="shared" si="132"/>
        <v>206781.9577165237</v>
      </c>
      <c r="AB658" s="288">
        <f t="shared" si="133"/>
        <v>1.0339097885826185</v>
      </c>
    </row>
    <row r="659" spans="13:28" ht="12" hidden="1" customHeight="1">
      <c r="M659" s="266"/>
      <c r="N659" s="288">
        <f t="shared" si="134"/>
        <v>10.64999999999988</v>
      </c>
      <c r="O659" s="285">
        <f t="shared" si="120"/>
        <v>150</v>
      </c>
      <c r="P659" s="289">
        <f t="shared" si="121"/>
        <v>4000000</v>
      </c>
      <c r="Q659" s="285">
        <f t="shared" si="122"/>
        <v>110</v>
      </c>
      <c r="R659" s="285">
        <f t="shared" si="123"/>
        <v>85</v>
      </c>
      <c r="S659" s="285">
        <f t="shared" si="124"/>
        <v>0.35</v>
      </c>
      <c r="T659" s="285">
        <f t="shared" si="125"/>
        <v>3.2</v>
      </c>
      <c r="U659" s="285">
        <f t="shared" si="126"/>
        <v>1</v>
      </c>
      <c r="V659" s="285">
        <f t="shared" si="127"/>
        <v>4.5</v>
      </c>
      <c r="W659" s="285">
        <f t="shared" si="128"/>
        <v>1.5</v>
      </c>
      <c r="X659" s="289">
        <f t="shared" si="129"/>
        <v>101470.23552335316</v>
      </c>
      <c r="Y659" s="288">
        <f t="shared" si="130"/>
        <v>0.50735117761676574</v>
      </c>
      <c r="Z659" s="256">
        <f t="shared" si="131"/>
        <v>181.74993027852094</v>
      </c>
      <c r="AA659" s="289">
        <f t="shared" si="132"/>
        <v>208061.1839722475</v>
      </c>
      <c r="AB659" s="288">
        <f t="shared" si="133"/>
        <v>1.0403059198612374</v>
      </c>
    </row>
    <row r="660" spans="13:28" ht="12" hidden="1" customHeight="1">
      <c r="M660" s="266"/>
      <c r="N660" s="288">
        <f t="shared" si="134"/>
        <v>10.659999999999879</v>
      </c>
      <c r="O660" s="285">
        <f t="shared" si="120"/>
        <v>150</v>
      </c>
      <c r="P660" s="289">
        <f t="shared" si="121"/>
        <v>4000000</v>
      </c>
      <c r="Q660" s="285">
        <f t="shared" si="122"/>
        <v>110</v>
      </c>
      <c r="R660" s="285">
        <f t="shared" si="123"/>
        <v>85</v>
      </c>
      <c r="S660" s="285">
        <f t="shared" si="124"/>
        <v>0.35</v>
      </c>
      <c r="T660" s="285">
        <f t="shared" si="125"/>
        <v>3.2</v>
      </c>
      <c r="U660" s="285">
        <f t="shared" si="126"/>
        <v>1</v>
      </c>
      <c r="V660" s="285">
        <f t="shared" si="127"/>
        <v>4.5</v>
      </c>
      <c r="W660" s="285">
        <f t="shared" si="128"/>
        <v>1.5</v>
      </c>
      <c r="X660" s="289">
        <f t="shared" si="129"/>
        <v>102097.44305202398</v>
      </c>
      <c r="Y660" s="288">
        <f t="shared" si="130"/>
        <v>0.51048721526011986</v>
      </c>
      <c r="Z660" s="256">
        <f t="shared" si="131"/>
        <v>181.74993027852094</v>
      </c>
      <c r="AA660" s="289">
        <f t="shared" si="132"/>
        <v>209347.25116563213</v>
      </c>
      <c r="AB660" s="288">
        <f t="shared" si="133"/>
        <v>1.0467362558281605</v>
      </c>
    </row>
    <row r="661" spans="13:28" ht="12" hidden="1" customHeight="1">
      <c r="M661" s="266"/>
      <c r="N661" s="288">
        <f t="shared" si="134"/>
        <v>10.669999999999879</v>
      </c>
      <c r="O661" s="285">
        <f t="shared" si="120"/>
        <v>150</v>
      </c>
      <c r="P661" s="289">
        <f t="shared" si="121"/>
        <v>4000000</v>
      </c>
      <c r="Q661" s="285">
        <f t="shared" si="122"/>
        <v>110</v>
      </c>
      <c r="R661" s="285">
        <f t="shared" si="123"/>
        <v>85</v>
      </c>
      <c r="S661" s="285">
        <f t="shared" si="124"/>
        <v>0.35</v>
      </c>
      <c r="T661" s="285">
        <f t="shared" si="125"/>
        <v>3.2</v>
      </c>
      <c r="U661" s="285">
        <f t="shared" si="126"/>
        <v>1</v>
      </c>
      <c r="V661" s="285">
        <f t="shared" si="127"/>
        <v>4.5</v>
      </c>
      <c r="W661" s="285">
        <f t="shared" si="128"/>
        <v>1.5</v>
      </c>
      <c r="X661" s="289">
        <f t="shared" si="129"/>
        <v>102728.00190126717</v>
      </c>
      <c r="Y661" s="288">
        <f t="shared" si="130"/>
        <v>0.51364000950633582</v>
      </c>
      <c r="Z661" s="256">
        <f t="shared" si="131"/>
        <v>181.74993027852094</v>
      </c>
      <c r="AA661" s="289">
        <f t="shared" si="132"/>
        <v>210640.19012513108</v>
      </c>
      <c r="AB661" s="288">
        <f t="shared" si="133"/>
        <v>1.0532009506256554</v>
      </c>
    </row>
    <row r="662" spans="13:28" ht="12" hidden="1" customHeight="1">
      <c r="M662" s="266"/>
      <c r="N662" s="288">
        <f t="shared" si="134"/>
        <v>10.679999999999879</v>
      </c>
      <c r="O662" s="285">
        <f t="shared" si="120"/>
        <v>150</v>
      </c>
      <c r="P662" s="289">
        <f t="shared" si="121"/>
        <v>4000000</v>
      </c>
      <c r="Q662" s="285">
        <f t="shared" si="122"/>
        <v>110</v>
      </c>
      <c r="R662" s="285">
        <f t="shared" si="123"/>
        <v>85</v>
      </c>
      <c r="S662" s="285">
        <f t="shared" si="124"/>
        <v>0.35</v>
      </c>
      <c r="T662" s="285">
        <f t="shared" si="125"/>
        <v>3.2</v>
      </c>
      <c r="U662" s="285">
        <f t="shared" si="126"/>
        <v>1</v>
      </c>
      <c r="V662" s="285">
        <f t="shared" si="127"/>
        <v>4.5</v>
      </c>
      <c r="W662" s="285">
        <f t="shared" si="128"/>
        <v>1.5</v>
      </c>
      <c r="X662" s="289">
        <f t="shared" si="129"/>
        <v>103361.92716102664</v>
      </c>
      <c r="Y662" s="288">
        <f t="shared" si="130"/>
        <v>0.51680963580513317</v>
      </c>
      <c r="Z662" s="256">
        <f t="shared" si="131"/>
        <v>181.74993027852094</v>
      </c>
      <c r="AA662" s="289">
        <f t="shared" si="132"/>
        <v>211940.03179214956</v>
      </c>
      <c r="AB662" s="288">
        <f t="shared" si="133"/>
        <v>1.0597001589607478</v>
      </c>
    </row>
    <row r="663" spans="13:28" ht="12" hidden="1" customHeight="1">
      <c r="M663" s="266"/>
      <c r="N663" s="288">
        <f t="shared" si="134"/>
        <v>10.689999999999879</v>
      </c>
      <c r="O663" s="285">
        <f t="shared" si="120"/>
        <v>150</v>
      </c>
      <c r="P663" s="289">
        <f t="shared" si="121"/>
        <v>4000000</v>
      </c>
      <c r="Q663" s="285">
        <f t="shared" si="122"/>
        <v>110</v>
      </c>
      <c r="R663" s="285">
        <f t="shared" si="123"/>
        <v>85</v>
      </c>
      <c r="S663" s="285">
        <f t="shared" si="124"/>
        <v>0.35</v>
      </c>
      <c r="T663" s="285">
        <f t="shared" si="125"/>
        <v>3.2</v>
      </c>
      <c r="U663" s="285">
        <f t="shared" si="126"/>
        <v>1</v>
      </c>
      <c r="V663" s="285">
        <f t="shared" si="127"/>
        <v>4.5</v>
      </c>
      <c r="W663" s="285">
        <f t="shared" si="128"/>
        <v>1.5</v>
      </c>
      <c r="X663" s="289">
        <f t="shared" si="129"/>
        <v>103999.23397648238</v>
      </c>
      <c r="Y663" s="288">
        <f t="shared" si="130"/>
        <v>0.51999616988241193</v>
      </c>
      <c r="Z663" s="256">
        <f t="shared" si="131"/>
        <v>181.74993027852094</v>
      </c>
      <c r="AA663" s="289">
        <f t="shared" si="132"/>
        <v>213246.80722135201</v>
      </c>
      <c r="AB663" s="288">
        <f t="shared" si="133"/>
        <v>1.0662340361067599</v>
      </c>
    </row>
    <row r="664" spans="13:28" ht="12" hidden="1" customHeight="1">
      <c r="M664" s="266"/>
      <c r="N664" s="288">
        <f t="shared" si="134"/>
        <v>10.699999999999878</v>
      </c>
      <c r="O664" s="285">
        <f t="shared" si="120"/>
        <v>150</v>
      </c>
      <c r="P664" s="289">
        <f t="shared" si="121"/>
        <v>4000000</v>
      </c>
      <c r="Q664" s="285">
        <f t="shared" si="122"/>
        <v>110</v>
      </c>
      <c r="R664" s="285">
        <f t="shared" si="123"/>
        <v>85</v>
      </c>
      <c r="S664" s="285">
        <f t="shared" si="124"/>
        <v>0.35</v>
      </c>
      <c r="T664" s="285">
        <f t="shared" si="125"/>
        <v>3.2</v>
      </c>
      <c r="U664" s="285">
        <f t="shared" si="126"/>
        <v>1</v>
      </c>
      <c r="V664" s="285">
        <f t="shared" si="127"/>
        <v>4.5</v>
      </c>
      <c r="W664" s="285">
        <f t="shared" si="128"/>
        <v>1.5</v>
      </c>
      <c r="X664" s="289">
        <f t="shared" si="129"/>
        <v>104639.93754821018</v>
      </c>
      <c r="Y664" s="288">
        <f t="shared" si="130"/>
        <v>0.52319968774105086</v>
      </c>
      <c r="Z664" s="256">
        <f t="shared" si="131"/>
        <v>181.74993027852094</v>
      </c>
      <c r="AA664" s="289">
        <f t="shared" si="132"/>
        <v>214560.54758098969</v>
      </c>
      <c r="AB664" s="288">
        <f t="shared" si="133"/>
        <v>1.0728027379049485</v>
      </c>
    </row>
    <row r="665" spans="13:28" ht="12" hidden="1" customHeight="1">
      <c r="M665" s="266"/>
      <c r="N665" s="288">
        <f t="shared" si="134"/>
        <v>10.709999999999878</v>
      </c>
      <c r="O665" s="285">
        <f t="shared" si="120"/>
        <v>150</v>
      </c>
      <c r="P665" s="289">
        <f t="shared" si="121"/>
        <v>4000000</v>
      </c>
      <c r="Q665" s="285">
        <f t="shared" si="122"/>
        <v>110</v>
      </c>
      <c r="R665" s="285">
        <f t="shared" si="123"/>
        <v>85</v>
      </c>
      <c r="S665" s="285">
        <f t="shared" si="124"/>
        <v>0.35</v>
      </c>
      <c r="T665" s="285">
        <f t="shared" si="125"/>
        <v>3.2</v>
      </c>
      <c r="U665" s="285">
        <f t="shared" si="126"/>
        <v>1</v>
      </c>
      <c r="V665" s="285">
        <f t="shared" si="127"/>
        <v>4.5</v>
      </c>
      <c r="W665" s="285">
        <f t="shared" si="128"/>
        <v>1.5</v>
      </c>
      <c r="X665" s="289">
        <f t="shared" si="129"/>
        <v>105284.05313233398</v>
      </c>
      <c r="Y665" s="288">
        <f t="shared" si="130"/>
        <v>0.52642026566166988</v>
      </c>
      <c r="Z665" s="256">
        <f t="shared" si="131"/>
        <v>181.74993027852094</v>
      </c>
      <c r="AA665" s="289">
        <f t="shared" si="132"/>
        <v>215881.28415321268</v>
      </c>
      <c r="AB665" s="288">
        <f t="shared" si="133"/>
        <v>1.0794064207660634</v>
      </c>
    </row>
    <row r="666" spans="13:28" ht="12" hidden="1" customHeight="1">
      <c r="M666" s="266"/>
      <c r="N666" s="288">
        <f t="shared" si="134"/>
        <v>10.719999999999878</v>
      </c>
      <c r="O666" s="285">
        <f t="shared" si="120"/>
        <v>150</v>
      </c>
      <c r="P666" s="289">
        <f t="shared" si="121"/>
        <v>4000000</v>
      </c>
      <c r="Q666" s="285">
        <f t="shared" si="122"/>
        <v>110</v>
      </c>
      <c r="R666" s="285">
        <f t="shared" si="123"/>
        <v>85</v>
      </c>
      <c r="S666" s="285">
        <f t="shared" si="124"/>
        <v>0.35</v>
      </c>
      <c r="T666" s="285">
        <f t="shared" si="125"/>
        <v>3.2</v>
      </c>
      <c r="U666" s="285">
        <f t="shared" si="126"/>
        <v>1</v>
      </c>
      <c r="V666" s="285">
        <f t="shared" si="127"/>
        <v>4.5</v>
      </c>
      <c r="W666" s="285">
        <f t="shared" si="128"/>
        <v>1.5</v>
      </c>
      <c r="X666" s="289">
        <f t="shared" si="129"/>
        <v>105931.59604068509</v>
      </c>
      <c r="Y666" s="288">
        <f t="shared" si="130"/>
        <v>0.52965798020342547</v>
      </c>
      <c r="Z666" s="256">
        <f t="shared" si="131"/>
        <v>181.74993027852094</v>
      </c>
      <c r="AA666" s="289">
        <f t="shared" si="132"/>
        <v>217209.04833439778</v>
      </c>
      <c r="AB666" s="288">
        <f t="shared" si="133"/>
        <v>1.086045241671989</v>
      </c>
    </row>
    <row r="667" spans="13:28" ht="12" hidden="1" customHeight="1">
      <c r="M667" s="266"/>
      <c r="N667" s="288">
        <f t="shared" si="134"/>
        <v>10.729999999999878</v>
      </c>
      <c r="O667" s="285">
        <f t="shared" si="120"/>
        <v>150</v>
      </c>
      <c r="P667" s="289">
        <f t="shared" si="121"/>
        <v>4000000</v>
      </c>
      <c r="Q667" s="285">
        <f t="shared" si="122"/>
        <v>110</v>
      </c>
      <c r="R667" s="285">
        <f t="shared" si="123"/>
        <v>85</v>
      </c>
      <c r="S667" s="285">
        <f t="shared" si="124"/>
        <v>0.35</v>
      </c>
      <c r="T667" s="285">
        <f t="shared" si="125"/>
        <v>3.2</v>
      </c>
      <c r="U667" s="285">
        <f t="shared" si="126"/>
        <v>1</v>
      </c>
      <c r="V667" s="285">
        <f t="shared" si="127"/>
        <v>4.5</v>
      </c>
      <c r="W667" s="285">
        <f t="shared" si="128"/>
        <v>1.5</v>
      </c>
      <c r="X667" s="289">
        <f t="shared" si="129"/>
        <v>106582.5816409559</v>
      </c>
      <c r="Y667" s="288">
        <f t="shared" si="130"/>
        <v>0.53291290820477955</v>
      </c>
      <c r="Z667" s="256">
        <f t="shared" si="131"/>
        <v>181.74993027852094</v>
      </c>
      <c r="AA667" s="289">
        <f t="shared" si="132"/>
        <v>218543.87163546382</v>
      </c>
      <c r="AB667" s="288">
        <f t="shared" si="133"/>
        <v>1.0927193581773191</v>
      </c>
    </row>
    <row r="668" spans="13:28" ht="12" hidden="1" customHeight="1">
      <c r="M668" s="266"/>
      <c r="N668" s="288">
        <f t="shared" si="134"/>
        <v>10.739999999999878</v>
      </c>
      <c r="O668" s="285">
        <f t="shared" si="120"/>
        <v>150</v>
      </c>
      <c r="P668" s="289">
        <f t="shared" si="121"/>
        <v>4000000</v>
      </c>
      <c r="Q668" s="285">
        <f t="shared" si="122"/>
        <v>110</v>
      </c>
      <c r="R668" s="285">
        <f t="shared" si="123"/>
        <v>85</v>
      </c>
      <c r="S668" s="285">
        <f t="shared" si="124"/>
        <v>0.35</v>
      </c>
      <c r="T668" s="285">
        <f t="shared" si="125"/>
        <v>3.2</v>
      </c>
      <c r="U668" s="285">
        <f t="shared" si="126"/>
        <v>1</v>
      </c>
      <c r="V668" s="285">
        <f t="shared" si="127"/>
        <v>4.5</v>
      </c>
      <c r="W668" s="285">
        <f t="shared" si="128"/>
        <v>1.5</v>
      </c>
      <c r="X668" s="289">
        <f t="shared" si="129"/>
        <v>107237.025356859</v>
      </c>
      <c r="Y668" s="288">
        <f t="shared" si="130"/>
        <v>0.53618512678429497</v>
      </c>
      <c r="Z668" s="256">
        <f t="shared" si="131"/>
        <v>181.74993027852094</v>
      </c>
      <c r="AA668" s="289">
        <f t="shared" si="132"/>
        <v>219885.78568219661</v>
      </c>
      <c r="AB668" s="288">
        <f t="shared" si="133"/>
        <v>1.0994289284109831</v>
      </c>
    </row>
    <row r="669" spans="13:28" ht="12" hidden="1" customHeight="1">
      <c r="M669" s="266"/>
      <c r="N669" s="288">
        <f t="shared" si="134"/>
        <v>10.749999999999877</v>
      </c>
      <c r="O669" s="285">
        <f t="shared" si="120"/>
        <v>150</v>
      </c>
      <c r="P669" s="289">
        <f t="shared" si="121"/>
        <v>4000000</v>
      </c>
      <c r="Q669" s="285">
        <f t="shared" si="122"/>
        <v>110</v>
      </c>
      <c r="R669" s="285">
        <f t="shared" si="123"/>
        <v>85</v>
      </c>
      <c r="S669" s="285">
        <f t="shared" si="124"/>
        <v>0.35</v>
      </c>
      <c r="T669" s="285">
        <f t="shared" si="125"/>
        <v>3.2</v>
      </c>
      <c r="U669" s="285">
        <f t="shared" si="126"/>
        <v>1</v>
      </c>
      <c r="V669" s="285">
        <f t="shared" si="127"/>
        <v>4.5</v>
      </c>
      <c r="W669" s="285">
        <f t="shared" si="128"/>
        <v>1.5</v>
      </c>
      <c r="X669" s="289">
        <f t="shared" si="129"/>
        <v>107894.94266828416</v>
      </c>
      <c r="Y669" s="288">
        <f t="shared" si="130"/>
        <v>0.53947471334142083</v>
      </c>
      <c r="Z669" s="256">
        <f t="shared" si="131"/>
        <v>181.74993027852094</v>
      </c>
      <c r="AA669" s="289">
        <f t="shared" si="132"/>
        <v>221234.82221556955</v>
      </c>
      <c r="AB669" s="288">
        <f t="shared" si="133"/>
        <v>1.1061741110778478</v>
      </c>
    </row>
    <row r="670" spans="13:28" ht="12" hidden="1" customHeight="1">
      <c r="M670" s="266"/>
      <c r="N670" s="288">
        <f t="shared" si="134"/>
        <v>10.759999999999877</v>
      </c>
      <c r="O670" s="285">
        <f t="shared" ref="O670:O733" si="135">PCC_MR</f>
        <v>150</v>
      </c>
      <c r="P670" s="289">
        <f t="shared" ref="P670:P733" si="136">PCC_ME</f>
        <v>4000000</v>
      </c>
      <c r="Q670" s="285">
        <f t="shared" ref="Q670:Q733" si="137">K_MODULE</f>
        <v>110</v>
      </c>
      <c r="R670" s="285">
        <f t="shared" ref="R670:R733" si="138">R_</f>
        <v>85</v>
      </c>
      <c r="S670" s="285">
        <f t="shared" ref="S670:S733" si="139">So</f>
        <v>0.35</v>
      </c>
      <c r="T670" s="285">
        <f t="shared" ref="T670:T733" si="140">J_</f>
        <v>3.2</v>
      </c>
      <c r="U670" s="285">
        <f t="shared" ref="U670:U733" si="141">Cd_</f>
        <v>1</v>
      </c>
      <c r="V670" s="285">
        <f t="shared" ref="V670:V733" si="142">Pi</f>
        <v>4.5</v>
      </c>
      <c r="W670" s="285">
        <f t="shared" ref="W670:W733" si="143">Pt</f>
        <v>1.5</v>
      </c>
      <c r="X670" s="289">
        <f t="shared" ref="X670:X733" si="144">10^(-NORMSINV(R670/100)*S670+7.35*LOG10(N670+1)-0.06+((LOG10((V670-W670)/3))/(1+((1.625*10^7)/((N670+1)^8.46))))+((4.22-0.32*W670)*LOG10((O670*U670*((N670^0.75)-1.132))/(215.63*T670*((N670^0.75)-18.42*(Q670/P670)^0.25)))))</f>
        <v>108556.34911145462</v>
      </c>
      <c r="Y670" s="288">
        <f t="shared" ref="Y670:Y733" si="145">+X670/ESALS</f>
        <v>0.5427817455572731</v>
      </c>
      <c r="Z670" s="256">
        <f t="shared" ref="Z670:Z733" si="146">PCC_IMR</f>
        <v>181.74993027852094</v>
      </c>
      <c r="AA670" s="289">
        <f t="shared" ref="AA670:AA733" si="147">10^(-NORMSINV(R670/100)*S670+7.35*LOG10(N670+1)-0.06+((LOG10((V670-W670)/3))/(1+((1.625*10^7)/((N670+1)^8.46))))+((4.22-0.32*W670)*LOG10((Z670*U670*((N670^0.75)-1.132))/(215.63*T670*((N670^0.75)-18.42*(Q670/P670)^0.25)))))</f>
        <v>222591.01309206756</v>
      </c>
      <c r="AB670" s="288">
        <f t="shared" ref="AB670:AB733" si="148">+AA670/ESALS</f>
        <v>1.1129550654603377</v>
      </c>
    </row>
    <row r="671" spans="13:28" ht="12" hidden="1" customHeight="1">
      <c r="M671" s="266"/>
      <c r="N671" s="288">
        <f t="shared" ref="N671:N734" si="149">IF(N670 = "", "", IF(AND(0.995*ESALS&lt;=X670,X670&lt;=1.005*ESALS),"",(N670+D_Step)))</f>
        <v>10.769999999999877</v>
      </c>
      <c r="O671" s="285">
        <f t="shared" si="135"/>
        <v>150</v>
      </c>
      <c r="P671" s="289">
        <f t="shared" si="136"/>
        <v>4000000</v>
      </c>
      <c r="Q671" s="285">
        <f t="shared" si="137"/>
        <v>110</v>
      </c>
      <c r="R671" s="285">
        <f t="shared" si="138"/>
        <v>85</v>
      </c>
      <c r="S671" s="285">
        <f t="shared" si="139"/>
        <v>0.35</v>
      </c>
      <c r="T671" s="285">
        <f t="shared" si="140"/>
        <v>3.2</v>
      </c>
      <c r="U671" s="285">
        <f t="shared" si="141"/>
        <v>1</v>
      </c>
      <c r="V671" s="285">
        <f t="shared" si="142"/>
        <v>4.5</v>
      </c>
      <c r="W671" s="285">
        <f t="shared" si="143"/>
        <v>1.5</v>
      </c>
      <c r="X671" s="289">
        <f t="shared" si="144"/>
        <v>109221.2602790852</v>
      </c>
      <c r="Y671" s="288">
        <f t="shared" si="145"/>
        <v>0.54610630139542593</v>
      </c>
      <c r="Z671" s="256">
        <f t="shared" si="146"/>
        <v>181.74993027852094</v>
      </c>
      <c r="AA671" s="289">
        <f t="shared" si="147"/>
        <v>223954.39028401021</v>
      </c>
      <c r="AB671" s="288">
        <f t="shared" si="148"/>
        <v>1.119771951420051</v>
      </c>
    </row>
    <row r="672" spans="13:28" ht="12" hidden="1" customHeight="1">
      <c r="M672" s="266"/>
      <c r="N672" s="288">
        <f t="shared" si="149"/>
        <v>10.779999999999877</v>
      </c>
      <c r="O672" s="285">
        <f t="shared" si="135"/>
        <v>150</v>
      </c>
      <c r="P672" s="289">
        <f t="shared" si="136"/>
        <v>4000000</v>
      </c>
      <c r="Q672" s="285">
        <f t="shared" si="137"/>
        <v>110</v>
      </c>
      <c r="R672" s="285">
        <f t="shared" si="138"/>
        <v>85</v>
      </c>
      <c r="S672" s="285">
        <f t="shared" si="139"/>
        <v>0.35</v>
      </c>
      <c r="T672" s="285">
        <f t="shared" si="140"/>
        <v>3.2</v>
      </c>
      <c r="U672" s="285">
        <f t="shared" si="141"/>
        <v>1</v>
      </c>
      <c r="V672" s="285">
        <f t="shared" si="142"/>
        <v>4.5</v>
      </c>
      <c r="W672" s="285">
        <f t="shared" si="143"/>
        <v>1.5</v>
      </c>
      <c r="X672" s="289">
        <f t="shared" si="144"/>
        <v>109889.69182054138</v>
      </c>
      <c r="Y672" s="288">
        <f t="shared" si="145"/>
        <v>0.5494484591027069</v>
      </c>
      <c r="Z672" s="256">
        <f t="shared" si="146"/>
        <v>181.74993027852094</v>
      </c>
      <c r="AA672" s="289">
        <f t="shared" si="147"/>
        <v>225324.98587987636</v>
      </c>
      <c r="AB672" s="288">
        <f t="shared" si="148"/>
        <v>1.1266249293993817</v>
      </c>
    </row>
    <row r="673" spans="13:28" ht="12" hidden="1" customHeight="1">
      <c r="M673" s="266"/>
      <c r="N673" s="288">
        <f t="shared" si="149"/>
        <v>10.789999999999877</v>
      </c>
      <c r="O673" s="285">
        <f t="shared" si="135"/>
        <v>150</v>
      </c>
      <c r="P673" s="289">
        <f t="shared" si="136"/>
        <v>4000000</v>
      </c>
      <c r="Q673" s="285">
        <f t="shared" si="137"/>
        <v>110</v>
      </c>
      <c r="R673" s="285">
        <f t="shared" si="138"/>
        <v>85</v>
      </c>
      <c r="S673" s="285">
        <f t="shared" si="139"/>
        <v>0.35</v>
      </c>
      <c r="T673" s="285">
        <f t="shared" si="140"/>
        <v>3.2</v>
      </c>
      <c r="U673" s="285">
        <f t="shared" si="141"/>
        <v>1</v>
      </c>
      <c r="V673" s="285">
        <f t="shared" si="142"/>
        <v>4.5</v>
      </c>
      <c r="W673" s="285">
        <f t="shared" si="143"/>
        <v>1.5</v>
      </c>
      <c r="X673" s="289">
        <f t="shared" si="144"/>
        <v>110561.65944199642</v>
      </c>
      <c r="Y673" s="288">
        <f t="shared" si="145"/>
        <v>0.55280829720998215</v>
      </c>
      <c r="Z673" s="256">
        <f t="shared" si="146"/>
        <v>181.74993027852094</v>
      </c>
      <c r="AA673" s="289">
        <f t="shared" si="147"/>
        <v>226702.83208462648</v>
      </c>
      <c r="AB673" s="288">
        <f t="shared" si="148"/>
        <v>1.1335141604231325</v>
      </c>
    </row>
    <row r="674" spans="13:28" ht="12" hidden="1" customHeight="1">
      <c r="M674" s="266"/>
      <c r="N674" s="288">
        <f t="shared" si="149"/>
        <v>10.799999999999876</v>
      </c>
      <c r="O674" s="285">
        <f t="shared" si="135"/>
        <v>150</v>
      </c>
      <c r="P674" s="289">
        <f t="shared" si="136"/>
        <v>4000000</v>
      </c>
      <c r="Q674" s="285">
        <f t="shared" si="137"/>
        <v>110</v>
      </c>
      <c r="R674" s="285">
        <f t="shared" si="138"/>
        <v>85</v>
      </c>
      <c r="S674" s="285">
        <f t="shared" si="139"/>
        <v>0.35</v>
      </c>
      <c r="T674" s="285">
        <f t="shared" si="140"/>
        <v>3.2</v>
      </c>
      <c r="U674" s="285">
        <f t="shared" si="141"/>
        <v>1</v>
      </c>
      <c r="V674" s="285">
        <f t="shared" si="142"/>
        <v>4.5</v>
      </c>
      <c r="W674" s="285">
        <f t="shared" si="143"/>
        <v>1.5</v>
      </c>
      <c r="X674" s="289">
        <f t="shared" si="144"/>
        <v>111237.1789065918</v>
      </c>
      <c r="Y674" s="288">
        <f t="shared" si="145"/>
        <v>0.55618589453295897</v>
      </c>
      <c r="Z674" s="256">
        <f t="shared" si="146"/>
        <v>181.74993027852094</v>
      </c>
      <c r="AA674" s="289">
        <f t="shared" si="147"/>
        <v>228087.96122003353</v>
      </c>
      <c r="AB674" s="288">
        <f t="shared" si="148"/>
        <v>1.1404398061001677</v>
      </c>
    </row>
    <row r="675" spans="13:28" ht="12" hidden="1" customHeight="1">
      <c r="M675" s="266"/>
      <c r="N675" s="288">
        <f t="shared" si="149"/>
        <v>10.809999999999876</v>
      </c>
      <c r="O675" s="285">
        <f t="shared" si="135"/>
        <v>150</v>
      </c>
      <c r="P675" s="289">
        <f t="shared" si="136"/>
        <v>4000000</v>
      </c>
      <c r="Q675" s="285">
        <f t="shared" si="137"/>
        <v>110</v>
      </c>
      <c r="R675" s="285">
        <f t="shared" si="138"/>
        <v>85</v>
      </c>
      <c r="S675" s="285">
        <f t="shared" si="139"/>
        <v>0.35</v>
      </c>
      <c r="T675" s="285">
        <f t="shared" si="140"/>
        <v>3.2</v>
      </c>
      <c r="U675" s="285">
        <f t="shared" si="141"/>
        <v>1</v>
      </c>
      <c r="V675" s="285">
        <f t="shared" si="142"/>
        <v>4.5</v>
      </c>
      <c r="W675" s="285">
        <f t="shared" si="143"/>
        <v>1.5</v>
      </c>
      <c r="X675" s="289">
        <f t="shared" si="144"/>
        <v>111916.26603459363</v>
      </c>
      <c r="Y675" s="288">
        <f t="shared" si="145"/>
        <v>0.55958133017296818</v>
      </c>
      <c r="Z675" s="256">
        <f t="shared" si="146"/>
        <v>181.74993027852094</v>
      </c>
      <c r="AA675" s="289">
        <f t="shared" si="147"/>
        <v>229480.40572500182</v>
      </c>
      <c r="AB675" s="288">
        <f t="shared" si="148"/>
        <v>1.1474020286250091</v>
      </c>
    </row>
    <row r="676" spans="13:28" ht="12" hidden="1" customHeight="1">
      <c r="M676" s="266"/>
      <c r="N676" s="288">
        <f t="shared" si="149"/>
        <v>10.819999999999876</v>
      </c>
      <c r="O676" s="285">
        <f t="shared" si="135"/>
        <v>150</v>
      </c>
      <c r="P676" s="289">
        <f t="shared" si="136"/>
        <v>4000000</v>
      </c>
      <c r="Q676" s="285">
        <f t="shared" si="137"/>
        <v>110</v>
      </c>
      <c r="R676" s="285">
        <f t="shared" si="138"/>
        <v>85</v>
      </c>
      <c r="S676" s="285">
        <f t="shared" si="139"/>
        <v>0.35</v>
      </c>
      <c r="T676" s="285">
        <f t="shared" si="140"/>
        <v>3.2</v>
      </c>
      <c r="U676" s="285">
        <f t="shared" si="141"/>
        <v>1</v>
      </c>
      <c r="V676" s="285">
        <f t="shared" si="142"/>
        <v>4.5</v>
      </c>
      <c r="W676" s="285">
        <f t="shared" si="143"/>
        <v>1.5</v>
      </c>
      <c r="X676" s="289">
        <f t="shared" si="144"/>
        <v>112598.93670355582</v>
      </c>
      <c r="Y676" s="288">
        <f t="shared" si="145"/>
        <v>0.56299468351777915</v>
      </c>
      <c r="Z676" s="256">
        <f t="shared" si="146"/>
        <v>181.74993027852094</v>
      </c>
      <c r="AA676" s="289">
        <f t="shared" si="147"/>
        <v>230880.19815590352</v>
      </c>
      <c r="AB676" s="288">
        <f t="shared" si="148"/>
        <v>1.1544009907795176</v>
      </c>
    </row>
    <row r="677" spans="13:28" ht="12" hidden="1" customHeight="1">
      <c r="M677" s="266"/>
      <c r="N677" s="288">
        <f t="shared" si="149"/>
        <v>10.829999999999876</v>
      </c>
      <c r="O677" s="285">
        <f t="shared" si="135"/>
        <v>150</v>
      </c>
      <c r="P677" s="289">
        <f t="shared" si="136"/>
        <v>4000000</v>
      </c>
      <c r="Q677" s="285">
        <f t="shared" si="137"/>
        <v>110</v>
      </c>
      <c r="R677" s="285">
        <f t="shared" si="138"/>
        <v>85</v>
      </c>
      <c r="S677" s="285">
        <f t="shared" si="139"/>
        <v>0.35</v>
      </c>
      <c r="T677" s="285">
        <f t="shared" si="140"/>
        <v>3.2</v>
      </c>
      <c r="U677" s="285">
        <f t="shared" si="141"/>
        <v>1</v>
      </c>
      <c r="V677" s="285">
        <f t="shared" si="142"/>
        <v>4.5</v>
      </c>
      <c r="W677" s="285">
        <f t="shared" si="143"/>
        <v>1.5</v>
      </c>
      <c r="X677" s="289">
        <f t="shared" si="144"/>
        <v>113285.20684847473</v>
      </c>
      <c r="Y677" s="288">
        <f t="shared" si="145"/>
        <v>0.56642603424237359</v>
      </c>
      <c r="Z677" s="256">
        <f t="shared" si="146"/>
        <v>181.74993027852094</v>
      </c>
      <c r="AA677" s="289">
        <f t="shared" si="147"/>
        <v>232287.37118689276</v>
      </c>
      <c r="AB677" s="288">
        <f t="shared" si="148"/>
        <v>1.1614368559344639</v>
      </c>
    </row>
    <row r="678" spans="13:28" ht="12" hidden="1" customHeight="1">
      <c r="M678" s="266"/>
      <c r="N678" s="288">
        <f t="shared" si="149"/>
        <v>10.839999999999876</v>
      </c>
      <c r="O678" s="285">
        <f t="shared" si="135"/>
        <v>150</v>
      </c>
      <c r="P678" s="289">
        <f t="shared" si="136"/>
        <v>4000000</v>
      </c>
      <c r="Q678" s="285">
        <f t="shared" si="137"/>
        <v>110</v>
      </c>
      <c r="R678" s="285">
        <f t="shared" si="138"/>
        <v>85</v>
      </c>
      <c r="S678" s="285">
        <f t="shared" si="139"/>
        <v>0.35</v>
      </c>
      <c r="T678" s="285">
        <f t="shared" si="140"/>
        <v>3.2</v>
      </c>
      <c r="U678" s="285">
        <f t="shared" si="141"/>
        <v>1</v>
      </c>
      <c r="V678" s="285">
        <f t="shared" si="142"/>
        <v>4.5</v>
      </c>
      <c r="W678" s="285">
        <f t="shared" si="143"/>
        <v>1.5</v>
      </c>
      <c r="X678" s="289">
        <f t="shared" si="144"/>
        <v>113975.09246195455</v>
      </c>
      <c r="Y678" s="288">
        <f t="shared" si="145"/>
        <v>0.56987546230977282</v>
      </c>
      <c r="Z678" s="256">
        <f t="shared" si="146"/>
        <v>181.74993027852094</v>
      </c>
      <c r="AA678" s="289">
        <f t="shared" si="147"/>
        <v>233701.95761024841</v>
      </c>
      <c r="AB678" s="288">
        <f t="shared" si="148"/>
        <v>1.1685097880512421</v>
      </c>
    </row>
    <row r="679" spans="13:28" ht="12" hidden="1" customHeight="1">
      <c r="M679" s="266"/>
      <c r="N679" s="288">
        <f t="shared" si="149"/>
        <v>10.849999999999875</v>
      </c>
      <c r="O679" s="285">
        <f t="shared" si="135"/>
        <v>150</v>
      </c>
      <c r="P679" s="289">
        <f t="shared" si="136"/>
        <v>4000000</v>
      </c>
      <c r="Q679" s="285">
        <f t="shared" si="137"/>
        <v>110</v>
      </c>
      <c r="R679" s="285">
        <f t="shared" si="138"/>
        <v>85</v>
      </c>
      <c r="S679" s="285">
        <f t="shared" si="139"/>
        <v>0.35</v>
      </c>
      <c r="T679" s="285">
        <f t="shared" si="140"/>
        <v>3.2</v>
      </c>
      <c r="U679" s="285">
        <f t="shared" si="141"/>
        <v>1</v>
      </c>
      <c r="V679" s="285">
        <f t="shared" si="142"/>
        <v>4.5</v>
      </c>
      <c r="W679" s="285">
        <f t="shared" si="143"/>
        <v>1.5</v>
      </c>
      <c r="X679" s="289">
        <f t="shared" si="144"/>
        <v>114668.60959436292</v>
      </c>
      <c r="Y679" s="288">
        <f t="shared" si="145"/>
        <v>0.57334304797181457</v>
      </c>
      <c r="Z679" s="256">
        <f t="shared" si="146"/>
        <v>181.74993027852094</v>
      </c>
      <c r="AA679" s="289">
        <f t="shared" si="147"/>
        <v>235123.99033669019</v>
      </c>
      <c r="AB679" s="288">
        <f t="shared" si="148"/>
        <v>1.1756199516834509</v>
      </c>
    </row>
    <row r="680" spans="13:28" ht="12" hidden="1" customHeight="1">
      <c r="M680" s="266"/>
      <c r="N680" s="288">
        <f t="shared" si="149"/>
        <v>10.859999999999875</v>
      </c>
      <c r="O680" s="285">
        <f t="shared" si="135"/>
        <v>150</v>
      </c>
      <c r="P680" s="289">
        <f t="shared" si="136"/>
        <v>4000000</v>
      </c>
      <c r="Q680" s="285">
        <f t="shared" si="137"/>
        <v>110</v>
      </c>
      <c r="R680" s="285">
        <f t="shared" si="138"/>
        <v>85</v>
      </c>
      <c r="S680" s="285">
        <f t="shared" si="139"/>
        <v>0.35</v>
      </c>
      <c r="T680" s="285">
        <f t="shared" si="140"/>
        <v>3.2</v>
      </c>
      <c r="U680" s="285">
        <f t="shared" si="141"/>
        <v>1</v>
      </c>
      <c r="V680" s="285">
        <f t="shared" si="142"/>
        <v>4.5</v>
      </c>
      <c r="W680" s="285">
        <f t="shared" si="143"/>
        <v>1.5</v>
      </c>
      <c r="X680" s="289">
        <f t="shared" si="144"/>
        <v>115365.7743539947</v>
      </c>
      <c r="Y680" s="288">
        <f t="shared" si="145"/>
        <v>0.57682887176997344</v>
      </c>
      <c r="Z680" s="256">
        <f t="shared" si="146"/>
        <v>181.74993027852094</v>
      </c>
      <c r="AA680" s="289">
        <f t="shared" si="147"/>
        <v>236553.50239571536</v>
      </c>
      <c r="AB680" s="288">
        <f t="shared" si="148"/>
        <v>1.1827675119785768</v>
      </c>
    </row>
    <row r="681" spans="13:28" ht="12" hidden="1" customHeight="1">
      <c r="M681" s="266"/>
      <c r="N681" s="288">
        <f t="shared" si="149"/>
        <v>10.869999999999875</v>
      </c>
      <c r="O681" s="285">
        <f t="shared" si="135"/>
        <v>150</v>
      </c>
      <c r="P681" s="289">
        <f t="shared" si="136"/>
        <v>4000000</v>
      </c>
      <c r="Q681" s="285">
        <f t="shared" si="137"/>
        <v>110</v>
      </c>
      <c r="R681" s="285">
        <f t="shared" si="138"/>
        <v>85</v>
      </c>
      <c r="S681" s="285">
        <f t="shared" si="139"/>
        <v>0.35</v>
      </c>
      <c r="T681" s="285">
        <f t="shared" si="140"/>
        <v>3.2</v>
      </c>
      <c r="U681" s="285">
        <f t="shared" si="141"/>
        <v>1</v>
      </c>
      <c r="V681" s="285">
        <f t="shared" si="142"/>
        <v>4.5</v>
      </c>
      <c r="W681" s="285">
        <f t="shared" si="143"/>
        <v>1.5</v>
      </c>
      <c r="X681" s="289">
        <f t="shared" si="144"/>
        <v>116066.6029072323</v>
      </c>
      <c r="Y681" s="288">
        <f t="shared" si="145"/>
        <v>0.58033301453616148</v>
      </c>
      <c r="Z681" s="256">
        <f t="shared" si="146"/>
        <v>181.74993027852094</v>
      </c>
      <c r="AA681" s="289">
        <f t="shared" si="147"/>
        <v>237990.52693592675</v>
      </c>
      <c r="AB681" s="288">
        <f t="shared" si="148"/>
        <v>1.1899526346796339</v>
      </c>
    </row>
    <row r="682" spans="13:28" ht="12" hidden="1" customHeight="1">
      <c r="M682" s="266"/>
      <c r="N682" s="288">
        <f t="shared" si="149"/>
        <v>10.879999999999875</v>
      </c>
      <c r="O682" s="285">
        <f t="shared" si="135"/>
        <v>150</v>
      </c>
      <c r="P682" s="289">
        <f t="shared" si="136"/>
        <v>4000000</v>
      </c>
      <c r="Q682" s="285">
        <f t="shared" si="137"/>
        <v>110</v>
      </c>
      <c r="R682" s="285">
        <f t="shared" si="138"/>
        <v>85</v>
      </c>
      <c r="S682" s="285">
        <f t="shared" si="139"/>
        <v>0.35</v>
      </c>
      <c r="T682" s="285">
        <f t="shared" si="140"/>
        <v>3.2</v>
      </c>
      <c r="U682" s="285">
        <f t="shared" si="141"/>
        <v>1</v>
      </c>
      <c r="V682" s="285">
        <f t="shared" si="142"/>
        <v>4.5</v>
      </c>
      <c r="W682" s="285">
        <f t="shared" si="143"/>
        <v>1.5</v>
      </c>
      <c r="X682" s="289">
        <f t="shared" si="144"/>
        <v>116771.11147870414</v>
      </c>
      <c r="Y682" s="288">
        <f t="shared" si="145"/>
        <v>0.58385555739352069</v>
      </c>
      <c r="Z682" s="256">
        <f t="shared" si="146"/>
        <v>181.74993027852094</v>
      </c>
      <c r="AA682" s="289">
        <f t="shared" si="147"/>
        <v>239435.09722536238</v>
      </c>
      <c r="AB682" s="288">
        <f t="shared" si="148"/>
        <v>1.1971754861268118</v>
      </c>
    </row>
    <row r="683" spans="13:28" ht="12" hidden="1" customHeight="1">
      <c r="M683" s="266"/>
      <c r="N683" s="288">
        <f t="shared" si="149"/>
        <v>10.889999999999874</v>
      </c>
      <c r="O683" s="285">
        <f t="shared" si="135"/>
        <v>150</v>
      </c>
      <c r="P683" s="289">
        <f t="shared" si="136"/>
        <v>4000000</v>
      </c>
      <c r="Q683" s="285">
        <f t="shared" si="137"/>
        <v>110</v>
      </c>
      <c r="R683" s="285">
        <f t="shared" si="138"/>
        <v>85</v>
      </c>
      <c r="S683" s="285">
        <f t="shared" si="139"/>
        <v>0.35</v>
      </c>
      <c r="T683" s="285">
        <f t="shared" si="140"/>
        <v>3.2</v>
      </c>
      <c r="U683" s="285">
        <f t="shared" si="141"/>
        <v>1</v>
      </c>
      <c r="V683" s="285">
        <f t="shared" si="142"/>
        <v>4.5</v>
      </c>
      <c r="W683" s="285">
        <f t="shared" si="143"/>
        <v>1.5</v>
      </c>
      <c r="X683" s="289">
        <f t="shared" si="144"/>
        <v>117479.31635145081</v>
      </c>
      <c r="Y683" s="288">
        <f t="shared" si="145"/>
        <v>0.58739658175725407</v>
      </c>
      <c r="Z683" s="256">
        <f t="shared" si="146"/>
        <v>181.74993027852094</v>
      </c>
      <c r="AA683" s="289">
        <f t="shared" si="147"/>
        <v>240887.24665182774</v>
      </c>
      <c r="AB683" s="288">
        <f t="shared" si="148"/>
        <v>1.2044362332591387</v>
      </c>
    </row>
    <row r="684" spans="13:28" ht="12" hidden="1" customHeight="1">
      <c r="M684" s="266"/>
      <c r="N684" s="288">
        <f t="shared" si="149"/>
        <v>10.899999999999874</v>
      </c>
      <c r="O684" s="285">
        <f t="shared" si="135"/>
        <v>150</v>
      </c>
      <c r="P684" s="289">
        <f t="shared" si="136"/>
        <v>4000000</v>
      </c>
      <c r="Q684" s="285">
        <f t="shared" si="137"/>
        <v>110</v>
      </c>
      <c r="R684" s="285">
        <f t="shared" si="138"/>
        <v>85</v>
      </c>
      <c r="S684" s="285">
        <f t="shared" si="139"/>
        <v>0.35</v>
      </c>
      <c r="T684" s="285">
        <f t="shared" si="140"/>
        <v>3.2</v>
      </c>
      <c r="U684" s="285">
        <f t="shared" si="141"/>
        <v>1</v>
      </c>
      <c r="V684" s="285">
        <f t="shared" si="142"/>
        <v>4.5</v>
      </c>
      <c r="W684" s="285">
        <f t="shared" si="143"/>
        <v>1.5</v>
      </c>
      <c r="X684" s="289">
        <f t="shared" si="144"/>
        <v>118191.2338670828</v>
      </c>
      <c r="Y684" s="288">
        <f t="shared" si="145"/>
        <v>0.59095616933541406</v>
      </c>
      <c r="Z684" s="256">
        <f t="shared" si="146"/>
        <v>181.74993027852094</v>
      </c>
      <c r="AA684" s="289">
        <f t="shared" si="147"/>
        <v>242347.0087232269</v>
      </c>
      <c r="AB684" s="288">
        <f t="shared" si="148"/>
        <v>1.2117350436161345</v>
      </c>
    </row>
    <row r="685" spans="13:28" ht="12" hidden="1" customHeight="1">
      <c r="M685" s="266"/>
      <c r="N685" s="288">
        <f t="shared" si="149"/>
        <v>10.909999999999874</v>
      </c>
      <c r="O685" s="285">
        <f t="shared" si="135"/>
        <v>150</v>
      </c>
      <c r="P685" s="289">
        <f t="shared" si="136"/>
        <v>4000000</v>
      </c>
      <c r="Q685" s="285">
        <f t="shared" si="137"/>
        <v>110</v>
      </c>
      <c r="R685" s="285">
        <f t="shared" si="138"/>
        <v>85</v>
      </c>
      <c r="S685" s="285">
        <f t="shared" si="139"/>
        <v>0.35</v>
      </c>
      <c r="T685" s="285">
        <f t="shared" si="140"/>
        <v>3.2</v>
      </c>
      <c r="U685" s="285">
        <f t="shared" si="141"/>
        <v>1</v>
      </c>
      <c r="V685" s="285">
        <f t="shared" si="142"/>
        <v>4.5</v>
      </c>
      <c r="W685" s="285">
        <f t="shared" si="143"/>
        <v>1.5</v>
      </c>
      <c r="X685" s="289">
        <f t="shared" si="144"/>
        <v>118906.88042594564</v>
      </c>
      <c r="Y685" s="288">
        <f t="shared" si="145"/>
        <v>0.59453440212972819</v>
      </c>
      <c r="Z685" s="256">
        <f t="shared" si="146"/>
        <v>181.74993027852094</v>
      </c>
      <c r="AA685" s="289">
        <f t="shared" si="147"/>
        <v>243814.41706789797</v>
      </c>
      <c r="AB685" s="288">
        <f t="shared" si="148"/>
        <v>1.2190720853394899</v>
      </c>
    </row>
    <row r="686" spans="13:28" ht="12" hidden="1" customHeight="1">
      <c r="M686" s="266"/>
      <c r="N686" s="288">
        <f t="shared" si="149"/>
        <v>10.919999999999874</v>
      </c>
      <c r="O686" s="285">
        <f t="shared" si="135"/>
        <v>150</v>
      </c>
      <c r="P686" s="289">
        <f t="shared" si="136"/>
        <v>4000000</v>
      </c>
      <c r="Q686" s="285">
        <f t="shared" si="137"/>
        <v>110</v>
      </c>
      <c r="R686" s="285">
        <f t="shared" si="138"/>
        <v>85</v>
      </c>
      <c r="S686" s="285">
        <f t="shared" si="139"/>
        <v>0.35</v>
      </c>
      <c r="T686" s="285">
        <f t="shared" si="140"/>
        <v>3.2</v>
      </c>
      <c r="U686" s="285">
        <f t="shared" si="141"/>
        <v>1</v>
      </c>
      <c r="V686" s="285">
        <f t="shared" si="142"/>
        <v>4.5</v>
      </c>
      <c r="W686" s="285">
        <f t="shared" si="143"/>
        <v>1.5</v>
      </c>
      <c r="X686" s="289">
        <f t="shared" si="144"/>
        <v>119626.27248728037</v>
      </c>
      <c r="Y686" s="288">
        <f t="shared" si="145"/>
        <v>0.59813136243640186</v>
      </c>
      <c r="Z686" s="256">
        <f t="shared" si="146"/>
        <v>181.74993027852094</v>
      </c>
      <c r="AA686" s="289">
        <f t="shared" si="147"/>
        <v>245289.50543494112</v>
      </c>
      <c r="AB686" s="288">
        <f t="shared" si="148"/>
        <v>1.2264475271747055</v>
      </c>
    </row>
    <row r="687" spans="13:28" ht="12" hidden="1" customHeight="1">
      <c r="M687" s="266"/>
      <c r="N687" s="288">
        <f t="shared" si="149"/>
        <v>10.929999999999874</v>
      </c>
      <c r="O687" s="285">
        <f t="shared" si="135"/>
        <v>150</v>
      </c>
      <c r="P687" s="289">
        <f t="shared" si="136"/>
        <v>4000000</v>
      </c>
      <c r="Q687" s="285">
        <f t="shared" si="137"/>
        <v>110</v>
      </c>
      <c r="R687" s="285">
        <f t="shared" si="138"/>
        <v>85</v>
      </c>
      <c r="S687" s="285">
        <f t="shared" si="139"/>
        <v>0.35</v>
      </c>
      <c r="T687" s="285">
        <f t="shared" si="140"/>
        <v>3.2</v>
      </c>
      <c r="U687" s="285">
        <f t="shared" si="141"/>
        <v>1</v>
      </c>
      <c r="V687" s="285">
        <f t="shared" si="142"/>
        <v>4.5</v>
      </c>
      <c r="W687" s="285">
        <f t="shared" si="143"/>
        <v>1.5</v>
      </c>
      <c r="X687" s="289">
        <f t="shared" si="144"/>
        <v>120349.42656938671</v>
      </c>
      <c r="Y687" s="288">
        <f t="shared" si="145"/>
        <v>0.60174713284693349</v>
      </c>
      <c r="Z687" s="256">
        <f t="shared" si="146"/>
        <v>181.74993027852094</v>
      </c>
      <c r="AA687" s="289">
        <f t="shared" si="147"/>
        <v>246772.30769455287</v>
      </c>
      <c r="AB687" s="288">
        <f t="shared" si="148"/>
        <v>1.2338615384727645</v>
      </c>
    </row>
    <row r="688" spans="13:28" ht="12" hidden="1" customHeight="1">
      <c r="M688" s="266"/>
      <c r="N688" s="288">
        <f t="shared" si="149"/>
        <v>10.939999999999873</v>
      </c>
      <c r="O688" s="285">
        <f t="shared" si="135"/>
        <v>150</v>
      </c>
      <c r="P688" s="289">
        <f t="shared" si="136"/>
        <v>4000000</v>
      </c>
      <c r="Q688" s="285">
        <f t="shared" si="137"/>
        <v>110</v>
      </c>
      <c r="R688" s="285">
        <f t="shared" si="138"/>
        <v>85</v>
      </c>
      <c r="S688" s="285">
        <f t="shared" si="139"/>
        <v>0.35</v>
      </c>
      <c r="T688" s="285">
        <f t="shared" si="140"/>
        <v>3.2</v>
      </c>
      <c r="U688" s="285">
        <f t="shared" si="141"/>
        <v>1</v>
      </c>
      <c r="V688" s="285">
        <f t="shared" si="142"/>
        <v>4.5</v>
      </c>
      <c r="W688" s="285">
        <f t="shared" si="143"/>
        <v>1.5</v>
      </c>
      <c r="X688" s="289">
        <f t="shared" si="144"/>
        <v>121076.35924978877</v>
      </c>
      <c r="Y688" s="288">
        <f t="shared" si="145"/>
        <v>0.60538179624894384</v>
      </c>
      <c r="Z688" s="256">
        <f t="shared" si="146"/>
        <v>181.74993027852094</v>
      </c>
      <c r="AA688" s="289">
        <f t="shared" si="147"/>
        <v>248262.85783837081</v>
      </c>
      <c r="AB688" s="288">
        <f t="shared" si="148"/>
        <v>1.241314289191854</v>
      </c>
    </row>
    <row r="689" spans="13:28" ht="12" hidden="1" customHeight="1">
      <c r="M689" s="266"/>
      <c r="N689" s="288">
        <f t="shared" si="149"/>
        <v>10.949999999999873</v>
      </c>
      <c r="O689" s="285">
        <f t="shared" si="135"/>
        <v>150</v>
      </c>
      <c r="P689" s="289">
        <f t="shared" si="136"/>
        <v>4000000</v>
      </c>
      <c r="Q689" s="285">
        <f t="shared" si="137"/>
        <v>110</v>
      </c>
      <c r="R689" s="285">
        <f t="shared" si="138"/>
        <v>85</v>
      </c>
      <c r="S689" s="285">
        <f t="shared" si="139"/>
        <v>0.35</v>
      </c>
      <c r="T689" s="285">
        <f t="shared" si="140"/>
        <v>3.2</v>
      </c>
      <c r="U689" s="285">
        <f t="shared" si="141"/>
        <v>1</v>
      </c>
      <c r="V689" s="285">
        <f t="shared" si="142"/>
        <v>4.5</v>
      </c>
      <c r="W689" s="285">
        <f t="shared" si="143"/>
        <v>1.5</v>
      </c>
      <c r="X689" s="289">
        <f t="shared" si="144"/>
        <v>121807.08716539299</v>
      </c>
      <c r="Y689" s="288">
        <f t="shared" si="145"/>
        <v>0.60903543582696495</v>
      </c>
      <c r="Z689" s="256">
        <f t="shared" si="146"/>
        <v>181.74993027852094</v>
      </c>
      <c r="AA689" s="289">
        <f t="shared" si="147"/>
        <v>249761.1899797917</v>
      </c>
      <c r="AB689" s="288">
        <f t="shared" si="148"/>
        <v>1.2488059498989585</v>
      </c>
    </row>
    <row r="690" spans="13:28" ht="12" hidden="1" customHeight="1">
      <c r="M690" s="266"/>
      <c r="N690" s="288">
        <f t="shared" si="149"/>
        <v>10.959999999999873</v>
      </c>
      <c r="O690" s="285">
        <f t="shared" si="135"/>
        <v>150</v>
      </c>
      <c r="P690" s="289">
        <f t="shared" si="136"/>
        <v>4000000</v>
      </c>
      <c r="Q690" s="285">
        <f t="shared" si="137"/>
        <v>110</v>
      </c>
      <c r="R690" s="285">
        <f t="shared" si="138"/>
        <v>85</v>
      </c>
      <c r="S690" s="285">
        <f t="shared" si="139"/>
        <v>0.35</v>
      </c>
      <c r="T690" s="285">
        <f t="shared" si="140"/>
        <v>3.2</v>
      </c>
      <c r="U690" s="285">
        <f t="shared" si="141"/>
        <v>1</v>
      </c>
      <c r="V690" s="285">
        <f t="shared" si="142"/>
        <v>4.5</v>
      </c>
      <c r="W690" s="285">
        <f t="shared" si="143"/>
        <v>1.5</v>
      </c>
      <c r="X690" s="289">
        <f t="shared" si="144"/>
        <v>122541.62701265802</v>
      </c>
      <c r="Y690" s="288">
        <f t="shared" si="145"/>
        <v>0.61270813506329014</v>
      </c>
      <c r="Z690" s="256">
        <f t="shared" si="146"/>
        <v>181.74993027852094</v>
      </c>
      <c r="AA690" s="289">
        <f t="shared" si="147"/>
        <v>251267.33835432204</v>
      </c>
      <c r="AB690" s="288">
        <f t="shared" si="148"/>
        <v>1.2563366917716101</v>
      </c>
    </row>
    <row r="691" spans="13:28" ht="12" hidden="1" customHeight="1">
      <c r="M691" s="266"/>
      <c r="N691" s="288">
        <f t="shared" si="149"/>
        <v>10.969999999999873</v>
      </c>
      <c r="O691" s="285">
        <f t="shared" si="135"/>
        <v>150</v>
      </c>
      <c r="P691" s="289">
        <f t="shared" si="136"/>
        <v>4000000</v>
      </c>
      <c r="Q691" s="285">
        <f t="shared" si="137"/>
        <v>110</v>
      </c>
      <c r="R691" s="285">
        <f t="shared" si="138"/>
        <v>85</v>
      </c>
      <c r="S691" s="285">
        <f t="shared" si="139"/>
        <v>0.35</v>
      </c>
      <c r="T691" s="285">
        <f t="shared" si="140"/>
        <v>3.2</v>
      </c>
      <c r="U691" s="285">
        <f t="shared" si="141"/>
        <v>1</v>
      </c>
      <c r="V691" s="285">
        <f t="shared" si="142"/>
        <v>4.5</v>
      </c>
      <c r="W691" s="285">
        <f t="shared" si="143"/>
        <v>1.5</v>
      </c>
      <c r="X691" s="289">
        <f t="shared" si="144"/>
        <v>123279.99554775441</v>
      </c>
      <c r="Y691" s="288">
        <f t="shared" si="145"/>
        <v>0.61639997773877209</v>
      </c>
      <c r="Z691" s="256">
        <f t="shared" si="146"/>
        <v>181.74993027852094</v>
      </c>
      <c r="AA691" s="289">
        <f t="shared" si="147"/>
        <v>252781.33731990735</v>
      </c>
      <c r="AB691" s="288">
        <f t="shared" si="148"/>
        <v>1.2639066865995368</v>
      </c>
    </row>
    <row r="692" spans="13:28" ht="12" hidden="1" customHeight="1">
      <c r="M692" s="266"/>
      <c r="N692" s="288">
        <f t="shared" si="149"/>
        <v>10.979999999999873</v>
      </c>
      <c r="O692" s="285">
        <f t="shared" si="135"/>
        <v>150</v>
      </c>
      <c r="P692" s="289">
        <f t="shared" si="136"/>
        <v>4000000</v>
      </c>
      <c r="Q692" s="285">
        <f t="shared" si="137"/>
        <v>110</v>
      </c>
      <c r="R692" s="285">
        <f t="shared" si="138"/>
        <v>85</v>
      </c>
      <c r="S692" s="285">
        <f t="shared" si="139"/>
        <v>0.35</v>
      </c>
      <c r="T692" s="285">
        <f t="shared" si="140"/>
        <v>3.2</v>
      </c>
      <c r="U692" s="285">
        <f t="shared" si="141"/>
        <v>1</v>
      </c>
      <c r="V692" s="285">
        <f t="shared" si="142"/>
        <v>4.5</v>
      </c>
      <c r="W692" s="285">
        <f t="shared" si="143"/>
        <v>1.5</v>
      </c>
      <c r="X692" s="289">
        <f t="shared" si="144"/>
        <v>124022.20958672976</v>
      </c>
      <c r="Y692" s="288">
        <f t="shared" si="145"/>
        <v>0.6201110479336488</v>
      </c>
      <c r="Z692" s="256">
        <f t="shared" si="146"/>
        <v>181.74993027852094</v>
      </c>
      <c r="AA692" s="289">
        <f t="shared" si="147"/>
        <v>254303.22135726575</v>
      </c>
      <c r="AB692" s="288">
        <f t="shared" si="148"/>
        <v>1.2715161067863288</v>
      </c>
    </row>
    <row r="693" spans="13:28" ht="12" hidden="1" customHeight="1">
      <c r="M693" s="266"/>
      <c r="N693" s="288">
        <f t="shared" si="149"/>
        <v>10.989999999999872</v>
      </c>
      <c r="O693" s="285">
        <f t="shared" si="135"/>
        <v>150</v>
      </c>
      <c r="P693" s="289">
        <f t="shared" si="136"/>
        <v>4000000</v>
      </c>
      <c r="Q693" s="285">
        <f t="shared" si="137"/>
        <v>110</v>
      </c>
      <c r="R693" s="285">
        <f t="shared" si="138"/>
        <v>85</v>
      </c>
      <c r="S693" s="285">
        <f t="shared" si="139"/>
        <v>0.35</v>
      </c>
      <c r="T693" s="285">
        <f t="shared" si="140"/>
        <v>3.2</v>
      </c>
      <c r="U693" s="285">
        <f t="shared" si="141"/>
        <v>1</v>
      </c>
      <c r="V693" s="285">
        <f t="shared" si="142"/>
        <v>4.5</v>
      </c>
      <c r="W693" s="285">
        <f t="shared" si="143"/>
        <v>1.5</v>
      </c>
      <c r="X693" s="289">
        <f t="shared" si="144"/>
        <v>124768.28600567716</v>
      </c>
      <c r="Y693" s="288">
        <f t="shared" si="145"/>
        <v>0.62384143002838577</v>
      </c>
      <c r="Z693" s="256">
        <f t="shared" si="146"/>
        <v>181.74993027852094</v>
      </c>
      <c r="AA693" s="289">
        <f t="shared" si="147"/>
        <v>255833.02507023973</v>
      </c>
      <c r="AB693" s="288">
        <f t="shared" si="148"/>
        <v>1.2791651253511986</v>
      </c>
    </row>
    <row r="694" spans="13:28" ht="12" hidden="1" customHeight="1">
      <c r="M694" s="266"/>
      <c r="N694" s="288">
        <f t="shared" si="149"/>
        <v>10.999999999999872</v>
      </c>
      <c r="O694" s="285">
        <f t="shared" si="135"/>
        <v>150</v>
      </c>
      <c r="P694" s="289">
        <f t="shared" si="136"/>
        <v>4000000</v>
      </c>
      <c r="Q694" s="285">
        <f t="shared" si="137"/>
        <v>110</v>
      </c>
      <c r="R694" s="285">
        <f t="shared" si="138"/>
        <v>85</v>
      </c>
      <c r="S694" s="285">
        <f t="shared" si="139"/>
        <v>0.35</v>
      </c>
      <c r="T694" s="285">
        <f t="shared" si="140"/>
        <v>3.2</v>
      </c>
      <c r="U694" s="285">
        <f t="shared" si="141"/>
        <v>1</v>
      </c>
      <c r="V694" s="285">
        <f t="shared" si="142"/>
        <v>4.5</v>
      </c>
      <c r="W694" s="285">
        <f t="shared" si="143"/>
        <v>1.5</v>
      </c>
      <c r="X694" s="289">
        <f t="shared" si="144"/>
        <v>125518.24174089401</v>
      </c>
      <c r="Y694" s="288">
        <f t="shared" si="145"/>
        <v>0.62759120870447005</v>
      </c>
      <c r="Z694" s="256">
        <f t="shared" si="146"/>
        <v>181.74993027852094</v>
      </c>
      <c r="AA694" s="289">
        <f t="shared" si="147"/>
        <v>257370.78318611727</v>
      </c>
      <c r="AB694" s="288">
        <f t="shared" si="148"/>
        <v>1.2868539159305863</v>
      </c>
    </row>
    <row r="695" spans="13:28" ht="12" hidden="1" customHeight="1">
      <c r="M695" s="266"/>
      <c r="N695" s="288">
        <f t="shared" si="149"/>
        <v>11.009999999999872</v>
      </c>
      <c r="O695" s="285">
        <f t="shared" si="135"/>
        <v>150</v>
      </c>
      <c r="P695" s="289">
        <f t="shared" si="136"/>
        <v>4000000</v>
      </c>
      <c r="Q695" s="285">
        <f t="shared" si="137"/>
        <v>110</v>
      </c>
      <c r="R695" s="285">
        <f t="shared" si="138"/>
        <v>85</v>
      </c>
      <c r="S695" s="285">
        <f t="shared" si="139"/>
        <v>0.35</v>
      </c>
      <c r="T695" s="285">
        <f t="shared" si="140"/>
        <v>3.2</v>
      </c>
      <c r="U695" s="285">
        <f t="shared" si="141"/>
        <v>1</v>
      </c>
      <c r="V695" s="285">
        <f t="shared" si="142"/>
        <v>4.5</v>
      </c>
      <c r="W695" s="285">
        <f t="shared" si="143"/>
        <v>1.5</v>
      </c>
      <c r="X695" s="289">
        <f t="shared" si="144"/>
        <v>126272.09378905201</v>
      </c>
      <c r="Y695" s="288">
        <f t="shared" si="145"/>
        <v>0.6313604689452601</v>
      </c>
      <c r="Z695" s="256">
        <f t="shared" si="146"/>
        <v>181.74993027852094</v>
      </c>
      <c r="AA695" s="289">
        <f t="shared" si="147"/>
        <v>258916.53055598037</v>
      </c>
      <c r="AB695" s="288">
        <f t="shared" si="148"/>
        <v>1.2945826527799018</v>
      </c>
    </row>
    <row r="696" spans="13:28" ht="12" hidden="1" customHeight="1">
      <c r="M696" s="266"/>
      <c r="N696" s="288">
        <f t="shared" si="149"/>
        <v>11.019999999999872</v>
      </c>
      <c r="O696" s="285">
        <f t="shared" si="135"/>
        <v>150</v>
      </c>
      <c r="P696" s="289">
        <f t="shared" si="136"/>
        <v>4000000</v>
      </c>
      <c r="Q696" s="285">
        <f t="shared" si="137"/>
        <v>110</v>
      </c>
      <c r="R696" s="285">
        <f t="shared" si="138"/>
        <v>85</v>
      </c>
      <c r="S696" s="285">
        <f t="shared" si="139"/>
        <v>0.35</v>
      </c>
      <c r="T696" s="285">
        <f t="shared" si="140"/>
        <v>3.2</v>
      </c>
      <c r="U696" s="285">
        <f t="shared" si="141"/>
        <v>1</v>
      </c>
      <c r="V696" s="285">
        <f t="shared" si="142"/>
        <v>4.5</v>
      </c>
      <c r="W696" s="285">
        <f t="shared" si="143"/>
        <v>1.5</v>
      </c>
      <c r="X696" s="289">
        <f t="shared" si="144"/>
        <v>127029.85920736114</v>
      </c>
      <c r="Y696" s="288">
        <f t="shared" si="145"/>
        <v>0.6351492960368057</v>
      </c>
      <c r="Z696" s="256">
        <f t="shared" si="146"/>
        <v>181.74993027852094</v>
      </c>
      <c r="AA696" s="289">
        <f t="shared" si="147"/>
        <v>260470.30215504629</v>
      </c>
      <c r="AB696" s="288">
        <f t="shared" si="148"/>
        <v>1.3023515107752315</v>
      </c>
    </row>
    <row r="697" spans="13:28" ht="12" hidden="1" customHeight="1">
      <c r="M697" s="266"/>
      <c r="N697" s="288">
        <f t="shared" si="149"/>
        <v>11.029999999999871</v>
      </c>
      <c r="O697" s="285">
        <f t="shared" si="135"/>
        <v>150</v>
      </c>
      <c r="P697" s="289">
        <f t="shared" si="136"/>
        <v>4000000</v>
      </c>
      <c r="Q697" s="285">
        <f t="shared" si="137"/>
        <v>110</v>
      </c>
      <c r="R697" s="285">
        <f t="shared" si="138"/>
        <v>85</v>
      </c>
      <c r="S697" s="285">
        <f t="shared" si="139"/>
        <v>0.35</v>
      </c>
      <c r="T697" s="285">
        <f t="shared" si="140"/>
        <v>3.2</v>
      </c>
      <c r="U697" s="285">
        <f t="shared" si="141"/>
        <v>1</v>
      </c>
      <c r="V697" s="285">
        <f t="shared" si="142"/>
        <v>4.5</v>
      </c>
      <c r="W697" s="285">
        <f t="shared" si="143"/>
        <v>1.5</v>
      </c>
      <c r="X697" s="289">
        <f t="shared" si="144"/>
        <v>127791.55511373648</v>
      </c>
      <c r="Y697" s="288">
        <f t="shared" si="145"/>
        <v>0.63895777556868238</v>
      </c>
      <c r="Z697" s="256">
        <f t="shared" si="146"/>
        <v>181.74993027852094</v>
      </c>
      <c r="AA697" s="289">
        <f t="shared" si="147"/>
        <v>262032.13308300148</v>
      </c>
      <c r="AB697" s="288">
        <f t="shared" si="148"/>
        <v>1.3101606654150073</v>
      </c>
    </row>
    <row r="698" spans="13:28" ht="12" hidden="1" customHeight="1">
      <c r="M698" s="266"/>
      <c r="N698" s="288">
        <f t="shared" si="149"/>
        <v>11.039999999999871</v>
      </c>
      <c r="O698" s="285">
        <f t="shared" si="135"/>
        <v>150</v>
      </c>
      <c r="P698" s="289">
        <f t="shared" si="136"/>
        <v>4000000</v>
      </c>
      <c r="Q698" s="285">
        <f t="shared" si="137"/>
        <v>110</v>
      </c>
      <c r="R698" s="285">
        <f t="shared" si="138"/>
        <v>85</v>
      </c>
      <c r="S698" s="285">
        <f t="shared" si="139"/>
        <v>0.35</v>
      </c>
      <c r="T698" s="285">
        <f t="shared" si="140"/>
        <v>3.2</v>
      </c>
      <c r="U698" s="285">
        <f t="shared" si="141"/>
        <v>1</v>
      </c>
      <c r="V698" s="285">
        <f t="shared" si="142"/>
        <v>4.5</v>
      </c>
      <c r="W698" s="285">
        <f t="shared" si="143"/>
        <v>1.5</v>
      </c>
      <c r="X698" s="289">
        <f t="shared" si="144"/>
        <v>128557.1986869627</v>
      </c>
      <c r="Y698" s="288">
        <f t="shared" si="145"/>
        <v>0.64278599343481346</v>
      </c>
      <c r="Z698" s="256">
        <f t="shared" si="146"/>
        <v>181.74993027852094</v>
      </c>
      <c r="AA698" s="289">
        <f t="shared" si="147"/>
        <v>263602.05856434599</v>
      </c>
      <c r="AB698" s="288">
        <f t="shared" si="148"/>
        <v>1.3180102928217299</v>
      </c>
    </row>
    <row r="699" spans="13:28" ht="12" hidden="1" customHeight="1">
      <c r="M699" s="266"/>
      <c r="N699" s="288">
        <f t="shared" si="149"/>
        <v>11.049999999999871</v>
      </c>
      <c r="O699" s="285">
        <f t="shared" si="135"/>
        <v>150</v>
      </c>
      <c r="P699" s="289">
        <f t="shared" si="136"/>
        <v>4000000</v>
      </c>
      <c r="Q699" s="285">
        <f t="shared" si="137"/>
        <v>110</v>
      </c>
      <c r="R699" s="285">
        <f t="shared" si="138"/>
        <v>85</v>
      </c>
      <c r="S699" s="285">
        <f t="shared" si="139"/>
        <v>0.35</v>
      </c>
      <c r="T699" s="285">
        <f t="shared" si="140"/>
        <v>3.2</v>
      </c>
      <c r="U699" s="285">
        <f t="shared" si="141"/>
        <v>1</v>
      </c>
      <c r="V699" s="285">
        <f t="shared" si="142"/>
        <v>4.5</v>
      </c>
      <c r="W699" s="285">
        <f t="shared" si="143"/>
        <v>1.5</v>
      </c>
      <c r="X699" s="289">
        <f t="shared" si="144"/>
        <v>129326.80716686179</v>
      </c>
      <c r="Y699" s="288">
        <f t="shared" si="145"/>
        <v>0.64663403583430901</v>
      </c>
      <c r="Z699" s="256">
        <f t="shared" si="146"/>
        <v>181.74993027852094</v>
      </c>
      <c r="AA699" s="289">
        <f t="shared" si="147"/>
        <v>265180.11394873535</v>
      </c>
      <c r="AB699" s="288">
        <f t="shared" si="148"/>
        <v>1.3259005697436768</v>
      </c>
    </row>
    <row r="700" spans="13:28" ht="12" hidden="1" customHeight="1">
      <c r="M700" s="266"/>
      <c r="N700" s="288">
        <f t="shared" si="149"/>
        <v>11.059999999999871</v>
      </c>
      <c r="O700" s="285">
        <f t="shared" si="135"/>
        <v>150</v>
      </c>
      <c r="P700" s="289">
        <f t="shared" si="136"/>
        <v>4000000</v>
      </c>
      <c r="Q700" s="285">
        <f t="shared" si="137"/>
        <v>110</v>
      </c>
      <c r="R700" s="285">
        <f t="shared" si="138"/>
        <v>85</v>
      </c>
      <c r="S700" s="285">
        <f t="shared" si="139"/>
        <v>0.35</v>
      </c>
      <c r="T700" s="285">
        <f t="shared" si="140"/>
        <v>3.2</v>
      </c>
      <c r="U700" s="285">
        <f t="shared" si="141"/>
        <v>1</v>
      </c>
      <c r="V700" s="285">
        <f t="shared" si="142"/>
        <v>4.5</v>
      </c>
      <c r="W700" s="285">
        <f t="shared" si="143"/>
        <v>1.5</v>
      </c>
      <c r="X700" s="289">
        <f t="shared" si="144"/>
        <v>130100.39785446138</v>
      </c>
      <c r="Y700" s="288">
        <f t="shared" si="145"/>
        <v>0.65050198927230685</v>
      </c>
      <c r="Z700" s="256">
        <f t="shared" si="146"/>
        <v>181.74993027852094</v>
      </c>
      <c r="AA700" s="289">
        <f t="shared" si="147"/>
        <v>266766.33471132373</v>
      </c>
      <c r="AB700" s="288">
        <f t="shared" si="148"/>
        <v>1.3338316735566187</v>
      </c>
    </row>
    <row r="701" spans="13:28" ht="12" hidden="1" customHeight="1">
      <c r="M701" s="266"/>
      <c r="N701" s="288">
        <f t="shared" si="149"/>
        <v>11.069999999999871</v>
      </c>
      <c r="O701" s="285">
        <f t="shared" si="135"/>
        <v>150</v>
      </c>
      <c r="P701" s="289">
        <f t="shared" si="136"/>
        <v>4000000</v>
      </c>
      <c r="Q701" s="285">
        <f t="shared" si="137"/>
        <v>110</v>
      </c>
      <c r="R701" s="285">
        <f t="shared" si="138"/>
        <v>85</v>
      </c>
      <c r="S701" s="285">
        <f t="shared" si="139"/>
        <v>0.35</v>
      </c>
      <c r="T701" s="285">
        <f t="shared" si="140"/>
        <v>3.2</v>
      </c>
      <c r="U701" s="285">
        <f t="shared" si="141"/>
        <v>1</v>
      </c>
      <c r="V701" s="285">
        <f t="shared" si="142"/>
        <v>4.5</v>
      </c>
      <c r="W701" s="285">
        <f t="shared" si="143"/>
        <v>1.5</v>
      </c>
      <c r="X701" s="289">
        <f t="shared" si="144"/>
        <v>130877.98811215977</v>
      </c>
      <c r="Y701" s="288">
        <f t="shared" si="145"/>
        <v>0.65438994056079891</v>
      </c>
      <c r="Z701" s="256">
        <f t="shared" si="146"/>
        <v>181.74993027852094</v>
      </c>
      <c r="AA701" s="289">
        <f t="shared" si="147"/>
        <v>268360.75645310368</v>
      </c>
      <c r="AB701" s="288">
        <f t="shared" si="148"/>
        <v>1.3418037822655184</v>
      </c>
    </row>
    <row r="702" spans="13:28" ht="12" hidden="1" customHeight="1">
      <c r="M702" s="266"/>
      <c r="N702" s="288">
        <f t="shared" si="149"/>
        <v>11.07999999999987</v>
      </c>
      <c r="O702" s="285">
        <f t="shared" si="135"/>
        <v>150</v>
      </c>
      <c r="P702" s="289">
        <f t="shared" si="136"/>
        <v>4000000</v>
      </c>
      <c r="Q702" s="285">
        <f t="shared" si="137"/>
        <v>110</v>
      </c>
      <c r="R702" s="285">
        <f t="shared" si="138"/>
        <v>85</v>
      </c>
      <c r="S702" s="285">
        <f t="shared" si="139"/>
        <v>0.35</v>
      </c>
      <c r="T702" s="285">
        <f t="shared" si="140"/>
        <v>3.2</v>
      </c>
      <c r="U702" s="285">
        <f t="shared" si="141"/>
        <v>1</v>
      </c>
      <c r="V702" s="285">
        <f t="shared" si="142"/>
        <v>4.5</v>
      </c>
      <c r="W702" s="285">
        <f t="shared" si="143"/>
        <v>1.5</v>
      </c>
      <c r="X702" s="289">
        <f t="shared" si="144"/>
        <v>131659.59536389355</v>
      </c>
      <c r="Y702" s="288">
        <f t="shared" si="145"/>
        <v>0.65829797681946778</v>
      </c>
      <c r="Z702" s="256">
        <f t="shared" si="146"/>
        <v>181.74993027852094</v>
      </c>
      <c r="AA702" s="289">
        <f t="shared" si="147"/>
        <v>269963.41490125173</v>
      </c>
      <c r="AB702" s="288">
        <f t="shared" si="148"/>
        <v>1.3498170745062585</v>
      </c>
    </row>
    <row r="703" spans="13:28" ht="12" hidden="1" customHeight="1">
      <c r="M703" s="266"/>
      <c r="N703" s="288">
        <f t="shared" si="149"/>
        <v>11.08999999999987</v>
      </c>
      <c r="O703" s="285">
        <f t="shared" si="135"/>
        <v>150</v>
      </c>
      <c r="P703" s="289">
        <f t="shared" si="136"/>
        <v>4000000</v>
      </c>
      <c r="Q703" s="285">
        <f t="shared" si="137"/>
        <v>110</v>
      </c>
      <c r="R703" s="285">
        <f t="shared" si="138"/>
        <v>85</v>
      </c>
      <c r="S703" s="285">
        <f t="shared" si="139"/>
        <v>0.35</v>
      </c>
      <c r="T703" s="285">
        <f t="shared" si="140"/>
        <v>3.2</v>
      </c>
      <c r="U703" s="285">
        <f t="shared" si="141"/>
        <v>1</v>
      </c>
      <c r="V703" s="285">
        <f t="shared" si="142"/>
        <v>4.5</v>
      </c>
      <c r="W703" s="285">
        <f t="shared" si="143"/>
        <v>1.5</v>
      </c>
      <c r="X703" s="289">
        <f t="shared" si="144"/>
        <v>132445.23709530753</v>
      </c>
      <c r="Y703" s="288">
        <f t="shared" si="145"/>
        <v>0.66222618547653767</v>
      </c>
      <c r="Z703" s="256">
        <f t="shared" si="146"/>
        <v>181.74993027852094</v>
      </c>
      <c r="AA703" s="289">
        <f t="shared" si="147"/>
        <v>271574.34590947308</v>
      </c>
      <c r="AB703" s="288">
        <f t="shared" si="148"/>
        <v>1.3578717295473655</v>
      </c>
    </row>
    <row r="704" spans="13:28" ht="12" hidden="1" customHeight="1">
      <c r="M704" s="266"/>
      <c r="N704" s="288">
        <f t="shared" si="149"/>
        <v>11.09999999999987</v>
      </c>
      <c r="O704" s="285">
        <f t="shared" si="135"/>
        <v>150</v>
      </c>
      <c r="P704" s="289">
        <f t="shared" si="136"/>
        <v>4000000</v>
      </c>
      <c r="Q704" s="285">
        <f t="shared" si="137"/>
        <v>110</v>
      </c>
      <c r="R704" s="285">
        <f t="shared" si="138"/>
        <v>85</v>
      </c>
      <c r="S704" s="285">
        <f t="shared" si="139"/>
        <v>0.35</v>
      </c>
      <c r="T704" s="285">
        <f t="shared" si="140"/>
        <v>3.2</v>
      </c>
      <c r="U704" s="285">
        <f t="shared" si="141"/>
        <v>1</v>
      </c>
      <c r="V704" s="285">
        <f t="shared" si="142"/>
        <v>4.5</v>
      </c>
      <c r="W704" s="285">
        <f t="shared" si="143"/>
        <v>1.5</v>
      </c>
      <c r="X704" s="289">
        <f t="shared" si="144"/>
        <v>133234.93085392105</v>
      </c>
      <c r="Y704" s="288">
        <f t="shared" si="145"/>
        <v>0.6661746542696052</v>
      </c>
      <c r="Z704" s="256">
        <f t="shared" si="146"/>
        <v>181.74993027852094</v>
      </c>
      <c r="AA704" s="289">
        <f t="shared" si="147"/>
        <v>273193.58545834321</v>
      </c>
      <c r="AB704" s="288">
        <f t="shared" si="148"/>
        <v>1.365967927291716</v>
      </c>
    </row>
    <row r="705" spans="13:28" ht="12" hidden="1" customHeight="1">
      <c r="M705" s="266"/>
      <c r="N705" s="288">
        <f t="shared" si="149"/>
        <v>11.10999999999987</v>
      </c>
      <c r="O705" s="285">
        <f t="shared" si="135"/>
        <v>150</v>
      </c>
      <c r="P705" s="289">
        <f t="shared" si="136"/>
        <v>4000000</v>
      </c>
      <c r="Q705" s="285">
        <f t="shared" si="137"/>
        <v>110</v>
      </c>
      <c r="R705" s="285">
        <f t="shared" si="138"/>
        <v>85</v>
      </c>
      <c r="S705" s="285">
        <f t="shared" si="139"/>
        <v>0.35</v>
      </c>
      <c r="T705" s="285">
        <f t="shared" si="140"/>
        <v>3.2</v>
      </c>
      <c r="U705" s="285">
        <f t="shared" si="141"/>
        <v>1</v>
      </c>
      <c r="V705" s="285">
        <f t="shared" si="142"/>
        <v>4.5</v>
      </c>
      <c r="W705" s="285">
        <f t="shared" si="143"/>
        <v>1.5</v>
      </c>
      <c r="X705" s="289">
        <f t="shared" si="144"/>
        <v>134028.69424929738</v>
      </c>
      <c r="Y705" s="288">
        <f t="shared" si="145"/>
        <v>0.67014347124648688</v>
      </c>
      <c r="Z705" s="256">
        <f t="shared" si="146"/>
        <v>181.74993027852094</v>
      </c>
      <c r="AA705" s="289">
        <f t="shared" si="147"/>
        <v>274821.16965565953</v>
      </c>
      <c r="AB705" s="288">
        <f t="shared" si="148"/>
        <v>1.3741058482782977</v>
      </c>
    </row>
    <row r="706" spans="13:28" ht="12" hidden="1" customHeight="1">
      <c r="M706" s="266"/>
      <c r="N706" s="288">
        <f t="shared" si="149"/>
        <v>11.11999999999987</v>
      </c>
      <c r="O706" s="285">
        <f t="shared" si="135"/>
        <v>150</v>
      </c>
      <c r="P706" s="289">
        <f t="shared" si="136"/>
        <v>4000000</v>
      </c>
      <c r="Q706" s="285">
        <f t="shared" si="137"/>
        <v>110</v>
      </c>
      <c r="R706" s="285">
        <f t="shared" si="138"/>
        <v>85</v>
      </c>
      <c r="S706" s="285">
        <f t="shared" si="139"/>
        <v>0.35</v>
      </c>
      <c r="T706" s="285">
        <f t="shared" si="140"/>
        <v>3.2</v>
      </c>
      <c r="U706" s="285">
        <f t="shared" si="141"/>
        <v>1</v>
      </c>
      <c r="V706" s="285">
        <f t="shared" si="142"/>
        <v>4.5</v>
      </c>
      <c r="W706" s="285">
        <f t="shared" si="143"/>
        <v>1.5</v>
      </c>
      <c r="X706" s="289">
        <f t="shared" si="144"/>
        <v>134826.54495321243</v>
      </c>
      <c r="Y706" s="288">
        <f t="shared" si="145"/>
        <v>0.67413272476606212</v>
      </c>
      <c r="Z706" s="256">
        <f t="shared" si="146"/>
        <v>181.74993027852094</v>
      </c>
      <c r="AA706" s="289">
        <f t="shared" si="147"/>
        <v>276457.1347367838</v>
      </c>
      <c r="AB706" s="288">
        <f t="shared" si="148"/>
        <v>1.3822856736839191</v>
      </c>
    </row>
    <row r="707" spans="13:28" ht="12" hidden="1" customHeight="1">
      <c r="M707" s="266"/>
      <c r="N707" s="288">
        <f t="shared" si="149"/>
        <v>11.129999999999869</v>
      </c>
      <c r="O707" s="285">
        <f t="shared" si="135"/>
        <v>150</v>
      </c>
      <c r="P707" s="289">
        <f t="shared" si="136"/>
        <v>4000000</v>
      </c>
      <c r="Q707" s="285">
        <f t="shared" si="137"/>
        <v>110</v>
      </c>
      <c r="R707" s="285">
        <f t="shared" si="138"/>
        <v>85</v>
      </c>
      <c r="S707" s="285">
        <f t="shared" si="139"/>
        <v>0.35</v>
      </c>
      <c r="T707" s="285">
        <f t="shared" si="140"/>
        <v>3.2</v>
      </c>
      <c r="U707" s="285">
        <f t="shared" si="141"/>
        <v>1</v>
      </c>
      <c r="V707" s="285">
        <f t="shared" si="142"/>
        <v>4.5</v>
      </c>
      <c r="W707" s="285">
        <f t="shared" si="143"/>
        <v>1.5</v>
      </c>
      <c r="X707" s="289">
        <f t="shared" si="144"/>
        <v>135628.50069982334</v>
      </c>
      <c r="Y707" s="288">
        <f t="shared" si="145"/>
        <v>0.67814250349911676</v>
      </c>
      <c r="Z707" s="256">
        <f t="shared" si="146"/>
        <v>181.74993027852094</v>
      </c>
      <c r="AA707" s="289">
        <f t="shared" si="147"/>
        <v>278101.51706498693</v>
      </c>
      <c r="AB707" s="288">
        <f t="shared" si="148"/>
        <v>1.3905075853249347</v>
      </c>
    </row>
    <row r="708" spans="13:28" ht="12" hidden="1" customHeight="1">
      <c r="M708" s="266"/>
      <c r="N708" s="288">
        <f t="shared" si="149"/>
        <v>11.139999999999869</v>
      </c>
      <c r="O708" s="285">
        <f t="shared" si="135"/>
        <v>150</v>
      </c>
      <c r="P708" s="289">
        <f t="shared" si="136"/>
        <v>4000000</v>
      </c>
      <c r="Q708" s="285">
        <f t="shared" si="137"/>
        <v>110</v>
      </c>
      <c r="R708" s="285">
        <f t="shared" si="138"/>
        <v>85</v>
      </c>
      <c r="S708" s="285">
        <f t="shared" si="139"/>
        <v>0.35</v>
      </c>
      <c r="T708" s="285">
        <f t="shared" si="140"/>
        <v>3.2</v>
      </c>
      <c r="U708" s="285">
        <f t="shared" si="141"/>
        <v>1</v>
      </c>
      <c r="V708" s="285">
        <f t="shared" si="142"/>
        <v>4.5</v>
      </c>
      <c r="W708" s="285">
        <f t="shared" si="143"/>
        <v>1.5</v>
      </c>
      <c r="X708" s="289">
        <f t="shared" si="144"/>
        <v>136434.57928583858</v>
      </c>
      <c r="Y708" s="288">
        <f t="shared" si="145"/>
        <v>0.68217289642919288</v>
      </c>
      <c r="Z708" s="256">
        <f t="shared" si="146"/>
        <v>181.74993027852094</v>
      </c>
      <c r="AA708" s="289">
        <f t="shared" si="147"/>
        <v>279754.3531317999</v>
      </c>
      <c r="AB708" s="288">
        <f t="shared" si="148"/>
        <v>1.3987717656589995</v>
      </c>
    </row>
    <row r="709" spans="13:28" ht="12" hidden="1" customHeight="1">
      <c r="M709" s="266"/>
      <c r="N709" s="288">
        <f t="shared" si="149"/>
        <v>11.149999999999869</v>
      </c>
      <c r="O709" s="285">
        <f t="shared" si="135"/>
        <v>150</v>
      </c>
      <c r="P709" s="289">
        <f t="shared" si="136"/>
        <v>4000000</v>
      </c>
      <c r="Q709" s="285">
        <f t="shared" si="137"/>
        <v>110</v>
      </c>
      <c r="R709" s="285">
        <f t="shared" si="138"/>
        <v>85</v>
      </c>
      <c r="S709" s="285">
        <f t="shared" si="139"/>
        <v>0.35</v>
      </c>
      <c r="T709" s="285">
        <f t="shared" si="140"/>
        <v>3.2</v>
      </c>
      <c r="U709" s="285">
        <f t="shared" si="141"/>
        <v>1</v>
      </c>
      <c r="V709" s="285">
        <f t="shared" si="142"/>
        <v>4.5</v>
      </c>
      <c r="W709" s="285">
        <f t="shared" si="143"/>
        <v>1.5</v>
      </c>
      <c r="X709" s="289">
        <f t="shared" si="144"/>
        <v>137244.79857068797</v>
      </c>
      <c r="Y709" s="288">
        <f t="shared" si="145"/>
        <v>0.68622399285343982</v>
      </c>
      <c r="Z709" s="256">
        <f t="shared" si="146"/>
        <v>181.74993027852094</v>
      </c>
      <c r="AA709" s="289">
        <f t="shared" si="147"/>
        <v>281415.67955736158</v>
      </c>
      <c r="AB709" s="288">
        <f t="shared" si="148"/>
        <v>1.407078397786808</v>
      </c>
    </row>
    <row r="710" spans="13:28" ht="12" hidden="1" customHeight="1">
      <c r="M710" s="266"/>
      <c r="N710" s="288">
        <f t="shared" si="149"/>
        <v>11.159999999999869</v>
      </c>
      <c r="O710" s="285">
        <f t="shared" si="135"/>
        <v>150</v>
      </c>
      <c r="P710" s="289">
        <f t="shared" si="136"/>
        <v>4000000</v>
      </c>
      <c r="Q710" s="285">
        <f t="shared" si="137"/>
        <v>110</v>
      </c>
      <c r="R710" s="285">
        <f t="shared" si="138"/>
        <v>85</v>
      </c>
      <c r="S710" s="285">
        <f t="shared" si="139"/>
        <v>0.35</v>
      </c>
      <c r="T710" s="285">
        <f t="shared" si="140"/>
        <v>3.2</v>
      </c>
      <c r="U710" s="285">
        <f t="shared" si="141"/>
        <v>1</v>
      </c>
      <c r="V710" s="285">
        <f t="shared" si="142"/>
        <v>4.5</v>
      </c>
      <c r="W710" s="285">
        <f t="shared" si="143"/>
        <v>1.5</v>
      </c>
      <c r="X710" s="289">
        <f t="shared" si="144"/>
        <v>138059.17647669287</v>
      </c>
      <c r="Y710" s="288">
        <f t="shared" si="145"/>
        <v>0.69029588238346429</v>
      </c>
      <c r="Z710" s="256">
        <f t="shared" si="146"/>
        <v>181.74993027852094</v>
      </c>
      <c r="AA710" s="289">
        <f t="shared" si="147"/>
        <v>283085.53309076763</v>
      </c>
      <c r="AB710" s="288">
        <f t="shared" si="148"/>
        <v>1.415427665453838</v>
      </c>
    </row>
    <row r="711" spans="13:28" ht="12" hidden="1" customHeight="1">
      <c r="M711" s="266"/>
      <c r="N711" s="288">
        <f t="shared" si="149"/>
        <v>11.169999999999868</v>
      </c>
      <c r="O711" s="285">
        <f t="shared" si="135"/>
        <v>150</v>
      </c>
      <c r="P711" s="289">
        <f t="shared" si="136"/>
        <v>4000000</v>
      </c>
      <c r="Q711" s="285">
        <f t="shared" si="137"/>
        <v>110</v>
      </c>
      <c r="R711" s="285">
        <f t="shared" si="138"/>
        <v>85</v>
      </c>
      <c r="S711" s="285">
        <f t="shared" si="139"/>
        <v>0.35</v>
      </c>
      <c r="T711" s="285">
        <f t="shared" si="140"/>
        <v>3.2</v>
      </c>
      <c r="U711" s="285">
        <f t="shared" si="141"/>
        <v>1</v>
      </c>
      <c r="V711" s="285">
        <f t="shared" si="142"/>
        <v>4.5</v>
      </c>
      <c r="W711" s="285">
        <f t="shared" si="143"/>
        <v>1.5</v>
      </c>
      <c r="X711" s="289">
        <f t="shared" si="144"/>
        <v>138877.73098923443</v>
      </c>
      <c r="Y711" s="288">
        <f t="shared" si="145"/>
        <v>0.69438865494617219</v>
      </c>
      <c r="Z711" s="256">
        <f t="shared" si="146"/>
        <v>181.74993027852094</v>
      </c>
      <c r="AA711" s="289">
        <f t="shared" si="147"/>
        <v>284763.95061041682</v>
      </c>
      <c r="AB711" s="288">
        <f t="shared" si="148"/>
        <v>1.4238197530520842</v>
      </c>
    </row>
    <row r="712" spans="13:28" ht="12" hidden="1" customHeight="1">
      <c r="M712" s="266"/>
      <c r="N712" s="288">
        <f t="shared" si="149"/>
        <v>11.179999999999868</v>
      </c>
      <c r="O712" s="285">
        <f t="shared" si="135"/>
        <v>150</v>
      </c>
      <c r="P712" s="289">
        <f t="shared" si="136"/>
        <v>4000000</v>
      </c>
      <c r="Q712" s="285">
        <f t="shared" si="137"/>
        <v>110</v>
      </c>
      <c r="R712" s="285">
        <f t="shared" si="138"/>
        <v>85</v>
      </c>
      <c r="S712" s="285">
        <f t="shared" si="139"/>
        <v>0.35</v>
      </c>
      <c r="T712" s="285">
        <f t="shared" si="140"/>
        <v>3.2</v>
      </c>
      <c r="U712" s="285">
        <f t="shared" si="141"/>
        <v>1</v>
      </c>
      <c r="V712" s="285">
        <f t="shared" si="142"/>
        <v>4.5</v>
      </c>
      <c r="W712" s="285">
        <f t="shared" si="143"/>
        <v>1.5</v>
      </c>
      <c r="X712" s="289">
        <f t="shared" si="144"/>
        <v>139700.48015692801</v>
      </c>
      <c r="Y712" s="288">
        <f t="shared" si="145"/>
        <v>0.6985024007846401</v>
      </c>
      <c r="Z712" s="256">
        <f t="shared" si="146"/>
        <v>181.74993027852094</v>
      </c>
      <c r="AA712" s="289">
        <f t="shared" si="147"/>
        <v>286450.96912436327</v>
      </c>
      <c r="AB712" s="288">
        <f t="shared" si="148"/>
        <v>1.4322548456218163</v>
      </c>
    </row>
    <row r="713" spans="13:28" ht="12" hidden="1" customHeight="1">
      <c r="M713" s="266"/>
      <c r="N713" s="288">
        <f t="shared" si="149"/>
        <v>11.189999999999868</v>
      </c>
      <c r="O713" s="285">
        <f t="shared" si="135"/>
        <v>150</v>
      </c>
      <c r="P713" s="289">
        <f t="shared" si="136"/>
        <v>4000000</v>
      </c>
      <c r="Q713" s="285">
        <f t="shared" si="137"/>
        <v>110</v>
      </c>
      <c r="R713" s="285">
        <f t="shared" si="138"/>
        <v>85</v>
      </c>
      <c r="S713" s="285">
        <f t="shared" si="139"/>
        <v>0.35</v>
      </c>
      <c r="T713" s="285">
        <f t="shared" si="140"/>
        <v>3.2</v>
      </c>
      <c r="U713" s="285">
        <f t="shared" si="141"/>
        <v>1</v>
      </c>
      <c r="V713" s="285">
        <f t="shared" si="142"/>
        <v>4.5</v>
      </c>
      <c r="W713" s="285">
        <f t="shared" si="143"/>
        <v>1.5</v>
      </c>
      <c r="X713" s="289">
        <f t="shared" si="144"/>
        <v>140527.44209179291</v>
      </c>
      <c r="Y713" s="288">
        <f t="shared" si="145"/>
        <v>0.70263721045896455</v>
      </c>
      <c r="Z713" s="256">
        <f t="shared" si="146"/>
        <v>181.74993027852094</v>
      </c>
      <c r="AA713" s="289">
        <f t="shared" si="147"/>
        <v>288146.62577067484</v>
      </c>
      <c r="AB713" s="288">
        <f t="shared" si="148"/>
        <v>1.4407331288533742</v>
      </c>
    </row>
    <row r="714" spans="13:28" ht="12" hidden="1" customHeight="1">
      <c r="M714" s="266"/>
      <c r="N714" s="288">
        <f t="shared" si="149"/>
        <v>11.199999999999868</v>
      </c>
      <c r="O714" s="285">
        <f t="shared" si="135"/>
        <v>150</v>
      </c>
      <c r="P714" s="289">
        <f t="shared" si="136"/>
        <v>4000000</v>
      </c>
      <c r="Q714" s="285">
        <f t="shared" si="137"/>
        <v>110</v>
      </c>
      <c r="R714" s="285">
        <f t="shared" si="138"/>
        <v>85</v>
      </c>
      <c r="S714" s="285">
        <f t="shared" si="139"/>
        <v>0.35</v>
      </c>
      <c r="T714" s="285">
        <f t="shared" si="140"/>
        <v>3.2</v>
      </c>
      <c r="U714" s="285">
        <f t="shared" si="141"/>
        <v>1</v>
      </c>
      <c r="V714" s="285">
        <f t="shared" si="142"/>
        <v>4.5</v>
      </c>
      <c r="W714" s="285">
        <f t="shared" si="143"/>
        <v>1.5</v>
      </c>
      <c r="X714" s="289">
        <f t="shared" si="144"/>
        <v>141358.63496942143</v>
      </c>
      <c r="Y714" s="288">
        <f t="shared" si="145"/>
        <v>0.70679317484710713</v>
      </c>
      <c r="Z714" s="256">
        <f t="shared" si="146"/>
        <v>181.74993027852094</v>
      </c>
      <c r="AA714" s="289">
        <f t="shared" si="147"/>
        <v>289850.95781776943</v>
      </c>
      <c r="AB714" s="288">
        <f t="shared" si="148"/>
        <v>1.4492547890888472</v>
      </c>
    </row>
    <row r="715" spans="13:28" ht="12" hidden="1" customHeight="1">
      <c r="M715" s="266"/>
      <c r="N715" s="288">
        <f t="shared" si="149"/>
        <v>11.209999999999868</v>
      </c>
      <c r="O715" s="285">
        <f t="shared" si="135"/>
        <v>150</v>
      </c>
      <c r="P715" s="289">
        <f t="shared" si="136"/>
        <v>4000000</v>
      </c>
      <c r="Q715" s="285">
        <f t="shared" si="137"/>
        <v>110</v>
      </c>
      <c r="R715" s="285">
        <f t="shared" si="138"/>
        <v>85</v>
      </c>
      <c r="S715" s="285">
        <f t="shared" si="139"/>
        <v>0.35</v>
      </c>
      <c r="T715" s="285">
        <f t="shared" si="140"/>
        <v>3.2</v>
      </c>
      <c r="U715" s="285">
        <f t="shared" si="141"/>
        <v>1</v>
      </c>
      <c r="V715" s="285">
        <f t="shared" si="142"/>
        <v>4.5</v>
      </c>
      <c r="W715" s="285">
        <f t="shared" si="143"/>
        <v>1.5</v>
      </c>
      <c r="X715" s="289">
        <f t="shared" si="144"/>
        <v>142194.07702915391</v>
      </c>
      <c r="Y715" s="288">
        <f t="shared" si="145"/>
        <v>0.71097038514576949</v>
      </c>
      <c r="Z715" s="256">
        <f t="shared" si="146"/>
        <v>181.74993027852094</v>
      </c>
      <c r="AA715" s="289">
        <f t="shared" si="147"/>
        <v>291564.00266477925</v>
      </c>
      <c r="AB715" s="288">
        <f t="shared" si="148"/>
        <v>1.4578200133238963</v>
      </c>
    </row>
    <row r="716" spans="13:28" ht="12" hidden="1" customHeight="1">
      <c r="M716" s="266"/>
      <c r="N716" s="288">
        <f t="shared" si="149"/>
        <v>11.219999999999867</v>
      </c>
      <c r="O716" s="285">
        <f t="shared" si="135"/>
        <v>150</v>
      </c>
      <c r="P716" s="289">
        <f t="shared" si="136"/>
        <v>4000000</v>
      </c>
      <c r="Q716" s="285">
        <f t="shared" si="137"/>
        <v>110</v>
      </c>
      <c r="R716" s="285">
        <f t="shared" si="138"/>
        <v>85</v>
      </c>
      <c r="S716" s="285">
        <f t="shared" si="139"/>
        <v>0.35</v>
      </c>
      <c r="T716" s="285">
        <f t="shared" si="140"/>
        <v>3.2</v>
      </c>
      <c r="U716" s="285">
        <f t="shared" si="141"/>
        <v>1</v>
      </c>
      <c r="V716" s="285">
        <f t="shared" si="142"/>
        <v>4.5</v>
      </c>
      <c r="W716" s="285">
        <f t="shared" si="143"/>
        <v>1.5</v>
      </c>
      <c r="X716" s="289">
        <f t="shared" si="144"/>
        <v>143033.78657424811</v>
      </c>
      <c r="Y716" s="288">
        <f t="shared" si="145"/>
        <v>0.7151689328712405</v>
      </c>
      <c r="Z716" s="256">
        <f t="shared" si="146"/>
        <v>181.74993027852094</v>
      </c>
      <c r="AA716" s="289">
        <f t="shared" si="147"/>
        <v>293285.79784189636</v>
      </c>
      <c r="AB716" s="288">
        <f t="shared" si="148"/>
        <v>1.4664289892094817</v>
      </c>
    </row>
    <row r="717" spans="13:28" ht="12" hidden="1" customHeight="1">
      <c r="M717" s="266"/>
      <c r="N717" s="288">
        <f t="shared" si="149"/>
        <v>11.229999999999867</v>
      </c>
      <c r="O717" s="285">
        <f t="shared" si="135"/>
        <v>150</v>
      </c>
      <c r="P717" s="289">
        <f t="shared" si="136"/>
        <v>4000000</v>
      </c>
      <c r="Q717" s="285">
        <f t="shared" si="137"/>
        <v>110</v>
      </c>
      <c r="R717" s="285">
        <f t="shared" si="138"/>
        <v>85</v>
      </c>
      <c r="S717" s="285">
        <f t="shared" si="139"/>
        <v>0.35</v>
      </c>
      <c r="T717" s="285">
        <f t="shared" si="140"/>
        <v>3.2</v>
      </c>
      <c r="U717" s="285">
        <f t="shared" si="141"/>
        <v>1</v>
      </c>
      <c r="V717" s="285">
        <f t="shared" si="142"/>
        <v>4.5</v>
      </c>
      <c r="W717" s="285">
        <f t="shared" si="143"/>
        <v>1.5</v>
      </c>
      <c r="X717" s="289">
        <f t="shared" si="144"/>
        <v>143877.78197205602</v>
      </c>
      <c r="Y717" s="288">
        <f t="shared" si="145"/>
        <v>0.71938890986028015</v>
      </c>
      <c r="Z717" s="256">
        <f t="shared" si="146"/>
        <v>181.74993027852094</v>
      </c>
      <c r="AA717" s="289">
        <f t="shared" si="147"/>
        <v>295016.38101073785</v>
      </c>
      <c r="AB717" s="288">
        <f t="shared" si="148"/>
        <v>1.4750819050536892</v>
      </c>
    </row>
    <row r="718" spans="13:28" ht="12" hidden="1" customHeight="1">
      <c r="M718" s="266"/>
      <c r="N718" s="288">
        <f t="shared" si="149"/>
        <v>11.239999999999867</v>
      </c>
      <c r="O718" s="285">
        <f t="shared" si="135"/>
        <v>150</v>
      </c>
      <c r="P718" s="289">
        <f t="shared" si="136"/>
        <v>4000000</v>
      </c>
      <c r="Q718" s="285">
        <f t="shared" si="137"/>
        <v>110</v>
      </c>
      <c r="R718" s="285">
        <f t="shared" si="138"/>
        <v>85</v>
      </c>
      <c r="S718" s="285">
        <f t="shared" si="139"/>
        <v>0.35</v>
      </c>
      <c r="T718" s="285">
        <f t="shared" si="140"/>
        <v>3.2</v>
      </c>
      <c r="U718" s="285">
        <f t="shared" si="141"/>
        <v>1</v>
      </c>
      <c r="V718" s="285">
        <f t="shared" si="142"/>
        <v>4.5</v>
      </c>
      <c r="W718" s="285">
        <f t="shared" si="143"/>
        <v>1.5</v>
      </c>
      <c r="X718" s="289">
        <f t="shared" si="144"/>
        <v>144726.08165419003</v>
      </c>
      <c r="Y718" s="288">
        <f t="shared" si="145"/>
        <v>0.72363040827095015</v>
      </c>
      <c r="Z718" s="256">
        <f t="shared" si="146"/>
        <v>181.74993027852094</v>
      </c>
      <c r="AA718" s="289">
        <f t="shared" si="147"/>
        <v>296755.78996468137</v>
      </c>
      <c r="AB718" s="288">
        <f t="shared" si="148"/>
        <v>1.4837789498234069</v>
      </c>
    </row>
    <row r="719" spans="13:28" ht="12" hidden="1" customHeight="1">
      <c r="M719" s="266"/>
      <c r="N719" s="288">
        <f t="shared" si="149"/>
        <v>11.249999999999867</v>
      </c>
      <c r="O719" s="285">
        <f t="shared" si="135"/>
        <v>150</v>
      </c>
      <c r="P719" s="289">
        <f t="shared" si="136"/>
        <v>4000000</v>
      </c>
      <c r="Q719" s="285">
        <f t="shared" si="137"/>
        <v>110</v>
      </c>
      <c r="R719" s="285">
        <f t="shared" si="138"/>
        <v>85</v>
      </c>
      <c r="S719" s="285">
        <f t="shared" si="139"/>
        <v>0.35</v>
      </c>
      <c r="T719" s="285">
        <f t="shared" si="140"/>
        <v>3.2</v>
      </c>
      <c r="U719" s="285">
        <f t="shared" si="141"/>
        <v>1</v>
      </c>
      <c r="V719" s="285">
        <f t="shared" si="142"/>
        <v>4.5</v>
      </c>
      <c r="W719" s="285">
        <f t="shared" si="143"/>
        <v>1.5</v>
      </c>
      <c r="X719" s="289">
        <f t="shared" si="144"/>
        <v>145578.70411670147</v>
      </c>
      <c r="Y719" s="288">
        <f t="shared" si="145"/>
        <v>0.72789352058350731</v>
      </c>
      <c r="Z719" s="256">
        <f t="shared" si="146"/>
        <v>181.74993027852094</v>
      </c>
      <c r="AA719" s="289">
        <f t="shared" si="147"/>
        <v>298504.06262923667</v>
      </c>
      <c r="AB719" s="288">
        <f t="shared" si="148"/>
        <v>1.4925203131461833</v>
      </c>
    </row>
    <row r="720" spans="13:28" ht="12" hidden="1" customHeight="1">
      <c r="M720" s="266"/>
      <c r="N720" s="288">
        <f t="shared" si="149"/>
        <v>11.259999999999867</v>
      </c>
      <c r="O720" s="285">
        <f t="shared" si="135"/>
        <v>150</v>
      </c>
      <c r="P720" s="289">
        <f t="shared" si="136"/>
        <v>4000000</v>
      </c>
      <c r="Q720" s="285">
        <f t="shared" si="137"/>
        <v>110</v>
      </c>
      <c r="R720" s="285">
        <f t="shared" si="138"/>
        <v>85</v>
      </c>
      <c r="S720" s="285">
        <f t="shared" si="139"/>
        <v>0.35</v>
      </c>
      <c r="T720" s="285">
        <f t="shared" si="140"/>
        <v>3.2</v>
      </c>
      <c r="U720" s="285">
        <f t="shared" si="141"/>
        <v>1</v>
      </c>
      <c r="V720" s="285">
        <f t="shared" si="142"/>
        <v>4.5</v>
      </c>
      <c r="W720" s="285">
        <f t="shared" si="143"/>
        <v>1.5</v>
      </c>
      <c r="X720" s="289">
        <f t="shared" si="144"/>
        <v>146435.66792025138</v>
      </c>
      <c r="Y720" s="288">
        <f t="shared" si="145"/>
        <v>0.73217833960125689</v>
      </c>
      <c r="Z720" s="256">
        <f t="shared" si="146"/>
        <v>181.74993027852094</v>
      </c>
      <c r="AA720" s="289">
        <f t="shared" si="147"/>
        <v>300261.23706239375</v>
      </c>
      <c r="AB720" s="288">
        <f t="shared" si="148"/>
        <v>1.5013061853119687</v>
      </c>
    </row>
    <row r="721" spans="13:28" ht="12" hidden="1" customHeight="1">
      <c r="M721" s="266"/>
      <c r="N721" s="288">
        <f t="shared" si="149"/>
        <v>11.269999999999866</v>
      </c>
      <c r="O721" s="285">
        <f t="shared" si="135"/>
        <v>150</v>
      </c>
      <c r="P721" s="289">
        <f t="shared" si="136"/>
        <v>4000000</v>
      </c>
      <c r="Q721" s="285">
        <f t="shared" si="137"/>
        <v>110</v>
      </c>
      <c r="R721" s="285">
        <f t="shared" si="138"/>
        <v>85</v>
      </c>
      <c r="S721" s="285">
        <f t="shared" si="139"/>
        <v>0.35</v>
      </c>
      <c r="T721" s="285">
        <f t="shared" si="140"/>
        <v>3.2</v>
      </c>
      <c r="U721" s="285">
        <f t="shared" si="141"/>
        <v>1</v>
      </c>
      <c r="V721" s="285">
        <f t="shared" si="142"/>
        <v>4.5</v>
      </c>
      <c r="W721" s="285">
        <f t="shared" si="143"/>
        <v>1.5</v>
      </c>
      <c r="X721" s="289">
        <f t="shared" si="144"/>
        <v>147296.9916902869</v>
      </c>
      <c r="Y721" s="288">
        <f t="shared" si="145"/>
        <v>0.73648495845143447</v>
      </c>
      <c r="Z721" s="256">
        <f t="shared" si="146"/>
        <v>181.74993027852094</v>
      </c>
      <c r="AA721" s="289">
        <f t="shared" si="147"/>
        <v>302027.35145498061</v>
      </c>
      <c r="AB721" s="288">
        <f t="shared" si="148"/>
        <v>1.5101367572749032</v>
      </c>
    </row>
    <row r="722" spans="13:28" ht="12" hidden="1" customHeight="1">
      <c r="M722" s="266"/>
      <c r="N722" s="288">
        <f t="shared" si="149"/>
        <v>11.279999999999866</v>
      </c>
      <c r="O722" s="285">
        <f t="shared" si="135"/>
        <v>150</v>
      </c>
      <c r="P722" s="289">
        <f t="shared" si="136"/>
        <v>4000000</v>
      </c>
      <c r="Q722" s="285">
        <f t="shared" si="137"/>
        <v>110</v>
      </c>
      <c r="R722" s="285">
        <f t="shared" si="138"/>
        <v>85</v>
      </c>
      <c r="S722" s="285">
        <f t="shared" si="139"/>
        <v>0.35</v>
      </c>
      <c r="T722" s="285">
        <f t="shared" si="140"/>
        <v>3.2</v>
      </c>
      <c r="U722" s="285">
        <f t="shared" si="141"/>
        <v>1</v>
      </c>
      <c r="V722" s="285">
        <f t="shared" si="142"/>
        <v>4.5</v>
      </c>
      <c r="W722" s="285">
        <f t="shared" si="143"/>
        <v>1.5</v>
      </c>
      <c r="X722" s="289">
        <f t="shared" si="144"/>
        <v>148162.69411721014</v>
      </c>
      <c r="Y722" s="288">
        <f t="shared" si="145"/>
        <v>0.74081347058605063</v>
      </c>
      <c r="Z722" s="256">
        <f t="shared" si="146"/>
        <v>181.74993027852094</v>
      </c>
      <c r="AA722" s="289">
        <f t="shared" si="147"/>
        <v>303802.44413101696</v>
      </c>
      <c r="AB722" s="288">
        <f t="shared" si="148"/>
        <v>1.5190122206550849</v>
      </c>
    </row>
    <row r="723" spans="13:28" ht="12" hidden="1" customHeight="1">
      <c r="M723" s="266"/>
      <c r="N723" s="288">
        <f t="shared" si="149"/>
        <v>11.289999999999866</v>
      </c>
      <c r="O723" s="285">
        <f t="shared" si="135"/>
        <v>150</v>
      </c>
      <c r="P723" s="289">
        <f t="shared" si="136"/>
        <v>4000000</v>
      </c>
      <c r="Q723" s="285">
        <f t="shared" si="137"/>
        <v>110</v>
      </c>
      <c r="R723" s="285">
        <f t="shared" si="138"/>
        <v>85</v>
      </c>
      <c r="S723" s="285">
        <f t="shared" si="139"/>
        <v>0.35</v>
      </c>
      <c r="T723" s="285">
        <f t="shared" si="140"/>
        <v>3.2</v>
      </c>
      <c r="U723" s="285">
        <f t="shared" si="141"/>
        <v>1</v>
      </c>
      <c r="V723" s="285">
        <f t="shared" si="142"/>
        <v>4.5</v>
      </c>
      <c r="W723" s="285">
        <f t="shared" si="143"/>
        <v>1.5</v>
      </c>
      <c r="X723" s="289">
        <f t="shared" si="144"/>
        <v>149032.7939565572</v>
      </c>
      <c r="Y723" s="288">
        <f t="shared" si="145"/>
        <v>0.74516396978278598</v>
      </c>
      <c r="Z723" s="256">
        <f t="shared" si="146"/>
        <v>181.74993027852094</v>
      </c>
      <c r="AA723" s="289">
        <f t="shared" si="147"/>
        <v>305586.55354807852</v>
      </c>
      <c r="AB723" s="288">
        <f t="shared" si="148"/>
        <v>1.5279327677403927</v>
      </c>
    </row>
    <row r="724" spans="13:28" ht="12" hidden="1" customHeight="1">
      <c r="M724" s="266"/>
      <c r="N724" s="288">
        <f t="shared" si="149"/>
        <v>11.299999999999866</v>
      </c>
      <c r="O724" s="285">
        <f t="shared" si="135"/>
        <v>150</v>
      </c>
      <c r="P724" s="289">
        <f t="shared" si="136"/>
        <v>4000000</v>
      </c>
      <c r="Q724" s="285">
        <f t="shared" si="137"/>
        <v>110</v>
      </c>
      <c r="R724" s="285">
        <f t="shared" si="138"/>
        <v>85</v>
      </c>
      <c r="S724" s="285">
        <f t="shared" si="139"/>
        <v>0.35</v>
      </c>
      <c r="T724" s="285">
        <f t="shared" si="140"/>
        <v>3.2</v>
      </c>
      <c r="U724" s="285">
        <f t="shared" si="141"/>
        <v>1</v>
      </c>
      <c r="V724" s="285">
        <f t="shared" si="142"/>
        <v>4.5</v>
      </c>
      <c r="W724" s="285">
        <f t="shared" si="143"/>
        <v>1.5</v>
      </c>
      <c r="X724" s="289">
        <f t="shared" si="144"/>
        <v>149907.31002917062</v>
      </c>
      <c r="Y724" s="288">
        <f t="shared" si="145"/>
        <v>0.74953655014585308</v>
      </c>
      <c r="Z724" s="256">
        <f t="shared" si="146"/>
        <v>181.74993027852094</v>
      </c>
      <c r="AA724" s="289">
        <f t="shared" si="147"/>
        <v>307379.71829764574</v>
      </c>
      <c r="AB724" s="288">
        <f t="shared" si="148"/>
        <v>1.5368985914882287</v>
      </c>
    </row>
    <row r="725" spans="13:28" ht="12" hidden="1" customHeight="1">
      <c r="M725" s="266"/>
      <c r="N725" s="288">
        <f t="shared" si="149"/>
        <v>11.309999999999865</v>
      </c>
      <c r="O725" s="285">
        <f t="shared" si="135"/>
        <v>150</v>
      </c>
      <c r="P725" s="289">
        <f t="shared" si="136"/>
        <v>4000000</v>
      </c>
      <c r="Q725" s="285">
        <f t="shared" si="137"/>
        <v>110</v>
      </c>
      <c r="R725" s="285">
        <f t="shared" si="138"/>
        <v>85</v>
      </c>
      <c r="S725" s="285">
        <f t="shared" si="139"/>
        <v>0.35</v>
      </c>
      <c r="T725" s="285">
        <f t="shared" si="140"/>
        <v>3.2</v>
      </c>
      <c r="U725" s="285">
        <f t="shared" si="141"/>
        <v>1</v>
      </c>
      <c r="V725" s="285">
        <f t="shared" si="142"/>
        <v>4.5</v>
      </c>
      <c r="W725" s="285">
        <f t="shared" si="143"/>
        <v>1.5</v>
      </c>
      <c r="X725" s="289">
        <f t="shared" si="144"/>
        <v>150786.26122137861</v>
      </c>
      <c r="Y725" s="288">
        <f t="shared" si="145"/>
        <v>0.75393130610689307</v>
      </c>
      <c r="Z725" s="256">
        <f t="shared" si="146"/>
        <v>181.74993027852094</v>
      </c>
      <c r="AA725" s="289">
        <f t="shared" si="147"/>
        <v>309181.97710547585</v>
      </c>
      <c r="AB725" s="288">
        <f t="shared" si="148"/>
        <v>1.5459098855273792</v>
      </c>
    </row>
    <row r="726" spans="13:28" ht="12" hidden="1" customHeight="1">
      <c r="M726" s="266"/>
      <c r="N726" s="288">
        <f t="shared" si="149"/>
        <v>11.319999999999865</v>
      </c>
      <c r="O726" s="285">
        <f t="shared" si="135"/>
        <v>150</v>
      </c>
      <c r="P726" s="289">
        <f t="shared" si="136"/>
        <v>4000000</v>
      </c>
      <c r="Q726" s="285">
        <f t="shared" si="137"/>
        <v>110</v>
      </c>
      <c r="R726" s="285">
        <f t="shared" si="138"/>
        <v>85</v>
      </c>
      <c r="S726" s="285">
        <f t="shared" si="139"/>
        <v>0.35</v>
      </c>
      <c r="T726" s="285">
        <f t="shared" si="140"/>
        <v>3.2</v>
      </c>
      <c r="U726" s="285">
        <f t="shared" si="141"/>
        <v>1</v>
      </c>
      <c r="V726" s="285">
        <f t="shared" si="142"/>
        <v>4.5</v>
      </c>
      <c r="W726" s="285">
        <f t="shared" si="143"/>
        <v>1.5</v>
      </c>
      <c r="X726" s="289">
        <f t="shared" si="144"/>
        <v>151669.66648516236</v>
      </c>
      <c r="Y726" s="288">
        <f t="shared" si="145"/>
        <v>0.75834833242581179</v>
      </c>
      <c r="Z726" s="256">
        <f t="shared" si="146"/>
        <v>181.74993027852094</v>
      </c>
      <c r="AA726" s="289">
        <f t="shared" si="147"/>
        <v>310993.36883194785</v>
      </c>
      <c r="AB726" s="288">
        <f t="shared" si="148"/>
        <v>1.5549668441597393</v>
      </c>
    </row>
    <row r="727" spans="13:28" ht="12" hidden="1" customHeight="1">
      <c r="M727" s="266"/>
      <c r="N727" s="288">
        <f t="shared" si="149"/>
        <v>11.329999999999865</v>
      </c>
      <c r="O727" s="285">
        <f t="shared" si="135"/>
        <v>150</v>
      </c>
      <c r="P727" s="289">
        <f t="shared" si="136"/>
        <v>4000000</v>
      </c>
      <c r="Q727" s="285">
        <f t="shared" si="137"/>
        <v>110</v>
      </c>
      <c r="R727" s="285">
        <f t="shared" si="138"/>
        <v>85</v>
      </c>
      <c r="S727" s="285">
        <f t="shared" si="139"/>
        <v>0.35</v>
      </c>
      <c r="T727" s="285">
        <f t="shared" si="140"/>
        <v>3.2</v>
      </c>
      <c r="U727" s="285">
        <f t="shared" si="141"/>
        <v>1</v>
      </c>
      <c r="V727" s="285">
        <f t="shared" si="142"/>
        <v>4.5</v>
      </c>
      <c r="W727" s="285">
        <f t="shared" si="143"/>
        <v>1.5</v>
      </c>
      <c r="X727" s="289">
        <f t="shared" si="144"/>
        <v>152557.54483833926</v>
      </c>
      <c r="Y727" s="288">
        <f t="shared" si="145"/>
        <v>0.76278772419169627</v>
      </c>
      <c r="Z727" s="256">
        <f t="shared" si="146"/>
        <v>181.74993027852094</v>
      </c>
      <c r="AA727" s="289">
        <f t="shared" si="147"/>
        <v>312813.93247243384</v>
      </c>
      <c r="AB727" s="288">
        <f t="shared" si="148"/>
        <v>1.5640696623621693</v>
      </c>
    </row>
    <row r="728" spans="13:28" ht="12" hidden="1" customHeight="1">
      <c r="M728" s="266"/>
      <c r="N728" s="288">
        <f t="shared" si="149"/>
        <v>11.339999999999865</v>
      </c>
      <c r="O728" s="285">
        <f t="shared" si="135"/>
        <v>150</v>
      </c>
      <c r="P728" s="289">
        <f t="shared" si="136"/>
        <v>4000000</v>
      </c>
      <c r="Q728" s="285">
        <f t="shared" si="137"/>
        <v>110</v>
      </c>
      <c r="R728" s="285">
        <f t="shared" si="138"/>
        <v>85</v>
      </c>
      <c r="S728" s="285">
        <f t="shared" si="139"/>
        <v>0.35</v>
      </c>
      <c r="T728" s="285">
        <f t="shared" si="140"/>
        <v>3.2</v>
      </c>
      <c r="U728" s="285">
        <f t="shared" si="141"/>
        <v>1</v>
      </c>
      <c r="V728" s="285">
        <f t="shared" si="142"/>
        <v>4.5</v>
      </c>
      <c r="W728" s="285">
        <f t="shared" si="143"/>
        <v>1.5</v>
      </c>
      <c r="X728" s="289">
        <f t="shared" si="144"/>
        <v>153449.91536473334</v>
      </c>
      <c r="Y728" s="288">
        <f t="shared" si="145"/>
        <v>0.76724957682366668</v>
      </c>
      <c r="Z728" s="256">
        <f t="shared" si="146"/>
        <v>181.74993027852094</v>
      </c>
      <c r="AA728" s="289">
        <f t="shared" si="147"/>
        <v>314643.70715764887</v>
      </c>
      <c r="AB728" s="288">
        <f t="shared" si="148"/>
        <v>1.5732185357882444</v>
      </c>
    </row>
    <row r="729" spans="13:28" ht="12" hidden="1" customHeight="1">
      <c r="M729" s="266"/>
      <c r="N729" s="288">
        <f t="shared" si="149"/>
        <v>11.349999999999865</v>
      </c>
      <c r="O729" s="285">
        <f t="shared" si="135"/>
        <v>150</v>
      </c>
      <c r="P729" s="289">
        <f t="shared" si="136"/>
        <v>4000000</v>
      </c>
      <c r="Q729" s="285">
        <f t="shared" si="137"/>
        <v>110</v>
      </c>
      <c r="R729" s="285">
        <f t="shared" si="138"/>
        <v>85</v>
      </c>
      <c r="S729" s="285">
        <f t="shared" si="139"/>
        <v>0.35</v>
      </c>
      <c r="T729" s="285">
        <f t="shared" si="140"/>
        <v>3.2</v>
      </c>
      <c r="U729" s="285">
        <f t="shared" si="141"/>
        <v>1</v>
      </c>
      <c r="V729" s="285">
        <f t="shared" si="142"/>
        <v>4.5</v>
      </c>
      <c r="W729" s="285">
        <f t="shared" si="143"/>
        <v>1.5</v>
      </c>
      <c r="X729" s="289">
        <f t="shared" si="144"/>
        <v>154346.7972143587</v>
      </c>
      <c r="Y729" s="288">
        <f t="shared" si="145"/>
        <v>0.77173398607179344</v>
      </c>
      <c r="Z729" s="256">
        <f t="shared" si="146"/>
        <v>181.74993027852094</v>
      </c>
      <c r="AA729" s="289">
        <f t="shared" si="147"/>
        <v>316482.73215403134</v>
      </c>
      <c r="AB729" s="288">
        <f t="shared" si="148"/>
        <v>1.5824136607701567</v>
      </c>
    </row>
    <row r="730" spans="13:28" ht="12" hidden="1" customHeight="1">
      <c r="M730" s="266"/>
      <c r="N730" s="288">
        <f t="shared" si="149"/>
        <v>11.359999999999864</v>
      </c>
      <c r="O730" s="285">
        <f t="shared" si="135"/>
        <v>150</v>
      </c>
      <c r="P730" s="289">
        <f t="shared" si="136"/>
        <v>4000000</v>
      </c>
      <c r="Q730" s="285">
        <f t="shared" si="137"/>
        <v>110</v>
      </c>
      <c r="R730" s="285">
        <f t="shared" si="138"/>
        <v>85</v>
      </c>
      <c r="S730" s="285">
        <f t="shared" si="139"/>
        <v>0.35</v>
      </c>
      <c r="T730" s="285">
        <f t="shared" si="140"/>
        <v>3.2</v>
      </c>
      <c r="U730" s="285">
        <f t="shared" si="141"/>
        <v>1</v>
      </c>
      <c r="V730" s="285">
        <f t="shared" si="142"/>
        <v>4.5</v>
      </c>
      <c r="W730" s="285">
        <f t="shared" si="143"/>
        <v>1.5</v>
      </c>
      <c r="X730" s="289">
        <f t="shared" si="144"/>
        <v>155248.20960358807</v>
      </c>
      <c r="Y730" s="288">
        <f t="shared" si="145"/>
        <v>0.77624104801794036</v>
      </c>
      <c r="Z730" s="256">
        <f t="shared" si="146"/>
        <v>181.74993027852094</v>
      </c>
      <c r="AA730" s="289">
        <f t="shared" si="147"/>
        <v>318331.04686408397</v>
      </c>
      <c r="AB730" s="288">
        <f t="shared" si="148"/>
        <v>1.5916552343204198</v>
      </c>
    </row>
    <row r="731" spans="13:28" ht="12" hidden="1" customHeight="1">
      <c r="M731" s="266"/>
      <c r="N731" s="288">
        <f t="shared" si="149"/>
        <v>11.369999999999864</v>
      </c>
      <c r="O731" s="285">
        <f t="shared" si="135"/>
        <v>150</v>
      </c>
      <c r="P731" s="289">
        <f t="shared" si="136"/>
        <v>4000000</v>
      </c>
      <c r="Q731" s="285">
        <f t="shared" si="137"/>
        <v>110</v>
      </c>
      <c r="R731" s="285">
        <f t="shared" si="138"/>
        <v>85</v>
      </c>
      <c r="S731" s="285">
        <f t="shared" si="139"/>
        <v>0.35</v>
      </c>
      <c r="T731" s="285">
        <f t="shared" si="140"/>
        <v>3.2</v>
      </c>
      <c r="U731" s="285">
        <f t="shared" si="141"/>
        <v>1</v>
      </c>
      <c r="V731" s="285">
        <f t="shared" si="142"/>
        <v>4.5</v>
      </c>
      <c r="W731" s="285">
        <f t="shared" si="143"/>
        <v>1.5</v>
      </c>
      <c r="X731" s="289">
        <f t="shared" si="144"/>
        <v>156154.17181533427</v>
      </c>
      <c r="Y731" s="288">
        <f t="shared" si="145"/>
        <v>0.78077085907667132</v>
      </c>
      <c r="Z731" s="256">
        <f t="shared" si="146"/>
        <v>181.74993027852094</v>
      </c>
      <c r="AA731" s="289">
        <f t="shared" si="147"/>
        <v>320188.6908267478</v>
      </c>
      <c r="AB731" s="288">
        <f t="shared" si="148"/>
        <v>1.6009434541337391</v>
      </c>
    </row>
    <row r="732" spans="13:28" ht="12" hidden="1" customHeight="1">
      <c r="M732" s="266"/>
      <c r="N732" s="288">
        <f t="shared" si="149"/>
        <v>11.379999999999864</v>
      </c>
      <c r="O732" s="285">
        <f t="shared" si="135"/>
        <v>150</v>
      </c>
      <c r="P732" s="289">
        <f t="shared" si="136"/>
        <v>4000000</v>
      </c>
      <c r="Q732" s="285">
        <f t="shared" si="137"/>
        <v>110</v>
      </c>
      <c r="R732" s="285">
        <f t="shared" si="138"/>
        <v>85</v>
      </c>
      <c r="S732" s="285">
        <f t="shared" si="139"/>
        <v>0.35</v>
      </c>
      <c r="T732" s="285">
        <f t="shared" si="140"/>
        <v>3.2</v>
      </c>
      <c r="U732" s="285">
        <f t="shared" si="141"/>
        <v>1</v>
      </c>
      <c r="V732" s="285">
        <f t="shared" si="142"/>
        <v>4.5</v>
      </c>
      <c r="W732" s="285">
        <f t="shared" si="143"/>
        <v>1.5</v>
      </c>
      <c r="X732" s="289">
        <f t="shared" si="144"/>
        <v>157064.70319922685</v>
      </c>
      <c r="Y732" s="288">
        <f t="shared" si="145"/>
        <v>0.78532351599613426</v>
      </c>
      <c r="Z732" s="256">
        <f t="shared" si="146"/>
        <v>181.74993027852094</v>
      </c>
      <c r="AA732" s="289">
        <f t="shared" si="147"/>
        <v>322055.70371776429</v>
      </c>
      <c r="AB732" s="288">
        <f t="shared" si="148"/>
        <v>1.6102785185888215</v>
      </c>
    </row>
    <row r="733" spans="13:28" ht="12" hidden="1" customHeight="1">
      <c r="M733" s="266"/>
      <c r="N733" s="288">
        <f t="shared" si="149"/>
        <v>11.389999999999864</v>
      </c>
      <c r="O733" s="285">
        <f t="shared" si="135"/>
        <v>150</v>
      </c>
      <c r="P733" s="289">
        <f t="shared" si="136"/>
        <v>4000000</v>
      </c>
      <c r="Q733" s="285">
        <f t="shared" si="137"/>
        <v>110</v>
      </c>
      <c r="R733" s="285">
        <f t="shared" si="138"/>
        <v>85</v>
      </c>
      <c r="S733" s="285">
        <f t="shared" si="139"/>
        <v>0.35</v>
      </c>
      <c r="T733" s="285">
        <f t="shared" si="140"/>
        <v>3.2</v>
      </c>
      <c r="U733" s="285">
        <f t="shared" si="141"/>
        <v>1</v>
      </c>
      <c r="V733" s="285">
        <f t="shared" si="142"/>
        <v>4.5</v>
      </c>
      <c r="W733" s="285">
        <f t="shared" si="143"/>
        <v>1.5</v>
      </c>
      <c r="X733" s="289">
        <f t="shared" si="144"/>
        <v>157979.82317178985</v>
      </c>
      <c r="Y733" s="288">
        <f t="shared" si="145"/>
        <v>0.78989911585894923</v>
      </c>
      <c r="Z733" s="256">
        <f t="shared" si="146"/>
        <v>181.74993027852094</v>
      </c>
      <c r="AA733" s="289">
        <f t="shared" si="147"/>
        <v>323932.12535003974</v>
      </c>
      <c r="AB733" s="288">
        <f t="shared" si="148"/>
        <v>1.6196606267501987</v>
      </c>
    </row>
    <row r="734" spans="13:28" ht="12" hidden="1" customHeight="1">
      <c r="M734" s="266"/>
      <c r="N734" s="288">
        <f t="shared" si="149"/>
        <v>11.399999999999864</v>
      </c>
      <c r="O734" s="285">
        <f t="shared" ref="O734:O797" si="150">PCC_MR</f>
        <v>150</v>
      </c>
      <c r="P734" s="289">
        <f t="shared" ref="P734:P797" si="151">PCC_ME</f>
        <v>4000000</v>
      </c>
      <c r="Q734" s="285">
        <f t="shared" ref="Q734:Q797" si="152">K_MODULE</f>
        <v>110</v>
      </c>
      <c r="R734" s="285">
        <f t="shared" ref="R734:R797" si="153">R_</f>
        <v>85</v>
      </c>
      <c r="S734" s="285">
        <f t="shared" ref="S734:S797" si="154">So</f>
        <v>0.35</v>
      </c>
      <c r="T734" s="285">
        <f t="shared" ref="T734:T797" si="155">J_</f>
        <v>3.2</v>
      </c>
      <c r="U734" s="285">
        <f t="shared" ref="U734:U797" si="156">Cd_</f>
        <v>1</v>
      </c>
      <c r="V734" s="285">
        <f t="shared" ref="V734:V797" si="157">Pi</f>
        <v>4.5</v>
      </c>
      <c r="W734" s="285">
        <f t="shared" ref="W734:W797" si="158">Pt</f>
        <v>1.5</v>
      </c>
      <c r="X734" s="289">
        <f t="shared" ref="X734:X797" si="159">10^(-NORMSINV(R734/100)*S734+7.35*LOG10(N734+1)-0.06+((LOG10((V734-W734)/3))/(1+((1.625*10^7)/((N734+1)^8.46))))+((4.22-0.32*W734)*LOG10((O734*U734*((N734^0.75)-1.132))/(215.63*T734*((N734^0.75)-18.42*(Q734/P734)^0.25)))))</f>
        <v>158899.55121662028</v>
      </c>
      <c r="Y734" s="288">
        <f t="shared" ref="Y734:Y797" si="160">+X734/ESALS</f>
        <v>0.79449775608310136</v>
      </c>
      <c r="Z734" s="256">
        <f t="shared" ref="Z734:Z797" si="161">PCC_IMR</f>
        <v>181.74993027852094</v>
      </c>
      <c r="AA734" s="289">
        <f t="shared" ref="AA734:AA797" si="162">10^(-NORMSINV(R734/100)*S734+7.35*LOG10(N734+1)-0.06+((LOG10((V734-W734)/3))/(1+((1.625*10^7)/((N734+1)^8.46))))+((4.22-0.32*W734)*LOG10((Z734*U734*((N734^0.75)-1.132))/(215.63*T734*((N734^0.75)-18.42*(Q734/P734)^0.25)))))</f>
        <v>325817.99567401194</v>
      </c>
      <c r="AB734" s="288">
        <f t="shared" ref="AB734:AB797" si="163">+AA734/ESALS</f>
        <v>1.6290899783700596</v>
      </c>
    </row>
    <row r="735" spans="13:28" ht="12" hidden="1" customHeight="1">
      <c r="M735" s="266"/>
      <c r="N735" s="288">
        <f t="shared" ref="N735:N798" si="164">IF(N734 = "", "", IF(AND(0.995*ESALS&lt;=X734,X734&lt;=1.005*ESALS),"",(N734+D_Step)))</f>
        <v>11.409999999999863</v>
      </c>
      <c r="O735" s="285">
        <f t="shared" si="150"/>
        <v>150</v>
      </c>
      <c r="P735" s="289">
        <f t="shared" si="151"/>
        <v>4000000</v>
      </c>
      <c r="Q735" s="285">
        <f t="shared" si="152"/>
        <v>110</v>
      </c>
      <c r="R735" s="285">
        <f t="shared" si="153"/>
        <v>85</v>
      </c>
      <c r="S735" s="285">
        <f t="shared" si="154"/>
        <v>0.35</v>
      </c>
      <c r="T735" s="285">
        <f t="shared" si="155"/>
        <v>3.2</v>
      </c>
      <c r="U735" s="285">
        <f t="shared" si="156"/>
        <v>1</v>
      </c>
      <c r="V735" s="285">
        <f t="shared" si="157"/>
        <v>4.5</v>
      </c>
      <c r="W735" s="285">
        <f t="shared" si="158"/>
        <v>1.5</v>
      </c>
      <c r="X735" s="289">
        <f t="shared" si="159"/>
        <v>159823.90688456551</v>
      </c>
      <c r="Y735" s="288">
        <f t="shared" si="160"/>
        <v>0.79911953442282757</v>
      </c>
      <c r="Z735" s="256">
        <f t="shared" si="161"/>
        <v>181.74993027852094</v>
      </c>
      <c r="AA735" s="289">
        <f t="shared" si="162"/>
        <v>327713.35477801127</v>
      </c>
      <c r="AB735" s="288">
        <f t="shared" si="163"/>
        <v>1.6385667738900564</v>
      </c>
    </row>
    <row r="736" spans="13:28" ht="12" hidden="1" customHeight="1">
      <c r="M736" s="266"/>
      <c r="N736" s="288">
        <f t="shared" si="164"/>
        <v>11.419999999999863</v>
      </c>
      <c r="O736" s="285">
        <f t="shared" si="150"/>
        <v>150</v>
      </c>
      <c r="P736" s="289">
        <f t="shared" si="151"/>
        <v>4000000</v>
      </c>
      <c r="Q736" s="285">
        <f t="shared" si="152"/>
        <v>110</v>
      </c>
      <c r="R736" s="285">
        <f t="shared" si="153"/>
        <v>85</v>
      </c>
      <c r="S736" s="285">
        <f t="shared" si="154"/>
        <v>0.35</v>
      </c>
      <c r="T736" s="285">
        <f t="shared" si="155"/>
        <v>3.2</v>
      </c>
      <c r="U736" s="285">
        <f t="shared" si="156"/>
        <v>1</v>
      </c>
      <c r="V736" s="285">
        <f t="shared" si="157"/>
        <v>4.5</v>
      </c>
      <c r="W736" s="285">
        <f t="shared" si="158"/>
        <v>1.5</v>
      </c>
      <c r="X736" s="289">
        <f t="shared" si="159"/>
        <v>160752.90979390114</v>
      </c>
      <c r="Y736" s="288">
        <f t="shared" si="160"/>
        <v>0.80376454896950567</v>
      </c>
      <c r="Z736" s="256">
        <f t="shared" si="161"/>
        <v>181.74993027852094</v>
      </c>
      <c r="AA736" s="289">
        <f t="shared" si="162"/>
        <v>329618.24288862915</v>
      </c>
      <c r="AB736" s="288">
        <f t="shared" si="163"/>
        <v>1.6480912144431457</v>
      </c>
    </row>
    <row r="737" spans="13:28" ht="12" hidden="1" customHeight="1">
      <c r="M737" s="266"/>
      <c r="N737" s="288">
        <f t="shared" si="164"/>
        <v>11.429999999999863</v>
      </c>
      <c r="O737" s="285">
        <f t="shared" si="150"/>
        <v>150</v>
      </c>
      <c r="P737" s="289">
        <f t="shared" si="151"/>
        <v>4000000</v>
      </c>
      <c r="Q737" s="285">
        <f t="shared" si="152"/>
        <v>110</v>
      </c>
      <c r="R737" s="285">
        <f t="shared" si="153"/>
        <v>85</v>
      </c>
      <c r="S737" s="285">
        <f t="shared" si="154"/>
        <v>0.35</v>
      </c>
      <c r="T737" s="285">
        <f t="shared" si="155"/>
        <v>3.2</v>
      </c>
      <c r="U737" s="285">
        <f t="shared" si="156"/>
        <v>1</v>
      </c>
      <c r="V737" s="285">
        <f t="shared" si="157"/>
        <v>4.5</v>
      </c>
      <c r="W737" s="285">
        <f t="shared" si="158"/>
        <v>1.5</v>
      </c>
      <c r="X737" s="289">
        <f t="shared" si="159"/>
        <v>161686.5796305128</v>
      </c>
      <c r="Y737" s="288">
        <f t="shared" si="160"/>
        <v>0.80843289815256403</v>
      </c>
      <c r="Z737" s="256">
        <f t="shared" si="161"/>
        <v>181.74993027852094</v>
      </c>
      <c r="AA737" s="289">
        <f t="shared" si="162"/>
        <v>331532.70037108671</v>
      </c>
      <c r="AB737" s="288">
        <f t="shared" si="163"/>
        <v>1.6576635018554335</v>
      </c>
    </row>
    <row r="738" spans="13:28" ht="12" hidden="1" customHeight="1">
      <c r="M738" s="266"/>
      <c r="N738" s="288">
        <f t="shared" si="164"/>
        <v>11.439999999999863</v>
      </c>
      <c r="O738" s="285">
        <f t="shared" si="150"/>
        <v>150</v>
      </c>
      <c r="P738" s="289">
        <f t="shared" si="151"/>
        <v>4000000</v>
      </c>
      <c r="Q738" s="285">
        <f t="shared" si="152"/>
        <v>110</v>
      </c>
      <c r="R738" s="285">
        <f t="shared" si="153"/>
        <v>85</v>
      </c>
      <c r="S738" s="285">
        <f t="shared" si="154"/>
        <v>0.35</v>
      </c>
      <c r="T738" s="285">
        <f t="shared" si="155"/>
        <v>3.2</v>
      </c>
      <c r="U738" s="285">
        <f t="shared" si="156"/>
        <v>1</v>
      </c>
      <c r="V738" s="285">
        <f t="shared" si="157"/>
        <v>4.5</v>
      </c>
      <c r="W738" s="285">
        <f t="shared" si="158"/>
        <v>1.5</v>
      </c>
      <c r="X738" s="289">
        <f t="shared" si="159"/>
        <v>162624.93614807181</v>
      </c>
      <c r="Y738" s="288">
        <f t="shared" si="160"/>
        <v>0.81312468074035904</v>
      </c>
      <c r="Z738" s="256">
        <f t="shared" si="161"/>
        <v>181.74993027852094</v>
      </c>
      <c r="AA738" s="289">
        <f t="shared" si="162"/>
        <v>333456.76772960438</v>
      </c>
      <c r="AB738" s="288">
        <f t="shared" si="163"/>
        <v>1.667283838648022</v>
      </c>
    </row>
    <row r="739" spans="13:28" ht="12" hidden="1" customHeight="1">
      <c r="M739" s="266"/>
      <c r="N739" s="288">
        <f t="shared" si="164"/>
        <v>11.449999999999863</v>
      </c>
      <c r="O739" s="285">
        <f t="shared" si="150"/>
        <v>150</v>
      </c>
      <c r="P739" s="289">
        <f t="shared" si="151"/>
        <v>4000000</v>
      </c>
      <c r="Q739" s="285">
        <f t="shared" si="152"/>
        <v>110</v>
      </c>
      <c r="R739" s="285">
        <f t="shared" si="153"/>
        <v>85</v>
      </c>
      <c r="S739" s="285">
        <f t="shared" si="154"/>
        <v>0.35</v>
      </c>
      <c r="T739" s="285">
        <f t="shared" si="155"/>
        <v>3.2</v>
      </c>
      <c r="U739" s="285">
        <f t="shared" si="156"/>
        <v>1</v>
      </c>
      <c r="V739" s="285">
        <f t="shared" si="157"/>
        <v>4.5</v>
      </c>
      <c r="W739" s="285">
        <f t="shared" si="158"/>
        <v>1.5</v>
      </c>
      <c r="X739" s="289">
        <f t="shared" si="159"/>
        <v>163567.99916821858</v>
      </c>
      <c r="Y739" s="288">
        <f t="shared" si="160"/>
        <v>0.8178399958410929</v>
      </c>
      <c r="Z739" s="256">
        <f t="shared" si="161"/>
        <v>181.74993027852094</v>
      </c>
      <c r="AA739" s="289">
        <f t="shared" si="162"/>
        <v>335390.48560776014</v>
      </c>
      <c r="AB739" s="288">
        <f t="shared" si="163"/>
        <v>1.6769524280388006</v>
      </c>
    </row>
    <row r="740" spans="13:28" ht="12" hidden="1" customHeight="1">
      <c r="M740" s="266"/>
      <c r="N740" s="288">
        <f t="shared" si="164"/>
        <v>11.459999999999862</v>
      </c>
      <c r="O740" s="285">
        <f t="shared" si="150"/>
        <v>150</v>
      </c>
      <c r="P740" s="289">
        <f t="shared" si="151"/>
        <v>4000000</v>
      </c>
      <c r="Q740" s="285">
        <f t="shared" si="152"/>
        <v>110</v>
      </c>
      <c r="R740" s="285">
        <f t="shared" si="153"/>
        <v>85</v>
      </c>
      <c r="S740" s="285">
        <f t="shared" si="154"/>
        <v>0.35</v>
      </c>
      <c r="T740" s="285">
        <f t="shared" si="155"/>
        <v>3.2</v>
      </c>
      <c r="U740" s="285">
        <f t="shared" si="156"/>
        <v>1</v>
      </c>
      <c r="V740" s="285">
        <f t="shared" si="157"/>
        <v>4.5</v>
      </c>
      <c r="W740" s="285">
        <f t="shared" si="158"/>
        <v>1.5</v>
      </c>
      <c r="X740" s="289">
        <f t="shared" si="159"/>
        <v>164515.7885807392</v>
      </c>
      <c r="Y740" s="288">
        <f t="shared" si="160"/>
        <v>0.82257894290369604</v>
      </c>
      <c r="Z740" s="256">
        <f t="shared" si="161"/>
        <v>181.74993027852094</v>
      </c>
      <c r="AA740" s="289">
        <f t="shared" si="162"/>
        <v>337333.89478886878</v>
      </c>
      <c r="AB740" s="288">
        <f t="shared" si="163"/>
        <v>1.686669473944344</v>
      </c>
    </row>
    <row r="741" spans="13:28" ht="12" hidden="1" customHeight="1">
      <c r="M741" s="266"/>
      <c r="N741" s="288">
        <f t="shared" si="164"/>
        <v>11.469999999999862</v>
      </c>
      <c r="O741" s="285">
        <f t="shared" si="150"/>
        <v>150</v>
      </c>
      <c r="P741" s="289">
        <f t="shared" si="151"/>
        <v>4000000</v>
      </c>
      <c r="Q741" s="285">
        <f t="shared" si="152"/>
        <v>110</v>
      </c>
      <c r="R741" s="285">
        <f t="shared" si="153"/>
        <v>85</v>
      </c>
      <c r="S741" s="285">
        <f t="shared" si="154"/>
        <v>0.35</v>
      </c>
      <c r="T741" s="285">
        <f t="shared" si="155"/>
        <v>3.2</v>
      </c>
      <c r="U741" s="285">
        <f t="shared" si="156"/>
        <v>1</v>
      </c>
      <c r="V741" s="285">
        <f t="shared" si="157"/>
        <v>4.5</v>
      </c>
      <c r="W741" s="285">
        <f t="shared" si="158"/>
        <v>1.5</v>
      </c>
      <c r="X741" s="289">
        <f t="shared" si="159"/>
        <v>165468.324343749</v>
      </c>
      <c r="Y741" s="288">
        <f t="shared" si="160"/>
        <v>0.82734162171874503</v>
      </c>
      <c r="Z741" s="256">
        <f t="shared" si="161"/>
        <v>181.74993027852094</v>
      </c>
      <c r="AA741" s="289">
        <f t="shared" si="162"/>
        <v>339287.03619635251</v>
      </c>
      <c r="AB741" s="288">
        <f t="shared" si="163"/>
        <v>1.6964351809817626</v>
      </c>
    </row>
    <row r="742" spans="13:28" ht="12" hidden="1" customHeight="1">
      <c r="M742" s="266"/>
      <c r="N742" s="288">
        <f t="shared" si="164"/>
        <v>11.479999999999862</v>
      </c>
      <c r="O742" s="285">
        <f t="shared" si="150"/>
        <v>150</v>
      </c>
      <c r="P742" s="289">
        <f t="shared" si="151"/>
        <v>4000000</v>
      </c>
      <c r="Q742" s="285">
        <f t="shared" si="152"/>
        <v>110</v>
      </c>
      <c r="R742" s="285">
        <f t="shared" si="153"/>
        <v>85</v>
      </c>
      <c r="S742" s="285">
        <f t="shared" si="154"/>
        <v>0.35</v>
      </c>
      <c r="T742" s="285">
        <f t="shared" si="155"/>
        <v>3.2</v>
      </c>
      <c r="U742" s="285">
        <f t="shared" si="156"/>
        <v>1</v>
      </c>
      <c r="V742" s="285">
        <f t="shared" si="157"/>
        <v>4.5</v>
      </c>
      <c r="W742" s="285">
        <f t="shared" si="158"/>
        <v>1.5</v>
      </c>
      <c r="X742" s="289">
        <f t="shared" si="159"/>
        <v>166425.62648387128</v>
      </c>
      <c r="Y742" s="288">
        <f t="shared" si="160"/>
        <v>0.83212813241935646</v>
      </c>
      <c r="Z742" s="256">
        <f t="shared" si="161"/>
        <v>181.74993027852094</v>
      </c>
      <c r="AA742" s="289">
        <f t="shared" si="162"/>
        <v>341249.95089410257</v>
      </c>
      <c r="AB742" s="288">
        <f t="shared" si="163"/>
        <v>1.7062497544705129</v>
      </c>
    </row>
    <row r="743" spans="13:28" ht="12" hidden="1" customHeight="1">
      <c r="M743" s="266"/>
      <c r="N743" s="288">
        <f t="shared" si="164"/>
        <v>11.489999999999862</v>
      </c>
      <c r="O743" s="285">
        <f t="shared" si="150"/>
        <v>150</v>
      </c>
      <c r="P743" s="289">
        <f t="shared" si="151"/>
        <v>4000000</v>
      </c>
      <c r="Q743" s="285">
        <f t="shared" si="152"/>
        <v>110</v>
      </c>
      <c r="R743" s="285">
        <f t="shared" si="153"/>
        <v>85</v>
      </c>
      <c r="S743" s="285">
        <f t="shared" si="154"/>
        <v>0.35</v>
      </c>
      <c r="T743" s="285">
        <f t="shared" si="155"/>
        <v>3.2</v>
      </c>
      <c r="U743" s="285">
        <f t="shared" si="156"/>
        <v>1</v>
      </c>
      <c r="V743" s="285">
        <f t="shared" si="157"/>
        <v>4.5</v>
      </c>
      <c r="W743" s="285">
        <f t="shared" si="158"/>
        <v>1.5</v>
      </c>
      <c r="X743" s="289">
        <f t="shared" si="159"/>
        <v>167387.71509641764</v>
      </c>
      <c r="Y743" s="288">
        <f t="shared" si="160"/>
        <v>0.83693857548208817</v>
      </c>
      <c r="Z743" s="256">
        <f t="shared" si="161"/>
        <v>181.74993027852094</v>
      </c>
      <c r="AA743" s="289">
        <f t="shared" si="162"/>
        <v>343222.68008685723</v>
      </c>
      <c r="AB743" s="288">
        <f t="shared" si="163"/>
        <v>1.7161134004342862</v>
      </c>
    </row>
    <row r="744" spans="13:28" ht="12" hidden="1" customHeight="1">
      <c r="M744" s="266"/>
      <c r="N744" s="288">
        <f t="shared" si="164"/>
        <v>11.499999999999861</v>
      </c>
      <c r="O744" s="285">
        <f t="shared" si="150"/>
        <v>150</v>
      </c>
      <c r="P744" s="289">
        <f t="shared" si="151"/>
        <v>4000000</v>
      </c>
      <c r="Q744" s="285">
        <f t="shared" si="152"/>
        <v>110</v>
      </c>
      <c r="R744" s="285">
        <f t="shared" si="153"/>
        <v>85</v>
      </c>
      <c r="S744" s="285">
        <f t="shared" si="154"/>
        <v>0.35</v>
      </c>
      <c r="T744" s="285">
        <f t="shared" si="155"/>
        <v>3.2</v>
      </c>
      <c r="U744" s="285">
        <f t="shared" si="156"/>
        <v>1</v>
      </c>
      <c r="V744" s="285">
        <f t="shared" si="157"/>
        <v>4.5</v>
      </c>
      <c r="W744" s="285">
        <f t="shared" si="158"/>
        <v>1.5</v>
      </c>
      <c r="X744" s="289">
        <f t="shared" si="159"/>
        <v>168354.61034556988</v>
      </c>
      <c r="Y744" s="288">
        <f t="shared" si="160"/>
        <v>0.84177305172784933</v>
      </c>
      <c r="Z744" s="256">
        <f t="shared" si="161"/>
        <v>181.74993027852094</v>
      </c>
      <c r="AA744" s="289">
        <f t="shared" si="162"/>
        <v>345205.26512056787</v>
      </c>
      <c r="AB744" s="288">
        <f t="shared" si="163"/>
        <v>1.7260263256028394</v>
      </c>
    </row>
    <row r="745" spans="13:28" ht="12" hidden="1" customHeight="1">
      <c r="M745" s="266"/>
      <c r="N745" s="288">
        <f t="shared" si="164"/>
        <v>11.509999999999861</v>
      </c>
      <c r="O745" s="285">
        <f t="shared" si="150"/>
        <v>150</v>
      </c>
      <c r="P745" s="289">
        <f t="shared" si="151"/>
        <v>4000000</v>
      </c>
      <c r="Q745" s="285">
        <f t="shared" si="152"/>
        <v>110</v>
      </c>
      <c r="R745" s="285">
        <f t="shared" si="153"/>
        <v>85</v>
      </c>
      <c r="S745" s="285">
        <f t="shared" si="154"/>
        <v>0.35</v>
      </c>
      <c r="T745" s="285">
        <f t="shared" si="155"/>
        <v>3.2</v>
      </c>
      <c r="U745" s="285">
        <f t="shared" si="156"/>
        <v>1</v>
      </c>
      <c r="V745" s="285">
        <f t="shared" si="157"/>
        <v>4.5</v>
      </c>
      <c r="W745" s="285">
        <f t="shared" si="158"/>
        <v>1.5</v>
      </c>
      <c r="X745" s="289">
        <f t="shared" si="159"/>
        <v>169326.33246456378</v>
      </c>
      <c r="Y745" s="288">
        <f t="shared" si="160"/>
        <v>0.84663166232281883</v>
      </c>
      <c r="Z745" s="256">
        <f t="shared" si="161"/>
        <v>181.74993027852094</v>
      </c>
      <c r="AA745" s="289">
        <f t="shared" si="162"/>
        <v>347197.74748278287</v>
      </c>
      <c r="AB745" s="288">
        <f t="shared" si="163"/>
        <v>1.7359887374139142</v>
      </c>
    </row>
    <row r="746" spans="13:28" ht="12" hidden="1" customHeight="1">
      <c r="M746" s="266"/>
      <c r="N746" s="288">
        <f t="shared" si="164"/>
        <v>11.519999999999861</v>
      </c>
      <c r="O746" s="285">
        <f t="shared" si="150"/>
        <v>150</v>
      </c>
      <c r="P746" s="289">
        <f t="shared" si="151"/>
        <v>4000000</v>
      </c>
      <c r="Q746" s="285">
        <f t="shared" si="152"/>
        <v>110</v>
      </c>
      <c r="R746" s="285">
        <f t="shared" si="153"/>
        <v>85</v>
      </c>
      <c r="S746" s="285">
        <f t="shared" si="154"/>
        <v>0.35</v>
      </c>
      <c r="T746" s="285">
        <f t="shared" si="155"/>
        <v>3.2</v>
      </c>
      <c r="U746" s="285">
        <f t="shared" si="156"/>
        <v>1</v>
      </c>
      <c r="V746" s="285">
        <f t="shared" si="157"/>
        <v>4.5</v>
      </c>
      <c r="W746" s="285">
        <f t="shared" si="158"/>
        <v>1.5</v>
      </c>
      <c r="X746" s="289">
        <f t="shared" si="159"/>
        <v>170302.90175587102</v>
      </c>
      <c r="Y746" s="288">
        <f t="shared" si="160"/>
        <v>0.85151450877935508</v>
      </c>
      <c r="Z746" s="256">
        <f t="shared" si="161"/>
        <v>181.74993027852094</v>
      </c>
      <c r="AA746" s="289">
        <f t="shared" si="162"/>
        <v>349200.16880300705</v>
      </c>
      <c r="AB746" s="288">
        <f t="shared" si="163"/>
        <v>1.7460008440150352</v>
      </c>
    </row>
    <row r="747" spans="13:28" ht="12" hidden="1" customHeight="1">
      <c r="M747" s="266"/>
      <c r="N747" s="288">
        <f t="shared" si="164"/>
        <v>11.529999999999861</v>
      </c>
      <c r="O747" s="285">
        <f t="shared" si="150"/>
        <v>150</v>
      </c>
      <c r="P747" s="289">
        <f t="shared" si="151"/>
        <v>4000000</v>
      </c>
      <c r="Q747" s="285">
        <f t="shared" si="152"/>
        <v>110</v>
      </c>
      <c r="R747" s="285">
        <f t="shared" si="153"/>
        <v>85</v>
      </c>
      <c r="S747" s="285">
        <f t="shared" si="154"/>
        <v>0.35</v>
      </c>
      <c r="T747" s="285">
        <f t="shared" si="155"/>
        <v>3.2</v>
      </c>
      <c r="U747" s="285">
        <f t="shared" si="156"/>
        <v>1</v>
      </c>
      <c r="V747" s="285">
        <f t="shared" si="157"/>
        <v>4.5</v>
      </c>
      <c r="W747" s="285">
        <f t="shared" si="158"/>
        <v>1.5</v>
      </c>
      <c r="X747" s="289">
        <f t="shared" si="159"/>
        <v>171284.33859137422</v>
      </c>
      <c r="Y747" s="288">
        <f t="shared" si="160"/>
        <v>0.85642169295687109</v>
      </c>
      <c r="Z747" s="256">
        <f t="shared" si="161"/>
        <v>181.74993027852094</v>
      </c>
      <c r="AA747" s="289">
        <f t="shared" si="162"/>
        <v>351212.57085308188</v>
      </c>
      <c r="AB747" s="288">
        <f t="shared" si="163"/>
        <v>1.7560628542654093</v>
      </c>
    </row>
    <row r="748" spans="13:28" ht="12" hidden="1" customHeight="1">
      <c r="M748" s="266"/>
      <c r="N748" s="288">
        <f t="shared" si="164"/>
        <v>11.539999999999861</v>
      </c>
      <c r="O748" s="285">
        <f t="shared" si="150"/>
        <v>150</v>
      </c>
      <c r="P748" s="289">
        <f t="shared" si="151"/>
        <v>4000000</v>
      </c>
      <c r="Q748" s="285">
        <f t="shared" si="152"/>
        <v>110</v>
      </c>
      <c r="R748" s="285">
        <f t="shared" si="153"/>
        <v>85</v>
      </c>
      <c r="S748" s="285">
        <f t="shared" si="154"/>
        <v>0.35</v>
      </c>
      <c r="T748" s="285">
        <f t="shared" si="155"/>
        <v>3.2</v>
      </c>
      <c r="U748" s="285">
        <f t="shared" si="156"/>
        <v>1</v>
      </c>
      <c r="V748" s="285">
        <f t="shared" si="157"/>
        <v>4.5</v>
      </c>
      <c r="W748" s="285">
        <f t="shared" si="158"/>
        <v>1.5</v>
      </c>
      <c r="X748" s="289">
        <f t="shared" si="159"/>
        <v>172270.66341256004</v>
      </c>
      <c r="Y748" s="288">
        <f t="shared" si="160"/>
        <v>0.86135331706280016</v>
      </c>
      <c r="Z748" s="256">
        <f t="shared" si="161"/>
        <v>181.74993027852094</v>
      </c>
      <c r="AA748" s="289">
        <f t="shared" si="162"/>
        <v>353234.99554756255</v>
      </c>
      <c r="AB748" s="288">
        <f t="shared" si="163"/>
        <v>1.7661749777378126</v>
      </c>
    </row>
    <row r="749" spans="13:28" ht="12" hidden="1" customHeight="1">
      <c r="M749" s="266"/>
      <c r="N749" s="288">
        <f t="shared" si="164"/>
        <v>11.54999999999986</v>
      </c>
      <c r="O749" s="285">
        <f t="shared" si="150"/>
        <v>150</v>
      </c>
      <c r="P749" s="289">
        <f t="shared" si="151"/>
        <v>4000000</v>
      </c>
      <c r="Q749" s="285">
        <f t="shared" si="152"/>
        <v>110</v>
      </c>
      <c r="R749" s="285">
        <f t="shared" si="153"/>
        <v>85</v>
      </c>
      <c r="S749" s="285">
        <f t="shared" si="154"/>
        <v>0.35</v>
      </c>
      <c r="T749" s="285">
        <f t="shared" si="155"/>
        <v>3.2</v>
      </c>
      <c r="U749" s="285">
        <f t="shared" si="156"/>
        <v>1</v>
      </c>
      <c r="V749" s="285">
        <f t="shared" si="157"/>
        <v>4.5</v>
      </c>
      <c r="W749" s="285">
        <f t="shared" si="158"/>
        <v>1.5</v>
      </c>
      <c r="X749" s="289">
        <f t="shared" si="159"/>
        <v>173261.89673069664</v>
      </c>
      <c r="Y749" s="288">
        <f t="shared" si="160"/>
        <v>0.86630948365348315</v>
      </c>
      <c r="Z749" s="256">
        <f t="shared" si="161"/>
        <v>181.74993027852094</v>
      </c>
      <c r="AA749" s="289">
        <f t="shared" si="162"/>
        <v>355267.48494408885</v>
      </c>
      <c r="AB749" s="288">
        <f t="shared" si="163"/>
        <v>1.7763374247204442</v>
      </c>
    </row>
    <row r="750" spans="13:28" ht="12" hidden="1" customHeight="1">
      <c r="M750" s="266"/>
      <c r="N750" s="288">
        <f t="shared" si="164"/>
        <v>11.55999999999986</v>
      </c>
      <c r="O750" s="285">
        <f t="shared" si="150"/>
        <v>150</v>
      </c>
      <c r="P750" s="289">
        <f t="shared" si="151"/>
        <v>4000000</v>
      </c>
      <c r="Q750" s="285">
        <f t="shared" si="152"/>
        <v>110</v>
      </c>
      <c r="R750" s="285">
        <f t="shared" si="153"/>
        <v>85</v>
      </c>
      <c r="S750" s="285">
        <f t="shared" si="154"/>
        <v>0.35</v>
      </c>
      <c r="T750" s="285">
        <f t="shared" si="155"/>
        <v>3.2</v>
      </c>
      <c r="U750" s="285">
        <f t="shared" si="156"/>
        <v>1</v>
      </c>
      <c r="V750" s="285">
        <f t="shared" si="157"/>
        <v>4.5</v>
      </c>
      <c r="W750" s="285">
        <f t="shared" si="158"/>
        <v>1.5</v>
      </c>
      <c r="X750" s="289">
        <f t="shared" si="159"/>
        <v>174258.05912701593</v>
      </c>
      <c r="Y750" s="288">
        <f t="shared" si="160"/>
        <v>0.87129029563507965</v>
      </c>
      <c r="Z750" s="256">
        <f t="shared" si="161"/>
        <v>181.74993027852094</v>
      </c>
      <c r="AA750" s="289">
        <f t="shared" si="162"/>
        <v>357310.08124376123</v>
      </c>
      <c r="AB750" s="288">
        <f t="shared" si="163"/>
        <v>1.7865504062188062</v>
      </c>
    </row>
    <row r="751" spans="13:28" ht="12" hidden="1" customHeight="1">
      <c r="M751" s="266"/>
      <c r="N751" s="288">
        <f t="shared" si="164"/>
        <v>11.56999999999986</v>
      </c>
      <c r="O751" s="285">
        <f t="shared" si="150"/>
        <v>150</v>
      </c>
      <c r="P751" s="289">
        <f t="shared" si="151"/>
        <v>4000000</v>
      </c>
      <c r="Q751" s="285">
        <f t="shared" si="152"/>
        <v>110</v>
      </c>
      <c r="R751" s="285">
        <f t="shared" si="153"/>
        <v>85</v>
      </c>
      <c r="S751" s="285">
        <f t="shared" si="154"/>
        <v>0.35</v>
      </c>
      <c r="T751" s="285">
        <f t="shared" si="155"/>
        <v>3.2</v>
      </c>
      <c r="U751" s="285">
        <f t="shared" si="156"/>
        <v>1</v>
      </c>
      <c r="V751" s="285">
        <f t="shared" si="157"/>
        <v>4.5</v>
      </c>
      <c r="W751" s="285">
        <f t="shared" si="158"/>
        <v>1.5</v>
      </c>
      <c r="X751" s="289">
        <f t="shared" si="159"/>
        <v>175259.17125290242</v>
      </c>
      <c r="Y751" s="288">
        <f t="shared" si="160"/>
        <v>0.87629585626451212</v>
      </c>
      <c r="Z751" s="256">
        <f t="shared" si="161"/>
        <v>181.74993027852094</v>
      </c>
      <c r="AA751" s="289">
        <f t="shared" si="162"/>
        <v>359362.82679152256</v>
      </c>
      <c r="AB751" s="288">
        <f t="shared" si="163"/>
        <v>1.7968141339576127</v>
      </c>
    </row>
    <row r="752" spans="13:28" ht="12" hidden="1" customHeight="1">
      <c r="M752" s="266"/>
      <c r="N752" s="288">
        <f t="shared" si="164"/>
        <v>11.57999999999986</v>
      </c>
      <c r="O752" s="285">
        <f t="shared" si="150"/>
        <v>150</v>
      </c>
      <c r="P752" s="289">
        <f t="shared" si="151"/>
        <v>4000000</v>
      </c>
      <c r="Q752" s="285">
        <f t="shared" si="152"/>
        <v>110</v>
      </c>
      <c r="R752" s="285">
        <f t="shared" si="153"/>
        <v>85</v>
      </c>
      <c r="S752" s="285">
        <f t="shared" si="154"/>
        <v>0.35</v>
      </c>
      <c r="T752" s="285">
        <f t="shared" si="155"/>
        <v>3.2</v>
      </c>
      <c r="U752" s="285">
        <f t="shared" si="156"/>
        <v>1</v>
      </c>
      <c r="V752" s="285">
        <f t="shared" si="157"/>
        <v>4.5</v>
      </c>
      <c r="W752" s="285">
        <f t="shared" si="158"/>
        <v>1.5</v>
      </c>
      <c r="X752" s="289">
        <f t="shared" si="159"/>
        <v>176265.25383007061</v>
      </c>
      <c r="Y752" s="288">
        <f t="shared" si="160"/>
        <v>0.88132626915035306</v>
      </c>
      <c r="Z752" s="256">
        <f t="shared" si="161"/>
        <v>181.74993027852094</v>
      </c>
      <c r="AA752" s="289">
        <f t="shared" si="162"/>
        <v>361425.76407652855</v>
      </c>
      <c r="AB752" s="288">
        <f t="shared" si="163"/>
        <v>1.8071288203826428</v>
      </c>
    </row>
    <row r="753" spans="13:28" ht="12" hidden="1" customHeight="1">
      <c r="M753" s="266"/>
      <c r="N753" s="288">
        <f t="shared" si="164"/>
        <v>11.58999999999986</v>
      </c>
      <c r="O753" s="285">
        <f t="shared" si="150"/>
        <v>150</v>
      </c>
      <c r="P753" s="289">
        <f t="shared" si="151"/>
        <v>4000000</v>
      </c>
      <c r="Q753" s="285">
        <f t="shared" si="152"/>
        <v>110</v>
      </c>
      <c r="R753" s="285">
        <f t="shared" si="153"/>
        <v>85</v>
      </c>
      <c r="S753" s="285">
        <f t="shared" si="154"/>
        <v>0.35</v>
      </c>
      <c r="T753" s="285">
        <f t="shared" si="155"/>
        <v>3.2</v>
      </c>
      <c r="U753" s="285">
        <f t="shared" si="156"/>
        <v>1</v>
      </c>
      <c r="V753" s="285">
        <f t="shared" si="157"/>
        <v>4.5</v>
      </c>
      <c r="W753" s="285">
        <f t="shared" si="158"/>
        <v>1.5</v>
      </c>
      <c r="X753" s="289">
        <f t="shared" si="159"/>
        <v>177276.32765075623</v>
      </c>
      <c r="Y753" s="288">
        <f t="shared" si="160"/>
        <v>0.88638163825378113</v>
      </c>
      <c r="Z753" s="256">
        <f t="shared" si="161"/>
        <v>181.74993027852094</v>
      </c>
      <c r="AA753" s="289">
        <f t="shared" si="162"/>
        <v>363498.93573253375</v>
      </c>
      <c r="AB753" s="288">
        <f t="shared" si="163"/>
        <v>1.8174946786626687</v>
      </c>
    </row>
    <row r="754" spans="13:28" ht="12" hidden="1" customHeight="1">
      <c r="M754" s="266"/>
      <c r="N754" s="288">
        <f t="shared" si="164"/>
        <v>11.599999999999859</v>
      </c>
      <c r="O754" s="285">
        <f t="shared" si="150"/>
        <v>150</v>
      </c>
      <c r="P754" s="289">
        <f t="shared" si="151"/>
        <v>4000000</v>
      </c>
      <c r="Q754" s="285">
        <f t="shared" si="152"/>
        <v>110</v>
      </c>
      <c r="R754" s="285">
        <f t="shared" si="153"/>
        <v>85</v>
      </c>
      <c r="S754" s="285">
        <f t="shared" si="154"/>
        <v>0.35</v>
      </c>
      <c r="T754" s="285">
        <f t="shared" si="155"/>
        <v>3.2</v>
      </c>
      <c r="U754" s="285">
        <f t="shared" si="156"/>
        <v>1</v>
      </c>
      <c r="V754" s="285">
        <f t="shared" si="157"/>
        <v>4.5</v>
      </c>
      <c r="W754" s="285">
        <f t="shared" si="158"/>
        <v>1.5</v>
      </c>
      <c r="X754" s="289">
        <f t="shared" si="159"/>
        <v>178292.41357789267</v>
      </c>
      <c r="Y754" s="288">
        <f t="shared" si="160"/>
        <v>0.89146206788946336</v>
      </c>
      <c r="Z754" s="256">
        <f t="shared" si="161"/>
        <v>181.74993027852094</v>
      </c>
      <c r="AA754" s="289">
        <f t="shared" si="162"/>
        <v>365582.38453825662</v>
      </c>
      <c r="AB754" s="288">
        <f t="shared" si="163"/>
        <v>1.827911922691283</v>
      </c>
    </row>
    <row r="755" spans="13:28" ht="12" hidden="1" customHeight="1">
      <c r="M755" s="266"/>
      <c r="N755" s="288">
        <f t="shared" si="164"/>
        <v>11.609999999999859</v>
      </c>
      <c r="O755" s="285">
        <f t="shared" si="150"/>
        <v>150</v>
      </c>
      <c r="P755" s="289">
        <f t="shared" si="151"/>
        <v>4000000</v>
      </c>
      <c r="Q755" s="285">
        <f t="shared" si="152"/>
        <v>110</v>
      </c>
      <c r="R755" s="285">
        <f t="shared" si="153"/>
        <v>85</v>
      </c>
      <c r="S755" s="285">
        <f t="shared" si="154"/>
        <v>0.35</v>
      </c>
      <c r="T755" s="285">
        <f t="shared" si="155"/>
        <v>3.2</v>
      </c>
      <c r="U755" s="285">
        <f t="shared" si="156"/>
        <v>1</v>
      </c>
      <c r="V755" s="285">
        <f t="shared" si="157"/>
        <v>4.5</v>
      </c>
      <c r="W755" s="285">
        <f t="shared" si="158"/>
        <v>1.5</v>
      </c>
      <c r="X755" s="289">
        <f t="shared" si="159"/>
        <v>179313.53254530623</v>
      </c>
      <c r="Y755" s="288">
        <f t="shared" si="160"/>
        <v>0.8965676627265311</v>
      </c>
      <c r="Z755" s="256">
        <f t="shared" si="161"/>
        <v>181.74993027852094</v>
      </c>
      <c r="AA755" s="289">
        <f t="shared" si="162"/>
        <v>367676.15341778012</v>
      </c>
      <c r="AB755" s="288">
        <f t="shared" si="163"/>
        <v>1.8383807670889005</v>
      </c>
    </row>
    <row r="756" spans="13:28" ht="12" hidden="1" customHeight="1">
      <c r="M756" s="266"/>
      <c r="N756" s="288">
        <f t="shared" si="164"/>
        <v>11.619999999999859</v>
      </c>
      <c r="O756" s="285">
        <f t="shared" si="150"/>
        <v>150</v>
      </c>
      <c r="P756" s="289">
        <f t="shared" si="151"/>
        <v>4000000</v>
      </c>
      <c r="Q756" s="285">
        <f t="shared" si="152"/>
        <v>110</v>
      </c>
      <c r="R756" s="285">
        <f t="shared" si="153"/>
        <v>85</v>
      </c>
      <c r="S756" s="285">
        <f t="shared" si="154"/>
        <v>0.35</v>
      </c>
      <c r="T756" s="285">
        <f t="shared" si="155"/>
        <v>3.2</v>
      </c>
      <c r="U756" s="285">
        <f t="shared" si="156"/>
        <v>1</v>
      </c>
      <c r="V756" s="285">
        <f t="shared" si="157"/>
        <v>4.5</v>
      </c>
      <c r="W756" s="285">
        <f t="shared" si="158"/>
        <v>1.5</v>
      </c>
      <c r="X756" s="289">
        <f t="shared" si="159"/>
        <v>180339.70555789259</v>
      </c>
      <c r="Y756" s="288">
        <f t="shared" si="160"/>
        <v>0.90169852778946302</v>
      </c>
      <c r="Z756" s="256">
        <f t="shared" si="161"/>
        <v>181.74993027852094</v>
      </c>
      <c r="AA756" s="289">
        <f t="shared" si="162"/>
        <v>369780.28544090741</v>
      </c>
      <c r="AB756" s="288">
        <f t="shared" si="163"/>
        <v>1.848901427204537</v>
      </c>
    </row>
    <row r="757" spans="13:28" ht="12" hidden="1" customHeight="1">
      <c r="M757" s="266"/>
      <c r="N757" s="288">
        <f t="shared" si="164"/>
        <v>11.629999999999859</v>
      </c>
      <c r="O757" s="285">
        <f t="shared" si="150"/>
        <v>150</v>
      </c>
      <c r="P757" s="289">
        <f t="shared" si="151"/>
        <v>4000000</v>
      </c>
      <c r="Q757" s="285">
        <f t="shared" si="152"/>
        <v>110</v>
      </c>
      <c r="R757" s="285">
        <f t="shared" si="153"/>
        <v>85</v>
      </c>
      <c r="S757" s="285">
        <f t="shared" si="154"/>
        <v>0.35</v>
      </c>
      <c r="T757" s="285">
        <f t="shared" si="155"/>
        <v>3.2</v>
      </c>
      <c r="U757" s="285">
        <f t="shared" si="156"/>
        <v>1</v>
      </c>
      <c r="V757" s="285">
        <f t="shared" si="157"/>
        <v>4.5</v>
      </c>
      <c r="W757" s="285">
        <f t="shared" si="158"/>
        <v>1.5</v>
      </c>
      <c r="X757" s="289">
        <f t="shared" si="159"/>
        <v>181370.9536918067</v>
      </c>
      <c r="Y757" s="288">
        <f t="shared" si="160"/>
        <v>0.90685476845903357</v>
      </c>
      <c r="Z757" s="256">
        <f t="shared" si="161"/>
        <v>181.74993027852094</v>
      </c>
      <c r="AA757" s="289">
        <f t="shared" si="162"/>
        <v>371894.82382356271</v>
      </c>
      <c r="AB757" s="288">
        <f t="shared" si="163"/>
        <v>1.8594741191178135</v>
      </c>
    </row>
    <row r="758" spans="13:28" ht="12" hidden="1" customHeight="1">
      <c r="M758" s="266"/>
      <c r="N758" s="288">
        <f t="shared" si="164"/>
        <v>11.639999999999858</v>
      </c>
      <c r="O758" s="285">
        <f t="shared" si="150"/>
        <v>150</v>
      </c>
      <c r="P758" s="289">
        <f t="shared" si="151"/>
        <v>4000000</v>
      </c>
      <c r="Q758" s="285">
        <f t="shared" si="152"/>
        <v>110</v>
      </c>
      <c r="R758" s="285">
        <f t="shared" si="153"/>
        <v>85</v>
      </c>
      <c r="S758" s="285">
        <f t="shared" si="154"/>
        <v>0.35</v>
      </c>
      <c r="T758" s="285">
        <f t="shared" si="155"/>
        <v>3.2</v>
      </c>
      <c r="U758" s="285">
        <f t="shared" si="156"/>
        <v>1</v>
      </c>
      <c r="V758" s="285">
        <f t="shared" si="157"/>
        <v>4.5</v>
      </c>
      <c r="W758" s="285">
        <f t="shared" si="158"/>
        <v>1.5</v>
      </c>
      <c r="X758" s="289">
        <f t="shared" si="159"/>
        <v>182407.29809464936</v>
      </c>
      <c r="Y758" s="288">
        <f t="shared" si="160"/>
        <v>0.91203649047324686</v>
      </c>
      <c r="Z758" s="256">
        <f t="shared" si="161"/>
        <v>181.74993027852094</v>
      </c>
      <c r="AA758" s="289">
        <f t="shared" si="162"/>
        <v>374019.81192816771</v>
      </c>
      <c r="AB758" s="288">
        <f t="shared" si="163"/>
        <v>1.8700990596408384</v>
      </c>
    </row>
    <row r="759" spans="13:28" ht="12" hidden="1" customHeight="1">
      <c r="M759" s="266"/>
      <c r="N759" s="288">
        <f t="shared" si="164"/>
        <v>11.649999999999858</v>
      </c>
      <c r="O759" s="285">
        <f t="shared" si="150"/>
        <v>150</v>
      </c>
      <c r="P759" s="289">
        <f t="shared" si="151"/>
        <v>4000000</v>
      </c>
      <c r="Q759" s="285">
        <f t="shared" si="152"/>
        <v>110</v>
      </c>
      <c r="R759" s="285">
        <f t="shared" si="153"/>
        <v>85</v>
      </c>
      <c r="S759" s="285">
        <f t="shared" si="154"/>
        <v>0.35</v>
      </c>
      <c r="T759" s="285">
        <f t="shared" si="155"/>
        <v>3.2</v>
      </c>
      <c r="U759" s="285">
        <f t="shared" si="156"/>
        <v>1</v>
      </c>
      <c r="V759" s="285">
        <f t="shared" si="157"/>
        <v>4.5</v>
      </c>
      <c r="W759" s="285">
        <f t="shared" si="158"/>
        <v>1.5</v>
      </c>
      <c r="X759" s="289">
        <f t="shared" si="159"/>
        <v>183448.75998565074</v>
      </c>
      <c r="Y759" s="288">
        <f t="shared" si="160"/>
        <v>0.91724379992825367</v>
      </c>
      <c r="Z759" s="256">
        <f t="shared" si="161"/>
        <v>181.74993027852094</v>
      </c>
      <c r="AA759" s="289">
        <f t="shared" si="162"/>
        <v>376155.2932640108</v>
      </c>
      <c r="AB759" s="288">
        <f t="shared" si="163"/>
        <v>1.8807764663200541</v>
      </c>
    </row>
    <row r="760" spans="13:28" ht="12" hidden="1" customHeight="1">
      <c r="M760" s="266"/>
      <c r="N760" s="288">
        <f t="shared" si="164"/>
        <v>11.659999999999858</v>
      </c>
      <c r="O760" s="285">
        <f t="shared" si="150"/>
        <v>150</v>
      </c>
      <c r="P760" s="289">
        <f t="shared" si="151"/>
        <v>4000000</v>
      </c>
      <c r="Q760" s="285">
        <f t="shared" si="152"/>
        <v>110</v>
      </c>
      <c r="R760" s="285">
        <f t="shared" si="153"/>
        <v>85</v>
      </c>
      <c r="S760" s="285">
        <f t="shared" si="154"/>
        <v>0.35</v>
      </c>
      <c r="T760" s="285">
        <f t="shared" si="155"/>
        <v>3.2</v>
      </c>
      <c r="U760" s="285">
        <f t="shared" si="156"/>
        <v>1</v>
      </c>
      <c r="V760" s="285">
        <f t="shared" si="157"/>
        <v>4.5</v>
      </c>
      <c r="W760" s="285">
        <f t="shared" si="158"/>
        <v>1.5</v>
      </c>
      <c r="X760" s="289">
        <f t="shared" si="159"/>
        <v>184495.36065585958</v>
      </c>
      <c r="Y760" s="288">
        <f t="shared" si="160"/>
        <v>0.92247680327929793</v>
      </c>
      <c r="Z760" s="256">
        <f t="shared" si="161"/>
        <v>181.74993027852094</v>
      </c>
      <c r="AA760" s="289">
        <f t="shared" si="162"/>
        <v>378301.31148764724</v>
      </c>
      <c r="AB760" s="288">
        <f t="shared" si="163"/>
        <v>1.8915065574382361</v>
      </c>
    </row>
    <row r="761" spans="13:28" ht="12" hidden="1" customHeight="1">
      <c r="M761" s="266"/>
      <c r="N761" s="288">
        <f t="shared" si="164"/>
        <v>11.669999999999858</v>
      </c>
      <c r="O761" s="285">
        <f t="shared" si="150"/>
        <v>150</v>
      </c>
      <c r="P761" s="289">
        <f t="shared" si="151"/>
        <v>4000000</v>
      </c>
      <c r="Q761" s="285">
        <f t="shared" si="152"/>
        <v>110</v>
      </c>
      <c r="R761" s="285">
        <f t="shared" si="153"/>
        <v>85</v>
      </c>
      <c r="S761" s="285">
        <f t="shared" si="154"/>
        <v>0.35</v>
      </c>
      <c r="T761" s="285">
        <f t="shared" si="155"/>
        <v>3.2</v>
      </c>
      <c r="U761" s="285">
        <f t="shared" si="156"/>
        <v>1</v>
      </c>
      <c r="V761" s="285">
        <f t="shared" si="157"/>
        <v>4.5</v>
      </c>
      <c r="W761" s="285">
        <f t="shared" si="158"/>
        <v>1.5</v>
      </c>
      <c r="X761" s="289">
        <f t="shared" si="159"/>
        <v>185547.12146833076</v>
      </c>
      <c r="Y761" s="288">
        <f t="shared" si="160"/>
        <v>0.92773560734165383</v>
      </c>
      <c r="Z761" s="256">
        <f t="shared" si="161"/>
        <v>181.74993027852094</v>
      </c>
      <c r="AA761" s="289">
        <f t="shared" si="162"/>
        <v>380457.91040327703</v>
      </c>
      <c r="AB761" s="288">
        <f t="shared" si="163"/>
        <v>1.9022895520163852</v>
      </c>
    </row>
    <row r="762" spans="13:28" ht="12" hidden="1" customHeight="1">
      <c r="M762" s="266"/>
      <c r="N762" s="288">
        <f t="shared" si="164"/>
        <v>11.679999999999858</v>
      </c>
      <c r="O762" s="285">
        <f t="shared" si="150"/>
        <v>150</v>
      </c>
      <c r="P762" s="289">
        <f t="shared" si="151"/>
        <v>4000000</v>
      </c>
      <c r="Q762" s="285">
        <f t="shared" si="152"/>
        <v>110</v>
      </c>
      <c r="R762" s="285">
        <f t="shared" si="153"/>
        <v>85</v>
      </c>
      <c r="S762" s="285">
        <f t="shared" si="154"/>
        <v>0.35</v>
      </c>
      <c r="T762" s="285">
        <f t="shared" si="155"/>
        <v>3.2</v>
      </c>
      <c r="U762" s="285">
        <f t="shared" si="156"/>
        <v>1</v>
      </c>
      <c r="V762" s="285">
        <f t="shared" si="157"/>
        <v>4.5</v>
      </c>
      <c r="W762" s="285">
        <f t="shared" si="158"/>
        <v>1.5</v>
      </c>
      <c r="X762" s="289">
        <f t="shared" si="159"/>
        <v>186604.06385830996</v>
      </c>
      <c r="Y762" s="288">
        <f t="shared" si="160"/>
        <v>0.93302031929154983</v>
      </c>
      <c r="Z762" s="256">
        <f t="shared" si="161"/>
        <v>181.74993027852094</v>
      </c>
      <c r="AA762" s="289">
        <f t="shared" si="162"/>
        <v>382625.1339631257</v>
      </c>
      <c r="AB762" s="288">
        <f t="shared" si="163"/>
        <v>1.9131256698156285</v>
      </c>
    </row>
    <row r="763" spans="13:28" ht="12" hidden="1" customHeight="1">
      <c r="M763" s="266"/>
      <c r="N763" s="288">
        <f t="shared" si="164"/>
        <v>11.689999999999857</v>
      </c>
      <c r="O763" s="285">
        <f t="shared" si="150"/>
        <v>150</v>
      </c>
      <c r="P763" s="289">
        <f t="shared" si="151"/>
        <v>4000000</v>
      </c>
      <c r="Q763" s="285">
        <f t="shared" si="152"/>
        <v>110</v>
      </c>
      <c r="R763" s="285">
        <f t="shared" si="153"/>
        <v>85</v>
      </c>
      <c r="S763" s="285">
        <f t="shared" si="154"/>
        <v>0.35</v>
      </c>
      <c r="T763" s="285">
        <f t="shared" si="155"/>
        <v>3.2</v>
      </c>
      <c r="U763" s="285">
        <f t="shared" si="156"/>
        <v>1</v>
      </c>
      <c r="V763" s="285">
        <f t="shared" si="157"/>
        <v>4.5</v>
      </c>
      <c r="W763" s="285">
        <f t="shared" si="158"/>
        <v>1.5</v>
      </c>
      <c r="X763" s="289">
        <f t="shared" si="159"/>
        <v>187666.20933342207</v>
      </c>
      <c r="Y763" s="288">
        <f t="shared" si="160"/>
        <v>0.93833104666711031</v>
      </c>
      <c r="Z763" s="256">
        <f t="shared" si="161"/>
        <v>181.74993027852094</v>
      </c>
      <c r="AA763" s="289">
        <f t="shared" si="162"/>
        <v>384803.02626782743</v>
      </c>
      <c r="AB763" s="288">
        <f t="shared" si="163"/>
        <v>1.9240151313391372</v>
      </c>
    </row>
    <row r="764" spans="13:28" ht="12" hidden="1" customHeight="1">
      <c r="M764" s="266"/>
      <c r="N764" s="288">
        <f t="shared" si="164"/>
        <v>11.699999999999857</v>
      </c>
      <c r="O764" s="285">
        <f t="shared" si="150"/>
        <v>150</v>
      </c>
      <c r="P764" s="289">
        <f t="shared" si="151"/>
        <v>4000000</v>
      </c>
      <c r="Q764" s="285">
        <f t="shared" si="152"/>
        <v>110</v>
      </c>
      <c r="R764" s="285">
        <f t="shared" si="153"/>
        <v>85</v>
      </c>
      <c r="S764" s="285">
        <f t="shared" si="154"/>
        <v>0.35</v>
      </c>
      <c r="T764" s="285">
        <f t="shared" si="155"/>
        <v>3.2</v>
      </c>
      <c r="U764" s="285">
        <f t="shared" si="156"/>
        <v>1</v>
      </c>
      <c r="V764" s="285">
        <f t="shared" si="157"/>
        <v>4.5</v>
      </c>
      <c r="W764" s="285">
        <f t="shared" si="158"/>
        <v>1.5</v>
      </c>
      <c r="X764" s="289">
        <f t="shared" si="159"/>
        <v>188733.57947386135</v>
      </c>
      <c r="Y764" s="288">
        <f t="shared" si="160"/>
        <v>0.94366789736930679</v>
      </c>
      <c r="Z764" s="256">
        <f t="shared" si="161"/>
        <v>181.74993027852094</v>
      </c>
      <c r="AA764" s="289">
        <f t="shared" si="162"/>
        <v>386991.63156681991</v>
      </c>
      <c r="AB764" s="288">
        <f t="shared" si="163"/>
        <v>1.9349581578340995</v>
      </c>
    </row>
    <row r="765" spans="13:28" ht="12" hidden="1" customHeight="1">
      <c r="M765" s="266"/>
      <c r="N765" s="288">
        <f t="shared" si="164"/>
        <v>11.709999999999857</v>
      </c>
      <c r="O765" s="285">
        <f t="shared" si="150"/>
        <v>150</v>
      </c>
      <c r="P765" s="289">
        <f t="shared" si="151"/>
        <v>4000000</v>
      </c>
      <c r="Q765" s="285">
        <f t="shared" si="152"/>
        <v>110</v>
      </c>
      <c r="R765" s="285">
        <f t="shared" si="153"/>
        <v>85</v>
      </c>
      <c r="S765" s="285">
        <f t="shared" si="154"/>
        <v>0.35</v>
      </c>
      <c r="T765" s="285">
        <f t="shared" si="155"/>
        <v>3.2</v>
      </c>
      <c r="U765" s="285">
        <f t="shared" si="156"/>
        <v>1</v>
      </c>
      <c r="V765" s="285">
        <f t="shared" si="157"/>
        <v>4.5</v>
      </c>
      <c r="W765" s="285">
        <f t="shared" si="158"/>
        <v>1.5</v>
      </c>
      <c r="X765" s="289">
        <f t="shared" si="159"/>
        <v>189806.1959325808</v>
      </c>
      <c r="Y765" s="288">
        <f t="shared" si="160"/>
        <v>0.94903097966290395</v>
      </c>
      <c r="Z765" s="256">
        <f t="shared" si="161"/>
        <v>181.74993027852094</v>
      </c>
      <c r="AA765" s="289">
        <f t="shared" si="162"/>
        <v>389190.99425872898</v>
      </c>
      <c r="AB765" s="288">
        <f t="shared" si="163"/>
        <v>1.945954971293645</v>
      </c>
    </row>
    <row r="766" spans="13:28" ht="12" hidden="1" customHeight="1">
      <c r="M766" s="266"/>
      <c r="N766" s="288">
        <f t="shared" si="164"/>
        <v>11.719999999999857</v>
      </c>
      <c r="O766" s="285">
        <f t="shared" si="150"/>
        <v>150</v>
      </c>
      <c r="P766" s="289">
        <f t="shared" si="151"/>
        <v>4000000</v>
      </c>
      <c r="Q766" s="285">
        <f t="shared" si="152"/>
        <v>110</v>
      </c>
      <c r="R766" s="285">
        <f t="shared" si="153"/>
        <v>85</v>
      </c>
      <c r="S766" s="285">
        <f t="shared" si="154"/>
        <v>0.35</v>
      </c>
      <c r="T766" s="285">
        <f t="shared" si="155"/>
        <v>3.2</v>
      </c>
      <c r="U766" s="285">
        <f t="shared" si="156"/>
        <v>1</v>
      </c>
      <c r="V766" s="285">
        <f t="shared" si="157"/>
        <v>4.5</v>
      </c>
      <c r="W766" s="285">
        <f t="shared" si="158"/>
        <v>1.5</v>
      </c>
      <c r="X766" s="289">
        <f t="shared" si="159"/>
        <v>190884.08043547565</v>
      </c>
      <c r="Y766" s="288">
        <f t="shared" si="160"/>
        <v>0.95442040217737822</v>
      </c>
      <c r="Z766" s="256">
        <f t="shared" si="161"/>
        <v>181.74993027852094</v>
      </c>
      <c r="AA766" s="289">
        <f t="shared" si="162"/>
        <v>391401.15889174549</v>
      </c>
      <c r="AB766" s="288">
        <f t="shared" si="163"/>
        <v>1.9570057944587276</v>
      </c>
    </row>
    <row r="767" spans="13:28" ht="12" hidden="1" customHeight="1">
      <c r="M767" s="266"/>
      <c r="N767" s="288">
        <f t="shared" si="164"/>
        <v>11.729999999999857</v>
      </c>
      <c r="O767" s="285">
        <f t="shared" si="150"/>
        <v>150</v>
      </c>
      <c r="P767" s="289">
        <f t="shared" si="151"/>
        <v>4000000</v>
      </c>
      <c r="Q767" s="285">
        <f t="shared" si="152"/>
        <v>110</v>
      </c>
      <c r="R767" s="285">
        <f t="shared" si="153"/>
        <v>85</v>
      </c>
      <c r="S767" s="285">
        <f t="shared" si="154"/>
        <v>0.35</v>
      </c>
      <c r="T767" s="285">
        <f t="shared" si="155"/>
        <v>3.2</v>
      </c>
      <c r="U767" s="285">
        <f t="shared" si="156"/>
        <v>1</v>
      </c>
      <c r="V767" s="285">
        <f t="shared" si="157"/>
        <v>4.5</v>
      </c>
      <c r="W767" s="285">
        <f t="shared" si="158"/>
        <v>1.5</v>
      </c>
      <c r="X767" s="289">
        <f t="shared" si="159"/>
        <v>191967.25478157605</v>
      </c>
      <c r="Y767" s="288">
        <f t="shared" si="160"/>
        <v>0.95983627390788029</v>
      </c>
      <c r="Z767" s="256">
        <f t="shared" si="161"/>
        <v>181.74993027852094</v>
      </c>
      <c r="AA767" s="289">
        <f t="shared" si="162"/>
        <v>393622.17016402294</v>
      </c>
      <c r="AB767" s="288">
        <f t="shared" si="163"/>
        <v>1.9681108508201146</v>
      </c>
    </row>
    <row r="768" spans="13:28" ht="12" hidden="1" customHeight="1">
      <c r="M768" s="266"/>
      <c r="N768" s="288">
        <f t="shared" si="164"/>
        <v>11.739999999999856</v>
      </c>
      <c r="O768" s="285">
        <f t="shared" si="150"/>
        <v>150</v>
      </c>
      <c r="P768" s="289">
        <f t="shared" si="151"/>
        <v>4000000</v>
      </c>
      <c r="Q768" s="285">
        <f t="shared" si="152"/>
        <v>110</v>
      </c>
      <c r="R768" s="285">
        <f t="shared" si="153"/>
        <v>85</v>
      </c>
      <c r="S768" s="285">
        <f t="shared" si="154"/>
        <v>0.35</v>
      </c>
      <c r="T768" s="285">
        <f t="shared" si="155"/>
        <v>3.2</v>
      </c>
      <c r="U768" s="285">
        <f t="shared" si="156"/>
        <v>1</v>
      </c>
      <c r="V768" s="285">
        <f t="shared" si="157"/>
        <v>4.5</v>
      </c>
      <c r="W768" s="285">
        <f t="shared" si="158"/>
        <v>1.5</v>
      </c>
      <c r="X768" s="289">
        <f t="shared" si="159"/>
        <v>193055.74084323712</v>
      </c>
      <c r="Y768" s="288">
        <f t="shared" si="160"/>
        <v>0.96527870421618556</v>
      </c>
      <c r="Z768" s="256">
        <f t="shared" si="161"/>
        <v>181.74993027852094</v>
      </c>
      <c r="AA768" s="289">
        <f t="shared" si="162"/>
        <v>395854.07292406372</v>
      </c>
      <c r="AB768" s="288">
        <f t="shared" si="163"/>
        <v>1.9792703646203185</v>
      </c>
    </row>
    <row r="769" spans="13:28" ht="12" hidden="1" customHeight="1">
      <c r="M769" s="266"/>
      <c r="N769" s="288">
        <f t="shared" si="164"/>
        <v>11.749999999999856</v>
      </c>
      <c r="O769" s="285">
        <f t="shared" si="150"/>
        <v>150</v>
      </c>
      <c r="P769" s="289">
        <f t="shared" si="151"/>
        <v>4000000</v>
      </c>
      <c r="Q769" s="285">
        <f t="shared" si="152"/>
        <v>110</v>
      </c>
      <c r="R769" s="285">
        <f t="shared" si="153"/>
        <v>85</v>
      </c>
      <c r="S769" s="285">
        <f t="shared" si="154"/>
        <v>0.35</v>
      </c>
      <c r="T769" s="285">
        <f t="shared" si="155"/>
        <v>3.2</v>
      </c>
      <c r="U769" s="285">
        <f t="shared" si="156"/>
        <v>1</v>
      </c>
      <c r="V769" s="285">
        <f t="shared" si="157"/>
        <v>4.5</v>
      </c>
      <c r="W769" s="285">
        <f t="shared" si="158"/>
        <v>1.5</v>
      </c>
      <c r="X769" s="289">
        <f t="shared" si="159"/>
        <v>194149.56056633036</v>
      </c>
      <c r="Y769" s="288">
        <f t="shared" si="160"/>
        <v>0.97074780283165174</v>
      </c>
      <c r="Z769" s="256">
        <f t="shared" si="161"/>
        <v>181.74993027852094</v>
      </c>
      <c r="AA769" s="289">
        <f t="shared" si="162"/>
        <v>398096.91217111098</v>
      </c>
      <c r="AB769" s="288">
        <f t="shared" si="163"/>
        <v>1.9904845608555548</v>
      </c>
    </row>
    <row r="770" spans="13:28" ht="12" hidden="1" customHeight="1">
      <c r="M770" s="266"/>
      <c r="N770" s="288">
        <f t="shared" si="164"/>
        <v>11.759999999999856</v>
      </c>
      <c r="O770" s="285">
        <f t="shared" si="150"/>
        <v>150</v>
      </c>
      <c r="P770" s="289">
        <f t="shared" si="151"/>
        <v>4000000</v>
      </c>
      <c r="Q770" s="285">
        <f t="shared" si="152"/>
        <v>110</v>
      </c>
      <c r="R770" s="285">
        <f t="shared" si="153"/>
        <v>85</v>
      </c>
      <c r="S770" s="285">
        <f t="shared" si="154"/>
        <v>0.35</v>
      </c>
      <c r="T770" s="285">
        <f t="shared" si="155"/>
        <v>3.2</v>
      </c>
      <c r="U770" s="285">
        <f t="shared" si="156"/>
        <v>1</v>
      </c>
      <c r="V770" s="285">
        <f t="shared" si="157"/>
        <v>4.5</v>
      </c>
      <c r="W770" s="285">
        <f t="shared" si="158"/>
        <v>1.5</v>
      </c>
      <c r="X770" s="289">
        <f t="shared" si="159"/>
        <v>195248.73597042562</v>
      </c>
      <c r="Y770" s="288">
        <f t="shared" si="160"/>
        <v>0.97624367985212812</v>
      </c>
      <c r="Z770" s="256">
        <f t="shared" si="161"/>
        <v>181.74993027852094</v>
      </c>
      <c r="AA770" s="289">
        <f t="shared" si="162"/>
        <v>400350.73305552785</v>
      </c>
      <c r="AB770" s="288">
        <f t="shared" si="163"/>
        <v>2.0017536652776391</v>
      </c>
    </row>
    <row r="771" spans="13:28" ht="12" hidden="1" customHeight="1">
      <c r="M771" s="266"/>
      <c r="N771" s="288">
        <f t="shared" si="164"/>
        <v>11.769999999999856</v>
      </c>
      <c r="O771" s="285">
        <f t="shared" si="150"/>
        <v>150</v>
      </c>
      <c r="P771" s="289">
        <f t="shared" si="151"/>
        <v>4000000</v>
      </c>
      <c r="Q771" s="285">
        <f t="shared" si="152"/>
        <v>110</v>
      </c>
      <c r="R771" s="285">
        <f t="shared" si="153"/>
        <v>85</v>
      </c>
      <c r="S771" s="285">
        <f t="shared" si="154"/>
        <v>0.35</v>
      </c>
      <c r="T771" s="285">
        <f t="shared" si="155"/>
        <v>3.2</v>
      </c>
      <c r="U771" s="285">
        <f t="shared" si="156"/>
        <v>1</v>
      </c>
      <c r="V771" s="285">
        <f t="shared" si="157"/>
        <v>4.5</v>
      </c>
      <c r="W771" s="285">
        <f t="shared" si="158"/>
        <v>1.5</v>
      </c>
      <c r="X771" s="289">
        <f t="shared" si="159"/>
        <v>196353.28914899137</v>
      </c>
      <c r="Y771" s="288">
        <f t="shared" si="160"/>
        <v>0.98176644574495686</v>
      </c>
      <c r="Z771" s="256">
        <f t="shared" si="161"/>
        <v>181.74993027852094</v>
      </c>
      <c r="AA771" s="289">
        <f t="shared" si="162"/>
        <v>402615.58087920136</v>
      </c>
      <c r="AB771" s="288">
        <f t="shared" si="163"/>
        <v>2.013077904396007</v>
      </c>
    </row>
    <row r="772" spans="13:28" ht="12" hidden="1" customHeight="1">
      <c r="M772" s="266"/>
      <c r="N772" s="288">
        <f t="shared" si="164"/>
        <v>11.779999999999855</v>
      </c>
      <c r="O772" s="285">
        <f t="shared" si="150"/>
        <v>150</v>
      </c>
      <c r="P772" s="289">
        <f t="shared" si="151"/>
        <v>4000000</v>
      </c>
      <c r="Q772" s="285">
        <f t="shared" si="152"/>
        <v>110</v>
      </c>
      <c r="R772" s="285">
        <f t="shared" si="153"/>
        <v>85</v>
      </c>
      <c r="S772" s="285">
        <f t="shared" si="154"/>
        <v>0.35</v>
      </c>
      <c r="T772" s="285">
        <f t="shared" si="155"/>
        <v>3.2</v>
      </c>
      <c r="U772" s="285">
        <f t="shared" si="156"/>
        <v>1</v>
      </c>
      <c r="V772" s="285">
        <f t="shared" si="157"/>
        <v>4.5</v>
      </c>
      <c r="W772" s="285">
        <f t="shared" si="158"/>
        <v>1.5</v>
      </c>
      <c r="X772" s="289">
        <f t="shared" si="159"/>
        <v>197463.24226958057</v>
      </c>
      <c r="Y772" s="288">
        <f t="shared" si="160"/>
        <v>0.98731621134790282</v>
      </c>
      <c r="Z772" s="256">
        <f t="shared" si="161"/>
        <v>181.74993027852094</v>
      </c>
      <c r="AA772" s="289">
        <f t="shared" si="162"/>
        <v>404891.50109592592</v>
      </c>
      <c r="AB772" s="288">
        <f t="shared" si="163"/>
        <v>2.0244575054796297</v>
      </c>
    </row>
    <row r="773" spans="13:28" ht="12" hidden="1" customHeight="1">
      <c r="M773" s="266"/>
      <c r="N773" s="288">
        <f t="shared" si="164"/>
        <v>11.789999999999855</v>
      </c>
      <c r="O773" s="285">
        <f t="shared" si="150"/>
        <v>150</v>
      </c>
      <c r="P773" s="289">
        <f t="shared" si="151"/>
        <v>4000000</v>
      </c>
      <c r="Q773" s="285">
        <f t="shared" si="152"/>
        <v>110</v>
      </c>
      <c r="R773" s="285">
        <f t="shared" si="153"/>
        <v>85</v>
      </c>
      <c r="S773" s="285">
        <f t="shared" si="154"/>
        <v>0.35</v>
      </c>
      <c r="T773" s="285">
        <f t="shared" si="155"/>
        <v>3.2</v>
      </c>
      <c r="U773" s="285">
        <f t="shared" si="156"/>
        <v>1</v>
      </c>
      <c r="V773" s="285">
        <f t="shared" si="157"/>
        <v>4.5</v>
      </c>
      <c r="W773" s="285">
        <f t="shared" si="158"/>
        <v>1.5</v>
      </c>
      <c r="X773" s="289">
        <f t="shared" si="159"/>
        <v>198578.61757402375</v>
      </c>
      <c r="Y773" s="288">
        <f t="shared" si="160"/>
        <v>0.99289308787011876</v>
      </c>
      <c r="Z773" s="256">
        <f t="shared" si="161"/>
        <v>181.74993027852094</v>
      </c>
      <c r="AA773" s="289">
        <f t="shared" si="162"/>
        <v>407178.53931180265</v>
      </c>
      <c r="AB773" s="288">
        <f t="shared" si="163"/>
        <v>2.0358926965590132</v>
      </c>
    </row>
    <row r="774" spans="13:28" ht="12" hidden="1" customHeight="1">
      <c r="M774" s="266"/>
      <c r="N774" s="288">
        <f t="shared" si="164"/>
        <v>11.799999999999855</v>
      </c>
      <c r="O774" s="285">
        <f t="shared" si="150"/>
        <v>150</v>
      </c>
      <c r="P774" s="289">
        <f t="shared" si="151"/>
        <v>4000000</v>
      </c>
      <c r="Q774" s="285">
        <f t="shared" si="152"/>
        <v>110</v>
      </c>
      <c r="R774" s="285">
        <f t="shared" si="153"/>
        <v>85</v>
      </c>
      <c r="S774" s="285">
        <f t="shared" si="154"/>
        <v>0.35</v>
      </c>
      <c r="T774" s="285">
        <f t="shared" si="155"/>
        <v>3.2</v>
      </c>
      <c r="U774" s="285">
        <f t="shared" si="156"/>
        <v>1</v>
      </c>
      <c r="V774" s="285">
        <f t="shared" si="157"/>
        <v>4.5</v>
      </c>
      <c r="W774" s="285">
        <f t="shared" si="158"/>
        <v>1.5</v>
      </c>
      <c r="X774" s="289">
        <f t="shared" si="159"/>
        <v>199699.43737861802</v>
      </c>
      <c r="Y774" s="288">
        <f t="shared" si="160"/>
        <v>0.99849718689309008</v>
      </c>
      <c r="Z774" s="256">
        <f t="shared" si="161"/>
        <v>181.74993027852094</v>
      </c>
      <c r="AA774" s="289">
        <f t="shared" si="162"/>
        <v>409476.7412856195</v>
      </c>
      <c r="AB774" s="288">
        <f t="shared" si="163"/>
        <v>2.0473837064280973</v>
      </c>
    </row>
    <row r="775" spans="13:28" ht="12" hidden="1" customHeight="1">
      <c r="M775" s="266"/>
      <c r="N775" s="288" t="str">
        <f t="shared" si="164"/>
        <v/>
      </c>
      <c r="O775" s="285">
        <f t="shared" si="150"/>
        <v>150</v>
      </c>
      <c r="P775" s="289">
        <f t="shared" si="151"/>
        <v>4000000</v>
      </c>
      <c r="Q775" s="285">
        <f t="shared" si="152"/>
        <v>110</v>
      </c>
      <c r="R775" s="285">
        <f t="shared" si="153"/>
        <v>85</v>
      </c>
      <c r="S775" s="285">
        <f t="shared" si="154"/>
        <v>0.35</v>
      </c>
      <c r="T775" s="285">
        <f t="shared" si="155"/>
        <v>3.2</v>
      </c>
      <c r="U775" s="285">
        <f t="shared" si="156"/>
        <v>1</v>
      </c>
      <c r="V775" s="285">
        <f t="shared" si="157"/>
        <v>4.5</v>
      </c>
      <c r="W775" s="285">
        <f t="shared" si="158"/>
        <v>1.5</v>
      </c>
      <c r="X775" s="289" t="e">
        <f t="shared" si="159"/>
        <v>#VALUE!</v>
      </c>
      <c r="Y775" s="288" t="e">
        <f t="shared" si="160"/>
        <v>#VALUE!</v>
      </c>
      <c r="Z775" s="256">
        <f t="shared" si="161"/>
        <v>181.74993027852094</v>
      </c>
      <c r="AA775" s="289" t="e">
        <f t="shared" si="162"/>
        <v>#VALUE!</v>
      </c>
      <c r="AB775" s="288" t="e">
        <f t="shared" si="163"/>
        <v>#VALUE!</v>
      </c>
    </row>
    <row r="776" spans="13:28" ht="12" hidden="1" customHeight="1">
      <c r="M776" s="266"/>
      <c r="N776" s="288" t="str">
        <f t="shared" si="164"/>
        <v/>
      </c>
      <c r="O776" s="285">
        <f t="shared" si="150"/>
        <v>150</v>
      </c>
      <c r="P776" s="289">
        <f t="shared" si="151"/>
        <v>4000000</v>
      </c>
      <c r="Q776" s="285">
        <f t="shared" si="152"/>
        <v>110</v>
      </c>
      <c r="R776" s="285">
        <f t="shared" si="153"/>
        <v>85</v>
      </c>
      <c r="S776" s="285">
        <f t="shared" si="154"/>
        <v>0.35</v>
      </c>
      <c r="T776" s="285">
        <f t="shared" si="155"/>
        <v>3.2</v>
      </c>
      <c r="U776" s="285">
        <f t="shared" si="156"/>
        <v>1</v>
      </c>
      <c r="V776" s="285">
        <f t="shared" si="157"/>
        <v>4.5</v>
      </c>
      <c r="W776" s="285">
        <f t="shared" si="158"/>
        <v>1.5</v>
      </c>
      <c r="X776" s="289" t="e">
        <f t="shared" si="159"/>
        <v>#VALUE!</v>
      </c>
      <c r="Y776" s="288" t="e">
        <f t="shared" si="160"/>
        <v>#VALUE!</v>
      </c>
      <c r="Z776" s="256">
        <f t="shared" si="161"/>
        <v>181.74993027852094</v>
      </c>
      <c r="AA776" s="289" t="e">
        <f t="shared" si="162"/>
        <v>#VALUE!</v>
      </c>
      <c r="AB776" s="288" t="e">
        <f t="shared" si="163"/>
        <v>#VALUE!</v>
      </c>
    </row>
    <row r="777" spans="13:28" ht="12" hidden="1" customHeight="1">
      <c r="M777" s="266"/>
      <c r="N777" s="288" t="str">
        <f t="shared" si="164"/>
        <v/>
      </c>
      <c r="O777" s="285">
        <f t="shared" si="150"/>
        <v>150</v>
      </c>
      <c r="P777" s="289">
        <f t="shared" si="151"/>
        <v>4000000</v>
      </c>
      <c r="Q777" s="285">
        <f t="shared" si="152"/>
        <v>110</v>
      </c>
      <c r="R777" s="285">
        <f t="shared" si="153"/>
        <v>85</v>
      </c>
      <c r="S777" s="285">
        <f t="shared" si="154"/>
        <v>0.35</v>
      </c>
      <c r="T777" s="285">
        <f t="shared" si="155"/>
        <v>3.2</v>
      </c>
      <c r="U777" s="285">
        <f t="shared" si="156"/>
        <v>1</v>
      </c>
      <c r="V777" s="285">
        <f t="shared" si="157"/>
        <v>4.5</v>
      </c>
      <c r="W777" s="285">
        <f t="shared" si="158"/>
        <v>1.5</v>
      </c>
      <c r="X777" s="289" t="e">
        <f t="shared" si="159"/>
        <v>#VALUE!</v>
      </c>
      <c r="Y777" s="288" t="e">
        <f t="shared" si="160"/>
        <v>#VALUE!</v>
      </c>
      <c r="Z777" s="256">
        <f t="shared" si="161"/>
        <v>181.74993027852094</v>
      </c>
      <c r="AA777" s="289" t="e">
        <f t="shared" si="162"/>
        <v>#VALUE!</v>
      </c>
      <c r="AB777" s="288" t="e">
        <f t="shared" si="163"/>
        <v>#VALUE!</v>
      </c>
    </row>
    <row r="778" spans="13:28" ht="12" hidden="1" customHeight="1">
      <c r="M778" s="266"/>
      <c r="N778" s="288" t="str">
        <f t="shared" si="164"/>
        <v/>
      </c>
      <c r="O778" s="285">
        <f t="shared" si="150"/>
        <v>150</v>
      </c>
      <c r="P778" s="289">
        <f t="shared" si="151"/>
        <v>4000000</v>
      </c>
      <c r="Q778" s="285">
        <f t="shared" si="152"/>
        <v>110</v>
      </c>
      <c r="R778" s="285">
        <f t="shared" si="153"/>
        <v>85</v>
      </c>
      <c r="S778" s="285">
        <f t="shared" si="154"/>
        <v>0.35</v>
      </c>
      <c r="T778" s="285">
        <f t="shared" si="155"/>
        <v>3.2</v>
      </c>
      <c r="U778" s="285">
        <f t="shared" si="156"/>
        <v>1</v>
      </c>
      <c r="V778" s="285">
        <f t="shared" si="157"/>
        <v>4.5</v>
      </c>
      <c r="W778" s="285">
        <f t="shared" si="158"/>
        <v>1.5</v>
      </c>
      <c r="X778" s="289" t="e">
        <f t="shared" si="159"/>
        <v>#VALUE!</v>
      </c>
      <c r="Y778" s="288" t="e">
        <f t="shared" si="160"/>
        <v>#VALUE!</v>
      </c>
      <c r="Z778" s="256">
        <f t="shared" si="161"/>
        <v>181.74993027852094</v>
      </c>
      <c r="AA778" s="289" t="e">
        <f t="shared" si="162"/>
        <v>#VALUE!</v>
      </c>
      <c r="AB778" s="288" t="e">
        <f t="shared" si="163"/>
        <v>#VALUE!</v>
      </c>
    </row>
    <row r="779" spans="13:28" ht="12" hidden="1" customHeight="1">
      <c r="M779" s="266"/>
      <c r="N779" s="288" t="str">
        <f t="shared" si="164"/>
        <v/>
      </c>
      <c r="O779" s="285">
        <f t="shared" si="150"/>
        <v>150</v>
      </c>
      <c r="P779" s="289">
        <f t="shared" si="151"/>
        <v>4000000</v>
      </c>
      <c r="Q779" s="285">
        <f t="shared" si="152"/>
        <v>110</v>
      </c>
      <c r="R779" s="285">
        <f t="shared" si="153"/>
        <v>85</v>
      </c>
      <c r="S779" s="285">
        <f t="shared" si="154"/>
        <v>0.35</v>
      </c>
      <c r="T779" s="285">
        <f t="shared" si="155"/>
        <v>3.2</v>
      </c>
      <c r="U779" s="285">
        <f t="shared" si="156"/>
        <v>1</v>
      </c>
      <c r="V779" s="285">
        <f t="shared" si="157"/>
        <v>4.5</v>
      </c>
      <c r="W779" s="285">
        <f t="shared" si="158"/>
        <v>1.5</v>
      </c>
      <c r="X779" s="289" t="e">
        <f t="shared" si="159"/>
        <v>#VALUE!</v>
      </c>
      <c r="Y779" s="288" t="e">
        <f t="shared" si="160"/>
        <v>#VALUE!</v>
      </c>
      <c r="Z779" s="256">
        <f t="shared" si="161"/>
        <v>181.74993027852094</v>
      </c>
      <c r="AA779" s="289" t="e">
        <f t="shared" si="162"/>
        <v>#VALUE!</v>
      </c>
      <c r="AB779" s="288" t="e">
        <f t="shared" si="163"/>
        <v>#VALUE!</v>
      </c>
    </row>
    <row r="780" spans="13:28" ht="12" hidden="1" customHeight="1">
      <c r="M780" s="266"/>
      <c r="N780" s="288" t="str">
        <f t="shared" si="164"/>
        <v/>
      </c>
      <c r="O780" s="285">
        <f t="shared" si="150"/>
        <v>150</v>
      </c>
      <c r="P780" s="289">
        <f t="shared" si="151"/>
        <v>4000000</v>
      </c>
      <c r="Q780" s="285">
        <f t="shared" si="152"/>
        <v>110</v>
      </c>
      <c r="R780" s="285">
        <f t="shared" si="153"/>
        <v>85</v>
      </c>
      <c r="S780" s="285">
        <f t="shared" si="154"/>
        <v>0.35</v>
      </c>
      <c r="T780" s="285">
        <f t="shared" si="155"/>
        <v>3.2</v>
      </c>
      <c r="U780" s="285">
        <f t="shared" si="156"/>
        <v>1</v>
      </c>
      <c r="V780" s="285">
        <f t="shared" si="157"/>
        <v>4.5</v>
      </c>
      <c r="W780" s="285">
        <f t="shared" si="158"/>
        <v>1.5</v>
      </c>
      <c r="X780" s="289" t="e">
        <f t="shared" si="159"/>
        <v>#VALUE!</v>
      </c>
      <c r="Y780" s="288" t="e">
        <f t="shared" si="160"/>
        <v>#VALUE!</v>
      </c>
      <c r="Z780" s="256">
        <f t="shared" si="161"/>
        <v>181.74993027852094</v>
      </c>
      <c r="AA780" s="289" t="e">
        <f t="shared" si="162"/>
        <v>#VALUE!</v>
      </c>
      <c r="AB780" s="288" t="e">
        <f t="shared" si="163"/>
        <v>#VALUE!</v>
      </c>
    </row>
    <row r="781" spans="13:28" ht="12" hidden="1" customHeight="1">
      <c r="M781" s="266"/>
      <c r="N781" s="288" t="str">
        <f t="shared" si="164"/>
        <v/>
      </c>
      <c r="O781" s="285">
        <f t="shared" si="150"/>
        <v>150</v>
      </c>
      <c r="P781" s="289">
        <f t="shared" si="151"/>
        <v>4000000</v>
      </c>
      <c r="Q781" s="285">
        <f t="shared" si="152"/>
        <v>110</v>
      </c>
      <c r="R781" s="285">
        <f t="shared" si="153"/>
        <v>85</v>
      </c>
      <c r="S781" s="285">
        <f t="shared" si="154"/>
        <v>0.35</v>
      </c>
      <c r="T781" s="285">
        <f t="shared" si="155"/>
        <v>3.2</v>
      </c>
      <c r="U781" s="285">
        <f t="shared" si="156"/>
        <v>1</v>
      </c>
      <c r="V781" s="285">
        <f t="shared" si="157"/>
        <v>4.5</v>
      </c>
      <c r="W781" s="285">
        <f t="shared" si="158"/>
        <v>1.5</v>
      </c>
      <c r="X781" s="289" t="e">
        <f t="shared" si="159"/>
        <v>#VALUE!</v>
      </c>
      <c r="Y781" s="288" t="e">
        <f t="shared" si="160"/>
        <v>#VALUE!</v>
      </c>
      <c r="Z781" s="256">
        <f t="shared" si="161"/>
        <v>181.74993027852094</v>
      </c>
      <c r="AA781" s="289" t="e">
        <f t="shared" si="162"/>
        <v>#VALUE!</v>
      </c>
      <c r="AB781" s="288" t="e">
        <f t="shared" si="163"/>
        <v>#VALUE!</v>
      </c>
    </row>
    <row r="782" spans="13:28" ht="12" hidden="1" customHeight="1">
      <c r="M782" s="266"/>
      <c r="N782" s="288" t="str">
        <f t="shared" si="164"/>
        <v/>
      </c>
      <c r="O782" s="285">
        <f t="shared" si="150"/>
        <v>150</v>
      </c>
      <c r="P782" s="289">
        <f t="shared" si="151"/>
        <v>4000000</v>
      </c>
      <c r="Q782" s="285">
        <f t="shared" si="152"/>
        <v>110</v>
      </c>
      <c r="R782" s="285">
        <f t="shared" si="153"/>
        <v>85</v>
      </c>
      <c r="S782" s="285">
        <f t="shared" si="154"/>
        <v>0.35</v>
      </c>
      <c r="T782" s="285">
        <f t="shared" si="155"/>
        <v>3.2</v>
      </c>
      <c r="U782" s="285">
        <f t="shared" si="156"/>
        <v>1</v>
      </c>
      <c r="V782" s="285">
        <f t="shared" si="157"/>
        <v>4.5</v>
      </c>
      <c r="W782" s="285">
        <f t="shared" si="158"/>
        <v>1.5</v>
      </c>
      <c r="X782" s="289" t="e">
        <f t="shared" si="159"/>
        <v>#VALUE!</v>
      </c>
      <c r="Y782" s="288" t="e">
        <f t="shared" si="160"/>
        <v>#VALUE!</v>
      </c>
      <c r="Z782" s="256">
        <f t="shared" si="161"/>
        <v>181.74993027852094</v>
      </c>
      <c r="AA782" s="289" t="e">
        <f t="shared" si="162"/>
        <v>#VALUE!</v>
      </c>
      <c r="AB782" s="288" t="e">
        <f t="shared" si="163"/>
        <v>#VALUE!</v>
      </c>
    </row>
    <row r="783" spans="13:28" ht="12" hidden="1" customHeight="1">
      <c r="M783" s="266"/>
      <c r="N783" s="288" t="str">
        <f t="shared" si="164"/>
        <v/>
      </c>
      <c r="O783" s="285">
        <f t="shared" si="150"/>
        <v>150</v>
      </c>
      <c r="P783" s="289">
        <f t="shared" si="151"/>
        <v>4000000</v>
      </c>
      <c r="Q783" s="285">
        <f t="shared" si="152"/>
        <v>110</v>
      </c>
      <c r="R783" s="285">
        <f t="shared" si="153"/>
        <v>85</v>
      </c>
      <c r="S783" s="285">
        <f t="shared" si="154"/>
        <v>0.35</v>
      </c>
      <c r="T783" s="285">
        <f t="shared" si="155"/>
        <v>3.2</v>
      </c>
      <c r="U783" s="285">
        <f t="shared" si="156"/>
        <v>1</v>
      </c>
      <c r="V783" s="285">
        <f t="shared" si="157"/>
        <v>4.5</v>
      </c>
      <c r="W783" s="285">
        <f t="shared" si="158"/>
        <v>1.5</v>
      </c>
      <c r="X783" s="289" t="e">
        <f t="shared" si="159"/>
        <v>#VALUE!</v>
      </c>
      <c r="Y783" s="288" t="e">
        <f t="shared" si="160"/>
        <v>#VALUE!</v>
      </c>
      <c r="Z783" s="256">
        <f t="shared" si="161"/>
        <v>181.74993027852094</v>
      </c>
      <c r="AA783" s="289" t="e">
        <f t="shared" si="162"/>
        <v>#VALUE!</v>
      </c>
      <c r="AB783" s="288" t="e">
        <f t="shared" si="163"/>
        <v>#VALUE!</v>
      </c>
    </row>
    <row r="784" spans="13:28" ht="12" hidden="1" customHeight="1">
      <c r="M784" s="266"/>
      <c r="N784" s="288" t="str">
        <f t="shared" si="164"/>
        <v/>
      </c>
      <c r="O784" s="285">
        <f t="shared" si="150"/>
        <v>150</v>
      </c>
      <c r="P784" s="289">
        <f t="shared" si="151"/>
        <v>4000000</v>
      </c>
      <c r="Q784" s="285">
        <f t="shared" si="152"/>
        <v>110</v>
      </c>
      <c r="R784" s="285">
        <f t="shared" si="153"/>
        <v>85</v>
      </c>
      <c r="S784" s="285">
        <f t="shared" si="154"/>
        <v>0.35</v>
      </c>
      <c r="T784" s="285">
        <f t="shared" si="155"/>
        <v>3.2</v>
      </c>
      <c r="U784" s="285">
        <f t="shared" si="156"/>
        <v>1</v>
      </c>
      <c r="V784" s="285">
        <f t="shared" si="157"/>
        <v>4.5</v>
      </c>
      <c r="W784" s="285">
        <f t="shared" si="158"/>
        <v>1.5</v>
      </c>
      <c r="X784" s="289" t="e">
        <f t="shared" si="159"/>
        <v>#VALUE!</v>
      </c>
      <c r="Y784" s="288" t="e">
        <f t="shared" si="160"/>
        <v>#VALUE!</v>
      </c>
      <c r="Z784" s="256">
        <f t="shared" si="161"/>
        <v>181.74993027852094</v>
      </c>
      <c r="AA784" s="289" t="e">
        <f t="shared" si="162"/>
        <v>#VALUE!</v>
      </c>
      <c r="AB784" s="288" t="e">
        <f t="shared" si="163"/>
        <v>#VALUE!</v>
      </c>
    </row>
    <row r="785" spans="13:28" ht="12" hidden="1" customHeight="1">
      <c r="M785" s="266"/>
      <c r="N785" s="288" t="str">
        <f t="shared" si="164"/>
        <v/>
      </c>
      <c r="O785" s="285">
        <f t="shared" si="150"/>
        <v>150</v>
      </c>
      <c r="P785" s="289">
        <f t="shared" si="151"/>
        <v>4000000</v>
      </c>
      <c r="Q785" s="285">
        <f t="shared" si="152"/>
        <v>110</v>
      </c>
      <c r="R785" s="285">
        <f t="shared" si="153"/>
        <v>85</v>
      </c>
      <c r="S785" s="285">
        <f t="shared" si="154"/>
        <v>0.35</v>
      </c>
      <c r="T785" s="285">
        <f t="shared" si="155"/>
        <v>3.2</v>
      </c>
      <c r="U785" s="285">
        <f t="shared" si="156"/>
        <v>1</v>
      </c>
      <c r="V785" s="285">
        <f t="shared" si="157"/>
        <v>4.5</v>
      </c>
      <c r="W785" s="285">
        <f t="shared" si="158"/>
        <v>1.5</v>
      </c>
      <c r="X785" s="289" t="e">
        <f t="shared" si="159"/>
        <v>#VALUE!</v>
      </c>
      <c r="Y785" s="288" t="e">
        <f t="shared" si="160"/>
        <v>#VALUE!</v>
      </c>
      <c r="Z785" s="256">
        <f t="shared" si="161"/>
        <v>181.74993027852094</v>
      </c>
      <c r="AA785" s="289" t="e">
        <f t="shared" si="162"/>
        <v>#VALUE!</v>
      </c>
      <c r="AB785" s="288" t="e">
        <f t="shared" si="163"/>
        <v>#VALUE!</v>
      </c>
    </row>
    <row r="786" spans="13:28" ht="12" hidden="1" customHeight="1">
      <c r="M786" s="266"/>
      <c r="N786" s="288" t="str">
        <f t="shared" si="164"/>
        <v/>
      </c>
      <c r="O786" s="285">
        <f t="shared" si="150"/>
        <v>150</v>
      </c>
      <c r="P786" s="289">
        <f t="shared" si="151"/>
        <v>4000000</v>
      </c>
      <c r="Q786" s="285">
        <f t="shared" si="152"/>
        <v>110</v>
      </c>
      <c r="R786" s="285">
        <f t="shared" si="153"/>
        <v>85</v>
      </c>
      <c r="S786" s="285">
        <f t="shared" si="154"/>
        <v>0.35</v>
      </c>
      <c r="T786" s="285">
        <f t="shared" si="155"/>
        <v>3.2</v>
      </c>
      <c r="U786" s="285">
        <f t="shared" si="156"/>
        <v>1</v>
      </c>
      <c r="V786" s="285">
        <f t="shared" si="157"/>
        <v>4.5</v>
      </c>
      <c r="W786" s="285">
        <f t="shared" si="158"/>
        <v>1.5</v>
      </c>
      <c r="X786" s="289" t="e">
        <f t="shared" si="159"/>
        <v>#VALUE!</v>
      </c>
      <c r="Y786" s="288" t="e">
        <f t="shared" si="160"/>
        <v>#VALUE!</v>
      </c>
      <c r="Z786" s="256">
        <f t="shared" si="161"/>
        <v>181.74993027852094</v>
      </c>
      <c r="AA786" s="289" t="e">
        <f t="shared" si="162"/>
        <v>#VALUE!</v>
      </c>
      <c r="AB786" s="288" t="e">
        <f t="shared" si="163"/>
        <v>#VALUE!</v>
      </c>
    </row>
    <row r="787" spans="13:28" ht="12" hidden="1" customHeight="1">
      <c r="M787" s="266"/>
      <c r="N787" s="288" t="str">
        <f t="shared" si="164"/>
        <v/>
      </c>
      <c r="O787" s="285">
        <f t="shared" si="150"/>
        <v>150</v>
      </c>
      <c r="P787" s="289">
        <f t="shared" si="151"/>
        <v>4000000</v>
      </c>
      <c r="Q787" s="285">
        <f t="shared" si="152"/>
        <v>110</v>
      </c>
      <c r="R787" s="285">
        <f t="shared" si="153"/>
        <v>85</v>
      </c>
      <c r="S787" s="285">
        <f t="shared" si="154"/>
        <v>0.35</v>
      </c>
      <c r="T787" s="285">
        <f t="shared" si="155"/>
        <v>3.2</v>
      </c>
      <c r="U787" s="285">
        <f t="shared" si="156"/>
        <v>1</v>
      </c>
      <c r="V787" s="285">
        <f t="shared" si="157"/>
        <v>4.5</v>
      </c>
      <c r="W787" s="285">
        <f t="shared" si="158"/>
        <v>1.5</v>
      </c>
      <c r="X787" s="289" t="e">
        <f t="shared" si="159"/>
        <v>#VALUE!</v>
      </c>
      <c r="Y787" s="288" t="e">
        <f t="shared" si="160"/>
        <v>#VALUE!</v>
      </c>
      <c r="Z787" s="256">
        <f t="shared" si="161"/>
        <v>181.74993027852094</v>
      </c>
      <c r="AA787" s="289" t="e">
        <f t="shared" si="162"/>
        <v>#VALUE!</v>
      </c>
      <c r="AB787" s="288" t="e">
        <f t="shared" si="163"/>
        <v>#VALUE!</v>
      </c>
    </row>
    <row r="788" spans="13:28" ht="12" hidden="1" customHeight="1">
      <c r="M788" s="266"/>
      <c r="N788" s="288" t="str">
        <f t="shared" si="164"/>
        <v/>
      </c>
      <c r="O788" s="285">
        <f t="shared" si="150"/>
        <v>150</v>
      </c>
      <c r="P788" s="289">
        <f t="shared" si="151"/>
        <v>4000000</v>
      </c>
      <c r="Q788" s="285">
        <f t="shared" si="152"/>
        <v>110</v>
      </c>
      <c r="R788" s="285">
        <f t="shared" si="153"/>
        <v>85</v>
      </c>
      <c r="S788" s="285">
        <f t="shared" si="154"/>
        <v>0.35</v>
      </c>
      <c r="T788" s="285">
        <f t="shared" si="155"/>
        <v>3.2</v>
      </c>
      <c r="U788" s="285">
        <f t="shared" si="156"/>
        <v>1</v>
      </c>
      <c r="V788" s="285">
        <f t="shared" si="157"/>
        <v>4.5</v>
      </c>
      <c r="W788" s="285">
        <f t="shared" si="158"/>
        <v>1.5</v>
      </c>
      <c r="X788" s="289" t="e">
        <f t="shared" si="159"/>
        <v>#VALUE!</v>
      </c>
      <c r="Y788" s="288" t="e">
        <f t="shared" si="160"/>
        <v>#VALUE!</v>
      </c>
      <c r="Z788" s="256">
        <f t="shared" si="161"/>
        <v>181.74993027852094</v>
      </c>
      <c r="AA788" s="289" t="e">
        <f t="shared" si="162"/>
        <v>#VALUE!</v>
      </c>
      <c r="AB788" s="288" t="e">
        <f t="shared" si="163"/>
        <v>#VALUE!</v>
      </c>
    </row>
    <row r="789" spans="13:28" ht="12" hidden="1" customHeight="1">
      <c r="M789" s="266"/>
      <c r="N789" s="288" t="str">
        <f t="shared" si="164"/>
        <v/>
      </c>
      <c r="O789" s="285">
        <f t="shared" si="150"/>
        <v>150</v>
      </c>
      <c r="P789" s="289">
        <f t="shared" si="151"/>
        <v>4000000</v>
      </c>
      <c r="Q789" s="285">
        <f t="shared" si="152"/>
        <v>110</v>
      </c>
      <c r="R789" s="285">
        <f t="shared" si="153"/>
        <v>85</v>
      </c>
      <c r="S789" s="285">
        <f t="shared" si="154"/>
        <v>0.35</v>
      </c>
      <c r="T789" s="285">
        <f t="shared" si="155"/>
        <v>3.2</v>
      </c>
      <c r="U789" s="285">
        <f t="shared" si="156"/>
        <v>1</v>
      </c>
      <c r="V789" s="285">
        <f t="shared" si="157"/>
        <v>4.5</v>
      </c>
      <c r="W789" s="285">
        <f t="shared" si="158"/>
        <v>1.5</v>
      </c>
      <c r="X789" s="289" t="e">
        <f t="shared" si="159"/>
        <v>#VALUE!</v>
      </c>
      <c r="Y789" s="288" t="e">
        <f t="shared" si="160"/>
        <v>#VALUE!</v>
      </c>
      <c r="Z789" s="256">
        <f t="shared" si="161"/>
        <v>181.74993027852094</v>
      </c>
      <c r="AA789" s="289" t="e">
        <f t="shared" si="162"/>
        <v>#VALUE!</v>
      </c>
      <c r="AB789" s="288" t="e">
        <f t="shared" si="163"/>
        <v>#VALUE!</v>
      </c>
    </row>
    <row r="790" spans="13:28" ht="12" hidden="1" customHeight="1">
      <c r="M790" s="266"/>
      <c r="N790" s="288" t="str">
        <f t="shared" si="164"/>
        <v/>
      </c>
      <c r="O790" s="285">
        <f t="shared" si="150"/>
        <v>150</v>
      </c>
      <c r="P790" s="289">
        <f t="shared" si="151"/>
        <v>4000000</v>
      </c>
      <c r="Q790" s="285">
        <f t="shared" si="152"/>
        <v>110</v>
      </c>
      <c r="R790" s="285">
        <f t="shared" si="153"/>
        <v>85</v>
      </c>
      <c r="S790" s="285">
        <f t="shared" si="154"/>
        <v>0.35</v>
      </c>
      <c r="T790" s="285">
        <f t="shared" si="155"/>
        <v>3.2</v>
      </c>
      <c r="U790" s="285">
        <f t="shared" si="156"/>
        <v>1</v>
      </c>
      <c r="V790" s="285">
        <f t="shared" si="157"/>
        <v>4.5</v>
      </c>
      <c r="W790" s="285">
        <f t="shared" si="158"/>
        <v>1.5</v>
      </c>
      <c r="X790" s="289" t="e">
        <f t="shared" si="159"/>
        <v>#VALUE!</v>
      </c>
      <c r="Y790" s="288" t="e">
        <f t="shared" si="160"/>
        <v>#VALUE!</v>
      </c>
      <c r="Z790" s="256">
        <f t="shared" si="161"/>
        <v>181.74993027852094</v>
      </c>
      <c r="AA790" s="289" t="e">
        <f t="shared" si="162"/>
        <v>#VALUE!</v>
      </c>
      <c r="AB790" s="288" t="e">
        <f t="shared" si="163"/>
        <v>#VALUE!</v>
      </c>
    </row>
    <row r="791" spans="13:28" ht="12" hidden="1" customHeight="1">
      <c r="M791" s="266"/>
      <c r="N791" s="288" t="str">
        <f t="shared" si="164"/>
        <v/>
      </c>
      <c r="O791" s="285">
        <f t="shared" si="150"/>
        <v>150</v>
      </c>
      <c r="P791" s="289">
        <f t="shared" si="151"/>
        <v>4000000</v>
      </c>
      <c r="Q791" s="285">
        <f t="shared" si="152"/>
        <v>110</v>
      </c>
      <c r="R791" s="285">
        <f t="shared" si="153"/>
        <v>85</v>
      </c>
      <c r="S791" s="285">
        <f t="shared" si="154"/>
        <v>0.35</v>
      </c>
      <c r="T791" s="285">
        <f t="shared" si="155"/>
        <v>3.2</v>
      </c>
      <c r="U791" s="285">
        <f t="shared" si="156"/>
        <v>1</v>
      </c>
      <c r="V791" s="285">
        <f t="shared" si="157"/>
        <v>4.5</v>
      </c>
      <c r="W791" s="285">
        <f t="shared" si="158"/>
        <v>1.5</v>
      </c>
      <c r="X791" s="289" t="e">
        <f t="shared" si="159"/>
        <v>#VALUE!</v>
      </c>
      <c r="Y791" s="288" t="e">
        <f t="shared" si="160"/>
        <v>#VALUE!</v>
      </c>
      <c r="Z791" s="256">
        <f t="shared" si="161"/>
        <v>181.74993027852094</v>
      </c>
      <c r="AA791" s="289" t="e">
        <f t="shared" si="162"/>
        <v>#VALUE!</v>
      </c>
      <c r="AB791" s="288" t="e">
        <f t="shared" si="163"/>
        <v>#VALUE!</v>
      </c>
    </row>
    <row r="792" spans="13:28" ht="12" hidden="1" customHeight="1">
      <c r="M792" s="266"/>
      <c r="N792" s="288" t="str">
        <f t="shared" si="164"/>
        <v/>
      </c>
      <c r="O792" s="285">
        <f t="shared" si="150"/>
        <v>150</v>
      </c>
      <c r="P792" s="289">
        <f t="shared" si="151"/>
        <v>4000000</v>
      </c>
      <c r="Q792" s="285">
        <f t="shared" si="152"/>
        <v>110</v>
      </c>
      <c r="R792" s="285">
        <f t="shared" si="153"/>
        <v>85</v>
      </c>
      <c r="S792" s="285">
        <f t="shared" si="154"/>
        <v>0.35</v>
      </c>
      <c r="T792" s="285">
        <f t="shared" si="155"/>
        <v>3.2</v>
      </c>
      <c r="U792" s="285">
        <f t="shared" si="156"/>
        <v>1</v>
      </c>
      <c r="V792" s="285">
        <f t="shared" si="157"/>
        <v>4.5</v>
      </c>
      <c r="W792" s="285">
        <f t="shared" si="158"/>
        <v>1.5</v>
      </c>
      <c r="X792" s="289" t="e">
        <f t="shared" si="159"/>
        <v>#VALUE!</v>
      </c>
      <c r="Y792" s="288" t="e">
        <f t="shared" si="160"/>
        <v>#VALUE!</v>
      </c>
      <c r="Z792" s="256">
        <f t="shared" si="161"/>
        <v>181.74993027852094</v>
      </c>
      <c r="AA792" s="289" t="e">
        <f t="shared" si="162"/>
        <v>#VALUE!</v>
      </c>
      <c r="AB792" s="288" t="e">
        <f t="shared" si="163"/>
        <v>#VALUE!</v>
      </c>
    </row>
    <row r="793" spans="13:28" ht="12" hidden="1" customHeight="1">
      <c r="M793" s="266"/>
      <c r="N793" s="288" t="str">
        <f t="shared" si="164"/>
        <v/>
      </c>
      <c r="O793" s="285">
        <f t="shared" si="150"/>
        <v>150</v>
      </c>
      <c r="P793" s="289">
        <f t="shared" si="151"/>
        <v>4000000</v>
      </c>
      <c r="Q793" s="285">
        <f t="shared" si="152"/>
        <v>110</v>
      </c>
      <c r="R793" s="285">
        <f t="shared" si="153"/>
        <v>85</v>
      </c>
      <c r="S793" s="285">
        <f t="shared" si="154"/>
        <v>0.35</v>
      </c>
      <c r="T793" s="285">
        <f t="shared" si="155"/>
        <v>3.2</v>
      </c>
      <c r="U793" s="285">
        <f t="shared" si="156"/>
        <v>1</v>
      </c>
      <c r="V793" s="285">
        <f t="shared" si="157"/>
        <v>4.5</v>
      </c>
      <c r="W793" s="285">
        <f t="shared" si="158"/>
        <v>1.5</v>
      </c>
      <c r="X793" s="289" t="e">
        <f t="shared" si="159"/>
        <v>#VALUE!</v>
      </c>
      <c r="Y793" s="288" t="e">
        <f t="shared" si="160"/>
        <v>#VALUE!</v>
      </c>
      <c r="Z793" s="256">
        <f t="shared" si="161"/>
        <v>181.74993027852094</v>
      </c>
      <c r="AA793" s="289" t="e">
        <f t="shared" si="162"/>
        <v>#VALUE!</v>
      </c>
      <c r="AB793" s="288" t="e">
        <f t="shared" si="163"/>
        <v>#VALUE!</v>
      </c>
    </row>
    <row r="794" spans="13:28" ht="12" hidden="1" customHeight="1">
      <c r="M794" s="266"/>
      <c r="N794" s="288" t="str">
        <f t="shared" si="164"/>
        <v/>
      </c>
      <c r="O794" s="285">
        <f t="shared" si="150"/>
        <v>150</v>
      </c>
      <c r="P794" s="289">
        <f t="shared" si="151"/>
        <v>4000000</v>
      </c>
      <c r="Q794" s="285">
        <f t="shared" si="152"/>
        <v>110</v>
      </c>
      <c r="R794" s="285">
        <f t="shared" si="153"/>
        <v>85</v>
      </c>
      <c r="S794" s="285">
        <f t="shared" si="154"/>
        <v>0.35</v>
      </c>
      <c r="T794" s="285">
        <f t="shared" si="155"/>
        <v>3.2</v>
      </c>
      <c r="U794" s="285">
        <f t="shared" si="156"/>
        <v>1</v>
      </c>
      <c r="V794" s="285">
        <f t="shared" si="157"/>
        <v>4.5</v>
      </c>
      <c r="W794" s="285">
        <f t="shared" si="158"/>
        <v>1.5</v>
      </c>
      <c r="X794" s="289" t="e">
        <f t="shared" si="159"/>
        <v>#VALUE!</v>
      </c>
      <c r="Y794" s="288" t="e">
        <f t="shared" si="160"/>
        <v>#VALUE!</v>
      </c>
      <c r="Z794" s="256">
        <f t="shared" si="161"/>
        <v>181.74993027852094</v>
      </c>
      <c r="AA794" s="289" t="e">
        <f t="shared" si="162"/>
        <v>#VALUE!</v>
      </c>
      <c r="AB794" s="288" t="e">
        <f t="shared" si="163"/>
        <v>#VALUE!</v>
      </c>
    </row>
    <row r="795" spans="13:28" ht="12" hidden="1" customHeight="1">
      <c r="M795" s="266"/>
      <c r="N795" s="288" t="str">
        <f t="shared" si="164"/>
        <v/>
      </c>
      <c r="O795" s="285">
        <f t="shared" si="150"/>
        <v>150</v>
      </c>
      <c r="P795" s="289">
        <f t="shared" si="151"/>
        <v>4000000</v>
      </c>
      <c r="Q795" s="285">
        <f t="shared" si="152"/>
        <v>110</v>
      </c>
      <c r="R795" s="285">
        <f t="shared" si="153"/>
        <v>85</v>
      </c>
      <c r="S795" s="285">
        <f t="shared" si="154"/>
        <v>0.35</v>
      </c>
      <c r="T795" s="285">
        <f t="shared" si="155"/>
        <v>3.2</v>
      </c>
      <c r="U795" s="285">
        <f t="shared" si="156"/>
        <v>1</v>
      </c>
      <c r="V795" s="285">
        <f t="shared" si="157"/>
        <v>4.5</v>
      </c>
      <c r="W795" s="285">
        <f t="shared" si="158"/>
        <v>1.5</v>
      </c>
      <c r="X795" s="289" t="e">
        <f t="shared" si="159"/>
        <v>#VALUE!</v>
      </c>
      <c r="Y795" s="288" t="e">
        <f t="shared" si="160"/>
        <v>#VALUE!</v>
      </c>
      <c r="Z795" s="256">
        <f t="shared" si="161"/>
        <v>181.74993027852094</v>
      </c>
      <c r="AA795" s="289" t="e">
        <f t="shared" si="162"/>
        <v>#VALUE!</v>
      </c>
      <c r="AB795" s="288" t="e">
        <f t="shared" si="163"/>
        <v>#VALUE!</v>
      </c>
    </row>
    <row r="796" spans="13:28" ht="12" hidden="1" customHeight="1">
      <c r="M796" s="266"/>
      <c r="N796" s="288" t="str">
        <f t="shared" si="164"/>
        <v/>
      </c>
      <c r="O796" s="285">
        <f t="shared" si="150"/>
        <v>150</v>
      </c>
      <c r="P796" s="289">
        <f t="shared" si="151"/>
        <v>4000000</v>
      </c>
      <c r="Q796" s="285">
        <f t="shared" si="152"/>
        <v>110</v>
      </c>
      <c r="R796" s="285">
        <f t="shared" si="153"/>
        <v>85</v>
      </c>
      <c r="S796" s="285">
        <f t="shared" si="154"/>
        <v>0.35</v>
      </c>
      <c r="T796" s="285">
        <f t="shared" si="155"/>
        <v>3.2</v>
      </c>
      <c r="U796" s="285">
        <f t="shared" si="156"/>
        <v>1</v>
      </c>
      <c r="V796" s="285">
        <f t="shared" si="157"/>
        <v>4.5</v>
      </c>
      <c r="W796" s="285">
        <f t="shared" si="158"/>
        <v>1.5</v>
      </c>
      <c r="X796" s="289" t="e">
        <f t="shared" si="159"/>
        <v>#VALUE!</v>
      </c>
      <c r="Y796" s="288" t="e">
        <f t="shared" si="160"/>
        <v>#VALUE!</v>
      </c>
      <c r="Z796" s="256">
        <f t="shared" si="161"/>
        <v>181.74993027852094</v>
      </c>
      <c r="AA796" s="289" t="e">
        <f t="shared" si="162"/>
        <v>#VALUE!</v>
      </c>
      <c r="AB796" s="288" t="e">
        <f t="shared" si="163"/>
        <v>#VALUE!</v>
      </c>
    </row>
    <row r="797" spans="13:28" ht="12" hidden="1" customHeight="1">
      <c r="M797" s="266"/>
      <c r="N797" s="288" t="str">
        <f t="shared" si="164"/>
        <v/>
      </c>
      <c r="O797" s="285">
        <f t="shared" si="150"/>
        <v>150</v>
      </c>
      <c r="P797" s="289">
        <f t="shared" si="151"/>
        <v>4000000</v>
      </c>
      <c r="Q797" s="285">
        <f t="shared" si="152"/>
        <v>110</v>
      </c>
      <c r="R797" s="285">
        <f t="shared" si="153"/>
        <v>85</v>
      </c>
      <c r="S797" s="285">
        <f t="shared" si="154"/>
        <v>0.35</v>
      </c>
      <c r="T797" s="285">
        <f t="shared" si="155"/>
        <v>3.2</v>
      </c>
      <c r="U797" s="285">
        <f t="shared" si="156"/>
        <v>1</v>
      </c>
      <c r="V797" s="285">
        <f t="shared" si="157"/>
        <v>4.5</v>
      </c>
      <c r="W797" s="285">
        <f t="shared" si="158"/>
        <v>1.5</v>
      </c>
      <c r="X797" s="289" t="e">
        <f t="shared" si="159"/>
        <v>#VALUE!</v>
      </c>
      <c r="Y797" s="288" t="e">
        <f t="shared" si="160"/>
        <v>#VALUE!</v>
      </c>
      <c r="Z797" s="256">
        <f t="shared" si="161"/>
        <v>181.74993027852094</v>
      </c>
      <c r="AA797" s="289" t="e">
        <f t="shared" si="162"/>
        <v>#VALUE!</v>
      </c>
      <c r="AB797" s="288" t="e">
        <f t="shared" si="163"/>
        <v>#VALUE!</v>
      </c>
    </row>
    <row r="798" spans="13:28" ht="12" hidden="1" customHeight="1">
      <c r="M798" s="266"/>
      <c r="N798" s="288" t="str">
        <f t="shared" si="164"/>
        <v/>
      </c>
      <c r="O798" s="285">
        <f t="shared" ref="O798:O861" si="165">PCC_MR</f>
        <v>150</v>
      </c>
      <c r="P798" s="289">
        <f t="shared" ref="P798:P861" si="166">PCC_ME</f>
        <v>4000000</v>
      </c>
      <c r="Q798" s="285">
        <f t="shared" ref="Q798:Q861" si="167">K_MODULE</f>
        <v>110</v>
      </c>
      <c r="R798" s="285">
        <f t="shared" ref="R798:R861" si="168">R_</f>
        <v>85</v>
      </c>
      <c r="S798" s="285">
        <f t="shared" ref="S798:S861" si="169">So</f>
        <v>0.35</v>
      </c>
      <c r="T798" s="285">
        <f t="shared" ref="T798:T861" si="170">J_</f>
        <v>3.2</v>
      </c>
      <c r="U798" s="285">
        <f t="shared" ref="U798:U861" si="171">Cd_</f>
        <v>1</v>
      </c>
      <c r="V798" s="285">
        <f t="shared" ref="V798:V861" si="172">Pi</f>
        <v>4.5</v>
      </c>
      <c r="W798" s="285">
        <f t="shared" ref="W798:W861" si="173">Pt</f>
        <v>1.5</v>
      </c>
      <c r="X798" s="289" t="e">
        <f t="shared" ref="X798:X861" si="174">10^(-NORMSINV(R798/100)*S798+7.35*LOG10(N798+1)-0.06+((LOG10((V798-W798)/3))/(1+((1.625*10^7)/((N798+1)^8.46))))+((4.22-0.32*W798)*LOG10((O798*U798*((N798^0.75)-1.132))/(215.63*T798*((N798^0.75)-18.42*(Q798/P798)^0.25)))))</f>
        <v>#VALUE!</v>
      </c>
      <c r="Y798" s="288" t="e">
        <f t="shared" ref="Y798:Y861" si="175">+X798/ESALS</f>
        <v>#VALUE!</v>
      </c>
      <c r="Z798" s="256">
        <f t="shared" ref="Z798:Z861" si="176">PCC_IMR</f>
        <v>181.74993027852094</v>
      </c>
      <c r="AA798" s="289" t="e">
        <f t="shared" ref="AA798:AA861" si="177">10^(-NORMSINV(R798/100)*S798+7.35*LOG10(N798+1)-0.06+((LOG10((V798-W798)/3))/(1+((1.625*10^7)/((N798+1)^8.46))))+((4.22-0.32*W798)*LOG10((Z798*U798*((N798^0.75)-1.132))/(215.63*T798*((N798^0.75)-18.42*(Q798/P798)^0.25)))))</f>
        <v>#VALUE!</v>
      </c>
      <c r="AB798" s="288" t="e">
        <f t="shared" ref="AB798:AB861" si="178">+AA798/ESALS</f>
        <v>#VALUE!</v>
      </c>
    </row>
    <row r="799" spans="13:28" ht="12" hidden="1" customHeight="1">
      <c r="M799" s="266"/>
      <c r="N799" s="288" t="str">
        <f t="shared" ref="N799:N862" si="179">IF(N798 = "", "", IF(AND(0.995*ESALS&lt;=X798,X798&lt;=1.005*ESALS),"",(N798+D_Step)))</f>
        <v/>
      </c>
      <c r="O799" s="285">
        <f t="shared" si="165"/>
        <v>150</v>
      </c>
      <c r="P799" s="289">
        <f t="shared" si="166"/>
        <v>4000000</v>
      </c>
      <c r="Q799" s="285">
        <f t="shared" si="167"/>
        <v>110</v>
      </c>
      <c r="R799" s="285">
        <f t="shared" si="168"/>
        <v>85</v>
      </c>
      <c r="S799" s="285">
        <f t="shared" si="169"/>
        <v>0.35</v>
      </c>
      <c r="T799" s="285">
        <f t="shared" si="170"/>
        <v>3.2</v>
      </c>
      <c r="U799" s="285">
        <f t="shared" si="171"/>
        <v>1</v>
      </c>
      <c r="V799" s="285">
        <f t="shared" si="172"/>
        <v>4.5</v>
      </c>
      <c r="W799" s="285">
        <f t="shared" si="173"/>
        <v>1.5</v>
      </c>
      <c r="X799" s="289" t="e">
        <f t="shared" si="174"/>
        <v>#VALUE!</v>
      </c>
      <c r="Y799" s="288" t="e">
        <f t="shared" si="175"/>
        <v>#VALUE!</v>
      </c>
      <c r="Z799" s="256">
        <f t="shared" si="176"/>
        <v>181.74993027852094</v>
      </c>
      <c r="AA799" s="289" t="e">
        <f t="shared" si="177"/>
        <v>#VALUE!</v>
      </c>
      <c r="AB799" s="288" t="e">
        <f t="shared" si="178"/>
        <v>#VALUE!</v>
      </c>
    </row>
    <row r="800" spans="13:28" ht="12" hidden="1" customHeight="1">
      <c r="M800" s="266"/>
      <c r="N800" s="288" t="str">
        <f t="shared" si="179"/>
        <v/>
      </c>
      <c r="O800" s="285">
        <f t="shared" si="165"/>
        <v>150</v>
      </c>
      <c r="P800" s="289">
        <f t="shared" si="166"/>
        <v>4000000</v>
      </c>
      <c r="Q800" s="285">
        <f t="shared" si="167"/>
        <v>110</v>
      </c>
      <c r="R800" s="285">
        <f t="shared" si="168"/>
        <v>85</v>
      </c>
      <c r="S800" s="285">
        <f t="shared" si="169"/>
        <v>0.35</v>
      </c>
      <c r="T800" s="285">
        <f t="shared" si="170"/>
        <v>3.2</v>
      </c>
      <c r="U800" s="285">
        <f t="shared" si="171"/>
        <v>1</v>
      </c>
      <c r="V800" s="285">
        <f t="shared" si="172"/>
        <v>4.5</v>
      </c>
      <c r="W800" s="285">
        <f t="shared" si="173"/>
        <v>1.5</v>
      </c>
      <c r="X800" s="289" t="e">
        <f t="shared" si="174"/>
        <v>#VALUE!</v>
      </c>
      <c r="Y800" s="288" t="e">
        <f t="shared" si="175"/>
        <v>#VALUE!</v>
      </c>
      <c r="Z800" s="256">
        <f t="shared" si="176"/>
        <v>181.74993027852094</v>
      </c>
      <c r="AA800" s="289" t="e">
        <f t="shared" si="177"/>
        <v>#VALUE!</v>
      </c>
      <c r="AB800" s="288" t="e">
        <f t="shared" si="178"/>
        <v>#VALUE!</v>
      </c>
    </row>
    <row r="801" spans="13:28" ht="12" hidden="1" customHeight="1">
      <c r="M801" s="266"/>
      <c r="N801" s="288" t="str">
        <f t="shared" si="179"/>
        <v/>
      </c>
      <c r="O801" s="285">
        <f t="shared" si="165"/>
        <v>150</v>
      </c>
      <c r="P801" s="289">
        <f t="shared" si="166"/>
        <v>4000000</v>
      </c>
      <c r="Q801" s="285">
        <f t="shared" si="167"/>
        <v>110</v>
      </c>
      <c r="R801" s="285">
        <f t="shared" si="168"/>
        <v>85</v>
      </c>
      <c r="S801" s="285">
        <f t="shared" si="169"/>
        <v>0.35</v>
      </c>
      <c r="T801" s="285">
        <f t="shared" si="170"/>
        <v>3.2</v>
      </c>
      <c r="U801" s="285">
        <f t="shared" si="171"/>
        <v>1</v>
      </c>
      <c r="V801" s="285">
        <f t="shared" si="172"/>
        <v>4.5</v>
      </c>
      <c r="W801" s="285">
        <f t="shared" si="173"/>
        <v>1.5</v>
      </c>
      <c r="X801" s="289" t="e">
        <f t="shared" si="174"/>
        <v>#VALUE!</v>
      </c>
      <c r="Y801" s="288" t="e">
        <f t="shared" si="175"/>
        <v>#VALUE!</v>
      </c>
      <c r="Z801" s="256">
        <f t="shared" si="176"/>
        <v>181.74993027852094</v>
      </c>
      <c r="AA801" s="289" t="e">
        <f t="shared" si="177"/>
        <v>#VALUE!</v>
      </c>
      <c r="AB801" s="288" t="e">
        <f t="shared" si="178"/>
        <v>#VALUE!</v>
      </c>
    </row>
    <row r="802" spans="13:28" ht="12" hidden="1" customHeight="1">
      <c r="M802" s="266"/>
      <c r="N802" s="288" t="str">
        <f t="shared" si="179"/>
        <v/>
      </c>
      <c r="O802" s="285">
        <f t="shared" si="165"/>
        <v>150</v>
      </c>
      <c r="P802" s="289">
        <f t="shared" si="166"/>
        <v>4000000</v>
      </c>
      <c r="Q802" s="285">
        <f t="shared" si="167"/>
        <v>110</v>
      </c>
      <c r="R802" s="285">
        <f t="shared" si="168"/>
        <v>85</v>
      </c>
      <c r="S802" s="285">
        <f t="shared" si="169"/>
        <v>0.35</v>
      </c>
      <c r="T802" s="285">
        <f t="shared" si="170"/>
        <v>3.2</v>
      </c>
      <c r="U802" s="285">
        <f t="shared" si="171"/>
        <v>1</v>
      </c>
      <c r="V802" s="285">
        <f t="shared" si="172"/>
        <v>4.5</v>
      </c>
      <c r="W802" s="285">
        <f t="shared" si="173"/>
        <v>1.5</v>
      </c>
      <c r="X802" s="289" t="e">
        <f t="shared" si="174"/>
        <v>#VALUE!</v>
      </c>
      <c r="Y802" s="288" t="e">
        <f t="shared" si="175"/>
        <v>#VALUE!</v>
      </c>
      <c r="Z802" s="256">
        <f t="shared" si="176"/>
        <v>181.74993027852094</v>
      </c>
      <c r="AA802" s="289" t="e">
        <f t="shared" si="177"/>
        <v>#VALUE!</v>
      </c>
      <c r="AB802" s="288" t="e">
        <f t="shared" si="178"/>
        <v>#VALUE!</v>
      </c>
    </row>
    <row r="803" spans="13:28" ht="12" hidden="1" customHeight="1">
      <c r="M803" s="266"/>
      <c r="N803" s="288" t="str">
        <f t="shared" si="179"/>
        <v/>
      </c>
      <c r="O803" s="285">
        <f t="shared" si="165"/>
        <v>150</v>
      </c>
      <c r="P803" s="289">
        <f t="shared" si="166"/>
        <v>4000000</v>
      </c>
      <c r="Q803" s="285">
        <f t="shared" si="167"/>
        <v>110</v>
      </c>
      <c r="R803" s="285">
        <f t="shared" si="168"/>
        <v>85</v>
      </c>
      <c r="S803" s="285">
        <f t="shared" si="169"/>
        <v>0.35</v>
      </c>
      <c r="T803" s="285">
        <f t="shared" si="170"/>
        <v>3.2</v>
      </c>
      <c r="U803" s="285">
        <f t="shared" si="171"/>
        <v>1</v>
      </c>
      <c r="V803" s="285">
        <f t="shared" si="172"/>
        <v>4.5</v>
      </c>
      <c r="W803" s="285">
        <f t="shared" si="173"/>
        <v>1.5</v>
      </c>
      <c r="X803" s="289" t="e">
        <f t="shared" si="174"/>
        <v>#VALUE!</v>
      </c>
      <c r="Y803" s="288" t="e">
        <f t="shared" si="175"/>
        <v>#VALUE!</v>
      </c>
      <c r="Z803" s="256">
        <f t="shared" si="176"/>
        <v>181.74993027852094</v>
      </c>
      <c r="AA803" s="289" t="e">
        <f t="shared" si="177"/>
        <v>#VALUE!</v>
      </c>
      <c r="AB803" s="288" t="e">
        <f t="shared" si="178"/>
        <v>#VALUE!</v>
      </c>
    </row>
    <row r="804" spans="13:28" ht="12" hidden="1" customHeight="1">
      <c r="M804" s="266"/>
      <c r="N804" s="288" t="str">
        <f t="shared" si="179"/>
        <v/>
      </c>
      <c r="O804" s="285">
        <f t="shared" si="165"/>
        <v>150</v>
      </c>
      <c r="P804" s="289">
        <f t="shared" si="166"/>
        <v>4000000</v>
      </c>
      <c r="Q804" s="285">
        <f t="shared" si="167"/>
        <v>110</v>
      </c>
      <c r="R804" s="285">
        <f t="shared" si="168"/>
        <v>85</v>
      </c>
      <c r="S804" s="285">
        <f t="shared" si="169"/>
        <v>0.35</v>
      </c>
      <c r="T804" s="285">
        <f t="shared" si="170"/>
        <v>3.2</v>
      </c>
      <c r="U804" s="285">
        <f t="shared" si="171"/>
        <v>1</v>
      </c>
      <c r="V804" s="285">
        <f t="shared" si="172"/>
        <v>4.5</v>
      </c>
      <c r="W804" s="285">
        <f t="shared" si="173"/>
        <v>1.5</v>
      </c>
      <c r="X804" s="289" t="e">
        <f t="shared" si="174"/>
        <v>#VALUE!</v>
      </c>
      <c r="Y804" s="288" t="e">
        <f t="shared" si="175"/>
        <v>#VALUE!</v>
      </c>
      <c r="Z804" s="256">
        <f t="shared" si="176"/>
        <v>181.74993027852094</v>
      </c>
      <c r="AA804" s="289" t="e">
        <f t="shared" si="177"/>
        <v>#VALUE!</v>
      </c>
      <c r="AB804" s="288" t="e">
        <f t="shared" si="178"/>
        <v>#VALUE!</v>
      </c>
    </row>
    <row r="805" spans="13:28" ht="12" hidden="1" customHeight="1">
      <c r="M805" s="266"/>
      <c r="N805" s="288" t="str">
        <f t="shared" si="179"/>
        <v/>
      </c>
      <c r="O805" s="285">
        <f t="shared" si="165"/>
        <v>150</v>
      </c>
      <c r="P805" s="289">
        <f t="shared" si="166"/>
        <v>4000000</v>
      </c>
      <c r="Q805" s="285">
        <f t="shared" si="167"/>
        <v>110</v>
      </c>
      <c r="R805" s="285">
        <f t="shared" si="168"/>
        <v>85</v>
      </c>
      <c r="S805" s="285">
        <f t="shared" si="169"/>
        <v>0.35</v>
      </c>
      <c r="T805" s="285">
        <f t="shared" si="170"/>
        <v>3.2</v>
      </c>
      <c r="U805" s="285">
        <f t="shared" si="171"/>
        <v>1</v>
      </c>
      <c r="V805" s="285">
        <f t="shared" si="172"/>
        <v>4.5</v>
      </c>
      <c r="W805" s="285">
        <f t="shared" si="173"/>
        <v>1.5</v>
      </c>
      <c r="X805" s="289" t="e">
        <f t="shared" si="174"/>
        <v>#VALUE!</v>
      </c>
      <c r="Y805" s="288" t="e">
        <f t="shared" si="175"/>
        <v>#VALUE!</v>
      </c>
      <c r="Z805" s="256">
        <f t="shared" si="176"/>
        <v>181.74993027852094</v>
      </c>
      <c r="AA805" s="289" t="e">
        <f t="shared" si="177"/>
        <v>#VALUE!</v>
      </c>
      <c r="AB805" s="288" t="e">
        <f t="shared" si="178"/>
        <v>#VALUE!</v>
      </c>
    </row>
    <row r="806" spans="13:28" ht="12" hidden="1" customHeight="1">
      <c r="M806" s="266"/>
      <c r="N806" s="288" t="str">
        <f t="shared" si="179"/>
        <v/>
      </c>
      <c r="O806" s="285">
        <f t="shared" si="165"/>
        <v>150</v>
      </c>
      <c r="P806" s="289">
        <f t="shared" si="166"/>
        <v>4000000</v>
      </c>
      <c r="Q806" s="285">
        <f t="shared" si="167"/>
        <v>110</v>
      </c>
      <c r="R806" s="285">
        <f t="shared" si="168"/>
        <v>85</v>
      </c>
      <c r="S806" s="285">
        <f t="shared" si="169"/>
        <v>0.35</v>
      </c>
      <c r="T806" s="285">
        <f t="shared" si="170"/>
        <v>3.2</v>
      </c>
      <c r="U806" s="285">
        <f t="shared" si="171"/>
        <v>1</v>
      </c>
      <c r="V806" s="285">
        <f t="shared" si="172"/>
        <v>4.5</v>
      </c>
      <c r="W806" s="285">
        <f t="shared" si="173"/>
        <v>1.5</v>
      </c>
      <c r="X806" s="289" t="e">
        <f t="shared" si="174"/>
        <v>#VALUE!</v>
      </c>
      <c r="Y806" s="288" t="e">
        <f t="shared" si="175"/>
        <v>#VALUE!</v>
      </c>
      <c r="Z806" s="256">
        <f t="shared" si="176"/>
        <v>181.74993027852094</v>
      </c>
      <c r="AA806" s="289" t="e">
        <f t="shared" si="177"/>
        <v>#VALUE!</v>
      </c>
      <c r="AB806" s="288" t="e">
        <f t="shared" si="178"/>
        <v>#VALUE!</v>
      </c>
    </row>
    <row r="807" spans="13:28" ht="12" hidden="1" customHeight="1">
      <c r="M807" s="266"/>
      <c r="N807" s="288" t="str">
        <f t="shared" si="179"/>
        <v/>
      </c>
      <c r="O807" s="285">
        <f t="shared" si="165"/>
        <v>150</v>
      </c>
      <c r="P807" s="289">
        <f t="shared" si="166"/>
        <v>4000000</v>
      </c>
      <c r="Q807" s="285">
        <f t="shared" si="167"/>
        <v>110</v>
      </c>
      <c r="R807" s="285">
        <f t="shared" si="168"/>
        <v>85</v>
      </c>
      <c r="S807" s="285">
        <f t="shared" si="169"/>
        <v>0.35</v>
      </c>
      <c r="T807" s="285">
        <f t="shared" si="170"/>
        <v>3.2</v>
      </c>
      <c r="U807" s="285">
        <f t="shared" si="171"/>
        <v>1</v>
      </c>
      <c r="V807" s="285">
        <f t="shared" si="172"/>
        <v>4.5</v>
      </c>
      <c r="W807" s="285">
        <f t="shared" si="173"/>
        <v>1.5</v>
      </c>
      <c r="X807" s="289" t="e">
        <f t="shared" si="174"/>
        <v>#VALUE!</v>
      </c>
      <c r="Y807" s="288" t="e">
        <f t="shared" si="175"/>
        <v>#VALUE!</v>
      </c>
      <c r="Z807" s="256">
        <f t="shared" si="176"/>
        <v>181.74993027852094</v>
      </c>
      <c r="AA807" s="289" t="e">
        <f t="shared" si="177"/>
        <v>#VALUE!</v>
      </c>
      <c r="AB807" s="288" t="e">
        <f t="shared" si="178"/>
        <v>#VALUE!</v>
      </c>
    </row>
    <row r="808" spans="13:28" ht="12" hidden="1" customHeight="1">
      <c r="M808" s="266"/>
      <c r="N808" s="288" t="str">
        <f t="shared" si="179"/>
        <v/>
      </c>
      <c r="O808" s="285">
        <f t="shared" si="165"/>
        <v>150</v>
      </c>
      <c r="P808" s="289">
        <f t="shared" si="166"/>
        <v>4000000</v>
      </c>
      <c r="Q808" s="285">
        <f t="shared" si="167"/>
        <v>110</v>
      </c>
      <c r="R808" s="285">
        <f t="shared" si="168"/>
        <v>85</v>
      </c>
      <c r="S808" s="285">
        <f t="shared" si="169"/>
        <v>0.35</v>
      </c>
      <c r="T808" s="285">
        <f t="shared" si="170"/>
        <v>3.2</v>
      </c>
      <c r="U808" s="285">
        <f t="shared" si="171"/>
        <v>1</v>
      </c>
      <c r="V808" s="285">
        <f t="shared" si="172"/>
        <v>4.5</v>
      </c>
      <c r="W808" s="285">
        <f t="shared" si="173"/>
        <v>1.5</v>
      </c>
      <c r="X808" s="289" t="e">
        <f t="shared" si="174"/>
        <v>#VALUE!</v>
      </c>
      <c r="Y808" s="288" t="e">
        <f t="shared" si="175"/>
        <v>#VALUE!</v>
      </c>
      <c r="Z808" s="256">
        <f t="shared" si="176"/>
        <v>181.74993027852094</v>
      </c>
      <c r="AA808" s="289" t="e">
        <f t="shared" si="177"/>
        <v>#VALUE!</v>
      </c>
      <c r="AB808" s="288" t="e">
        <f t="shared" si="178"/>
        <v>#VALUE!</v>
      </c>
    </row>
    <row r="809" spans="13:28" ht="12" hidden="1" customHeight="1">
      <c r="M809" s="266"/>
      <c r="N809" s="288" t="str">
        <f t="shared" si="179"/>
        <v/>
      </c>
      <c r="O809" s="285">
        <f t="shared" si="165"/>
        <v>150</v>
      </c>
      <c r="P809" s="289">
        <f t="shared" si="166"/>
        <v>4000000</v>
      </c>
      <c r="Q809" s="285">
        <f t="shared" si="167"/>
        <v>110</v>
      </c>
      <c r="R809" s="285">
        <f t="shared" si="168"/>
        <v>85</v>
      </c>
      <c r="S809" s="285">
        <f t="shared" si="169"/>
        <v>0.35</v>
      </c>
      <c r="T809" s="285">
        <f t="shared" si="170"/>
        <v>3.2</v>
      </c>
      <c r="U809" s="285">
        <f t="shared" si="171"/>
        <v>1</v>
      </c>
      <c r="V809" s="285">
        <f t="shared" si="172"/>
        <v>4.5</v>
      </c>
      <c r="W809" s="285">
        <f t="shared" si="173"/>
        <v>1.5</v>
      </c>
      <c r="X809" s="289" t="e">
        <f t="shared" si="174"/>
        <v>#VALUE!</v>
      </c>
      <c r="Y809" s="288" t="e">
        <f t="shared" si="175"/>
        <v>#VALUE!</v>
      </c>
      <c r="Z809" s="256">
        <f t="shared" si="176"/>
        <v>181.74993027852094</v>
      </c>
      <c r="AA809" s="289" t="e">
        <f t="shared" si="177"/>
        <v>#VALUE!</v>
      </c>
      <c r="AB809" s="288" t="e">
        <f t="shared" si="178"/>
        <v>#VALUE!</v>
      </c>
    </row>
    <row r="810" spans="13:28" ht="12" hidden="1" customHeight="1">
      <c r="M810" s="266"/>
      <c r="N810" s="288" t="str">
        <f t="shared" si="179"/>
        <v/>
      </c>
      <c r="O810" s="285">
        <f t="shared" si="165"/>
        <v>150</v>
      </c>
      <c r="P810" s="289">
        <f t="shared" si="166"/>
        <v>4000000</v>
      </c>
      <c r="Q810" s="285">
        <f t="shared" si="167"/>
        <v>110</v>
      </c>
      <c r="R810" s="285">
        <f t="shared" si="168"/>
        <v>85</v>
      </c>
      <c r="S810" s="285">
        <f t="shared" si="169"/>
        <v>0.35</v>
      </c>
      <c r="T810" s="285">
        <f t="shared" si="170"/>
        <v>3.2</v>
      </c>
      <c r="U810" s="285">
        <f t="shared" si="171"/>
        <v>1</v>
      </c>
      <c r="V810" s="285">
        <f t="shared" si="172"/>
        <v>4.5</v>
      </c>
      <c r="W810" s="285">
        <f t="shared" si="173"/>
        <v>1.5</v>
      </c>
      <c r="X810" s="289" t="e">
        <f t="shared" si="174"/>
        <v>#VALUE!</v>
      </c>
      <c r="Y810" s="288" t="e">
        <f t="shared" si="175"/>
        <v>#VALUE!</v>
      </c>
      <c r="Z810" s="256">
        <f t="shared" si="176"/>
        <v>181.74993027852094</v>
      </c>
      <c r="AA810" s="289" t="e">
        <f t="shared" si="177"/>
        <v>#VALUE!</v>
      </c>
      <c r="AB810" s="288" t="e">
        <f t="shared" si="178"/>
        <v>#VALUE!</v>
      </c>
    </row>
    <row r="811" spans="13:28" ht="12" hidden="1" customHeight="1">
      <c r="M811" s="266"/>
      <c r="N811" s="288" t="str">
        <f t="shared" si="179"/>
        <v/>
      </c>
      <c r="O811" s="285">
        <f t="shared" si="165"/>
        <v>150</v>
      </c>
      <c r="P811" s="289">
        <f t="shared" si="166"/>
        <v>4000000</v>
      </c>
      <c r="Q811" s="285">
        <f t="shared" si="167"/>
        <v>110</v>
      </c>
      <c r="R811" s="285">
        <f t="shared" si="168"/>
        <v>85</v>
      </c>
      <c r="S811" s="285">
        <f t="shared" si="169"/>
        <v>0.35</v>
      </c>
      <c r="T811" s="285">
        <f t="shared" si="170"/>
        <v>3.2</v>
      </c>
      <c r="U811" s="285">
        <f t="shared" si="171"/>
        <v>1</v>
      </c>
      <c r="V811" s="285">
        <f t="shared" si="172"/>
        <v>4.5</v>
      </c>
      <c r="W811" s="285">
        <f t="shared" si="173"/>
        <v>1.5</v>
      </c>
      <c r="X811" s="289" t="e">
        <f t="shared" si="174"/>
        <v>#VALUE!</v>
      </c>
      <c r="Y811" s="288" t="e">
        <f t="shared" si="175"/>
        <v>#VALUE!</v>
      </c>
      <c r="Z811" s="256">
        <f t="shared" si="176"/>
        <v>181.74993027852094</v>
      </c>
      <c r="AA811" s="289" t="e">
        <f t="shared" si="177"/>
        <v>#VALUE!</v>
      </c>
      <c r="AB811" s="288" t="e">
        <f t="shared" si="178"/>
        <v>#VALUE!</v>
      </c>
    </row>
    <row r="812" spans="13:28" ht="12" hidden="1" customHeight="1">
      <c r="M812" s="266"/>
      <c r="N812" s="288" t="str">
        <f t="shared" si="179"/>
        <v/>
      </c>
      <c r="O812" s="285">
        <f t="shared" si="165"/>
        <v>150</v>
      </c>
      <c r="P812" s="289">
        <f t="shared" si="166"/>
        <v>4000000</v>
      </c>
      <c r="Q812" s="285">
        <f t="shared" si="167"/>
        <v>110</v>
      </c>
      <c r="R812" s="285">
        <f t="shared" si="168"/>
        <v>85</v>
      </c>
      <c r="S812" s="285">
        <f t="shared" si="169"/>
        <v>0.35</v>
      </c>
      <c r="T812" s="285">
        <f t="shared" si="170"/>
        <v>3.2</v>
      </c>
      <c r="U812" s="285">
        <f t="shared" si="171"/>
        <v>1</v>
      </c>
      <c r="V812" s="285">
        <f t="shared" si="172"/>
        <v>4.5</v>
      </c>
      <c r="W812" s="285">
        <f t="shared" si="173"/>
        <v>1.5</v>
      </c>
      <c r="X812" s="289" t="e">
        <f t="shared" si="174"/>
        <v>#VALUE!</v>
      </c>
      <c r="Y812" s="288" t="e">
        <f t="shared" si="175"/>
        <v>#VALUE!</v>
      </c>
      <c r="Z812" s="256">
        <f t="shared" si="176"/>
        <v>181.74993027852094</v>
      </c>
      <c r="AA812" s="289" t="e">
        <f t="shared" si="177"/>
        <v>#VALUE!</v>
      </c>
      <c r="AB812" s="288" t="e">
        <f t="shared" si="178"/>
        <v>#VALUE!</v>
      </c>
    </row>
    <row r="813" spans="13:28" ht="12" hidden="1" customHeight="1">
      <c r="M813" s="266"/>
      <c r="N813" s="288" t="str">
        <f t="shared" si="179"/>
        <v/>
      </c>
      <c r="O813" s="285">
        <f t="shared" si="165"/>
        <v>150</v>
      </c>
      <c r="P813" s="289">
        <f t="shared" si="166"/>
        <v>4000000</v>
      </c>
      <c r="Q813" s="285">
        <f t="shared" si="167"/>
        <v>110</v>
      </c>
      <c r="R813" s="285">
        <f t="shared" si="168"/>
        <v>85</v>
      </c>
      <c r="S813" s="285">
        <f t="shared" si="169"/>
        <v>0.35</v>
      </c>
      <c r="T813" s="285">
        <f t="shared" si="170"/>
        <v>3.2</v>
      </c>
      <c r="U813" s="285">
        <f t="shared" si="171"/>
        <v>1</v>
      </c>
      <c r="V813" s="285">
        <f t="shared" si="172"/>
        <v>4.5</v>
      </c>
      <c r="W813" s="285">
        <f t="shared" si="173"/>
        <v>1.5</v>
      </c>
      <c r="X813" s="289" t="e">
        <f t="shared" si="174"/>
        <v>#VALUE!</v>
      </c>
      <c r="Y813" s="288" t="e">
        <f t="shared" si="175"/>
        <v>#VALUE!</v>
      </c>
      <c r="Z813" s="256">
        <f t="shared" si="176"/>
        <v>181.74993027852094</v>
      </c>
      <c r="AA813" s="289" t="e">
        <f t="shared" si="177"/>
        <v>#VALUE!</v>
      </c>
      <c r="AB813" s="288" t="e">
        <f t="shared" si="178"/>
        <v>#VALUE!</v>
      </c>
    </row>
    <row r="814" spans="13:28" ht="12" hidden="1" customHeight="1">
      <c r="M814" s="266"/>
      <c r="N814" s="288" t="str">
        <f t="shared" si="179"/>
        <v/>
      </c>
      <c r="O814" s="285">
        <f t="shared" si="165"/>
        <v>150</v>
      </c>
      <c r="P814" s="289">
        <f t="shared" si="166"/>
        <v>4000000</v>
      </c>
      <c r="Q814" s="285">
        <f t="shared" si="167"/>
        <v>110</v>
      </c>
      <c r="R814" s="285">
        <f t="shared" si="168"/>
        <v>85</v>
      </c>
      <c r="S814" s="285">
        <f t="shared" si="169"/>
        <v>0.35</v>
      </c>
      <c r="T814" s="285">
        <f t="shared" si="170"/>
        <v>3.2</v>
      </c>
      <c r="U814" s="285">
        <f t="shared" si="171"/>
        <v>1</v>
      </c>
      <c r="V814" s="285">
        <f t="shared" si="172"/>
        <v>4.5</v>
      </c>
      <c r="W814" s="285">
        <f t="shared" si="173"/>
        <v>1.5</v>
      </c>
      <c r="X814" s="289" t="e">
        <f t="shared" si="174"/>
        <v>#VALUE!</v>
      </c>
      <c r="Y814" s="288" t="e">
        <f t="shared" si="175"/>
        <v>#VALUE!</v>
      </c>
      <c r="Z814" s="256">
        <f t="shared" si="176"/>
        <v>181.74993027852094</v>
      </c>
      <c r="AA814" s="289" t="e">
        <f t="shared" si="177"/>
        <v>#VALUE!</v>
      </c>
      <c r="AB814" s="288" t="e">
        <f t="shared" si="178"/>
        <v>#VALUE!</v>
      </c>
    </row>
    <row r="815" spans="13:28" ht="12" hidden="1" customHeight="1">
      <c r="M815" s="266"/>
      <c r="N815" s="288" t="str">
        <f t="shared" si="179"/>
        <v/>
      </c>
      <c r="O815" s="285">
        <f t="shared" si="165"/>
        <v>150</v>
      </c>
      <c r="P815" s="289">
        <f t="shared" si="166"/>
        <v>4000000</v>
      </c>
      <c r="Q815" s="285">
        <f t="shared" si="167"/>
        <v>110</v>
      </c>
      <c r="R815" s="285">
        <f t="shared" si="168"/>
        <v>85</v>
      </c>
      <c r="S815" s="285">
        <f t="shared" si="169"/>
        <v>0.35</v>
      </c>
      <c r="T815" s="285">
        <f t="shared" si="170"/>
        <v>3.2</v>
      </c>
      <c r="U815" s="285">
        <f t="shared" si="171"/>
        <v>1</v>
      </c>
      <c r="V815" s="285">
        <f t="shared" si="172"/>
        <v>4.5</v>
      </c>
      <c r="W815" s="285">
        <f t="shared" si="173"/>
        <v>1.5</v>
      </c>
      <c r="X815" s="289" t="e">
        <f t="shared" si="174"/>
        <v>#VALUE!</v>
      </c>
      <c r="Y815" s="288" t="e">
        <f t="shared" si="175"/>
        <v>#VALUE!</v>
      </c>
      <c r="Z815" s="256">
        <f t="shared" si="176"/>
        <v>181.74993027852094</v>
      </c>
      <c r="AA815" s="289" t="e">
        <f t="shared" si="177"/>
        <v>#VALUE!</v>
      </c>
      <c r="AB815" s="288" t="e">
        <f t="shared" si="178"/>
        <v>#VALUE!</v>
      </c>
    </row>
    <row r="816" spans="13:28" ht="12" hidden="1" customHeight="1">
      <c r="M816" s="266"/>
      <c r="N816" s="288" t="str">
        <f t="shared" si="179"/>
        <v/>
      </c>
      <c r="O816" s="285">
        <f t="shared" si="165"/>
        <v>150</v>
      </c>
      <c r="P816" s="289">
        <f t="shared" si="166"/>
        <v>4000000</v>
      </c>
      <c r="Q816" s="285">
        <f t="shared" si="167"/>
        <v>110</v>
      </c>
      <c r="R816" s="285">
        <f t="shared" si="168"/>
        <v>85</v>
      </c>
      <c r="S816" s="285">
        <f t="shared" si="169"/>
        <v>0.35</v>
      </c>
      <c r="T816" s="285">
        <f t="shared" si="170"/>
        <v>3.2</v>
      </c>
      <c r="U816" s="285">
        <f t="shared" si="171"/>
        <v>1</v>
      </c>
      <c r="V816" s="285">
        <f t="shared" si="172"/>
        <v>4.5</v>
      </c>
      <c r="W816" s="285">
        <f t="shared" si="173"/>
        <v>1.5</v>
      </c>
      <c r="X816" s="289" t="e">
        <f t="shared" si="174"/>
        <v>#VALUE!</v>
      </c>
      <c r="Y816" s="288" t="e">
        <f t="shared" si="175"/>
        <v>#VALUE!</v>
      </c>
      <c r="Z816" s="256">
        <f t="shared" si="176"/>
        <v>181.74993027852094</v>
      </c>
      <c r="AA816" s="289" t="e">
        <f t="shared" si="177"/>
        <v>#VALUE!</v>
      </c>
      <c r="AB816" s="288" t="e">
        <f t="shared" si="178"/>
        <v>#VALUE!</v>
      </c>
    </row>
    <row r="817" spans="13:28" ht="12" hidden="1" customHeight="1">
      <c r="M817" s="266"/>
      <c r="N817" s="288" t="str">
        <f t="shared" si="179"/>
        <v/>
      </c>
      <c r="O817" s="285">
        <f t="shared" si="165"/>
        <v>150</v>
      </c>
      <c r="P817" s="289">
        <f t="shared" si="166"/>
        <v>4000000</v>
      </c>
      <c r="Q817" s="285">
        <f t="shared" si="167"/>
        <v>110</v>
      </c>
      <c r="R817" s="285">
        <f t="shared" si="168"/>
        <v>85</v>
      </c>
      <c r="S817" s="285">
        <f t="shared" si="169"/>
        <v>0.35</v>
      </c>
      <c r="T817" s="285">
        <f t="shared" si="170"/>
        <v>3.2</v>
      </c>
      <c r="U817" s="285">
        <f t="shared" si="171"/>
        <v>1</v>
      </c>
      <c r="V817" s="285">
        <f t="shared" si="172"/>
        <v>4.5</v>
      </c>
      <c r="W817" s="285">
        <f t="shared" si="173"/>
        <v>1.5</v>
      </c>
      <c r="X817" s="289" t="e">
        <f t="shared" si="174"/>
        <v>#VALUE!</v>
      </c>
      <c r="Y817" s="288" t="e">
        <f t="shared" si="175"/>
        <v>#VALUE!</v>
      </c>
      <c r="Z817" s="256">
        <f t="shared" si="176"/>
        <v>181.74993027852094</v>
      </c>
      <c r="AA817" s="289" t="e">
        <f t="shared" si="177"/>
        <v>#VALUE!</v>
      </c>
      <c r="AB817" s="288" t="e">
        <f t="shared" si="178"/>
        <v>#VALUE!</v>
      </c>
    </row>
    <row r="818" spans="13:28" ht="12" hidden="1" customHeight="1">
      <c r="M818" s="266"/>
      <c r="N818" s="288" t="str">
        <f t="shared" si="179"/>
        <v/>
      </c>
      <c r="O818" s="285">
        <f t="shared" si="165"/>
        <v>150</v>
      </c>
      <c r="P818" s="289">
        <f t="shared" si="166"/>
        <v>4000000</v>
      </c>
      <c r="Q818" s="285">
        <f t="shared" si="167"/>
        <v>110</v>
      </c>
      <c r="R818" s="285">
        <f t="shared" si="168"/>
        <v>85</v>
      </c>
      <c r="S818" s="285">
        <f t="shared" si="169"/>
        <v>0.35</v>
      </c>
      <c r="T818" s="285">
        <f t="shared" si="170"/>
        <v>3.2</v>
      </c>
      <c r="U818" s="285">
        <f t="shared" si="171"/>
        <v>1</v>
      </c>
      <c r="V818" s="285">
        <f t="shared" si="172"/>
        <v>4.5</v>
      </c>
      <c r="W818" s="285">
        <f t="shared" si="173"/>
        <v>1.5</v>
      </c>
      <c r="X818" s="289" t="e">
        <f t="shared" si="174"/>
        <v>#VALUE!</v>
      </c>
      <c r="Y818" s="288" t="e">
        <f t="shared" si="175"/>
        <v>#VALUE!</v>
      </c>
      <c r="Z818" s="256">
        <f t="shared" si="176"/>
        <v>181.74993027852094</v>
      </c>
      <c r="AA818" s="289" t="e">
        <f t="shared" si="177"/>
        <v>#VALUE!</v>
      </c>
      <c r="AB818" s="288" t="e">
        <f t="shared" si="178"/>
        <v>#VALUE!</v>
      </c>
    </row>
    <row r="819" spans="13:28" ht="12" hidden="1" customHeight="1">
      <c r="M819" s="266"/>
      <c r="N819" s="288" t="str">
        <f t="shared" si="179"/>
        <v/>
      </c>
      <c r="O819" s="285">
        <f t="shared" si="165"/>
        <v>150</v>
      </c>
      <c r="P819" s="289">
        <f t="shared" si="166"/>
        <v>4000000</v>
      </c>
      <c r="Q819" s="285">
        <f t="shared" si="167"/>
        <v>110</v>
      </c>
      <c r="R819" s="285">
        <f t="shared" si="168"/>
        <v>85</v>
      </c>
      <c r="S819" s="285">
        <f t="shared" si="169"/>
        <v>0.35</v>
      </c>
      <c r="T819" s="285">
        <f t="shared" si="170"/>
        <v>3.2</v>
      </c>
      <c r="U819" s="285">
        <f t="shared" si="171"/>
        <v>1</v>
      </c>
      <c r="V819" s="285">
        <f t="shared" si="172"/>
        <v>4.5</v>
      </c>
      <c r="W819" s="285">
        <f t="shared" si="173"/>
        <v>1.5</v>
      </c>
      <c r="X819" s="289" t="e">
        <f t="shared" si="174"/>
        <v>#VALUE!</v>
      </c>
      <c r="Y819" s="288" t="e">
        <f t="shared" si="175"/>
        <v>#VALUE!</v>
      </c>
      <c r="Z819" s="256">
        <f t="shared" si="176"/>
        <v>181.74993027852094</v>
      </c>
      <c r="AA819" s="289" t="e">
        <f t="shared" si="177"/>
        <v>#VALUE!</v>
      </c>
      <c r="AB819" s="288" t="e">
        <f t="shared" si="178"/>
        <v>#VALUE!</v>
      </c>
    </row>
    <row r="820" spans="13:28" ht="12" hidden="1" customHeight="1">
      <c r="M820" s="266"/>
      <c r="N820" s="288" t="str">
        <f t="shared" si="179"/>
        <v/>
      </c>
      <c r="O820" s="285">
        <f t="shared" si="165"/>
        <v>150</v>
      </c>
      <c r="P820" s="289">
        <f t="shared" si="166"/>
        <v>4000000</v>
      </c>
      <c r="Q820" s="285">
        <f t="shared" si="167"/>
        <v>110</v>
      </c>
      <c r="R820" s="285">
        <f t="shared" si="168"/>
        <v>85</v>
      </c>
      <c r="S820" s="285">
        <f t="shared" si="169"/>
        <v>0.35</v>
      </c>
      <c r="T820" s="285">
        <f t="shared" si="170"/>
        <v>3.2</v>
      </c>
      <c r="U820" s="285">
        <f t="shared" si="171"/>
        <v>1</v>
      </c>
      <c r="V820" s="285">
        <f t="shared" si="172"/>
        <v>4.5</v>
      </c>
      <c r="W820" s="285">
        <f t="shared" si="173"/>
        <v>1.5</v>
      </c>
      <c r="X820" s="289" t="e">
        <f t="shared" si="174"/>
        <v>#VALUE!</v>
      </c>
      <c r="Y820" s="288" t="e">
        <f t="shared" si="175"/>
        <v>#VALUE!</v>
      </c>
      <c r="Z820" s="256">
        <f t="shared" si="176"/>
        <v>181.74993027852094</v>
      </c>
      <c r="AA820" s="289" t="e">
        <f t="shared" si="177"/>
        <v>#VALUE!</v>
      </c>
      <c r="AB820" s="288" t="e">
        <f t="shared" si="178"/>
        <v>#VALUE!</v>
      </c>
    </row>
    <row r="821" spans="13:28" ht="12" hidden="1" customHeight="1">
      <c r="M821" s="266"/>
      <c r="N821" s="288" t="str">
        <f t="shared" si="179"/>
        <v/>
      </c>
      <c r="O821" s="285">
        <f t="shared" si="165"/>
        <v>150</v>
      </c>
      <c r="P821" s="289">
        <f t="shared" si="166"/>
        <v>4000000</v>
      </c>
      <c r="Q821" s="285">
        <f t="shared" si="167"/>
        <v>110</v>
      </c>
      <c r="R821" s="285">
        <f t="shared" si="168"/>
        <v>85</v>
      </c>
      <c r="S821" s="285">
        <f t="shared" si="169"/>
        <v>0.35</v>
      </c>
      <c r="T821" s="285">
        <f t="shared" si="170"/>
        <v>3.2</v>
      </c>
      <c r="U821" s="285">
        <f t="shared" si="171"/>
        <v>1</v>
      </c>
      <c r="V821" s="285">
        <f t="shared" si="172"/>
        <v>4.5</v>
      </c>
      <c r="W821" s="285">
        <f t="shared" si="173"/>
        <v>1.5</v>
      </c>
      <c r="X821" s="289" t="e">
        <f t="shared" si="174"/>
        <v>#VALUE!</v>
      </c>
      <c r="Y821" s="288" t="e">
        <f t="shared" si="175"/>
        <v>#VALUE!</v>
      </c>
      <c r="Z821" s="256">
        <f t="shared" si="176"/>
        <v>181.74993027852094</v>
      </c>
      <c r="AA821" s="289" t="e">
        <f t="shared" si="177"/>
        <v>#VALUE!</v>
      </c>
      <c r="AB821" s="288" t="e">
        <f t="shared" si="178"/>
        <v>#VALUE!</v>
      </c>
    </row>
    <row r="822" spans="13:28" ht="12" hidden="1" customHeight="1">
      <c r="M822" s="266"/>
      <c r="N822" s="288" t="str">
        <f t="shared" si="179"/>
        <v/>
      </c>
      <c r="O822" s="285">
        <f t="shared" si="165"/>
        <v>150</v>
      </c>
      <c r="P822" s="289">
        <f t="shared" si="166"/>
        <v>4000000</v>
      </c>
      <c r="Q822" s="285">
        <f t="shared" si="167"/>
        <v>110</v>
      </c>
      <c r="R822" s="285">
        <f t="shared" si="168"/>
        <v>85</v>
      </c>
      <c r="S822" s="285">
        <f t="shared" si="169"/>
        <v>0.35</v>
      </c>
      <c r="T822" s="285">
        <f t="shared" si="170"/>
        <v>3.2</v>
      </c>
      <c r="U822" s="285">
        <f t="shared" si="171"/>
        <v>1</v>
      </c>
      <c r="V822" s="285">
        <f t="shared" si="172"/>
        <v>4.5</v>
      </c>
      <c r="W822" s="285">
        <f t="shared" si="173"/>
        <v>1.5</v>
      </c>
      <c r="X822" s="289" t="e">
        <f t="shared" si="174"/>
        <v>#VALUE!</v>
      </c>
      <c r="Y822" s="288" t="e">
        <f t="shared" si="175"/>
        <v>#VALUE!</v>
      </c>
      <c r="Z822" s="256">
        <f t="shared" si="176"/>
        <v>181.74993027852094</v>
      </c>
      <c r="AA822" s="289" t="e">
        <f t="shared" si="177"/>
        <v>#VALUE!</v>
      </c>
      <c r="AB822" s="288" t="e">
        <f t="shared" si="178"/>
        <v>#VALUE!</v>
      </c>
    </row>
    <row r="823" spans="13:28" ht="12" hidden="1" customHeight="1">
      <c r="M823" s="266"/>
      <c r="N823" s="288" t="str">
        <f t="shared" si="179"/>
        <v/>
      </c>
      <c r="O823" s="285">
        <f t="shared" si="165"/>
        <v>150</v>
      </c>
      <c r="P823" s="289">
        <f t="shared" si="166"/>
        <v>4000000</v>
      </c>
      <c r="Q823" s="285">
        <f t="shared" si="167"/>
        <v>110</v>
      </c>
      <c r="R823" s="285">
        <f t="shared" si="168"/>
        <v>85</v>
      </c>
      <c r="S823" s="285">
        <f t="shared" si="169"/>
        <v>0.35</v>
      </c>
      <c r="T823" s="285">
        <f t="shared" si="170"/>
        <v>3.2</v>
      </c>
      <c r="U823" s="285">
        <f t="shared" si="171"/>
        <v>1</v>
      </c>
      <c r="V823" s="285">
        <f t="shared" si="172"/>
        <v>4.5</v>
      </c>
      <c r="W823" s="285">
        <f t="shared" si="173"/>
        <v>1.5</v>
      </c>
      <c r="X823" s="289" t="e">
        <f t="shared" si="174"/>
        <v>#VALUE!</v>
      </c>
      <c r="Y823" s="288" t="e">
        <f t="shared" si="175"/>
        <v>#VALUE!</v>
      </c>
      <c r="Z823" s="256">
        <f t="shared" si="176"/>
        <v>181.74993027852094</v>
      </c>
      <c r="AA823" s="289" t="e">
        <f t="shared" si="177"/>
        <v>#VALUE!</v>
      </c>
      <c r="AB823" s="288" t="e">
        <f t="shared" si="178"/>
        <v>#VALUE!</v>
      </c>
    </row>
    <row r="824" spans="13:28" ht="12" hidden="1" customHeight="1">
      <c r="M824" s="266"/>
      <c r="N824" s="288" t="str">
        <f t="shared" si="179"/>
        <v/>
      </c>
      <c r="O824" s="285">
        <f t="shared" si="165"/>
        <v>150</v>
      </c>
      <c r="P824" s="289">
        <f t="shared" si="166"/>
        <v>4000000</v>
      </c>
      <c r="Q824" s="285">
        <f t="shared" si="167"/>
        <v>110</v>
      </c>
      <c r="R824" s="285">
        <f t="shared" si="168"/>
        <v>85</v>
      </c>
      <c r="S824" s="285">
        <f t="shared" si="169"/>
        <v>0.35</v>
      </c>
      <c r="T824" s="285">
        <f t="shared" si="170"/>
        <v>3.2</v>
      </c>
      <c r="U824" s="285">
        <f t="shared" si="171"/>
        <v>1</v>
      </c>
      <c r="V824" s="285">
        <f t="shared" si="172"/>
        <v>4.5</v>
      </c>
      <c r="W824" s="285">
        <f t="shared" si="173"/>
        <v>1.5</v>
      </c>
      <c r="X824" s="289" t="e">
        <f t="shared" si="174"/>
        <v>#VALUE!</v>
      </c>
      <c r="Y824" s="288" t="e">
        <f t="shared" si="175"/>
        <v>#VALUE!</v>
      </c>
      <c r="Z824" s="256">
        <f t="shared" si="176"/>
        <v>181.74993027852094</v>
      </c>
      <c r="AA824" s="289" t="e">
        <f t="shared" si="177"/>
        <v>#VALUE!</v>
      </c>
      <c r="AB824" s="288" t="e">
        <f t="shared" si="178"/>
        <v>#VALUE!</v>
      </c>
    </row>
    <row r="825" spans="13:28" ht="12" hidden="1" customHeight="1">
      <c r="M825" s="266"/>
      <c r="N825" s="288" t="str">
        <f t="shared" si="179"/>
        <v/>
      </c>
      <c r="O825" s="285">
        <f t="shared" si="165"/>
        <v>150</v>
      </c>
      <c r="P825" s="289">
        <f t="shared" si="166"/>
        <v>4000000</v>
      </c>
      <c r="Q825" s="285">
        <f t="shared" si="167"/>
        <v>110</v>
      </c>
      <c r="R825" s="285">
        <f t="shared" si="168"/>
        <v>85</v>
      </c>
      <c r="S825" s="285">
        <f t="shared" si="169"/>
        <v>0.35</v>
      </c>
      <c r="T825" s="285">
        <f t="shared" si="170"/>
        <v>3.2</v>
      </c>
      <c r="U825" s="285">
        <f t="shared" si="171"/>
        <v>1</v>
      </c>
      <c r="V825" s="285">
        <f t="shared" si="172"/>
        <v>4.5</v>
      </c>
      <c r="W825" s="285">
        <f t="shared" si="173"/>
        <v>1.5</v>
      </c>
      <c r="X825" s="289" t="e">
        <f t="shared" si="174"/>
        <v>#VALUE!</v>
      </c>
      <c r="Y825" s="288" t="e">
        <f t="shared" si="175"/>
        <v>#VALUE!</v>
      </c>
      <c r="Z825" s="256">
        <f t="shared" si="176"/>
        <v>181.74993027852094</v>
      </c>
      <c r="AA825" s="289" t="e">
        <f t="shared" si="177"/>
        <v>#VALUE!</v>
      </c>
      <c r="AB825" s="288" t="e">
        <f t="shared" si="178"/>
        <v>#VALUE!</v>
      </c>
    </row>
    <row r="826" spans="13:28" ht="12" hidden="1" customHeight="1">
      <c r="M826" s="266"/>
      <c r="N826" s="288" t="str">
        <f t="shared" si="179"/>
        <v/>
      </c>
      <c r="O826" s="285">
        <f t="shared" si="165"/>
        <v>150</v>
      </c>
      <c r="P826" s="289">
        <f t="shared" si="166"/>
        <v>4000000</v>
      </c>
      <c r="Q826" s="285">
        <f t="shared" si="167"/>
        <v>110</v>
      </c>
      <c r="R826" s="285">
        <f t="shared" si="168"/>
        <v>85</v>
      </c>
      <c r="S826" s="285">
        <f t="shared" si="169"/>
        <v>0.35</v>
      </c>
      <c r="T826" s="285">
        <f t="shared" si="170"/>
        <v>3.2</v>
      </c>
      <c r="U826" s="285">
        <f t="shared" si="171"/>
        <v>1</v>
      </c>
      <c r="V826" s="285">
        <f t="shared" si="172"/>
        <v>4.5</v>
      </c>
      <c r="W826" s="285">
        <f t="shared" si="173"/>
        <v>1.5</v>
      </c>
      <c r="X826" s="289" t="e">
        <f t="shared" si="174"/>
        <v>#VALUE!</v>
      </c>
      <c r="Y826" s="288" t="e">
        <f t="shared" si="175"/>
        <v>#VALUE!</v>
      </c>
      <c r="Z826" s="256">
        <f t="shared" si="176"/>
        <v>181.74993027852094</v>
      </c>
      <c r="AA826" s="289" t="e">
        <f t="shared" si="177"/>
        <v>#VALUE!</v>
      </c>
      <c r="AB826" s="288" t="e">
        <f t="shared" si="178"/>
        <v>#VALUE!</v>
      </c>
    </row>
    <row r="827" spans="13:28" ht="12" hidden="1" customHeight="1">
      <c r="M827" s="266"/>
      <c r="N827" s="288" t="str">
        <f t="shared" si="179"/>
        <v/>
      </c>
      <c r="O827" s="285">
        <f t="shared" si="165"/>
        <v>150</v>
      </c>
      <c r="P827" s="289">
        <f t="shared" si="166"/>
        <v>4000000</v>
      </c>
      <c r="Q827" s="285">
        <f t="shared" si="167"/>
        <v>110</v>
      </c>
      <c r="R827" s="285">
        <f t="shared" si="168"/>
        <v>85</v>
      </c>
      <c r="S827" s="285">
        <f t="shared" si="169"/>
        <v>0.35</v>
      </c>
      <c r="T827" s="285">
        <f t="shared" si="170"/>
        <v>3.2</v>
      </c>
      <c r="U827" s="285">
        <f t="shared" si="171"/>
        <v>1</v>
      </c>
      <c r="V827" s="285">
        <f t="shared" si="172"/>
        <v>4.5</v>
      </c>
      <c r="W827" s="285">
        <f t="shared" si="173"/>
        <v>1.5</v>
      </c>
      <c r="X827" s="289" t="e">
        <f t="shared" si="174"/>
        <v>#VALUE!</v>
      </c>
      <c r="Y827" s="288" t="e">
        <f t="shared" si="175"/>
        <v>#VALUE!</v>
      </c>
      <c r="Z827" s="256">
        <f t="shared" si="176"/>
        <v>181.74993027852094</v>
      </c>
      <c r="AA827" s="289" t="e">
        <f t="shared" si="177"/>
        <v>#VALUE!</v>
      </c>
      <c r="AB827" s="288" t="e">
        <f t="shared" si="178"/>
        <v>#VALUE!</v>
      </c>
    </row>
    <row r="828" spans="13:28" ht="12" hidden="1" customHeight="1">
      <c r="M828" s="266"/>
      <c r="N828" s="288" t="str">
        <f t="shared" si="179"/>
        <v/>
      </c>
      <c r="O828" s="285">
        <f t="shared" si="165"/>
        <v>150</v>
      </c>
      <c r="P828" s="289">
        <f t="shared" si="166"/>
        <v>4000000</v>
      </c>
      <c r="Q828" s="285">
        <f t="shared" si="167"/>
        <v>110</v>
      </c>
      <c r="R828" s="285">
        <f t="shared" si="168"/>
        <v>85</v>
      </c>
      <c r="S828" s="285">
        <f t="shared" si="169"/>
        <v>0.35</v>
      </c>
      <c r="T828" s="285">
        <f t="shared" si="170"/>
        <v>3.2</v>
      </c>
      <c r="U828" s="285">
        <f t="shared" si="171"/>
        <v>1</v>
      </c>
      <c r="V828" s="285">
        <f t="shared" si="172"/>
        <v>4.5</v>
      </c>
      <c r="W828" s="285">
        <f t="shared" si="173"/>
        <v>1.5</v>
      </c>
      <c r="X828" s="289" t="e">
        <f t="shared" si="174"/>
        <v>#VALUE!</v>
      </c>
      <c r="Y828" s="288" t="e">
        <f t="shared" si="175"/>
        <v>#VALUE!</v>
      </c>
      <c r="Z828" s="256">
        <f t="shared" si="176"/>
        <v>181.74993027852094</v>
      </c>
      <c r="AA828" s="289" t="e">
        <f t="shared" si="177"/>
        <v>#VALUE!</v>
      </c>
      <c r="AB828" s="288" t="e">
        <f t="shared" si="178"/>
        <v>#VALUE!</v>
      </c>
    </row>
    <row r="829" spans="13:28" ht="12" hidden="1" customHeight="1">
      <c r="M829" s="266"/>
      <c r="N829" s="288" t="str">
        <f t="shared" si="179"/>
        <v/>
      </c>
      <c r="O829" s="285">
        <f t="shared" si="165"/>
        <v>150</v>
      </c>
      <c r="P829" s="289">
        <f t="shared" si="166"/>
        <v>4000000</v>
      </c>
      <c r="Q829" s="285">
        <f t="shared" si="167"/>
        <v>110</v>
      </c>
      <c r="R829" s="285">
        <f t="shared" si="168"/>
        <v>85</v>
      </c>
      <c r="S829" s="285">
        <f t="shared" si="169"/>
        <v>0.35</v>
      </c>
      <c r="T829" s="285">
        <f t="shared" si="170"/>
        <v>3.2</v>
      </c>
      <c r="U829" s="285">
        <f t="shared" si="171"/>
        <v>1</v>
      </c>
      <c r="V829" s="285">
        <f t="shared" si="172"/>
        <v>4.5</v>
      </c>
      <c r="W829" s="285">
        <f t="shared" si="173"/>
        <v>1.5</v>
      </c>
      <c r="X829" s="289" t="e">
        <f t="shared" si="174"/>
        <v>#VALUE!</v>
      </c>
      <c r="Y829" s="288" t="e">
        <f t="shared" si="175"/>
        <v>#VALUE!</v>
      </c>
      <c r="Z829" s="256">
        <f t="shared" si="176"/>
        <v>181.74993027852094</v>
      </c>
      <c r="AA829" s="289" t="e">
        <f t="shared" si="177"/>
        <v>#VALUE!</v>
      </c>
      <c r="AB829" s="288" t="e">
        <f t="shared" si="178"/>
        <v>#VALUE!</v>
      </c>
    </row>
    <row r="830" spans="13:28" ht="12" hidden="1" customHeight="1">
      <c r="M830" s="266"/>
      <c r="N830" s="288" t="str">
        <f t="shared" si="179"/>
        <v/>
      </c>
      <c r="O830" s="285">
        <f t="shared" si="165"/>
        <v>150</v>
      </c>
      <c r="P830" s="289">
        <f t="shared" si="166"/>
        <v>4000000</v>
      </c>
      <c r="Q830" s="285">
        <f t="shared" si="167"/>
        <v>110</v>
      </c>
      <c r="R830" s="285">
        <f t="shared" si="168"/>
        <v>85</v>
      </c>
      <c r="S830" s="285">
        <f t="shared" si="169"/>
        <v>0.35</v>
      </c>
      <c r="T830" s="285">
        <f t="shared" si="170"/>
        <v>3.2</v>
      </c>
      <c r="U830" s="285">
        <f t="shared" si="171"/>
        <v>1</v>
      </c>
      <c r="V830" s="285">
        <f t="shared" si="172"/>
        <v>4.5</v>
      </c>
      <c r="W830" s="285">
        <f t="shared" si="173"/>
        <v>1.5</v>
      </c>
      <c r="X830" s="289" t="e">
        <f t="shared" si="174"/>
        <v>#VALUE!</v>
      </c>
      <c r="Y830" s="288" t="e">
        <f t="shared" si="175"/>
        <v>#VALUE!</v>
      </c>
      <c r="Z830" s="256">
        <f t="shared" si="176"/>
        <v>181.74993027852094</v>
      </c>
      <c r="AA830" s="289" t="e">
        <f t="shared" si="177"/>
        <v>#VALUE!</v>
      </c>
      <c r="AB830" s="288" t="e">
        <f t="shared" si="178"/>
        <v>#VALUE!</v>
      </c>
    </row>
    <row r="831" spans="13:28" ht="12" hidden="1" customHeight="1">
      <c r="M831" s="266"/>
      <c r="N831" s="288" t="str">
        <f t="shared" si="179"/>
        <v/>
      </c>
      <c r="O831" s="285">
        <f t="shared" si="165"/>
        <v>150</v>
      </c>
      <c r="P831" s="289">
        <f t="shared" si="166"/>
        <v>4000000</v>
      </c>
      <c r="Q831" s="285">
        <f t="shared" si="167"/>
        <v>110</v>
      </c>
      <c r="R831" s="285">
        <f t="shared" si="168"/>
        <v>85</v>
      </c>
      <c r="S831" s="285">
        <f t="shared" si="169"/>
        <v>0.35</v>
      </c>
      <c r="T831" s="285">
        <f t="shared" si="170"/>
        <v>3.2</v>
      </c>
      <c r="U831" s="285">
        <f t="shared" si="171"/>
        <v>1</v>
      </c>
      <c r="V831" s="285">
        <f t="shared" si="172"/>
        <v>4.5</v>
      </c>
      <c r="W831" s="285">
        <f t="shared" si="173"/>
        <v>1.5</v>
      </c>
      <c r="X831" s="289" t="e">
        <f t="shared" si="174"/>
        <v>#VALUE!</v>
      </c>
      <c r="Y831" s="288" t="e">
        <f t="shared" si="175"/>
        <v>#VALUE!</v>
      </c>
      <c r="Z831" s="256">
        <f t="shared" si="176"/>
        <v>181.74993027852094</v>
      </c>
      <c r="AA831" s="289" t="e">
        <f t="shared" si="177"/>
        <v>#VALUE!</v>
      </c>
      <c r="AB831" s="288" t="e">
        <f t="shared" si="178"/>
        <v>#VALUE!</v>
      </c>
    </row>
    <row r="832" spans="13:28" ht="12" hidden="1" customHeight="1">
      <c r="M832" s="266"/>
      <c r="N832" s="288" t="str">
        <f t="shared" si="179"/>
        <v/>
      </c>
      <c r="O832" s="285">
        <f t="shared" si="165"/>
        <v>150</v>
      </c>
      <c r="P832" s="289">
        <f t="shared" si="166"/>
        <v>4000000</v>
      </c>
      <c r="Q832" s="285">
        <f t="shared" si="167"/>
        <v>110</v>
      </c>
      <c r="R832" s="285">
        <f t="shared" si="168"/>
        <v>85</v>
      </c>
      <c r="S832" s="285">
        <f t="shared" si="169"/>
        <v>0.35</v>
      </c>
      <c r="T832" s="285">
        <f t="shared" si="170"/>
        <v>3.2</v>
      </c>
      <c r="U832" s="285">
        <f t="shared" si="171"/>
        <v>1</v>
      </c>
      <c r="V832" s="285">
        <f t="shared" si="172"/>
        <v>4.5</v>
      </c>
      <c r="W832" s="285">
        <f t="shared" si="173"/>
        <v>1.5</v>
      </c>
      <c r="X832" s="289" t="e">
        <f t="shared" si="174"/>
        <v>#VALUE!</v>
      </c>
      <c r="Y832" s="288" t="e">
        <f t="shared" si="175"/>
        <v>#VALUE!</v>
      </c>
      <c r="Z832" s="256">
        <f t="shared" si="176"/>
        <v>181.74993027852094</v>
      </c>
      <c r="AA832" s="289" t="e">
        <f t="shared" si="177"/>
        <v>#VALUE!</v>
      </c>
      <c r="AB832" s="288" t="e">
        <f t="shared" si="178"/>
        <v>#VALUE!</v>
      </c>
    </row>
    <row r="833" spans="13:28" ht="12" hidden="1" customHeight="1">
      <c r="M833" s="266"/>
      <c r="N833" s="288" t="str">
        <f t="shared" si="179"/>
        <v/>
      </c>
      <c r="O833" s="285">
        <f t="shared" si="165"/>
        <v>150</v>
      </c>
      <c r="P833" s="289">
        <f t="shared" si="166"/>
        <v>4000000</v>
      </c>
      <c r="Q833" s="285">
        <f t="shared" si="167"/>
        <v>110</v>
      </c>
      <c r="R833" s="285">
        <f t="shared" si="168"/>
        <v>85</v>
      </c>
      <c r="S833" s="285">
        <f t="shared" si="169"/>
        <v>0.35</v>
      </c>
      <c r="T833" s="285">
        <f t="shared" si="170"/>
        <v>3.2</v>
      </c>
      <c r="U833" s="285">
        <f t="shared" si="171"/>
        <v>1</v>
      </c>
      <c r="V833" s="285">
        <f t="shared" si="172"/>
        <v>4.5</v>
      </c>
      <c r="W833" s="285">
        <f t="shared" si="173"/>
        <v>1.5</v>
      </c>
      <c r="X833" s="289" t="e">
        <f t="shared" si="174"/>
        <v>#VALUE!</v>
      </c>
      <c r="Y833" s="288" t="e">
        <f t="shared" si="175"/>
        <v>#VALUE!</v>
      </c>
      <c r="Z833" s="256">
        <f t="shared" si="176"/>
        <v>181.74993027852094</v>
      </c>
      <c r="AA833" s="289" t="e">
        <f t="shared" si="177"/>
        <v>#VALUE!</v>
      </c>
      <c r="AB833" s="288" t="e">
        <f t="shared" si="178"/>
        <v>#VALUE!</v>
      </c>
    </row>
    <row r="834" spans="13:28" ht="12" hidden="1" customHeight="1">
      <c r="M834" s="266"/>
      <c r="N834" s="288" t="str">
        <f t="shared" si="179"/>
        <v/>
      </c>
      <c r="O834" s="285">
        <f t="shared" si="165"/>
        <v>150</v>
      </c>
      <c r="P834" s="289">
        <f t="shared" si="166"/>
        <v>4000000</v>
      </c>
      <c r="Q834" s="285">
        <f t="shared" si="167"/>
        <v>110</v>
      </c>
      <c r="R834" s="285">
        <f t="shared" si="168"/>
        <v>85</v>
      </c>
      <c r="S834" s="285">
        <f t="shared" si="169"/>
        <v>0.35</v>
      </c>
      <c r="T834" s="285">
        <f t="shared" si="170"/>
        <v>3.2</v>
      </c>
      <c r="U834" s="285">
        <f t="shared" si="171"/>
        <v>1</v>
      </c>
      <c r="V834" s="285">
        <f t="shared" si="172"/>
        <v>4.5</v>
      </c>
      <c r="W834" s="285">
        <f t="shared" si="173"/>
        <v>1.5</v>
      </c>
      <c r="X834" s="289" t="e">
        <f t="shared" si="174"/>
        <v>#VALUE!</v>
      </c>
      <c r="Y834" s="288" t="e">
        <f t="shared" si="175"/>
        <v>#VALUE!</v>
      </c>
      <c r="Z834" s="256">
        <f t="shared" si="176"/>
        <v>181.74993027852094</v>
      </c>
      <c r="AA834" s="289" t="e">
        <f t="shared" si="177"/>
        <v>#VALUE!</v>
      </c>
      <c r="AB834" s="288" t="e">
        <f t="shared" si="178"/>
        <v>#VALUE!</v>
      </c>
    </row>
    <row r="835" spans="13:28" ht="12" hidden="1" customHeight="1">
      <c r="M835" s="266"/>
      <c r="N835" s="288" t="str">
        <f t="shared" si="179"/>
        <v/>
      </c>
      <c r="O835" s="285">
        <f t="shared" si="165"/>
        <v>150</v>
      </c>
      <c r="P835" s="289">
        <f t="shared" si="166"/>
        <v>4000000</v>
      </c>
      <c r="Q835" s="285">
        <f t="shared" si="167"/>
        <v>110</v>
      </c>
      <c r="R835" s="285">
        <f t="shared" si="168"/>
        <v>85</v>
      </c>
      <c r="S835" s="285">
        <f t="shared" si="169"/>
        <v>0.35</v>
      </c>
      <c r="T835" s="285">
        <f t="shared" si="170"/>
        <v>3.2</v>
      </c>
      <c r="U835" s="285">
        <f t="shared" si="171"/>
        <v>1</v>
      </c>
      <c r="V835" s="285">
        <f t="shared" si="172"/>
        <v>4.5</v>
      </c>
      <c r="W835" s="285">
        <f t="shared" si="173"/>
        <v>1.5</v>
      </c>
      <c r="X835" s="289" t="e">
        <f t="shared" si="174"/>
        <v>#VALUE!</v>
      </c>
      <c r="Y835" s="288" t="e">
        <f t="shared" si="175"/>
        <v>#VALUE!</v>
      </c>
      <c r="Z835" s="256">
        <f t="shared" si="176"/>
        <v>181.74993027852094</v>
      </c>
      <c r="AA835" s="289" t="e">
        <f t="shared" si="177"/>
        <v>#VALUE!</v>
      </c>
      <c r="AB835" s="288" t="e">
        <f t="shared" si="178"/>
        <v>#VALUE!</v>
      </c>
    </row>
    <row r="836" spans="13:28" ht="12" hidden="1" customHeight="1">
      <c r="M836" s="266"/>
      <c r="N836" s="288" t="str">
        <f t="shared" si="179"/>
        <v/>
      </c>
      <c r="O836" s="285">
        <f t="shared" si="165"/>
        <v>150</v>
      </c>
      <c r="P836" s="289">
        <f t="shared" si="166"/>
        <v>4000000</v>
      </c>
      <c r="Q836" s="285">
        <f t="shared" si="167"/>
        <v>110</v>
      </c>
      <c r="R836" s="285">
        <f t="shared" si="168"/>
        <v>85</v>
      </c>
      <c r="S836" s="285">
        <f t="shared" si="169"/>
        <v>0.35</v>
      </c>
      <c r="T836" s="285">
        <f t="shared" si="170"/>
        <v>3.2</v>
      </c>
      <c r="U836" s="285">
        <f t="shared" si="171"/>
        <v>1</v>
      </c>
      <c r="V836" s="285">
        <f t="shared" si="172"/>
        <v>4.5</v>
      </c>
      <c r="W836" s="285">
        <f t="shared" si="173"/>
        <v>1.5</v>
      </c>
      <c r="X836" s="289" t="e">
        <f t="shared" si="174"/>
        <v>#VALUE!</v>
      </c>
      <c r="Y836" s="288" t="e">
        <f t="shared" si="175"/>
        <v>#VALUE!</v>
      </c>
      <c r="Z836" s="256">
        <f t="shared" si="176"/>
        <v>181.74993027852094</v>
      </c>
      <c r="AA836" s="289" t="e">
        <f t="shared" si="177"/>
        <v>#VALUE!</v>
      </c>
      <c r="AB836" s="288" t="e">
        <f t="shared" si="178"/>
        <v>#VALUE!</v>
      </c>
    </row>
    <row r="837" spans="13:28" ht="12" hidden="1" customHeight="1">
      <c r="M837" s="266"/>
      <c r="N837" s="288" t="str">
        <f t="shared" si="179"/>
        <v/>
      </c>
      <c r="O837" s="285">
        <f t="shared" si="165"/>
        <v>150</v>
      </c>
      <c r="P837" s="289">
        <f t="shared" si="166"/>
        <v>4000000</v>
      </c>
      <c r="Q837" s="285">
        <f t="shared" si="167"/>
        <v>110</v>
      </c>
      <c r="R837" s="285">
        <f t="shared" si="168"/>
        <v>85</v>
      </c>
      <c r="S837" s="285">
        <f t="shared" si="169"/>
        <v>0.35</v>
      </c>
      <c r="T837" s="285">
        <f t="shared" si="170"/>
        <v>3.2</v>
      </c>
      <c r="U837" s="285">
        <f t="shared" si="171"/>
        <v>1</v>
      </c>
      <c r="V837" s="285">
        <f t="shared" si="172"/>
        <v>4.5</v>
      </c>
      <c r="W837" s="285">
        <f t="shared" si="173"/>
        <v>1.5</v>
      </c>
      <c r="X837" s="289" t="e">
        <f t="shared" si="174"/>
        <v>#VALUE!</v>
      </c>
      <c r="Y837" s="288" t="e">
        <f t="shared" si="175"/>
        <v>#VALUE!</v>
      </c>
      <c r="Z837" s="256">
        <f t="shared" si="176"/>
        <v>181.74993027852094</v>
      </c>
      <c r="AA837" s="289" t="e">
        <f t="shared" si="177"/>
        <v>#VALUE!</v>
      </c>
      <c r="AB837" s="288" t="e">
        <f t="shared" si="178"/>
        <v>#VALUE!</v>
      </c>
    </row>
    <row r="838" spans="13:28" ht="12" hidden="1" customHeight="1">
      <c r="M838" s="266"/>
      <c r="N838" s="288" t="str">
        <f t="shared" si="179"/>
        <v/>
      </c>
      <c r="O838" s="285">
        <f t="shared" si="165"/>
        <v>150</v>
      </c>
      <c r="P838" s="289">
        <f t="shared" si="166"/>
        <v>4000000</v>
      </c>
      <c r="Q838" s="285">
        <f t="shared" si="167"/>
        <v>110</v>
      </c>
      <c r="R838" s="285">
        <f t="shared" si="168"/>
        <v>85</v>
      </c>
      <c r="S838" s="285">
        <f t="shared" si="169"/>
        <v>0.35</v>
      </c>
      <c r="T838" s="285">
        <f t="shared" si="170"/>
        <v>3.2</v>
      </c>
      <c r="U838" s="285">
        <f t="shared" si="171"/>
        <v>1</v>
      </c>
      <c r="V838" s="285">
        <f t="shared" si="172"/>
        <v>4.5</v>
      </c>
      <c r="W838" s="285">
        <f t="shared" si="173"/>
        <v>1.5</v>
      </c>
      <c r="X838" s="289" t="e">
        <f t="shared" si="174"/>
        <v>#VALUE!</v>
      </c>
      <c r="Y838" s="288" t="e">
        <f t="shared" si="175"/>
        <v>#VALUE!</v>
      </c>
      <c r="Z838" s="256">
        <f t="shared" si="176"/>
        <v>181.74993027852094</v>
      </c>
      <c r="AA838" s="289" t="e">
        <f t="shared" si="177"/>
        <v>#VALUE!</v>
      </c>
      <c r="AB838" s="288" t="e">
        <f t="shared" si="178"/>
        <v>#VALUE!</v>
      </c>
    </row>
    <row r="839" spans="13:28" ht="12" hidden="1" customHeight="1">
      <c r="M839" s="266"/>
      <c r="N839" s="288" t="str">
        <f t="shared" si="179"/>
        <v/>
      </c>
      <c r="O839" s="285">
        <f t="shared" si="165"/>
        <v>150</v>
      </c>
      <c r="P839" s="289">
        <f t="shared" si="166"/>
        <v>4000000</v>
      </c>
      <c r="Q839" s="285">
        <f t="shared" si="167"/>
        <v>110</v>
      </c>
      <c r="R839" s="285">
        <f t="shared" si="168"/>
        <v>85</v>
      </c>
      <c r="S839" s="285">
        <f t="shared" si="169"/>
        <v>0.35</v>
      </c>
      <c r="T839" s="285">
        <f t="shared" si="170"/>
        <v>3.2</v>
      </c>
      <c r="U839" s="285">
        <f t="shared" si="171"/>
        <v>1</v>
      </c>
      <c r="V839" s="285">
        <f t="shared" si="172"/>
        <v>4.5</v>
      </c>
      <c r="W839" s="285">
        <f t="shared" si="173"/>
        <v>1.5</v>
      </c>
      <c r="X839" s="289" t="e">
        <f t="shared" si="174"/>
        <v>#VALUE!</v>
      </c>
      <c r="Y839" s="288" t="e">
        <f t="shared" si="175"/>
        <v>#VALUE!</v>
      </c>
      <c r="Z839" s="256">
        <f t="shared" si="176"/>
        <v>181.74993027852094</v>
      </c>
      <c r="AA839" s="289" t="e">
        <f t="shared" si="177"/>
        <v>#VALUE!</v>
      </c>
      <c r="AB839" s="288" t="e">
        <f t="shared" si="178"/>
        <v>#VALUE!</v>
      </c>
    </row>
    <row r="840" spans="13:28" ht="12" hidden="1" customHeight="1">
      <c r="M840" s="266"/>
      <c r="N840" s="288" t="str">
        <f t="shared" si="179"/>
        <v/>
      </c>
      <c r="O840" s="285">
        <f t="shared" si="165"/>
        <v>150</v>
      </c>
      <c r="P840" s="289">
        <f t="shared" si="166"/>
        <v>4000000</v>
      </c>
      <c r="Q840" s="285">
        <f t="shared" si="167"/>
        <v>110</v>
      </c>
      <c r="R840" s="285">
        <f t="shared" si="168"/>
        <v>85</v>
      </c>
      <c r="S840" s="285">
        <f t="shared" si="169"/>
        <v>0.35</v>
      </c>
      <c r="T840" s="285">
        <f t="shared" si="170"/>
        <v>3.2</v>
      </c>
      <c r="U840" s="285">
        <f t="shared" si="171"/>
        <v>1</v>
      </c>
      <c r="V840" s="285">
        <f t="shared" si="172"/>
        <v>4.5</v>
      </c>
      <c r="W840" s="285">
        <f t="shared" si="173"/>
        <v>1.5</v>
      </c>
      <c r="X840" s="289" t="e">
        <f t="shared" si="174"/>
        <v>#VALUE!</v>
      </c>
      <c r="Y840" s="288" t="e">
        <f t="shared" si="175"/>
        <v>#VALUE!</v>
      </c>
      <c r="Z840" s="256">
        <f t="shared" si="176"/>
        <v>181.74993027852094</v>
      </c>
      <c r="AA840" s="289" t="e">
        <f t="shared" si="177"/>
        <v>#VALUE!</v>
      </c>
      <c r="AB840" s="288" t="e">
        <f t="shared" si="178"/>
        <v>#VALUE!</v>
      </c>
    </row>
    <row r="841" spans="13:28" ht="12" hidden="1" customHeight="1">
      <c r="M841" s="266"/>
      <c r="N841" s="288" t="str">
        <f t="shared" si="179"/>
        <v/>
      </c>
      <c r="O841" s="285">
        <f t="shared" si="165"/>
        <v>150</v>
      </c>
      <c r="P841" s="289">
        <f t="shared" si="166"/>
        <v>4000000</v>
      </c>
      <c r="Q841" s="285">
        <f t="shared" si="167"/>
        <v>110</v>
      </c>
      <c r="R841" s="285">
        <f t="shared" si="168"/>
        <v>85</v>
      </c>
      <c r="S841" s="285">
        <f t="shared" si="169"/>
        <v>0.35</v>
      </c>
      <c r="T841" s="285">
        <f t="shared" si="170"/>
        <v>3.2</v>
      </c>
      <c r="U841" s="285">
        <f t="shared" si="171"/>
        <v>1</v>
      </c>
      <c r="V841" s="285">
        <f t="shared" si="172"/>
        <v>4.5</v>
      </c>
      <c r="W841" s="285">
        <f t="shared" si="173"/>
        <v>1.5</v>
      </c>
      <c r="X841" s="289" t="e">
        <f t="shared" si="174"/>
        <v>#VALUE!</v>
      </c>
      <c r="Y841" s="288" t="e">
        <f t="shared" si="175"/>
        <v>#VALUE!</v>
      </c>
      <c r="Z841" s="256">
        <f t="shared" si="176"/>
        <v>181.74993027852094</v>
      </c>
      <c r="AA841" s="289" t="e">
        <f t="shared" si="177"/>
        <v>#VALUE!</v>
      </c>
      <c r="AB841" s="288" t="e">
        <f t="shared" si="178"/>
        <v>#VALUE!</v>
      </c>
    </row>
    <row r="842" spans="13:28" ht="12" hidden="1" customHeight="1">
      <c r="M842" s="266"/>
      <c r="N842" s="288" t="str">
        <f t="shared" si="179"/>
        <v/>
      </c>
      <c r="O842" s="285">
        <f t="shared" si="165"/>
        <v>150</v>
      </c>
      <c r="P842" s="289">
        <f t="shared" si="166"/>
        <v>4000000</v>
      </c>
      <c r="Q842" s="285">
        <f t="shared" si="167"/>
        <v>110</v>
      </c>
      <c r="R842" s="285">
        <f t="shared" si="168"/>
        <v>85</v>
      </c>
      <c r="S842" s="285">
        <f t="shared" si="169"/>
        <v>0.35</v>
      </c>
      <c r="T842" s="285">
        <f t="shared" si="170"/>
        <v>3.2</v>
      </c>
      <c r="U842" s="285">
        <f t="shared" si="171"/>
        <v>1</v>
      </c>
      <c r="V842" s="285">
        <f t="shared" si="172"/>
        <v>4.5</v>
      </c>
      <c r="W842" s="285">
        <f t="shared" si="173"/>
        <v>1.5</v>
      </c>
      <c r="X842" s="289" t="e">
        <f t="shared" si="174"/>
        <v>#VALUE!</v>
      </c>
      <c r="Y842" s="288" t="e">
        <f t="shared" si="175"/>
        <v>#VALUE!</v>
      </c>
      <c r="Z842" s="256">
        <f t="shared" si="176"/>
        <v>181.74993027852094</v>
      </c>
      <c r="AA842" s="289" t="e">
        <f t="shared" si="177"/>
        <v>#VALUE!</v>
      </c>
      <c r="AB842" s="288" t="e">
        <f t="shared" si="178"/>
        <v>#VALUE!</v>
      </c>
    </row>
    <row r="843" spans="13:28" ht="12" hidden="1" customHeight="1">
      <c r="M843" s="266"/>
      <c r="N843" s="288" t="str">
        <f t="shared" si="179"/>
        <v/>
      </c>
      <c r="O843" s="285">
        <f t="shared" si="165"/>
        <v>150</v>
      </c>
      <c r="P843" s="289">
        <f t="shared" si="166"/>
        <v>4000000</v>
      </c>
      <c r="Q843" s="285">
        <f t="shared" si="167"/>
        <v>110</v>
      </c>
      <c r="R843" s="285">
        <f t="shared" si="168"/>
        <v>85</v>
      </c>
      <c r="S843" s="285">
        <f t="shared" si="169"/>
        <v>0.35</v>
      </c>
      <c r="T843" s="285">
        <f t="shared" si="170"/>
        <v>3.2</v>
      </c>
      <c r="U843" s="285">
        <f t="shared" si="171"/>
        <v>1</v>
      </c>
      <c r="V843" s="285">
        <f t="shared" si="172"/>
        <v>4.5</v>
      </c>
      <c r="W843" s="285">
        <f t="shared" si="173"/>
        <v>1.5</v>
      </c>
      <c r="X843" s="289" t="e">
        <f t="shared" si="174"/>
        <v>#VALUE!</v>
      </c>
      <c r="Y843" s="288" t="e">
        <f t="shared" si="175"/>
        <v>#VALUE!</v>
      </c>
      <c r="Z843" s="256">
        <f t="shared" si="176"/>
        <v>181.74993027852094</v>
      </c>
      <c r="AA843" s="289" t="e">
        <f t="shared" si="177"/>
        <v>#VALUE!</v>
      </c>
      <c r="AB843" s="288" t="e">
        <f t="shared" si="178"/>
        <v>#VALUE!</v>
      </c>
    </row>
    <row r="844" spans="13:28" ht="12" hidden="1" customHeight="1">
      <c r="M844" s="266"/>
      <c r="N844" s="288" t="str">
        <f t="shared" si="179"/>
        <v/>
      </c>
      <c r="O844" s="285">
        <f t="shared" si="165"/>
        <v>150</v>
      </c>
      <c r="P844" s="289">
        <f t="shared" si="166"/>
        <v>4000000</v>
      </c>
      <c r="Q844" s="285">
        <f t="shared" si="167"/>
        <v>110</v>
      </c>
      <c r="R844" s="285">
        <f t="shared" si="168"/>
        <v>85</v>
      </c>
      <c r="S844" s="285">
        <f t="shared" si="169"/>
        <v>0.35</v>
      </c>
      <c r="T844" s="285">
        <f t="shared" si="170"/>
        <v>3.2</v>
      </c>
      <c r="U844" s="285">
        <f t="shared" si="171"/>
        <v>1</v>
      </c>
      <c r="V844" s="285">
        <f t="shared" si="172"/>
        <v>4.5</v>
      </c>
      <c r="W844" s="285">
        <f t="shared" si="173"/>
        <v>1.5</v>
      </c>
      <c r="X844" s="289" t="e">
        <f t="shared" si="174"/>
        <v>#VALUE!</v>
      </c>
      <c r="Y844" s="288" t="e">
        <f t="shared" si="175"/>
        <v>#VALUE!</v>
      </c>
      <c r="Z844" s="256">
        <f t="shared" si="176"/>
        <v>181.74993027852094</v>
      </c>
      <c r="AA844" s="289" t="e">
        <f t="shared" si="177"/>
        <v>#VALUE!</v>
      </c>
      <c r="AB844" s="288" t="e">
        <f t="shared" si="178"/>
        <v>#VALUE!</v>
      </c>
    </row>
    <row r="845" spans="13:28" ht="12" hidden="1" customHeight="1">
      <c r="M845" s="266"/>
      <c r="N845" s="288" t="str">
        <f t="shared" si="179"/>
        <v/>
      </c>
      <c r="O845" s="285">
        <f t="shared" si="165"/>
        <v>150</v>
      </c>
      <c r="P845" s="289">
        <f t="shared" si="166"/>
        <v>4000000</v>
      </c>
      <c r="Q845" s="285">
        <f t="shared" si="167"/>
        <v>110</v>
      </c>
      <c r="R845" s="285">
        <f t="shared" si="168"/>
        <v>85</v>
      </c>
      <c r="S845" s="285">
        <f t="shared" si="169"/>
        <v>0.35</v>
      </c>
      <c r="T845" s="285">
        <f t="shared" si="170"/>
        <v>3.2</v>
      </c>
      <c r="U845" s="285">
        <f t="shared" si="171"/>
        <v>1</v>
      </c>
      <c r="V845" s="285">
        <f t="shared" si="172"/>
        <v>4.5</v>
      </c>
      <c r="W845" s="285">
        <f t="shared" si="173"/>
        <v>1.5</v>
      </c>
      <c r="X845" s="289" t="e">
        <f t="shared" si="174"/>
        <v>#VALUE!</v>
      </c>
      <c r="Y845" s="288" t="e">
        <f t="shared" si="175"/>
        <v>#VALUE!</v>
      </c>
      <c r="Z845" s="256">
        <f t="shared" si="176"/>
        <v>181.74993027852094</v>
      </c>
      <c r="AA845" s="289" t="e">
        <f t="shared" si="177"/>
        <v>#VALUE!</v>
      </c>
      <c r="AB845" s="288" t="e">
        <f t="shared" si="178"/>
        <v>#VALUE!</v>
      </c>
    </row>
    <row r="846" spans="13:28" ht="12" hidden="1" customHeight="1">
      <c r="M846" s="266"/>
      <c r="N846" s="288" t="str">
        <f t="shared" si="179"/>
        <v/>
      </c>
      <c r="O846" s="285">
        <f t="shared" si="165"/>
        <v>150</v>
      </c>
      <c r="P846" s="289">
        <f t="shared" si="166"/>
        <v>4000000</v>
      </c>
      <c r="Q846" s="285">
        <f t="shared" si="167"/>
        <v>110</v>
      </c>
      <c r="R846" s="285">
        <f t="shared" si="168"/>
        <v>85</v>
      </c>
      <c r="S846" s="285">
        <f t="shared" si="169"/>
        <v>0.35</v>
      </c>
      <c r="T846" s="285">
        <f t="shared" si="170"/>
        <v>3.2</v>
      </c>
      <c r="U846" s="285">
        <f t="shared" si="171"/>
        <v>1</v>
      </c>
      <c r="V846" s="285">
        <f t="shared" si="172"/>
        <v>4.5</v>
      </c>
      <c r="W846" s="285">
        <f t="shared" si="173"/>
        <v>1.5</v>
      </c>
      <c r="X846" s="289" t="e">
        <f t="shared" si="174"/>
        <v>#VALUE!</v>
      </c>
      <c r="Y846" s="288" t="e">
        <f t="shared" si="175"/>
        <v>#VALUE!</v>
      </c>
      <c r="Z846" s="256">
        <f t="shared" si="176"/>
        <v>181.74993027852094</v>
      </c>
      <c r="AA846" s="289" t="e">
        <f t="shared" si="177"/>
        <v>#VALUE!</v>
      </c>
      <c r="AB846" s="288" t="e">
        <f t="shared" si="178"/>
        <v>#VALUE!</v>
      </c>
    </row>
    <row r="847" spans="13:28" ht="12" hidden="1" customHeight="1">
      <c r="M847" s="266"/>
      <c r="N847" s="288" t="str">
        <f t="shared" si="179"/>
        <v/>
      </c>
      <c r="O847" s="285">
        <f t="shared" si="165"/>
        <v>150</v>
      </c>
      <c r="P847" s="289">
        <f t="shared" si="166"/>
        <v>4000000</v>
      </c>
      <c r="Q847" s="285">
        <f t="shared" si="167"/>
        <v>110</v>
      </c>
      <c r="R847" s="285">
        <f t="shared" si="168"/>
        <v>85</v>
      </c>
      <c r="S847" s="285">
        <f t="shared" si="169"/>
        <v>0.35</v>
      </c>
      <c r="T847" s="285">
        <f t="shared" si="170"/>
        <v>3.2</v>
      </c>
      <c r="U847" s="285">
        <f t="shared" si="171"/>
        <v>1</v>
      </c>
      <c r="V847" s="285">
        <f t="shared" si="172"/>
        <v>4.5</v>
      </c>
      <c r="W847" s="285">
        <f t="shared" si="173"/>
        <v>1.5</v>
      </c>
      <c r="X847" s="289" t="e">
        <f t="shared" si="174"/>
        <v>#VALUE!</v>
      </c>
      <c r="Y847" s="288" t="e">
        <f t="shared" si="175"/>
        <v>#VALUE!</v>
      </c>
      <c r="Z847" s="256">
        <f t="shared" si="176"/>
        <v>181.74993027852094</v>
      </c>
      <c r="AA847" s="289" t="e">
        <f t="shared" si="177"/>
        <v>#VALUE!</v>
      </c>
      <c r="AB847" s="288" t="e">
        <f t="shared" si="178"/>
        <v>#VALUE!</v>
      </c>
    </row>
    <row r="848" spans="13:28" ht="12" hidden="1" customHeight="1">
      <c r="M848" s="266"/>
      <c r="N848" s="288" t="str">
        <f t="shared" si="179"/>
        <v/>
      </c>
      <c r="O848" s="285">
        <f t="shared" si="165"/>
        <v>150</v>
      </c>
      <c r="P848" s="289">
        <f t="shared" si="166"/>
        <v>4000000</v>
      </c>
      <c r="Q848" s="285">
        <f t="shared" si="167"/>
        <v>110</v>
      </c>
      <c r="R848" s="285">
        <f t="shared" si="168"/>
        <v>85</v>
      </c>
      <c r="S848" s="285">
        <f t="shared" si="169"/>
        <v>0.35</v>
      </c>
      <c r="T848" s="285">
        <f t="shared" si="170"/>
        <v>3.2</v>
      </c>
      <c r="U848" s="285">
        <f t="shared" si="171"/>
        <v>1</v>
      </c>
      <c r="V848" s="285">
        <f t="shared" si="172"/>
        <v>4.5</v>
      </c>
      <c r="W848" s="285">
        <f t="shared" si="173"/>
        <v>1.5</v>
      </c>
      <c r="X848" s="289" t="e">
        <f t="shared" si="174"/>
        <v>#VALUE!</v>
      </c>
      <c r="Y848" s="288" t="e">
        <f t="shared" si="175"/>
        <v>#VALUE!</v>
      </c>
      <c r="Z848" s="256">
        <f t="shared" si="176"/>
        <v>181.74993027852094</v>
      </c>
      <c r="AA848" s="289" t="e">
        <f t="shared" si="177"/>
        <v>#VALUE!</v>
      </c>
      <c r="AB848" s="288" t="e">
        <f t="shared" si="178"/>
        <v>#VALUE!</v>
      </c>
    </row>
    <row r="849" spans="13:28" ht="12" hidden="1" customHeight="1">
      <c r="M849" s="266"/>
      <c r="N849" s="288" t="str">
        <f t="shared" si="179"/>
        <v/>
      </c>
      <c r="O849" s="285">
        <f t="shared" si="165"/>
        <v>150</v>
      </c>
      <c r="P849" s="289">
        <f t="shared" si="166"/>
        <v>4000000</v>
      </c>
      <c r="Q849" s="285">
        <f t="shared" si="167"/>
        <v>110</v>
      </c>
      <c r="R849" s="285">
        <f t="shared" si="168"/>
        <v>85</v>
      </c>
      <c r="S849" s="285">
        <f t="shared" si="169"/>
        <v>0.35</v>
      </c>
      <c r="T849" s="285">
        <f t="shared" si="170"/>
        <v>3.2</v>
      </c>
      <c r="U849" s="285">
        <f t="shared" si="171"/>
        <v>1</v>
      </c>
      <c r="V849" s="285">
        <f t="shared" si="172"/>
        <v>4.5</v>
      </c>
      <c r="W849" s="285">
        <f t="shared" si="173"/>
        <v>1.5</v>
      </c>
      <c r="X849" s="289" t="e">
        <f t="shared" si="174"/>
        <v>#VALUE!</v>
      </c>
      <c r="Y849" s="288" t="e">
        <f t="shared" si="175"/>
        <v>#VALUE!</v>
      </c>
      <c r="Z849" s="256">
        <f t="shared" si="176"/>
        <v>181.74993027852094</v>
      </c>
      <c r="AA849" s="289" t="e">
        <f t="shared" si="177"/>
        <v>#VALUE!</v>
      </c>
      <c r="AB849" s="288" t="e">
        <f t="shared" si="178"/>
        <v>#VALUE!</v>
      </c>
    </row>
    <row r="850" spans="13:28" ht="12" hidden="1" customHeight="1">
      <c r="M850" s="266"/>
      <c r="N850" s="288" t="str">
        <f t="shared" si="179"/>
        <v/>
      </c>
      <c r="O850" s="285">
        <f t="shared" si="165"/>
        <v>150</v>
      </c>
      <c r="P850" s="289">
        <f t="shared" si="166"/>
        <v>4000000</v>
      </c>
      <c r="Q850" s="285">
        <f t="shared" si="167"/>
        <v>110</v>
      </c>
      <c r="R850" s="285">
        <f t="shared" si="168"/>
        <v>85</v>
      </c>
      <c r="S850" s="285">
        <f t="shared" si="169"/>
        <v>0.35</v>
      </c>
      <c r="T850" s="285">
        <f t="shared" si="170"/>
        <v>3.2</v>
      </c>
      <c r="U850" s="285">
        <f t="shared" si="171"/>
        <v>1</v>
      </c>
      <c r="V850" s="285">
        <f t="shared" si="172"/>
        <v>4.5</v>
      </c>
      <c r="W850" s="285">
        <f t="shared" si="173"/>
        <v>1.5</v>
      </c>
      <c r="X850" s="289" t="e">
        <f t="shared" si="174"/>
        <v>#VALUE!</v>
      </c>
      <c r="Y850" s="288" t="e">
        <f t="shared" si="175"/>
        <v>#VALUE!</v>
      </c>
      <c r="Z850" s="256">
        <f t="shared" si="176"/>
        <v>181.74993027852094</v>
      </c>
      <c r="AA850" s="289" t="e">
        <f t="shared" si="177"/>
        <v>#VALUE!</v>
      </c>
      <c r="AB850" s="288" t="e">
        <f t="shared" si="178"/>
        <v>#VALUE!</v>
      </c>
    </row>
    <row r="851" spans="13:28" ht="12" hidden="1" customHeight="1">
      <c r="M851" s="266"/>
      <c r="N851" s="288" t="str">
        <f t="shared" si="179"/>
        <v/>
      </c>
      <c r="O851" s="285">
        <f t="shared" si="165"/>
        <v>150</v>
      </c>
      <c r="P851" s="289">
        <f t="shared" si="166"/>
        <v>4000000</v>
      </c>
      <c r="Q851" s="285">
        <f t="shared" si="167"/>
        <v>110</v>
      </c>
      <c r="R851" s="285">
        <f t="shared" si="168"/>
        <v>85</v>
      </c>
      <c r="S851" s="285">
        <f t="shared" si="169"/>
        <v>0.35</v>
      </c>
      <c r="T851" s="285">
        <f t="shared" si="170"/>
        <v>3.2</v>
      </c>
      <c r="U851" s="285">
        <f t="shared" si="171"/>
        <v>1</v>
      </c>
      <c r="V851" s="285">
        <f t="shared" si="172"/>
        <v>4.5</v>
      </c>
      <c r="W851" s="285">
        <f t="shared" si="173"/>
        <v>1.5</v>
      </c>
      <c r="X851" s="289" t="e">
        <f t="shared" si="174"/>
        <v>#VALUE!</v>
      </c>
      <c r="Y851" s="288" t="e">
        <f t="shared" si="175"/>
        <v>#VALUE!</v>
      </c>
      <c r="Z851" s="256">
        <f t="shared" si="176"/>
        <v>181.74993027852094</v>
      </c>
      <c r="AA851" s="289" t="e">
        <f t="shared" si="177"/>
        <v>#VALUE!</v>
      </c>
      <c r="AB851" s="288" t="e">
        <f t="shared" si="178"/>
        <v>#VALUE!</v>
      </c>
    </row>
    <row r="852" spans="13:28" ht="12" hidden="1" customHeight="1">
      <c r="M852" s="266"/>
      <c r="N852" s="288" t="str">
        <f t="shared" si="179"/>
        <v/>
      </c>
      <c r="O852" s="285">
        <f t="shared" si="165"/>
        <v>150</v>
      </c>
      <c r="P852" s="289">
        <f t="shared" si="166"/>
        <v>4000000</v>
      </c>
      <c r="Q852" s="285">
        <f t="shared" si="167"/>
        <v>110</v>
      </c>
      <c r="R852" s="285">
        <f t="shared" si="168"/>
        <v>85</v>
      </c>
      <c r="S852" s="285">
        <f t="shared" si="169"/>
        <v>0.35</v>
      </c>
      <c r="T852" s="285">
        <f t="shared" si="170"/>
        <v>3.2</v>
      </c>
      <c r="U852" s="285">
        <f t="shared" si="171"/>
        <v>1</v>
      </c>
      <c r="V852" s="285">
        <f t="shared" si="172"/>
        <v>4.5</v>
      </c>
      <c r="W852" s="285">
        <f t="shared" si="173"/>
        <v>1.5</v>
      </c>
      <c r="X852" s="289" t="e">
        <f t="shared" si="174"/>
        <v>#VALUE!</v>
      </c>
      <c r="Y852" s="288" t="e">
        <f t="shared" si="175"/>
        <v>#VALUE!</v>
      </c>
      <c r="Z852" s="256">
        <f t="shared" si="176"/>
        <v>181.74993027852094</v>
      </c>
      <c r="AA852" s="289" t="e">
        <f t="shared" si="177"/>
        <v>#VALUE!</v>
      </c>
      <c r="AB852" s="288" t="e">
        <f t="shared" si="178"/>
        <v>#VALUE!</v>
      </c>
    </row>
    <row r="853" spans="13:28" ht="12" hidden="1" customHeight="1">
      <c r="M853" s="266"/>
      <c r="N853" s="288" t="str">
        <f t="shared" si="179"/>
        <v/>
      </c>
      <c r="O853" s="285">
        <f t="shared" si="165"/>
        <v>150</v>
      </c>
      <c r="P853" s="289">
        <f t="shared" si="166"/>
        <v>4000000</v>
      </c>
      <c r="Q853" s="285">
        <f t="shared" si="167"/>
        <v>110</v>
      </c>
      <c r="R853" s="285">
        <f t="shared" si="168"/>
        <v>85</v>
      </c>
      <c r="S853" s="285">
        <f t="shared" si="169"/>
        <v>0.35</v>
      </c>
      <c r="T853" s="285">
        <f t="shared" si="170"/>
        <v>3.2</v>
      </c>
      <c r="U853" s="285">
        <f t="shared" si="171"/>
        <v>1</v>
      </c>
      <c r="V853" s="285">
        <f t="shared" si="172"/>
        <v>4.5</v>
      </c>
      <c r="W853" s="285">
        <f t="shared" si="173"/>
        <v>1.5</v>
      </c>
      <c r="X853" s="289" t="e">
        <f t="shared" si="174"/>
        <v>#VALUE!</v>
      </c>
      <c r="Y853" s="288" t="e">
        <f t="shared" si="175"/>
        <v>#VALUE!</v>
      </c>
      <c r="Z853" s="256">
        <f t="shared" si="176"/>
        <v>181.74993027852094</v>
      </c>
      <c r="AA853" s="289" t="e">
        <f t="shared" si="177"/>
        <v>#VALUE!</v>
      </c>
      <c r="AB853" s="288" t="e">
        <f t="shared" si="178"/>
        <v>#VALUE!</v>
      </c>
    </row>
    <row r="854" spans="13:28" ht="12" hidden="1" customHeight="1">
      <c r="M854" s="266"/>
      <c r="N854" s="288" t="str">
        <f t="shared" si="179"/>
        <v/>
      </c>
      <c r="O854" s="285">
        <f t="shared" si="165"/>
        <v>150</v>
      </c>
      <c r="P854" s="289">
        <f t="shared" si="166"/>
        <v>4000000</v>
      </c>
      <c r="Q854" s="285">
        <f t="shared" si="167"/>
        <v>110</v>
      </c>
      <c r="R854" s="285">
        <f t="shared" si="168"/>
        <v>85</v>
      </c>
      <c r="S854" s="285">
        <f t="shared" si="169"/>
        <v>0.35</v>
      </c>
      <c r="T854" s="285">
        <f t="shared" si="170"/>
        <v>3.2</v>
      </c>
      <c r="U854" s="285">
        <f t="shared" si="171"/>
        <v>1</v>
      </c>
      <c r="V854" s="285">
        <f t="shared" si="172"/>
        <v>4.5</v>
      </c>
      <c r="W854" s="285">
        <f t="shared" si="173"/>
        <v>1.5</v>
      </c>
      <c r="X854" s="289" t="e">
        <f t="shared" si="174"/>
        <v>#VALUE!</v>
      </c>
      <c r="Y854" s="288" t="e">
        <f t="shared" si="175"/>
        <v>#VALUE!</v>
      </c>
      <c r="Z854" s="256">
        <f t="shared" si="176"/>
        <v>181.74993027852094</v>
      </c>
      <c r="AA854" s="289" t="e">
        <f t="shared" si="177"/>
        <v>#VALUE!</v>
      </c>
      <c r="AB854" s="288" t="e">
        <f t="shared" si="178"/>
        <v>#VALUE!</v>
      </c>
    </row>
    <row r="855" spans="13:28" ht="12" hidden="1" customHeight="1">
      <c r="M855" s="266"/>
      <c r="N855" s="288" t="str">
        <f t="shared" si="179"/>
        <v/>
      </c>
      <c r="O855" s="285">
        <f t="shared" si="165"/>
        <v>150</v>
      </c>
      <c r="P855" s="289">
        <f t="shared" si="166"/>
        <v>4000000</v>
      </c>
      <c r="Q855" s="285">
        <f t="shared" si="167"/>
        <v>110</v>
      </c>
      <c r="R855" s="285">
        <f t="shared" si="168"/>
        <v>85</v>
      </c>
      <c r="S855" s="285">
        <f t="shared" si="169"/>
        <v>0.35</v>
      </c>
      <c r="T855" s="285">
        <f t="shared" si="170"/>
        <v>3.2</v>
      </c>
      <c r="U855" s="285">
        <f t="shared" si="171"/>
        <v>1</v>
      </c>
      <c r="V855" s="285">
        <f t="shared" si="172"/>
        <v>4.5</v>
      </c>
      <c r="W855" s="285">
        <f t="shared" si="173"/>
        <v>1.5</v>
      </c>
      <c r="X855" s="289" t="e">
        <f t="shared" si="174"/>
        <v>#VALUE!</v>
      </c>
      <c r="Y855" s="288" t="e">
        <f t="shared" si="175"/>
        <v>#VALUE!</v>
      </c>
      <c r="Z855" s="256">
        <f t="shared" si="176"/>
        <v>181.74993027852094</v>
      </c>
      <c r="AA855" s="289" t="e">
        <f t="shared" si="177"/>
        <v>#VALUE!</v>
      </c>
      <c r="AB855" s="288" t="e">
        <f t="shared" si="178"/>
        <v>#VALUE!</v>
      </c>
    </row>
    <row r="856" spans="13:28" ht="12" hidden="1" customHeight="1">
      <c r="M856" s="266"/>
      <c r="N856" s="288" t="str">
        <f t="shared" si="179"/>
        <v/>
      </c>
      <c r="O856" s="285">
        <f t="shared" si="165"/>
        <v>150</v>
      </c>
      <c r="P856" s="289">
        <f t="shared" si="166"/>
        <v>4000000</v>
      </c>
      <c r="Q856" s="285">
        <f t="shared" si="167"/>
        <v>110</v>
      </c>
      <c r="R856" s="285">
        <f t="shared" si="168"/>
        <v>85</v>
      </c>
      <c r="S856" s="285">
        <f t="shared" si="169"/>
        <v>0.35</v>
      </c>
      <c r="T856" s="285">
        <f t="shared" si="170"/>
        <v>3.2</v>
      </c>
      <c r="U856" s="285">
        <f t="shared" si="171"/>
        <v>1</v>
      </c>
      <c r="V856" s="285">
        <f t="shared" si="172"/>
        <v>4.5</v>
      </c>
      <c r="W856" s="285">
        <f t="shared" si="173"/>
        <v>1.5</v>
      </c>
      <c r="X856" s="289" t="e">
        <f t="shared" si="174"/>
        <v>#VALUE!</v>
      </c>
      <c r="Y856" s="288" t="e">
        <f t="shared" si="175"/>
        <v>#VALUE!</v>
      </c>
      <c r="Z856" s="256">
        <f t="shared" si="176"/>
        <v>181.74993027852094</v>
      </c>
      <c r="AA856" s="289" t="e">
        <f t="shared" si="177"/>
        <v>#VALUE!</v>
      </c>
      <c r="AB856" s="288" t="e">
        <f t="shared" si="178"/>
        <v>#VALUE!</v>
      </c>
    </row>
    <row r="857" spans="13:28" ht="12" hidden="1" customHeight="1">
      <c r="M857" s="266"/>
      <c r="N857" s="288" t="str">
        <f t="shared" si="179"/>
        <v/>
      </c>
      <c r="O857" s="285">
        <f t="shared" si="165"/>
        <v>150</v>
      </c>
      <c r="P857" s="289">
        <f t="shared" si="166"/>
        <v>4000000</v>
      </c>
      <c r="Q857" s="285">
        <f t="shared" si="167"/>
        <v>110</v>
      </c>
      <c r="R857" s="285">
        <f t="shared" si="168"/>
        <v>85</v>
      </c>
      <c r="S857" s="285">
        <f t="shared" si="169"/>
        <v>0.35</v>
      </c>
      <c r="T857" s="285">
        <f t="shared" si="170"/>
        <v>3.2</v>
      </c>
      <c r="U857" s="285">
        <f t="shared" si="171"/>
        <v>1</v>
      </c>
      <c r="V857" s="285">
        <f t="shared" si="172"/>
        <v>4.5</v>
      </c>
      <c r="W857" s="285">
        <f t="shared" si="173"/>
        <v>1.5</v>
      </c>
      <c r="X857" s="289" t="e">
        <f t="shared" si="174"/>
        <v>#VALUE!</v>
      </c>
      <c r="Y857" s="288" t="e">
        <f t="shared" si="175"/>
        <v>#VALUE!</v>
      </c>
      <c r="Z857" s="256">
        <f t="shared" si="176"/>
        <v>181.74993027852094</v>
      </c>
      <c r="AA857" s="289" t="e">
        <f t="shared" si="177"/>
        <v>#VALUE!</v>
      </c>
      <c r="AB857" s="288" t="e">
        <f t="shared" si="178"/>
        <v>#VALUE!</v>
      </c>
    </row>
    <row r="858" spans="13:28" ht="12" hidden="1" customHeight="1">
      <c r="M858" s="266"/>
      <c r="N858" s="288" t="str">
        <f t="shared" si="179"/>
        <v/>
      </c>
      <c r="O858" s="285">
        <f t="shared" si="165"/>
        <v>150</v>
      </c>
      <c r="P858" s="289">
        <f t="shared" si="166"/>
        <v>4000000</v>
      </c>
      <c r="Q858" s="285">
        <f t="shared" si="167"/>
        <v>110</v>
      </c>
      <c r="R858" s="285">
        <f t="shared" si="168"/>
        <v>85</v>
      </c>
      <c r="S858" s="285">
        <f t="shared" si="169"/>
        <v>0.35</v>
      </c>
      <c r="T858" s="285">
        <f t="shared" si="170"/>
        <v>3.2</v>
      </c>
      <c r="U858" s="285">
        <f t="shared" si="171"/>
        <v>1</v>
      </c>
      <c r="V858" s="285">
        <f t="shared" si="172"/>
        <v>4.5</v>
      </c>
      <c r="W858" s="285">
        <f t="shared" si="173"/>
        <v>1.5</v>
      </c>
      <c r="X858" s="289" t="e">
        <f t="shared" si="174"/>
        <v>#VALUE!</v>
      </c>
      <c r="Y858" s="288" t="e">
        <f t="shared" si="175"/>
        <v>#VALUE!</v>
      </c>
      <c r="Z858" s="256">
        <f t="shared" si="176"/>
        <v>181.74993027852094</v>
      </c>
      <c r="AA858" s="289" t="e">
        <f t="shared" si="177"/>
        <v>#VALUE!</v>
      </c>
      <c r="AB858" s="288" t="e">
        <f t="shared" si="178"/>
        <v>#VALUE!</v>
      </c>
    </row>
    <row r="859" spans="13:28" ht="12" hidden="1" customHeight="1">
      <c r="M859" s="266"/>
      <c r="N859" s="288" t="str">
        <f t="shared" si="179"/>
        <v/>
      </c>
      <c r="O859" s="285">
        <f t="shared" si="165"/>
        <v>150</v>
      </c>
      <c r="P859" s="289">
        <f t="shared" si="166"/>
        <v>4000000</v>
      </c>
      <c r="Q859" s="285">
        <f t="shared" si="167"/>
        <v>110</v>
      </c>
      <c r="R859" s="285">
        <f t="shared" si="168"/>
        <v>85</v>
      </c>
      <c r="S859" s="285">
        <f t="shared" si="169"/>
        <v>0.35</v>
      </c>
      <c r="T859" s="285">
        <f t="shared" si="170"/>
        <v>3.2</v>
      </c>
      <c r="U859" s="285">
        <f t="shared" si="171"/>
        <v>1</v>
      </c>
      <c r="V859" s="285">
        <f t="shared" si="172"/>
        <v>4.5</v>
      </c>
      <c r="W859" s="285">
        <f t="shared" si="173"/>
        <v>1.5</v>
      </c>
      <c r="X859" s="289" t="e">
        <f t="shared" si="174"/>
        <v>#VALUE!</v>
      </c>
      <c r="Y859" s="288" t="e">
        <f t="shared" si="175"/>
        <v>#VALUE!</v>
      </c>
      <c r="Z859" s="256">
        <f t="shared" si="176"/>
        <v>181.74993027852094</v>
      </c>
      <c r="AA859" s="289" t="e">
        <f t="shared" si="177"/>
        <v>#VALUE!</v>
      </c>
      <c r="AB859" s="288" t="e">
        <f t="shared" si="178"/>
        <v>#VALUE!</v>
      </c>
    </row>
    <row r="860" spans="13:28" ht="12" hidden="1" customHeight="1">
      <c r="M860" s="266"/>
      <c r="N860" s="288" t="str">
        <f t="shared" si="179"/>
        <v/>
      </c>
      <c r="O860" s="285">
        <f t="shared" si="165"/>
        <v>150</v>
      </c>
      <c r="P860" s="289">
        <f t="shared" si="166"/>
        <v>4000000</v>
      </c>
      <c r="Q860" s="285">
        <f t="shared" si="167"/>
        <v>110</v>
      </c>
      <c r="R860" s="285">
        <f t="shared" si="168"/>
        <v>85</v>
      </c>
      <c r="S860" s="285">
        <f t="shared" si="169"/>
        <v>0.35</v>
      </c>
      <c r="T860" s="285">
        <f t="shared" si="170"/>
        <v>3.2</v>
      </c>
      <c r="U860" s="285">
        <f t="shared" si="171"/>
        <v>1</v>
      </c>
      <c r="V860" s="285">
        <f t="shared" si="172"/>
        <v>4.5</v>
      </c>
      <c r="W860" s="285">
        <f t="shared" si="173"/>
        <v>1.5</v>
      </c>
      <c r="X860" s="289" t="e">
        <f t="shared" si="174"/>
        <v>#VALUE!</v>
      </c>
      <c r="Y860" s="288" t="e">
        <f t="shared" si="175"/>
        <v>#VALUE!</v>
      </c>
      <c r="Z860" s="256">
        <f t="shared" si="176"/>
        <v>181.74993027852094</v>
      </c>
      <c r="AA860" s="289" t="e">
        <f t="shared" si="177"/>
        <v>#VALUE!</v>
      </c>
      <c r="AB860" s="288" t="e">
        <f t="shared" si="178"/>
        <v>#VALUE!</v>
      </c>
    </row>
    <row r="861" spans="13:28" ht="12" hidden="1" customHeight="1">
      <c r="M861" s="266"/>
      <c r="N861" s="288" t="str">
        <f t="shared" si="179"/>
        <v/>
      </c>
      <c r="O861" s="285">
        <f t="shared" si="165"/>
        <v>150</v>
      </c>
      <c r="P861" s="289">
        <f t="shared" si="166"/>
        <v>4000000</v>
      </c>
      <c r="Q861" s="285">
        <f t="shared" si="167"/>
        <v>110</v>
      </c>
      <c r="R861" s="285">
        <f t="shared" si="168"/>
        <v>85</v>
      </c>
      <c r="S861" s="285">
        <f t="shared" si="169"/>
        <v>0.35</v>
      </c>
      <c r="T861" s="285">
        <f t="shared" si="170"/>
        <v>3.2</v>
      </c>
      <c r="U861" s="285">
        <f t="shared" si="171"/>
        <v>1</v>
      </c>
      <c r="V861" s="285">
        <f t="shared" si="172"/>
        <v>4.5</v>
      </c>
      <c r="W861" s="285">
        <f t="shared" si="173"/>
        <v>1.5</v>
      </c>
      <c r="X861" s="289" t="e">
        <f t="shared" si="174"/>
        <v>#VALUE!</v>
      </c>
      <c r="Y861" s="288" t="e">
        <f t="shared" si="175"/>
        <v>#VALUE!</v>
      </c>
      <c r="Z861" s="256">
        <f t="shared" si="176"/>
        <v>181.74993027852094</v>
      </c>
      <c r="AA861" s="289" t="e">
        <f t="shared" si="177"/>
        <v>#VALUE!</v>
      </c>
      <c r="AB861" s="288" t="e">
        <f t="shared" si="178"/>
        <v>#VALUE!</v>
      </c>
    </row>
    <row r="862" spans="13:28" ht="12" hidden="1" customHeight="1">
      <c r="M862" s="266"/>
      <c r="N862" s="288" t="str">
        <f t="shared" si="179"/>
        <v/>
      </c>
      <c r="O862" s="285">
        <f t="shared" ref="O862:O925" si="180">PCC_MR</f>
        <v>150</v>
      </c>
      <c r="P862" s="289">
        <f t="shared" ref="P862:P925" si="181">PCC_ME</f>
        <v>4000000</v>
      </c>
      <c r="Q862" s="285">
        <f t="shared" ref="Q862:Q925" si="182">K_MODULE</f>
        <v>110</v>
      </c>
      <c r="R862" s="285">
        <f t="shared" ref="R862:R925" si="183">R_</f>
        <v>85</v>
      </c>
      <c r="S862" s="285">
        <f t="shared" ref="S862:S925" si="184">So</f>
        <v>0.35</v>
      </c>
      <c r="T862" s="285">
        <f t="shared" ref="T862:T925" si="185">J_</f>
        <v>3.2</v>
      </c>
      <c r="U862" s="285">
        <f t="shared" ref="U862:U925" si="186">Cd_</f>
        <v>1</v>
      </c>
      <c r="V862" s="285">
        <f t="shared" ref="V862:V925" si="187">Pi</f>
        <v>4.5</v>
      </c>
      <c r="W862" s="285">
        <f t="shared" ref="W862:W925" si="188">Pt</f>
        <v>1.5</v>
      </c>
      <c r="X862" s="289" t="e">
        <f t="shared" ref="X862:X925" si="189">10^(-NORMSINV(R862/100)*S862+7.35*LOG10(N862+1)-0.06+((LOG10((V862-W862)/3))/(1+((1.625*10^7)/((N862+1)^8.46))))+((4.22-0.32*W862)*LOG10((O862*U862*((N862^0.75)-1.132))/(215.63*T862*((N862^0.75)-18.42*(Q862/P862)^0.25)))))</f>
        <v>#VALUE!</v>
      </c>
      <c r="Y862" s="288" t="e">
        <f t="shared" ref="Y862:Y925" si="190">+X862/ESALS</f>
        <v>#VALUE!</v>
      </c>
      <c r="Z862" s="256">
        <f t="shared" ref="Z862:Z925" si="191">PCC_IMR</f>
        <v>181.74993027852094</v>
      </c>
      <c r="AA862" s="289" t="e">
        <f t="shared" ref="AA862:AA925" si="192">10^(-NORMSINV(R862/100)*S862+7.35*LOG10(N862+1)-0.06+((LOG10((V862-W862)/3))/(1+((1.625*10^7)/((N862+1)^8.46))))+((4.22-0.32*W862)*LOG10((Z862*U862*((N862^0.75)-1.132))/(215.63*T862*((N862^0.75)-18.42*(Q862/P862)^0.25)))))</f>
        <v>#VALUE!</v>
      </c>
      <c r="AB862" s="288" t="e">
        <f t="shared" ref="AB862:AB925" si="193">+AA862/ESALS</f>
        <v>#VALUE!</v>
      </c>
    </row>
    <row r="863" spans="13:28" ht="12" hidden="1" customHeight="1">
      <c r="M863" s="266"/>
      <c r="N863" s="288" t="str">
        <f t="shared" ref="N863:N926" si="194">IF(N862 = "", "", IF(AND(0.995*ESALS&lt;=X862,X862&lt;=1.005*ESALS),"",(N862+D_Step)))</f>
        <v/>
      </c>
      <c r="O863" s="285">
        <f t="shared" si="180"/>
        <v>150</v>
      </c>
      <c r="P863" s="289">
        <f t="shared" si="181"/>
        <v>4000000</v>
      </c>
      <c r="Q863" s="285">
        <f t="shared" si="182"/>
        <v>110</v>
      </c>
      <c r="R863" s="285">
        <f t="shared" si="183"/>
        <v>85</v>
      </c>
      <c r="S863" s="285">
        <f t="shared" si="184"/>
        <v>0.35</v>
      </c>
      <c r="T863" s="285">
        <f t="shared" si="185"/>
        <v>3.2</v>
      </c>
      <c r="U863" s="285">
        <f t="shared" si="186"/>
        <v>1</v>
      </c>
      <c r="V863" s="285">
        <f t="shared" si="187"/>
        <v>4.5</v>
      </c>
      <c r="W863" s="285">
        <f t="shared" si="188"/>
        <v>1.5</v>
      </c>
      <c r="X863" s="289" t="e">
        <f t="shared" si="189"/>
        <v>#VALUE!</v>
      </c>
      <c r="Y863" s="288" t="e">
        <f t="shared" si="190"/>
        <v>#VALUE!</v>
      </c>
      <c r="Z863" s="256">
        <f t="shared" si="191"/>
        <v>181.74993027852094</v>
      </c>
      <c r="AA863" s="289" t="e">
        <f t="shared" si="192"/>
        <v>#VALUE!</v>
      </c>
      <c r="AB863" s="288" t="e">
        <f t="shared" si="193"/>
        <v>#VALUE!</v>
      </c>
    </row>
    <row r="864" spans="13:28" ht="12" hidden="1" customHeight="1">
      <c r="M864" s="266"/>
      <c r="N864" s="288" t="str">
        <f t="shared" si="194"/>
        <v/>
      </c>
      <c r="O864" s="285">
        <f t="shared" si="180"/>
        <v>150</v>
      </c>
      <c r="P864" s="289">
        <f t="shared" si="181"/>
        <v>4000000</v>
      </c>
      <c r="Q864" s="285">
        <f t="shared" si="182"/>
        <v>110</v>
      </c>
      <c r="R864" s="285">
        <f t="shared" si="183"/>
        <v>85</v>
      </c>
      <c r="S864" s="285">
        <f t="shared" si="184"/>
        <v>0.35</v>
      </c>
      <c r="T864" s="285">
        <f t="shared" si="185"/>
        <v>3.2</v>
      </c>
      <c r="U864" s="285">
        <f t="shared" si="186"/>
        <v>1</v>
      </c>
      <c r="V864" s="285">
        <f t="shared" si="187"/>
        <v>4.5</v>
      </c>
      <c r="W864" s="285">
        <f t="shared" si="188"/>
        <v>1.5</v>
      </c>
      <c r="X864" s="289" t="e">
        <f t="shared" si="189"/>
        <v>#VALUE!</v>
      </c>
      <c r="Y864" s="288" t="e">
        <f t="shared" si="190"/>
        <v>#VALUE!</v>
      </c>
      <c r="Z864" s="256">
        <f t="shared" si="191"/>
        <v>181.74993027852094</v>
      </c>
      <c r="AA864" s="289" t="e">
        <f t="shared" si="192"/>
        <v>#VALUE!</v>
      </c>
      <c r="AB864" s="288" t="e">
        <f t="shared" si="193"/>
        <v>#VALUE!</v>
      </c>
    </row>
    <row r="865" spans="13:28" ht="12" hidden="1" customHeight="1">
      <c r="M865" s="266"/>
      <c r="N865" s="288" t="str">
        <f t="shared" si="194"/>
        <v/>
      </c>
      <c r="O865" s="285">
        <f t="shared" si="180"/>
        <v>150</v>
      </c>
      <c r="P865" s="289">
        <f t="shared" si="181"/>
        <v>4000000</v>
      </c>
      <c r="Q865" s="285">
        <f t="shared" si="182"/>
        <v>110</v>
      </c>
      <c r="R865" s="285">
        <f t="shared" si="183"/>
        <v>85</v>
      </c>
      <c r="S865" s="285">
        <f t="shared" si="184"/>
        <v>0.35</v>
      </c>
      <c r="T865" s="285">
        <f t="shared" si="185"/>
        <v>3.2</v>
      </c>
      <c r="U865" s="285">
        <f t="shared" si="186"/>
        <v>1</v>
      </c>
      <c r="V865" s="285">
        <f t="shared" si="187"/>
        <v>4.5</v>
      </c>
      <c r="W865" s="285">
        <f t="shared" si="188"/>
        <v>1.5</v>
      </c>
      <c r="X865" s="289" t="e">
        <f t="shared" si="189"/>
        <v>#VALUE!</v>
      </c>
      <c r="Y865" s="288" t="e">
        <f t="shared" si="190"/>
        <v>#VALUE!</v>
      </c>
      <c r="Z865" s="256">
        <f t="shared" si="191"/>
        <v>181.74993027852094</v>
      </c>
      <c r="AA865" s="289" t="e">
        <f t="shared" si="192"/>
        <v>#VALUE!</v>
      </c>
      <c r="AB865" s="288" t="e">
        <f t="shared" si="193"/>
        <v>#VALUE!</v>
      </c>
    </row>
    <row r="866" spans="13:28" ht="12" hidden="1" customHeight="1">
      <c r="M866" s="266"/>
      <c r="N866" s="288" t="str">
        <f t="shared" si="194"/>
        <v/>
      </c>
      <c r="O866" s="285">
        <f t="shared" si="180"/>
        <v>150</v>
      </c>
      <c r="P866" s="289">
        <f t="shared" si="181"/>
        <v>4000000</v>
      </c>
      <c r="Q866" s="285">
        <f t="shared" si="182"/>
        <v>110</v>
      </c>
      <c r="R866" s="285">
        <f t="shared" si="183"/>
        <v>85</v>
      </c>
      <c r="S866" s="285">
        <f t="shared" si="184"/>
        <v>0.35</v>
      </c>
      <c r="T866" s="285">
        <f t="shared" si="185"/>
        <v>3.2</v>
      </c>
      <c r="U866" s="285">
        <f t="shared" si="186"/>
        <v>1</v>
      </c>
      <c r="V866" s="285">
        <f t="shared" si="187"/>
        <v>4.5</v>
      </c>
      <c r="W866" s="285">
        <f t="shared" si="188"/>
        <v>1.5</v>
      </c>
      <c r="X866" s="289" t="e">
        <f t="shared" si="189"/>
        <v>#VALUE!</v>
      </c>
      <c r="Y866" s="288" t="e">
        <f t="shared" si="190"/>
        <v>#VALUE!</v>
      </c>
      <c r="Z866" s="256">
        <f t="shared" si="191"/>
        <v>181.74993027852094</v>
      </c>
      <c r="AA866" s="289" t="e">
        <f t="shared" si="192"/>
        <v>#VALUE!</v>
      </c>
      <c r="AB866" s="288" t="e">
        <f t="shared" si="193"/>
        <v>#VALUE!</v>
      </c>
    </row>
    <row r="867" spans="13:28" ht="12" hidden="1" customHeight="1">
      <c r="M867" s="266"/>
      <c r="N867" s="288" t="str">
        <f t="shared" si="194"/>
        <v/>
      </c>
      <c r="O867" s="285">
        <f t="shared" si="180"/>
        <v>150</v>
      </c>
      <c r="P867" s="289">
        <f t="shared" si="181"/>
        <v>4000000</v>
      </c>
      <c r="Q867" s="285">
        <f t="shared" si="182"/>
        <v>110</v>
      </c>
      <c r="R867" s="285">
        <f t="shared" si="183"/>
        <v>85</v>
      </c>
      <c r="S867" s="285">
        <f t="shared" si="184"/>
        <v>0.35</v>
      </c>
      <c r="T867" s="285">
        <f t="shared" si="185"/>
        <v>3.2</v>
      </c>
      <c r="U867" s="285">
        <f t="shared" si="186"/>
        <v>1</v>
      </c>
      <c r="V867" s="285">
        <f t="shared" si="187"/>
        <v>4.5</v>
      </c>
      <c r="W867" s="285">
        <f t="shared" si="188"/>
        <v>1.5</v>
      </c>
      <c r="X867" s="289" t="e">
        <f t="shared" si="189"/>
        <v>#VALUE!</v>
      </c>
      <c r="Y867" s="288" t="e">
        <f t="shared" si="190"/>
        <v>#VALUE!</v>
      </c>
      <c r="Z867" s="256">
        <f t="shared" si="191"/>
        <v>181.74993027852094</v>
      </c>
      <c r="AA867" s="289" t="e">
        <f t="shared" si="192"/>
        <v>#VALUE!</v>
      </c>
      <c r="AB867" s="288" t="e">
        <f t="shared" si="193"/>
        <v>#VALUE!</v>
      </c>
    </row>
    <row r="868" spans="13:28" ht="12" hidden="1" customHeight="1">
      <c r="M868" s="266"/>
      <c r="N868" s="288" t="str">
        <f t="shared" si="194"/>
        <v/>
      </c>
      <c r="O868" s="285">
        <f t="shared" si="180"/>
        <v>150</v>
      </c>
      <c r="P868" s="289">
        <f t="shared" si="181"/>
        <v>4000000</v>
      </c>
      <c r="Q868" s="285">
        <f t="shared" si="182"/>
        <v>110</v>
      </c>
      <c r="R868" s="285">
        <f t="shared" si="183"/>
        <v>85</v>
      </c>
      <c r="S868" s="285">
        <f t="shared" si="184"/>
        <v>0.35</v>
      </c>
      <c r="T868" s="285">
        <f t="shared" si="185"/>
        <v>3.2</v>
      </c>
      <c r="U868" s="285">
        <f t="shared" si="186"/>
        <v>1</v>
      </c>
      <c r="V868" s="285">
        <f t="shared" si="187"/>
        <v>4.5</v>
      </c>
      <c r="W868" s="285">
        <f t="shared" si="188"/>
        <v>1.5</v>
      </c>
      <c r="X868" s="289" t="e">
        <f t="shared" si="189"/>
        <v>#VALUE!</v>
      </c>
      <c r="Y868" s="288" t="e">
        <f t="shared" si="190"/>
        <v>#VALUE!</v>
      </c>
      <c r="Z868" s="256">
        <f t="shared" si="191"/>
        <v>181.74993027852094</v>
      </c>
      <c r="AA868" s="289" t="e">
        <f t="shared" si="192"/>
        <v>#VALUE!</v>
      </c>
      <c r="AB868" s="288" t="e">
        <f t="shared" si="193"/>
        <v>#VALUE!</v>
      </c>
    </row>
    <row r="869" spans="13:28" ht="12" hidden="1" customHeight="1">
      <c r="M869" s="266"/>
      <c r="N869" s="288" t="str">
        <f t="shared" si="194"/>
        <v/>
      </c>
      <c r="O869" s="285">
        <f t="shared" si="180"/>
        <v>150</v>
      </c>
      <c r="P869" s="289">
        <f t="shared" si="181"/>
        <v>4000000</v>
      </c>
      <c r="Q869" s="285">
        <f t="shared" si="182"/>
        <v>110</v>
      </c>
      <c r="R869" s="285">
        <f t="shared" si="183"/>
        <v>85</v>
      </c>
      <c r="S869" s="285">
        <f t="shared" si="184"/>
        <v>0.35</v>
      </c>
      <c r="T869" s="285">
        <f t="shared" si="185"/>
        <v>3.2</v>
      </c>
      <c r="U869" s="285">
        <f t="shared" si="186"/>
        <v>1</v>
      </c>
      <c r="V869" s="285">
        <f t="shared" si="187"/>
        <v>4.5</v>
      </c>
      <c r="W869" s="285">
        <f t="shared" si="188"/>
        <v>1.5</v>
      </c>
      <c r="X869" s="289" t="e">
        <f t="shared" si="189"/>
        <v>#VALUE!</v>
      </c>
      <c r="Y869" s="288" t="e">
        <f t="shared" si="190"/>
        <v>#VALUE!</v>
      </c>
      <c r="Z869" s="256">
        <f t="shared" si="191"/>
        <v>181.74993027852094</v>
      </c>
      <c r="AA869" s="289" t="e">
        <f t="shared" si="192"/>
        <v>#VALUE!</v>
      </c>
      <c r="AB869" s="288" t="e">
        <f t="shared" si="193"/>
        <v>#VALUE!</v>
      </c>
    </row>
    <row r="870" spans="13:28" ht="12" hidden="1" customHeight="1">
      <c r="M870" s="266"/>
      <c r="N870" s="288" t="str">
        <f t="shared" si="194"/>
        <v/>
      </c>
      <c r="O870" s="285">
        <f t="shared" si="180"/>
        <v>150</v>
      </c>
      <c r="P870" s="289">
        <f t="shared" si="181"/>
        <v>4000000</v>
      </c>
      <c r="Q870" s="285">
        <f t="shared" si="182"/>
        <v>110</v>
      </c>
      <c r="R870" s="285">
        <f t="shared" si="183"/>
        <v>85</v>
      </c>
      <c r="S870" s="285">
        <f t="shared" si="184"/>
        <v>0.35</v>
      </c>
      <c r="T870" s="285">
        <f t="shared" si="185"/>
        <v>3.2</v>
      </c>
      <c r="U870" s="285">
        <f t="shared" si="186"/>
        <v>1</v>
      </c>
      <c r="V870" s="285">
        <f t="shared" si="187"/>
        <v>4.5</v>
      </c>
      <c r="W870" s="285">
        <f t="shared" si="188"/>
        <v>1.5</v>
      </c>
      <c r="X870" s="289" t="e">
        <f t="shared" si="189"/>
        <v>#VALUE!</v>
      </c>
      <c r="Y870" s="288" t="e">
        <f t="shared" si="190"/>
        <v>#VALUE!</v>
      </c>
      <c r="Z870" s="256">
        <f t="shared" si="191"/>
        <v>181.74993027852094</v>
      </c>
      <c r="AA870" s="289" t="e">
        <f t="shared" si="192"/>
        <v>#VALUE!</v>
      </c>
      <c r="AB870" s="288" t="e">
        <f t="shared" si="193"/>
        <v>#VALUE!</v>
      </c>
    </row>
    <row r="871" spans="13:28" ht="12" hidden="1" customHeight="1">
      <c r="M871" s="266"/>
      <c r="N871" s="288" t="str">
        <f t="shared" si="194"/>
        <v/>
      </c>
      <c r="O871" s="285">
        <f t="shared" si="180"/>
        <v>150</v>
      </c>
      <c r="P871" s="289">
        <f t="shared" si="181"/>
        <v>4000000</v>
      </c>
      <c r="Q871" s="285">
        <f t="shared" si="182"/>
        <v>110</v>
      </c>
      <c r="R871" s="285">
        <f t="shared" si="183"/>
        <v>85</v>
      </c>
      <c r="S871" s="285">
        <f t="shared" si="184"/>
        <v>0.35</v>
      </c>
      <c r="T871" s="285">
        <f t="shared" si="185"/>
        <v>3.2</v>
      </c>
      <c r="U871" s="285">
        <f t="shared" si="186"/>
        <v>1</v>
      </c>
      <c r="V871" s="285">
        <f t="shared" si="187"/>
        <v>4.5</v>
      </c>
      <c r="W871" s="285">
        <f t="shared" si="188"/>
        <v>1.5</v>
      </c>
      <c r="X871" s="289" t="e">
        <f t="shared" si="189"/>
        <v>#VALUE!</v>
      </c>
      <c r="Y871" s="288" t="e">
        <f t="shared" si="190"/>
        <v>#VALUE!</v>
      </c>
      <c r="Z871" s="256">
        <f t="shared" si="191"/>
        <v>181.74993027852094</v>
      </c>
      <c r="AA871" s="289" t="e">
        <f t="shared" si="192"/>
        <v>#VALUE!</v>
      </c>
      <c r="AB871" s="288" t="e">
        <f t="shared" si="193"/>
        <v>#VALUE!</v>
      </c>
    </row>
    <row r="872" spans="13:28" ht="12" hidden="1" customHeight="1">
      <c r="M872" s="266"/>
      <c r="N872" s="288" t="str">
        <f t="shared" si="194"/>
        <v/>
      </c>
      <c r="O872" s="285">
        <f t="shared" si="180"/>
        <v>150</v>
      </c>
      <c r="P872" s="289">
        <f t="shared" si="181"/>
        <v>4000000</v>
      </c>
      <c r="Q872" s="285">
        <f t="shared" si="182"/>
        <v>110</v>
      </c>
      <c r="R872" s="285">
        <f t="shared" si="183"/>
        <v>85</v>
      </c>
      <c r="S872" s="285">
        <f t="shared" si="184"/>
        <v>0.35</v>
      </c>
      <c r="T872" s="285">
        <f t="shared" si="185"/>
        <v>3.2</v>
      </c>
      <c r="U872" s="285">
        <f t="shared" si="186"/>
        <v>1</v>
      </c>
      <c r="V872" s="285">
        <f t="shared" si="187"/>
        <v>4.5</v>
      </c>
      <c r="W872" s="285">
        <f t="shared" si="188"/>
        <v>1.5</v>
      </c>
      <c r="X872" s="289" t="e">
        <f t="shared" si="189"/>
        <v>#VALUE!</v>
      </c>
      <c r="Y872" s="288" t="e">
        <f t="shared" si="190"/>
        <v>#VALUE!</v>
      </c>
      <c r="Z872" s="256">
        <f t="shared" si="191"/>
        <v>181.74993027852094</v>
      </c>
      <c r="AA872" s="289" t="e">
        <f t="shared" si="192"/>
        <v>#VALUE!</v>
      </c>
      <c r="AB872" s="288" t="e">
        <f t="shared" si="193"/>
        <v>#VALUE!</v>
      </c>
    </row>
    <row r="873" spans="13:28" ht="12" hidden="1" customHeight="1">
      <c r="M873" s="266"/>
      <c r="N873" s="288" t="str">
        <f t="shared" si="194"/>
        <v/>
      </c>
      <c r="O873" s="285">
        <f t="shared" si="180"/>
        <v>150</v>
      </c>
      <c r="P873" s="289">
        <f t="shared" si="181"/>
        <v>4000000</v>
      </c>
      <c r="Q873" s="285">
        <f t="shared" si="182"/>
        <v>110</v>
      </c>
      <c r="R873" s="285">
        <f t="shared" si="183"/>
        <v>85</v>
      </c>
      <c r="S873" s="285">
        <f t="shared" si="184"/>
        <v>0.35</v>
      </c>
      <c r="T873" s="285">
        <f t="shared" si="185"/>
        <v>3.2</v>
      </c>
      <c r="U873" s="285">
        <f t="shared" si="186"/>
        <v>1</v>
      </c>
      <c r="V873" s="285">
        <f t="shared" si="187"/>
        <v>4.5</v>
      </c>
      <c r="W873" s="285">
        <f t="shared" si="188"/>
        <v>1.5</v>
      </c>
      <c r="X873" s="289" t="e">
        <f t="shared" si="189"/>
        <v>#VALUE!</v>
      </c>
      <c r="Y873" s="288" t="e">
        <f t="shared" si="190"/>
        <v>#VALUE!</v>
      </c>
      <c r="Z873" s="256">
        <f t="shared" si="191"/>
        <v>181.74993027852094</v>
      </c>
      <c r="AA873" s="289" t="e">
        <f t="shared" si="192"/>
        <v>#VALUE!</v>
      </c>
      <c r="AB873" s="288" t="e">
        <f t="shared" si="193"/>
        <v>#VALUE!</v>
      </c>
    </row>
    <row r="874" spans="13:28" ht="12" hidden="1" customHeight="1">
      <c r="M874" s="266"/>
      <c r="N874" s="288" t="str">
        <f t="shared" si="194"/>
        <v/>
      </c>
      <c r="O874" s="285">
        <f t="shared" si="180"/>
        <v>150</v>
      </c>
      <c r="P874" s="289">
        <f t="shared" si="181"/>
        <v>4000000</v>
      </c>
      <c r="Q874" s="285">
        <f t="shared" si="182"/>
        <v>110</v>
      </c>
      <c r="R874" s="285">
        <f t="shared" si="183"/>
        <v>85</v>
      </c>
      <c r="S874" s="285">
        <f t="shared" si="184"/>
        <v>0.35</v>
      </c>
      <c r="T874" s="285">
        <f t="shared" si="185"/>
        <v>3.2</v>
      </c>
      <c r="U874" s="285">
        <f t="shared" si="186"/>
        <v>1</v>
      </c>
      <c r="V874" s="285">
        <f t="shared" si="187"/>
        <v>4.5</v>
      </c>
      <c r="W874" s="285">
        <f t="shared" si="188"/>
        <v>1.5</v>
      </c>
      <c r="X874" s="289" t="e">
        <f t="shared" si="189"/>
        <v>#VALUE!</v>
      </c>
      <c r="Y874" s="288" t="e">
        <f t="shared" si="190"/>
        <v>#VALUE!</v>
      </c>
      <c r="Z874" s="256">
        <f t="shared" si="191"/>
        <v>181.74993027852094</v>
      </c>
      <c r="AA874" s="289" t="e">
        <f t="shared" si="192"/>
        <v>#VALUE!</v>
      </c>
      <c r="AB874" s="288" t="e">
        <f t="shared" si="193"/>
        <v>#VALUE!</v>
      </c>
    </row>
    <row r="875" spans="13:28" ht="12" hidden="1" customHeight="1">
      <c r="M875" s="266"/>
      <c r="N875" s="288" t="str">
        <f t="shared" si="194"/>
        <v/>
      </c>
      <c r="O875" s="285">
        <f t="shared" si="180"/>
        <v>150</v>
      </c>
      <c r="P875" s="289">
        <f t="shared" si="181"/>
        <v>4000000</v>
      </c>
      <c r="Q875" s="285">
        <f t="shared" si="182"/>
        <v>110</v>
      </c>
      <c r="R875" s="285">
        <f t="shared" si="183"/>
        <v>85</v>
      </c>
      <c r="S875" s="285">
        <f t="shared" si="184"/>
        <v>0.35</v>
      </c>
      <c r="T875" s="285">
        <f t="shared" si="185"/>
        <v>3.2</v>
      </c>
      <c r="U875" s="285">
        <f t="shared" si="186"/>
        <v>1</v>
      </c>
      <c r="V875" s="285">
        <f t="shared" si="187"/>
        <v>4.5</v>
      </c>
      <c r="W875" s="285">
        <f t="shared" si="188"/>
        <v>1.5</v>
      </c>
      <c r="X875" s="289" t="e">
        <f t="shared" si="189"/>
        <v>#VALUE!</v>
      </c>
      <c r="Y875" s="288" t="e">
        <f t="shared" si="190"/>
        <v>#VALUE!</v>
      </c>
      <c r="Z875" s="256">
        <f t="shared" si="191"/>
        <v>181.74993027852094</v>
      </c>
      <c r="AA875" s="289" t="e">
        <f t="shared" si="192"/>
        <v>#VALUE!</v>
      </c>
      <c r="AB875" s="288" t="e">
        <f t="shared" si="193"/>
        <v>#VALUE!</v>
      </c>
    </row>
    <row r="876" spans="13:28" ht="12" hidden="1" customHeight="1">
      <c r="M876" s="266"/>
      <c r="N876" s="288" t="str">
        <f t="shared" si="194"/>
        <v/>
      </c>
      <c r="O876" s="285">
        <f t="shared" si="180"/>
        <v>150</v>
      </c>
      <c r="P876" s="289">
        <f t="shared" si="181"/>
        <v>4000000</v>
      </c>
      <c r="Q876" s="285">
        <f t="shared" si="182"/>
        <v>110</v>
      </c>
      <c r="R876" s="285">
        <f t="shared" si="183"/>
        <v>85</v>
      </c>
      <c r="S876" s="285">
        <f t="shared" si="184"/>
        <v>0.35</v>
      </c>
      <c r="T876" s="285">
        <f t="shared" si="185"/>
        <v>3.2</v>
      </c>
      <c r="U876" s="285">
        <f t="shared" si="186"/>
        <v>1</v>
      </c>
      <c r="V876" s="285">
        <f t="shared" si="187"/>
        <v>4.5</v>
      </c>
      <c r="W876" s="285">
        <f t="shared" si="188"/>
        <v>1.5</v>
      </c>
      <c r="X876" s="289" t="e">
        <f t="shared" si="189"/>
        <v>#VALUE!</v>
      </c>
      <c r="Y876" s="288" t="e">
        <f t="shared" si="190"/>
        <v>#VALUE!</v>
      </c>
      <c r="Z876" s="256">
        <f t="shared" si="191"/>
        <v>181.74993027852094</v>
      </c>
      <c r="AA876" s="289" t="e">
        <f t="shared" si="192"/>
        <v>#VALUE!</v>
      </c>
      <c r="AB876" s="288" t="e">
        <f t="shared" si="193"/>
        <v>#VALUE!</v>
      </c>
    </row>
    <row r="877" spans="13:28" ht="12" hidden="1" customHeight="1">
      <c r="M877" s="266"/>
      <c r="N877" s="288" t="str">
        <f t="shared" si="194"/>
        <v/>
      </c>
      <c r="O877" s="285">
        <f t="shared" si="180"/>
        <v>150</v>
      </c>
      <c r="P877" s="289">
        <f t="shared" si="181"/>
        <v>4000000</v>
      </c>
      <c r="Q877" s="285">
        <f t="shared" si="182"/>
        <v>110</v>
      </c>
      <c r="R877" s="285">
        <f t="shared" si="183"/>
        <v>85</v>
      </c>
      <c r="S877" s="285">
        <f t="shared" si="184"/>
        <v>0.35</v>
      </c>
      <c r="T877" s="285">
        <f t="shared" si="185"/>
        <v>3.2</v>
      </c>
      <c r="U877" s="285">
        <f t="shared" si="186"/>
        <v>1</v>
      </c>
      <c r="V877" s="285">
        <f t="shared" si="187"/>
        <v>4.5</v>
      </c>
      <c r="W877" s="285">
        <f t="shared" si="188"/>
        <v>1.5</v>
      </c>
      <c r="X877" s="289" t="e">
        <f t="shared" si="189"/>
        <v>#VALUE!</v>
      </c>
      <c r="Y877" s="288" t="e">
        <f t="shared" si="190"/>
        <v>#VALUE!</v>
      </c>
      <c r="Z877" s="256">
        <f t="shared" si="191"/>
        <v>181.74993027852094</v>
      </c>
      <c r="AA877" s="289" t="e">
        <f t="shared" si="192"/>
        <v>#VALUE!</v>
      </c>
      <c r="AB877" s="288" t="e">
        <f t="shared" si="193"/>
        <v>#VALUE!</v>
      </c>
    </row>
    <row r="878" spans="13:28" ht="12" hidden="1" customHeight="1">
      <c r="M878" s="266"/>
      <c r="N878" s="288" t="str">
        <f t="shared" si="194"/>
        <v/>
      </c>
      <c r="O878" s="285">
        <f t="shared" si="180"/>
        <v>150</v>
      </c>
      <c r="P878" s="289">
        <f t="shared" si="181"/>
        <v>4000000</v>
      </c>
      <c r="Q878" s="285">
        <f t="shared" si="182"/>
        <v>110</v>
      </c>
      <c r="R878" s="285">
        <f t="shared" si="183"/>
        <v>85</v>
      </c>
      <c r="S878" s="285">
        <f t="shared" si="184"/>
        <v>0.35</v>
      </c>
      <c r="T878" s="285">
        <f t="shared" si="185"/>
        <v>3.2</v>
      </c>
      <c r="U878" s="285">
        <f t="shared" si="186"/>
        <v>1</v>
      </c>
      <c r="V878" s="285">
        <f t="shared" si="187"/>
        <v>4.5</v>
      </c>
      <c r="W878" s="285">
        <f t="shared" si="188"/>
        <v>1.5</v>
      </c>
      <c r="X878" s="289" t="e">
        <f t="shared" si="189"/>
        <v>#VALUE!</v>
      </c>
      <c r="Y878" s="288" t="e">
        <f t="shared" si="190"/>
        <v>#VALUE!</v>
      </c>
      <c r="Z878" s="256">
        <f t="shared" si="191"/>
        <v>181.74993027852094</v>
      </c>
      <c r="AA878" s="289" t="e">
        <f t="shared" si="192"/>
        <v>#VALUE!</v>
      </c>
      <c r="AB878" s="288" t="e">
        <f t="shared" si="193"/>
        <v>#VALUE!</v>
      </c>
    </row>
    <row r="879" spans="13:28" ht="12" hidden="1" customHeight="1">
      <c r="M879" s="266"/>
      <c r="N879" s="288" t="str">
        <f t="shared" si="194"/>
        <v/>
      </c>
      <c r="O879" s="285">
        <f t="shared" si="180"/>
        <v>150</v>
      </c>
      <c r="P879" s="289">
        <f t="shared" si="181"/>
        <v>4000000</v>
      </c>
      <c r="Q879" s="285">
        <f t="shared" si="182"/>
        <v>110</v>
      </c>
      <c r="R879" s="285">
        <f t="shared" si="183"/>
        <v>85</v>
      </c>
      <c r="S879" s="285">
        <f t="shared" si="184"/>
        <v>0.35</v>
      </c>
      <c r="T879" s="285">
        <f t="shared" si="185"/>
        <v>3.2</v>
      </c>
      <c r="U879" s="285">
        <f t="shared" si="186"/>
        <v>1</v>
      </c>
      <c r="V879" s="285">
        <f t="shared" si="187"/>
        <v>4.5</v>
      </c>
      <c r="W879" s="285">
        <f t="shared" si="188"/>
        <v>1.5</v>
      </c>
      <c r="X879" s="289" t="e">
        <f t="shared" si="189"/>
        <v>#VALUE!</v>
      </c>
      <c r="Y879" s="288" t="e">
        <f t="shared" si="190"/>
        <v>#VALUE!</v>
      </c>
      <c r="Z879" s="256">
        <f t="shared" si="191"/>
        <v>181.74993027852094</v>
      </c>
      <c r="AA879" s="289" t="e">
        <f t="shared" si="192"/>
        <v>#VALUE!</v>
      </c>
      <c r="AB879" s="288" t="e">
        <f t="shared" si="193"/>
        <v>#VALUE!</v>
      </c>
    </row>
    <row r="880" spans="13:28" ht="12" hidden="1" customHeight="1">
      <c r="M880" s="266"/>
      <c r="N880" s="288" t="str">
        <f t="shared" si="194"/>
        <v/>
      </c>
      <c r="O880" s="285">
        <f t="shared" si="180"/>
        <v>150</v>
      </c>
      <c r="P880" s="289">
        <f t="shared" si="181"/>
        <v>4000000</v>
      </c>
      <c r="Q880" s="285">
        <f t="shared" si="182"/>
        <v>110</v>
      </c>
      <c r="R880" s="285">
        <f t="shared" si="183"/>
        <v>85</v>
      </c>
      <c r="S880" s="285">
        <f t="shared" si="184"/>
        <v>0.35</v>
      </c>
      <c r="T880" s="285">
        <f t="shared" si="185"/>
        <v>3.2</v>
      </c>
      <c r="U880" s="285">
        <f t="shared" si="186"/>
        <v>1</v>
      </c>
      <c r="V880" s="285">
        <f t="shared" si="187"/>
        <v>4.5</v>
      </c>
      <c r="W880" s="285">
        <f t="shared" si="188"/>
        <v>1.5</v>
      </c>
      <c r="X880" s="289" t="e">
        <f t="shared" si="189"/>
        <v>#VALUE!</v>
      </c>
      <c r="Y880" s="288" t="e">
        <f t="shared" si="190"/>
        <v>#VALUE!</v>
      </c>
      <c r="Z880" s="256">
        <f t="shared" si="191"/>
        <v>181.74993027852094</v>
      </c>
      <c r="AA880" s="289" t="e">
        <f t="shared" si="192"/>
        <v>#VALUE!</v>
      </c>
      <c r="AB880" s="288" t="e">
        <f t="shared" si="193"/>
        <v>#VALUE!</v>
      </c>
    </row>
    <row r="881" spans="13:28" ht="12" hidden="1" customHeight="1">
      <c r="M881" s="266"/>
      <c r="N881" s="288" t="str">
        <f t="shared" si="194"/>
        <v/>
      </c>
      <c r="O881" s="285">
        <f t="shared" si="180"/>
        <v>150</v>
      </c>
      <c r="P881" s="289">
        <f t="shared" si="181"/>
        <v>4000000</v>
      </c>
      <c r="Q881" s="285">
        <f t="shared" si="182"/>
        <v>110</v>
      </c>
      <c r="R881" s="285">
        <f t="shared" si="183"/>
        <v>85</v>
      </c>
      <c r="S881" s="285">
        <f t="shared" si="184"/>
        <v>0.35</v>
      </c>
      <c r="T881" s="285">
        <f t="shared" si="185"/>
        <v>3.2</v>
      </c>
      <c r="U881" s="285">
        <f t="shared" si="186"/>
        <v>1</v>
      </c>
      <c r="V881" s="285">
        <f t="shared" si="187"/>
        <v>4.5</v>
      </c>
      <c r="W881" s="285">
        <f t="shared" si="188"/>
        <v>1.5</v>
      </c>
      <c r="X881" s="289" t="e">
        <f t="shared" si="189"/>
        <v>#VALUE!</v>
      </c>
      <c r="Y881" s="288" t="e">
        <f t="shared" si="190"/>
        <v>#VALUE!</v>
      </c>
      <c r="Z881" s="256">
        <f t="shared" si="191"/>
        <v>181.74993027852094</v>
      </c>
      <c r="AA881" s="289" t="e">
        <f t="shared" si="192"/>
        <v>#VALUE!</v>
      </c>
      <c r="AB881" s="288" t="e">
        <f t="shared" si="193"/>
        <v>#VALUE!</v>
      </c>
    </row>
    <row r="882" spans="13:28" ht="12" hidden="1" customHeight="1">
      <c r="M882" s="266"/>
      <c r="N882" s="288" t="str">
        <f t="shared" si="194"/>
        <v/>
      </c>
      <c r="O882" s="285">
        <f t="shared" si="180"/>
        <v>150</v>
      </c>
      <c r="P882" s="289">
        <f t="shared" si="181"/>
        <v>4000000</v>
      </c>
      <c r="Q882" s="285">
        <f t="shared" si="182"/>
        <v>110</v>
      </c>
      <c r="R882" s="285">
        <f t="shared" si="183"/>
        <v>85</v>
      </c>
      <c r="S882" s="285">
        <f t="shared" si="184"/>
        <v>0.35</v>
      </c>
      <c r="T882" s="285">
        <f t="shared" si="185"/>
        <v>3.2</v>
      </c>
      <c r="U882" s="285">
        <f t="shared" si="186"/>
        <v>1</v>
      </c>
      <c r="V882" s="285">
        <f t="shared" si="187"/>
        <v>4.5</v>
      </c>
      <c r="W882" s="285">
        <f t="shared" si="188"/>
        <v>1.5</v>
      </c>
      <c r="X882" s="289" t="e">
        <f t="shared" si="189"/>
        <v>#VALUE!</v>
      </c>
      <c r="Y882" s="288" t="e">
        <f t="shared" si="190"/>
        <v>#VALUE!</v>
      </c>
      <c r="Z882" s="256">
        <f t="shared" si="191"/>
        <v>181.74993027852094</v>
      </c>
      <c r="AA882" s="289" t="e">
        <f t="shared" si="192"/>
        <v>#VALUE!</v>
      </c>
      <c r="AB882" s="288" t="e">
        <f t="shared" si="193"/>
        <v>#VALUE!</v>
      </c>
    </row>
    <row r="883" spans="13:28" ht="12" hidden="1" customHeight="1">
      <c r="M883" s="266"/>
      <c r="N883" s="288" t="str">
        <f t="shared" si="194"/>
        <v/>
      </c>
      <c r="O883" s="285">
        <f t="shared" si="180"/>
        <v>150</v>
      </c>
      <c r="P883" s="289">
        <f t="shared" si="181"/>
        <v>4000000</v>
      </c>
      <c r="Q883" s="285">
        <f t="shared" si="182"/>
        <v>110</v>
      </c>
      <c r="R883" s="285">
        <f t="shared" si="183"/>
        <v>85</v>
      </c>
      <c r="S883" s="285">
        <f t="shared" si="184"/>
        <v>0.35</v>
      </c>
      <c r="T883" s="285">
        <f t="shared" si="185"/>
        <v>3.2</v>
      </c>
      <c r="U883" s="285">
        <f t="shared" si="186"/>
        <v>1</v>
      </c>
      <c r="V883" s="285">
        <f t="shared" si="187"/>
        <v>4.5</v>
      </c>
      <c r="W883" s="285">
        <f t="shared" si="188"/>
        <v>1.5</v>
      </c>
      <c r="X883" s="289" t="e">
        <f t="shared" si="189"/>
        <v>#VALUE!</v>
      </c>
      <c r="Y883" s="288" t="e">
        <f t="shared" si="190"/>
        <v>#VALUE!</v>
      </c>
      <c r="Z883" s="256">
        <f t="shared" si="191"/>
        <v>181.74993027852094</v>
      </c>
      <c r="AA883" s="289" t="e">
        <f t="shared" si="192"/>
        <v>#VALUE!</v>
      </c>
      <c r="AB883" s="288" t="e">
        <f t="shared" si="193"/>
        <v>#VALUE!</v>
      </c>
    </row>
    <row r="884" spans="13:28" ht="12" hidden="1" customHeight="1">
      <c r="M884" s="266"/>
      <c r="N884" s="288" t="str">
        <f t="shared" si="194"/>
        <v/>
      </c>
      <c r="O884" s="285">
        <f t="shared" si="180"/>
        <v>150</v>
      </c>
      <c r="P884" s="289">
        <f t="shared" si="181"/>
        <v>4000000</v>
      </c>
      <c r="Q884" s="285">
        <f t="shared" si="182"/>
        <v>110</v>
      </c>
      <c r="R884" s="285">
        <f t="shared" si="183"/>
        <v>85</v>
      </c>
      <c r="S884" s="285">
        <f t="shared" si="184"/>
        <v>0.35</v>
      </c>
      <c r="T884" s="285">
        <f t="shared" si="185"/>
        <v>3.2</v>
      </c>
      <c r="U884" s="285">
        <f t="shared" si="186"/>
        <v>1</v>
      </c>
      <c r="V884" s="285">
        <f t="shared" si="187"/>
        <v>4.5</v>
      </c>
      <c r="W884" s="285">
        <f t="shared" si="188"/>
        <v>1.5</v>
      </c>
      <c r="X884" s="289" t="e">
        <f t="shared" si="189"/>
        <v>#VALUE!</v>
      </c>
      <c r="Y884" s="288" t="e">
        <f t="shared" si="190"/>
        <v>#VALUE!</v>
      </c>
      <c r="Z884" s="256">
        <f t="shared" si="191"/>
        <v>181.74993027852094</v>
      </c>
      <c r="AA884" s="289" t="e">
        <f t="shared" si="192"/>
        <v>#VALUE!</v>
      </c>
      <c r="AB884" s="288" t="e">
        <f t="shared" si="193"/>
        <v>#VALUE!</v>
      </c>
    </row>
    <row r="885" spans="13:28" ht="12" hidden="1" customHeight="1">
      <c r="M885" s="266"/>
      <c r="N885" s="288" t="str">
        <f t="shared" si="194"/>
        <v/>
      </c>
      <c r="O885" s="285">
        <f t="shared" si="180"/>
        <v>150</v>
      </c>
      <c r="P885" s="289">
        <f t="shared" si="181"/>
        <v>4000000</v>
      </c>
      <c r="Q885" s="285">
        <f t="shared" si="182"/>
        <v>110</v>
      </c>
      <c r="R885" s="285">
        <f t="shared" si="183"/>
        <v>85</v>
      </c>
      <c r="S885" s="285">
        <f t="shared" si="184"/>
        <v>0.35</v>
      </c>
      <c r="T885" s="285">
        <f t="shared" si="185"/>
        <v>3.2</v>
      </c>
      <c r="U885" s="285">
        <f t="shared" si="186"/>
        <v>1</v>
      </c>
      <c r="V885" s="285">
        <f t="shared" si="187"/>
        <v>4.5</v>
      </c>
      <c r="W885" s="285">
        <f t="shared" si="188"/>
        <v>1.5</v>
      </c>
      <c r="X885" s="289" t="e">
        <f t="shared" si="189"/>
        <v>#VALUE!</v>
      </c>
      <c r="Y885" s="288" t="e">
        <f t="shared" si="190"/>
        <v>#VALUE!</v>
      </c>
      <c r="Z885" s="256">
        <f t="shared" si="191"/>
        <v>181.74993027852094</v>
      </c>
      <c r="AA885" s="289" t="e">
        <f t="shared" si="192"/>
        <v>#VALUE!</v>
      </c>
      <c r="AB885" s="288" t="e">
        <f t="shared" si="193"/>
        <v>#VALUE!</v>
      </c>
    </row>
    <row r="886" spans="13:28" ht="12" hidden="1" customHeight="1">
      <c r="M886" s="266"/>
      <c r="N886" s="288" t="str">
        <f t="shared" si="194"/>
        <v/>
      </c>
      <c r="O886" s="285">
        <f t="shared" si="180"/>
        <v>150</v>
      </c>
      <c r="P886" s="289">
        <f t="shared" si="181"/>
        <v>4000000</v>
      </c>
      <c r="Q886" s="285">
        <f t="shared" si="182"/>
        <v>110</v>
      </c>
      <c r="R886" s="285">
        <f t="shared" si="183"/>
        <v>85</v>
      </c>
      <c r="S886" s="285">
        <f t="shared" si="184"/>
        <v>0.35</v>
      </c>
      <c r="T886" s="285">
        <f t="shared" si="185"/>
        <v>3.2</v>
      </c>
      <c r="U886" s="285">
        <f t="shared" si="186"/>
        <v>1</v>
      </c>
      <c r="V886" s="285">
        <f t="shared" si="187"/>
        <v>4.5</v>
      </c>
      <c r="W886" s="285">
        <f t="shared" si="188"/>
        <v>1.5</v>
      </c>
      <c r="X886" s="289" t="e">
        <f t="shared" si="189"/>
        <v>#VALUE!</v>
      </c>
      <c r="Y886" s="288" t="e">
        <f t="shared" si="190"/>
        <v>#VALUE!</v>
      </c>
      <c r="Z886" s="256">
        <f t="shared" si="191"/>
        <v>181.74993027852094</v>
      </c>
      <c r="AA886" s="289" t="e">
        <f t="shared" si="192"/>
        <v>#VALUE!</v>
      </c>
      <c r="AB886" s="288" t="e">
        <f t="shared" si="193"/>
        <v>#VALUE!</v>
      </c>
    </row>
    <row r="887" spans="13:28" ht="12" hidden="1" customHeight="1">
      <c r="M887" s="266"/>
      <c r="N887" s="288" t="str">
        <f t="shared" si="194"/>
        <v/>
      </c>
      <c r="O887" s="285">
        <f t="shared" si="180"/>
        <v>150</v>
      </c>
      <c r="P887" s="289">
        <f t="shared" si="181"/>
        <v>4000000</v>
      </c>
      <c r="Q887" s="285">
        <f t="shared" si="182"/>
        <v>110</v>
      </c>
      <c r="R887" s="285">
        <f t="shared" si="183"/>
        <v>85</v>
      </c>
      <c r="S887" s="285">
        <f t="shared" si="184"/>
        <v>0.35</v>
      </c>
      <c r="T887" s="285">
        <f t="shared" si="185"/>
        <v>3.2</v>
      </c>
      <c r="U887" s="285">
        <f t="shared" si="186"/>
        <v>1</v>
      </c>
      <c r="V887" s="285">
        <f t="shared" si="187"/>
        <v>4.5</v>
      </c>
      <c r="W887" s="285">
        <f t="shared" si="188"/>
        <v>1.5</v>
      </c>
      <c r="X887" s="289" t="e">
        <f t="shared" si="189"/>
        <v>#VALUE!</v>
      </c>
      <c r="Y887" s="288" t="e">
        <f t="shared" si="190"/>
        <v>#VALUE!</v>
      </c>
      <c r="Z887" s="256">
        <f t="shared" si="191"/>
        <v>181.74993027852094</v>
      </c>
      <c r="AA887" s="289" t="e">
        <f t="shared" si="192"/>
        <v>#VALUE!</v>
      </c>
      <c r="AB887" s="288" t="e">
        <f t="shared" si="193"/>
        <v>#VALUE!</v>
      </c>
    </row>
    <row r="888" spans="13:28" ht="12" hidden="1" customHeight="1">
      <c r="M888" s="266"/>
      <c r="N888" s="288" t="str">
        <f t="shared" si="194"/>
        <v/>
      </c>
      <c r="O888" s="285">
        <f t="shared" si="180"/>
        <v>150</v>
      </c>
      <c r="P888" s="289">
        <f t="shared" si="181"/>
        <v>4000000</v>
      </c>
      <c r="Q888" s="285">
        <f t="shared" si="182"/>
        <v>110</v>
      </c>
      <c r="R888" s="285">
        <f t="shared" si="183"/>
        <v>85</v>
      </c>
      <c r="S888" s="285">
        <f t="shared" si="184"/>
        <v>0.35</v>
      </c>
      <c r="T888" s="285">
        <f t="shared" si="185"/>
        <v>3.2</v>
      </c>
      <c r="U888" s="285">
        <f t="shared" si="186"/>
        <v>1</v>
      </c>
      <c r="V888" s="285">
        <f t="shared" si="187"/>
        <v>4.5</v>
      </c>
      <c r="W888" s="285">
        <f t="shared" si="188"/>
        <v>1.5</v>
      </c>
      <c r="X888" s="289" t="e">
        <f t="shared" si="189"/>
        <v>#VALUE!</v>
      </c>
      <c r="Y888" s="288" t="e">
        <f t="shared" si="190"/>
        <v>#VALUE!</v>
      </c>
      <c r="Z888" s="256">
        <f t="shared" si="191"/>
        <v>181.74993027852094</v>
      </c>
      <c r="AA888" s="289" t="e">
        <f t="shared" si="192"/>
        <v>#VALUE!</v>
      </c>
      <c r="AB888" s="288" t="e">
        <f t="shared" si="193"/>
        <v>#VALUE!</v>
      </c>
    </row>
    <row r="889" spans="13:28" ht="12" hidden="1" customHeight="1">
      <c r="M889" s="266"/>
      <c r="N889" s="288" t="str">
        <f t="shared" si="194"/>
        <v/>
      </c>
      <c r="O889" s="285">
        <f t="shared" si="180"/>
        <v>150</v>
      </c>
      <c r="P889" s="289">
        <f t="shared" si="181"/>
        <v>4000000</v>
      </c>
      <c r="Q889" s="285">
        <f t="shared" si="182"/>
        <v>110</v>
      </c>
      <c r="R889" s="285">
        <f t="shared" si="183"/>
        <v>85</v>
      </c>
      <c r="S889" s="285">
        <f t="shared" si="184"/>
        <v>0.35</v>
      </c>
      <c r="T889" s="285">
        <f t="shared" si="185"/>
        <v>3.2</v>
      </c>
      <c r="U889" s="285">
        <f t="shared" si="186"/>
        <v>1</v>
      </c>
      <c r="V889" s="285">
        <f t="shared" si="187"/>
        <v>4.5</v>
      </c>
      <c r="W889" s="285">
        <f t="shared" si="188"/>
        <v>1.5</v>
      </c>
      <c r="X889" s="289" t="e">
        <f t="shared" si="189"/>
        <v>#VALUE!</v>
      </c>
      <c r="Y889" s="288" t="e">
        <f t="shared" si="190"/>
        <v>#VALUE!</v>
      </c>
      <c r="Z889" s="256">
        <f t="shared" si="191"/>
        <v>181.74993027852094</v>
      </c>
      <c r="AA889" s="289" t="e">
        <f t="shared" si="192"/>
        <v>#VALUE!</v>
      </c>
      <c r="AB889" s="288" t="e">
        <f t="shared" si="193"/>
        <v>#VALUE!</v>
      </c>
    </row>
    <row r="890" spans="13:28" ht="12" hidden="1" customHeight="1">
      <c r="M890" s="266"/>
      <c r="N890" s="288" t="str">
        <f t="shared" si="194"/>
        <v/>
      </c>
      <c r="O890" s="285">
        <f t="shared" si="180"/>
        <v>150</v>
      </c>
      <c r="P890" s="289">
        <f t="shared" si="181"/>
        <v>4000000</v>
      </c>
      <c r="Q890" s="285">
        <f t="shared" si="182"/>
        <v>110</v>
      </c>
      <c r="R890" s="285">
        <f t="shared" si="183"/>
        <v>85</v>
      </c>
      <c r="S890" s="285">
        <f t="shared" si="184"/>
        <v>0.35</v>
      </c>
      <c r="T890" s="285">
        <f t="shared" si="185"/>
        <v>3.2</v>
      </c>
      <c r="U890" s="285">
        <f t="shared" si="186"/>
        <v>1</v>
      </c>
      <c r="V890" s="285">
        <f t="shared" si="187"/>
        <v>4.5</v>
      </c>
      <c r="W890" s="285">
        <f t="shared" si="188"/>
        <v>1.5</v>
      </c>
      <c r="X890" s="289" t="e">
        <f t="shared" si="189"/>
        <v>#VALUE!</v>
      </c>
      <c r="Y890" s="288" t="e">
        <f t="shared" si="190"/>
        <v>#VALUE!</v>
      </c>
      <c r="Z890" s="256">
        <f t="shared" si="191"/>
        <v>181.74993027852094</v>
      </c>
      <c r="AA890" s="289" t="e">
        <f t="shared" si="192"/>
        <v>#VALUE!</v>
      </c>
      <c r="AB890" s="288" t="e">
        <f t="shared" si="193"/>
        <v>#VALUE!</v>
      </c>
    </row>
    <row r="891" spans="13:28" ht="12" hidden="1" customHeight="1">
      <c r="M891" s="266"/>
      <c r="N891" s="288" t="str">
        <f t="shared" si="194"/>
        <v/>
      </c>
      <c r="O891" s="285">
        <f t="shared" si="180"/>
        <v>150</v>
      </c>
      <c r="P891" s="289">
        <f t="shared" si="181"/>
        <v>4000000</v>
      </c>
      <c r="Q891" s="285">
        <f t="shared" si="182"/>
        <v>110</v>
      </c>
      <c r="R891" s="285">
        <f t="shared" si="183"/>
        <v>85</v>
      </c>
      <c r="S891" s="285">
        <f t="shared" si="184"/>
        <v>0.35</v>
      </c>
      <c r="T891" s="285">
        <f t="shared" si="185"/>
        <v>3.2</v>
      </c>
      <c r="U891" s="285">
        <f t="shared" si="186"/>
        <v>1</v>
      </c>
      <c r="V891" s="285">
        <f t="shared" si="187"/>
        <v>4.5</v>
      </c>
      <c r="W891" s="285">
        <f t="shared" si="188"/>
        <v>1.5</v>
      </c>
      <c r="X891" s="289" t="e">
        <f t="shared" si="189"/>
        <v>#VALUE!</v>
      </c>
      <c r="Y891" s="288" t="e">
        <f t="shared" si="190"/>
        <v>#VALUE!</v>
      </c>
      <c r="Z891" s="256">
        <f t="shared" si="191"/>
        <v>181.74993027852094</v>
      </c>
      <c r="AA891" s="289" t="e">
        <f t="shared" si="192"/>
        <v>#VALUE!</v>
      </c>
      <c r="AB891" s="288" t="e">
        <f t="shared" si="193"/>
        <v>#VALUE!</v>
      </c>
    </row>
    <row r="892" spans="13:28" ht="12" hidden="1" customHeight="1">
      <c r="M892" s="266"/>
      <c r="N892" s="288" t="str">
        <f t="shared" si="194"/>
        <v/>
      </c>
      <c r="O892" s="285">
        <f t="shared" si="180"/>
        <v>150</v>
      </c>
      <c r="P892" s="289">
        <f t="shared" si="181"/>
        <v>4000000</v>
      </c>
      <c r="Q892" s="285">
        <f t="shared" si="182"/>
        <v>110</v>
      </c>
      <c r="R892" s="285">
        <f t="shared" si="183"/>
        <v>85</v>
      </c>
      <c r="S892" s="285">
        <f t="shared" si="184"/>
        <v>0.35</v>
      </c>
      <c r="T892" s="285">
        <f t="shared" si="185"/>
        <v>3.2</v>
      </c>
      <c r="U892" s="285">
        <f t="shared" si="186"/>
        <v>1</v>
      </c>
      <c r="V892" s="285">
        <f t="shared" si="187"/>
        <v>4.5</v>
      </c>
      <c r="W892" s="285">
        <f t="shared" si="188"/>
        <v>1.5</v>
      </c>
      <c r="X892" s="289" t="e">
        <f t="shared" si="189"/>
        <v>#VALUE!</v>
      </c>
      <c r="Y892" s="288" t="e">
        <f t="shared" si="190"/>
        <v>#VALUE!</v>
      </c>
      <c r="Z892" s="256">
        <f t="shared" si="191"/>
        <v>181.74993027852094</v>
      </c>
      <c r="AA892" s="289" t="e">
        <f t="shared" si="192"/>
        <v>#VALUE!</v>
      </c>
      <c r="AB892" s="288" t="e">
        <f t="shared" si="193"/>
        <v>#VALUE!</v>
      </c>
    </row>
    <row r="893" spans="13:28" ht="12" hidden="1" customHeight="1">
      <c r="M893" s="266"/>
      <c r="N893" s="288" t="str">
        <f t="shared" si="194"/>
        <v/>
      </c>
      <c r="O893" s="285">
        <f t="shared" si="180"/>
        <v>150</v>
      </c>
      <c r="P893" s="289">
        <f t="shared" si="181"/>
        <v>4000000</v>
      </c>
      <c r="Q893" s="285">
        <f t="shared" si="182"/>
        <v>110</v>
      </c>
      <c r="R893" s="285">
        <f t="shared" si="183"/>
        <v>85</v>
      </c>
      <c r="S893" s="285">
        <f t="shared" si="184"/>
        <v>0.35</v>
      </c>
      <c r="T893" s="285">
        <f t="shared" si="185"/>
        <v>3.2</v>
      </c>
      <c r="U893" s="285">
        <f t="shared" si="186"/>
        <v>1</v>
      </c>
      <c r="V893" s="285">
        <f t="shared" si="187"/>
        <v>4.5</v>
      </c>
      <c r="W893" s="285">
        <f t="shared" si="188"/>
        <v>1.5</v>
      </c>
      <c r="X893" s="289" t="e">
        <f t="shared" si="189"/>
        <v>#VALUE!</v>
      </c>
      <c r="Y893" s="288" t="e">
        <f t="shared" si="190"/>
        <v>#VALUE!</v>
      </c>
      <c r="Z893" s="256">
        <f t="shared" si="191"/>
        <v>181.74993027852094</v>
      </c>
      <c r="AA893" s="289" t="e">
        <f t="shared" si="192"/>
        <v>#VALUE!</v>
      </c>
      <c r="AB893" s="288" t="e">
        <f t="shared" si="193"/>
        <v>#VALUE!</v>
      </c>
    </row>
    <row r="894" spans="13:28" ht="12" hidden="1" customHeight="1">
      <c r="M894" s="266"/>
      <c r="N894" s="288" t="str">
        <f t="shared" si="194"/>
        <v/>
      </c>
      <c r="O894" s="285">
        <f t="shared" si="180"/>
        <v>150</v>
      </c>
      <c r="P894" s="289">
        <f t="shared" si="181"/>
        <v>4000000</v>
      </c>
      <c r="Q894" s="285">
        <f t="shared" si="182"/>
        <v>110</v>
      </c>
      <c r="R894" s="285">
        <f t="shared" si="183"/>
        <v>85</v>
      </c>
      <c r="S894" s="285">
        <f t="shared" si="184"/>
        <v>0.35</v>
      </c>
      <c r="T894" s="285">
        <f t="shared" si="185"/>
        <v>3.2</v>
      </c>
      <c r="U894" s="285">
        <f t="shared" si="186"/>
        <v>1</v>
      </c>
      <c r="V894" s="285">
        <f t="shared" si="187"/>
        <v>4.5</v>
      </c>
      <c r="W894" s="285">
        <f t="shared" si="188"/>
        <v>1.5</v>
      </c>
      <c r="X894" s="289" t="e">
        <f t="shared" si="189"/>
        <v>#VALUE!</v>
      </c>
      <c r="Y894" s="288" t="e">
        <f t="shared" si="190"/>
        <v>#VALUE!</v>
      </c>
      <c r="Z894" s="256">
        <f t="shared" si="191"/>
        <v>181.74993027852094</v>
      </c>
      <c r="AA894" s="289" t="e">
        <f t="shared" si="192"/>
        <v>#VALUE!</v>
      </c>
      <c r="AB894" s="288" t="e">
        <f t="shared" si="193"/>
        <v>#VALUE!</v>
      </c>
    </row>
    <row r="895" spans="13:28" ht="12" hidden="1" customHeight="1">
      <c r="M895" s="266"/>
      <c r="N895" s="288" t="str">
        <f t="shared" si="194"/>
        <v/>
      </c>
      <c r="O895" s="285">
        <f t="shared" si="180"/>
        <v>150</v>
      </c>
      <c r="P895" s="289">
        <f t="shared" si="181"/>
        <v>4000000</v>
      </c>
      <c r="Q895" s="285">
        <f t="shared" si="182"/>
        <v>110</v>
      </c>
      <c r="R895" s="285">
        <f t="shared" si="183"/>
        <v>85</v>
      </c>
      <c r="S895" s="285">
        <f t="shared" si="184"/>
        <v>0.35</v>
      </c>
      <c r="T895" s="285">
        <f t="shared" si="185"/>
        <v>3.2</v>
      </c>
      <c r="U895" s="285">
        <f t="shared" si="186"/>
        <v>1</v>
      </c>
      <c r="V895" s="285">
        <f t="shared" si="187"/>
        <v>4.5</v>
      </c>
      <c r="W895" s="285">
        <f t="shared" si="188"/>
        <v>1.5</v>
      </c>
      <c r="X895" s="289" t="e">
        <f t="shared" si="189"/>
        <v>#VALUE!</v>
      </c>
      <c r="Y895" s="288" t="e">
        <f t="shared" si="190"/>
        <v>#VALUE!</v>
      </c>
      <c r="Z895" s="256">
        <f t="shared" si="191"/>
        <v>181.74993027852094</v>
      </c>
      <c r="AA895" s="289" t="e">
        <f t="shared" si="192"/>
        <v>#VALUE!</v>
      </c>
      <c r="AB895" s="288" t="e">
        <f t="shared" si="193"/>
        <v>#VALUE!</v>
      </c>
    </row>
    <row r="896" spans="13:28" ht="12" hidden="1" customHeight="1">
      <c r="M896" s="266"/>
      <c r="N896" s="288" t="str">
        <f t="shared" si="194"/>
        <v/>
      </c>
      <c r="O896" s="285">
        <f t="shared" si="180"/>
        <v>150</v>
      </c>
      <c r="P896" s="289">
        <f t="shared" si="181"/>
        <v>4000000</v>
      </c>
      <c r="Q896" s="285">
        <f t="shared" si="182"/>
        <v>110</v>
      </c>
      <c r="R896" s="285">
        <f t="shared" si="183"/>
        <v>85</v>
      </c>
      <c r="S896" s="285">
        <f t="shared" si="184"/>
        <v>0.35</v>
      </c>
      <c r="T896" s="285">
        <f t="shared" si="185"/>
        <v>3.2</v>
      </c>
      <c r="U896" s="285">
        <f t="shared" si="186"/>
        <v>1</v>
      </c>
      <c r="V896" s="285">
        <f t="shared" si="187"/>
        <v>4.5</v>
      </c>
      <c r="W896" s="285">
        <f t="shared" si="188"/>
        <v>1.5</v>
      </c>
      <c r="X896" s="289" t="e">
        <f t="shared" si="189"/>
        <v>#VALUE!</v>
      </c>
      <c r="Y896" s="288" t="e">
        <f t="shared" si="190"/>
        <v>#VALUE!</v>
      </c>
      <c r="Z896" s="256">
        <f t="shared" si="191"/>
        <v>181.74993027852094</v>
      </c>
      <c r="AA896" s="289" t="e">
        <f t="shared" si="192"/>
        <v>#VALUE!</v>
      </c>
      <c r="AB896" s="288" t="e">
        <f t="shared" si="193"/>
        <v>#VALUE!</v>
      </c>
    </row>
    <row r="897" spans="13:28" ht="12" hidden="1" customHeight="1">
      <c r="M897" s="266"/>
      <c r="N897" s="288" t="str">
        <f t="shared" si="194"/>
        <v/>
      </c>
      <c r="O897" s="285">
        <f t="shared" si="180"/>
        <v>150</v>
      </c>
      <c r="P897" s="289">
        <f t="shared" si="181"/>
        <v>4000000</v>
      </c>
      <c r="Q897" s="285">
        <f t="shared" si="182"/>
        <v>110</v>
      </c>
      <c r="R897" s="285">
        <f t="shared" si="183"/>
        <v>85</v>
      </c>
      <c r="S897" s="285">
        <f t="shared" si="184"/>
        <v>0.35</v>
      </c>
      <c r="T897" s="285">
        <f t="shared" si="185"/>
        <v>3.2</v>
      </c>
      <c r="U897" s="285">
        <f t="shared" si="186"/>
        <v>1</v>
      </c>
      <c r="V897" s="285">
        <f t="shared" si="187"/>
        <v>4.5</v>
      </c>
      <c r="W897" s="285">
        <f t="shared" si="188"/>
        <v>1.5</v>
      </c>
      <c r="X897" s="289" t="e">
        <f t="shared" si="189"/>
        <v>#VALUE!</v>
      </c>
      <c r="Y897" s="288" t="e">
        <f t="shared" si="190"/>
        <v>#VALUE!</v>
      </c>
      <c r="Z897" s="256">
        <f t="shared" si="191"/>
        <v>181.74993027852094</v>
      </c>
      <c r="AA897" s="289" t="e">
        <f t="shared" si="192"/>
        <v>#VALUE!</v>
      </c>
      <c r="AB897" s="288" t="e">
        <f t="shared" si="193"/>
        <v>#VALUE!</v>
      </c>
    </row>
    <row r="898" spans="13:28" ht="12" hidden="1" customHeight="1">
      <c r="M898" s="266"/>
      <c r="N898" s="288" t="str">
        <f t="shared" si="194"/>
        <v/>
      </c>
      <c r="O898" s="285">
        <f t="shared" si="180"/>
        <v>150</v>
      </c>
      <c r="P898" s="289">
        <f t="shared" si="181"/>
        <v>4000000</v>
      </c>
      <c r="Q898" s="285">
        <f t="shared" si="182"/>
        <v>110</v>
      </c>
      <c r="R898" s="285">
        <f t="shared" si="183"/>
        <v>85</v>
      </c>
      <c r="S898" s="285">
        <f t="shared" si="184"/>
        <v>0.35</v>
      </c>
      <c r="T898" s="285">
        <f t="shared" si="185"/>
        <v>3.2</v>
      </c>
      <c r="U898" s="285">
        <f t="shared" si="186"/>
        <v>1</v>
      </c>
      <c r="V898" s="285">
        <f t="shared" si="187"/>
        <v>4.5</v>
      </c>
      <c r="W898" s="285">
        <f t="shared" si="188"/>
        <v>1.5</v>
      </c>
      <c r="X898" s="289" t="e">
        <f t="shared" si="189"/>
        <v>#VALUE!</v>
      </c>
      <c r="Y898" s="288" t="e">
        <f t="shared" si="190"/>
        <v>#VALUE!</v>
      </c>
      <c r="Z898" s="256">
        <f t="shared" si="191"/>
        <v>181.74993027852094</v>
      </c>
      <c r="AA898" s="289" t="e">
        <f t="shared" si="192"/>
        <v>#VALUE!</v>
      </c>
      <c r="AB898" s="288" t="e">
        <f t="shared" si="193"/>
        <v>#VALUE!</v>
      </c>
    </row>
    <row r="899" spans="13:28" ht="12" hidden="1" customHeight="1">
      <c r="M899" s="266"/>
      <c r="N899" s="288" t="str">
        <f t="shared" si="194"/>
        <v/>
      </c>
      <c r="O899" s="285">
        <f t="shared" si="180"/>
        <v>150</v>
      </c>
      <c r="P899" s="289">
        <f t="shared" si="181"/>
        <v>4000000</v>
      </c>
      <c r="Q899" s="285">
        <f t="shared" si="182"/>
        <v>110</v>
      </c>
      <c r="R899" s="285">
        <f t="shared" si="183"/>
        <v>85</v>
      </c>
      <c r="S899" s="285">
        <f t="shared" si="184"/>
        <v>0.35</v>
      </c>
      <c r="T899" s="285">
        <f t="shared" si="185"/>
        <v>3.2</v>
      </c>
      <c r="U899" s="285">
        <f t="shared" si="186"/>
        <v>1</v>
      </c>
      <c r="V899" s="285">
        <f t="shared" si="187"/>
        <v>4.5</v>
      </c>
      <c r="W899" s="285">
        <f t="shared" si="188"/>
        <v>1.5</v>
      </c>
      <c r="X899" s="289" t="e">
        <f t="shared" si="189"/>
        <v>#VALUE!</v>
      </c>
      <c r="Y899" s="288" t="e">
        <f t="shared" si="190"/>
        <v>#VALUE!</v>
      </c>
      <c r="Z899" s="256">
        <f t="shared" si="191"/>
        <v>181.74993027852094</v>
      </c>
      <c r="AA899" s="289" t="e">
        <f t="shared" si="192"/>
        <v>#VALUE!</v>
      </c>
      <c r="AB899" s="288" t="e">
        <f t="shared" si="193"/>
        <v>#VALUE!</v>
      </c>
    </row>
    <row r="900" spans="13:28" ht="12" hidden="1" customHeight="1">
      <c r="M900" s="266"/>
      <c r="N900" s="288" t="str">
        <f t="shared" si="194"/>
        <v/>
      </c>
      <c r="O900" s="285">
        <f t="shared" si="180"/>
        <v>150</v>
      </c>
      <c r="P900" s="289">
        <f t="shared" si="181"/>
        <v>4000000</v>
      </c>
      <c r="Q900" s="285">
        <f t="shared" si="182"/>
        <v>110</v>
      </c>
      <c r="R900" s="285">
        <f t="shared" si="183"/>
        <v>85</v>
      </c>
      <c r="S900" s="285">
        <f t="shared" si="184"/>
        <v>0.35</v>
      </c>
      <c r="T900" s="285">
        <f t="shared" si="185"/>
        <v>3.2</v>
      </c>
      <c r="U900" s="285">
        <f t="shared" si="186"/>
        <v>1</v>
      </c>
      <c r="V900" s="285">
        <f t="shared" si="187"/>
        <v>4.5</v>
      </c>
      <c r="W900" s="285">
        <f t="shared" si="188"/>
        <v>1.5</v>
      </c>
      <c r="X900" s="289" t="e">
        <f t="shared" si="189"/>
        <v>#VALUE!</v>
      </c>
      <c r="Y900" s="288" t="e">
        <f t="shared" si="190"/>
        <v>#VALUE!</v>
      </c>
      <c r="Z900" s="256">
        <f t="shared" si="191"/>
        <v>181.74993027852094</v>
      </c>
      <c r="AA900" s="289" t="e">
        <f t="shared" si="192"/>
        <v>#VALUE!</v>
      </c>
      <c r="AB900" s="288" t="e">
        <f t="shared" si="193"/>
        <v>#VALUE!</v>
      </c>
    </row>
    <row r="901" spans="13:28" ht="12" hidden="1" customHeight="1">
      <c r="M901" s="266"/>
      <c r="N901" s="288" t="str">
        <f t="shared" si="194"/>
        <v/>
      </c>
      <c r="O901" s="285">
        <f t="shared" si="180"/>
        <v>150</v>
      </c>
      <c r="P901" s="289">
        <f t="shared" si="181"/>
        <v>4000000</v>
      </c>
      <c r="Q901" s="285">
        <f t="shared" si="182"/>
        <v>110</v>
      </c>
      <c r="R901" s="285">
        <f t="shared" si="183"/>
        <v>85</v>
      </c>
      <c r="S901" s="285">
        <f t="shared" si="184"/>
        <v>0.35</v>
      </c>
      <c r="T901" s="285">
        <f t="shared" si="185"/>
        <v>3.2</v>
      </c>
      <c r="U901" s="285">
        <f t="shared" si="186"/>
        <v>1</v>
      </c>
      <c r="V901" s="285">
        <f t="shared" si="187"/>
        <v>4.5</v>
      </c>
      <c r="W901" s="285">
        <f t="shared" si="188"/>
        <v>1.5</v>
      </c>
      <c r="X901" s="289" t="e">
        <f t="shared" si="189"/>
        <v>#VALUE!</v>
      </c>
      <c r="Y901" s="288" t="e">
        <f t="shared" si="190"/>
        <v>#VALUE!</v>
      </c>
      <c r="Z901" s="256">
        <f t="shared" si="191"/>
        <v>181.74993027852094</v>
      </c>
      <c r="AA901" s="289" t="e">
        <f t="shared" si="192"/>
        <v>#VALUE!</v>
      </c>
      <c r="AB901" s="288" t="e">
        <f t="shared" si="193"/>
        <v>#VALUE!</v>
      </c>
    </row>
    <row r="902" spans="13:28" ht="12" hidden="1" customHeight="1">
      <c r="M902" s="266"/>
      <c r="N902" s="288" t="str">
        <f t="shared" si="194"/>
        <v/>
      </c>
      <c r="O902" s="285">
        <f t="shared" si="180"/>
        <v>150</v>
      </c>
      <c r="P902" s="289">
        <f t="shared" si="181"/>
        <v>4000000</v>
      </c>
      <c r="Q902" s="285">
        <f t="shared" si="182"/>
        <v>110</v>
      </c>
      <c r="R902" s="285">
        <f t="shared" si="183"/>
        <v>85</v>
      </c>
      <c r="S902" s="285">
        <f t="shared" si="184"/>
        <v>0.35</v>
      </c>
      <c r="T902" s="285">
        <f t="shared" si="185"/>
        <v>3.2</v>
      </c>
      <c r="U902" s="285">
        <f t="shared" si="186"/>
        <v>1</v>
      </c>
      <c r="V902" s="285">
        <f t="shared" si="187"/>
        <v>4.5</v>
      </c>
      <c r="W902" s="285">
        <f t="shared" si="188"/>
        <v>1.5</v>
      </c>
      <c r="X902" s="289" t="e">
        <f t="shared" si="189"/>
        <v>#VALUE!</v>
      </c>
      <c r="Y902" s="288" t="e">
        <f t="shared" si="190"/>
        <v>#VALUE!</v>
      </c>
      <c r="Z902" s="256">
        <f t="shared" si="191"/>
        <v>181.74993027852094</v>
      </c>
      <c r="AA902" s="289" t="e">
        <f t="shared" si="192"/>
        <v>#VALUE!</v>
      </c>
      <c r="AB902" s="288" t="e">
        <f t="shared" si="193"/>
        <v>#VALUE!</v>
      </c>
    </row>
    <row r="903" spans="13:28" ht="12" hidden="1" customHeight="1">
      <c r="M903" s="266"/>
      <c r="N903" s="288" t="str">
        <f t="shared" si="194"/>
        <v/>
      </c>
      <c r="O903" s="285">
        <f t="shared" si="180"/>
        <v>150</v>
      </c>
      <c r="P903" s="289">
        <f t="shared" si="181"/>
        <v>4000000</v>
      </c>
      <c r="Q903" s="285">
        <f t="shared" si="182"/>
        <v>110</v>
      </c>
      <c r="R903" s="285">
        <f t="shared" si="183"/>
        <v>85</v>
      </c>
      <c r="S903" s="285">
        <f t="shared" si="184"/>
        <v>0.35</v>
      </c>
      <c r="T903" s="285">
        <f t="shared" si="185"/>
        <v>3.2</v>
      </c>
      <c r="U903" s="285">
        <f t="shared" si="186"/>
        <v>1</v>
      </c>
      <c r="V903" s="285">
        <f t="shared" si="187"/>
        <v>4.5</v>
      </c>
      <c r="W903" s="285">
        <f t="shared" si="188"/>
        <v>1.5</v>
      </c>
      <c r="X903" s="289" t="e">
        <f t="shared" si="189"/>
        <v>#VALUE!</v>
      </c>
      <c r="Y903" s="288" t="e">
        <f t="shared" si="190"/>
        <v>#VALUE!</v>
      </c>
      <c r="Z903" s="256">
        <f t="shared" si="191"/>
        <v>181.74993027852094</v>
      </c>
      <c r="AA903" s="289" t="e">
        <f t="shared" si="192"/>
        <v>#VALUE!</v>
      </c>
      <c r="AB903" s="288" t="e">
        <f t="shared" si="193"/>
        <v>#VALUE!</v>
      </c>
    </row>
    <row r="904" spans="13:28" ht="12" hidden="1" customHeight="1">
      <c r="M904" s="266"/>
      <c r="N904" s="288" t="str">
        <f t="shared" si="194"/>
        <v/>
      </c>
      <c r="O904" s="285">
        <f t="shared" si="180"/>
        <v>150</v>
      </c>
      <c r="P904" s="289">
        <f t="shared" si="181"/>
        <v>4000000</v>
      </c>
      <c r="Q904" s="285">
        <f t="shared" si="182"/>
        <v>110</v>
      </c>
      <c r="R904" s="285">
        <f t="shared" si="183"/>
        <v>85</v>
      </c>
      <c r="S904" s="285">
        <f t="shared" si="184"/>
        <v>0.35</v>
      </c>
      <c r="T904" s="285">
        <f t="shared" si="185"/>
        <v>3.2</v>
      </c>
      <c r="U904" s="285">
        <f t="shared" si="186"/>
        <v>1</v>
      </c>
      <c r="V904" s="285">
        <f t="shared" si="187"/>
        <v>4.5</v>
      </c>
      <c r="W904" s="285">
        <f t="shared" si="188"/>
        <v>1.5</v>
      </c>
      <c r="X904" s="289" t="e">
        <f t="shared" si="189"/>
        <v>#VALUE!</v>
      </c>
      <c r="Y904" s="288" t="e">
        <f t="shared" si="190"/>
        <v>#VALUE!</v>
      </c>
      <c r="Z904" s="256">
        <f t="shared" si="191"/>
        <v>181.74993027852094</v>
      </c>
      <c r="AA904" s="289" t="e">
        <f t="shared" si="192"/>
        <v>#VALUE!</v>
      </c>
      <c r="AB904" s="288" t="e">
        <f t="shared" si="193"/>
        <v>#VALUE!</v>
      </c>
    </row>
    <row r="905" spans="13:28" ht="12" hidden="1" customHeight="1">
      <c r="M905" s="266"/>
      <c r="N905" s="288" t="str">
        <f t="shared" si="194"/>
        <v/>
      </c>
      <c r="O905" s="285">
        <f t="shared" si="180"/>
        <v>150</v>
      </c>
      <c r="P905" s="289">
        <f t="shared" si="181"/>
        <v>4000000</v>
      </c>
      <c r="Q905" s="285">
        <f t="shared" si="182"/>
        <v>110</v>
      </c>
      <c r="R905" s="285">
        <f t="shared" si="183"/>
        <v>85</v>
      </c>
      <c r="S905" s="285">
        <f t="shared" si="184"/>
        <v>0.35</v>
      </c>
      <c r="T905" s="285">
        <f t="shared" si="185"/>
        <v>3.2</v>
      </c>
      <c r="U905" s="285">
        <f t="shared" si="186"/>
        <v>1</v>
      </c>
      <c r="V905" s="285">
        <f t="shared" si="187"/>
        <v>4.5</v>
      </c>
      <c r="W905" s="285">
        <f t="shared" si="188"/>
        <v>1.5</v>
      </c>
      <c r="X905" s="289" t="e">
        <f t="shared" si="189"/>
        <v>#VALUE!</v>
      </c>
      <c r="Y905" s="288" t="e">
        <f t="shared" si="190"/>
        <v>#VALUE!</v>
      </c>
      <c r="Z905" s="256">
        <f t="shared" si="191"/>
        <v>181.74993027852094</v>
      </c>
      <c r="AA905" s="289" t="e">
        <f t="shared" si="192"/>
        <v>#VALUE!</v>
      </c>
      <c r="AB905" s="288" t="e">
        <f t="shared" si="193"/>
        <v>#VALUE!</v>
      </c>
    </row>
    <row r="906" spans="13:28" ht="12" hidden="1" customHeight="1">
      <c r="M906" s="266"/>
      <c r="N906" s="288" t="str">
        <f t="shared" si="194"/>
        <v/>
      </c>
      <c r="O906" s="285">
        <f t="shared" si="180"/>
        <v>150</v>
      </c>
      <c r="P906" s="289">
        <f t="shared" si="181"/>
        <v>4000000</v>
      </c>
      <c r="Q906" s="285">
        <f t="shared" si="182"/>
        <v>110</v>
      </c>
      <c r="R906" s="285">
        <f t="shared" si="183"/>
        <v>85</v>
      </c>
      <c r="S906" s="285">
        <f t="shared" si="184"/>
        <v>0.35</v>
      </c>
      <c r="T906" s="285">
        <f t="shared" si="185"/>
        <v>3.2</v>
      </c>
      <c r="U906" s="285">
        <f t="shared" si="186"/>
        <v>1</v>
      </c>
      <c r="V906" s="285">
        <f t="shared" si="187"/>
        <v>4.5</v>
      </c>
      <c r="W906" s="285">
        <f t="shared" si="188"/>
        <v>1.5</v>
      </c>
      <c r="X906" s="289" t="e">
        <f t="shared" si="189"/>
        <v>#VALUE!</v>
      </c>
      <c r="Y906" s="288" t="e">
        <f t="shared" si="190"/>
        <v>#VALUE!</v>
      </c>
      <c r="Z906" s="256">
        <f t="shared" si="191"/>
        <v>181.74993027852094</v>
      </c>
      <c r="AA906" s="289" t="e">
        <f t="shared" si="192"/>
        <v>#VALUE!</v>
      </c>
      <c r="AB906" s="288" t="e">
        <f t="shared" si="193"/>
        <v>#VALUE!</v>
      </c>
    </row>
    <row r="907" spans="13:28" ht="12" hidden="1" customHeight="1">
      <c r="M907" s="266"/>
      <c r="N907" s="288" t="str">
        <f t="shared" si="194"/>
        <v/>
      </c>
      <c r="O907" s="285">
        <f t="shared" si="180"/>
        <v>150</v>
      </c>
      <c r="P907" s="289">
        <f t="shared" si="181"/>
        <v>4000000</v>
      </c>
      <c r="Q907" s="285">
        <f t="shared" si="182"/>
        <v>110</v>
      </c>
      <c r="R907" s="285">
        <f t="shared" si="183"/>
        <v>85</v>
      </c>
      <c r="S907" s="285">
        <f t="shared" si="184"/>
        <v>0.35</v>
      </c>
      <c r="T907" s="285">
        <f t="shared" si="185"/>
        <v>3.2</v>
      </c>
      <c r="U907" s="285">
        <f t="shared" si="186"/>
        <v>1</v>
      </c>
      <c r="V907" s="285">
        <f t="shared" si="187"/>
        <v>4.5</v>
      </c>
      <c r="W907" s="285">
        <f t="shared" si="188"/>
        <v>1.5</v>
      </c>
      <c r="X907" s="289" t="e">
        <f t="shared" si="189"/>
        <v>#VALUE!</v>
      </c>
      <c r="Y907" s="288" t="e">
        <f t="shared" si="190"/>
        <v>#VALUE!</v>
      </c>
      <c r="Z907" s="256">
        <f t="shared" si="191"/>
        <v>181.74993027852094</v>
      </c>
      <c r="AA907" s="289" t="e">
        <f t="shared" si="192"/>
        <v>#VALUE!</v>
      </c>
      <c r="AB907" s="288" t="e">
        <f t="shared" si="193"/>
        <v>#VALUE!</v>
      </c>
    </row>
    <row r="908" spans="13:28" ht="12" hidden="1" customHeight="1">
      <c r="M908" s="266"/>
      <c r="N908" s="288" t="str">
        <f t="shared" si="194"/>
        <v/>
      </c>
      <c r="O908" s="285">
        <f t="shared" si="180"/>
        <v>150</v>
      </c>
      <c r="P908" s="289">
        <f t="shared" si="181"/>
        <v>4000000</v>
      </c>
      <c r="Q908" s="285">
        <f t="shared" si="182"/>
        <v>110</v>
      </c>
      <c r="R908" s="285">
        <f t="shared" si="183"/>
        <v>85</v>
      </c>
      <c r="S908" s="285">
        <f t="shared" si="184"/>
        <v>0.35</v>
      </c>
      <c r="T908" s="285">
        <f t="shared" si="185"/>
        <v>3.2</v>
      </c>
      <c r="U908" s="285">
        <f t="shared" si="186"/>
        <v>1</v>
      </c>
      <c r="V908" s="285">
        <f t="shared" si="187"/>
        <v>4.5</v>
      </c>
      <c r="W908" s="285">
        <f t="shared" si="188"/>
        <v>1.5</v>
      </c>
      <c r="X908" s="289" t="e">
        <f t="shared" si="189"/>
        <v>#VALUE!</v>
      </c>
      <c r="Y908" s="288" t="e">
        <f t="shared" si="190"/>
        <v>#VALUE!</v>
      </c>
      <c r="Z908" s="256">
        <f t="shared" si="191"/>
        <v>181.74993027852094</v>
      </c>
      <c r="AA908" s="289" t="e">
        <f t="shared" si="192"/>
        <v>#VALUE!</v>
      </c>
      <c r="AB908" s="288" t="e">
        <f t="shared" si="193"/>
        <v>#VALUE!</v>
      </c>
    </row>
    <row r="909" spans="13:28" ht="12" hidden="1" customHeight="1">
      <c r="M909" s="266"/>
      <c r="N909" s="288" t="str">
        <f t="shared" si="194"/>
        <v/>
      </c>
      <c r="O909" s="285">
        <f t="shared" si="180"/>
        <v>150</v>
      </c>
      <c r="P909" s="289">
        <f t="shared" si="181"/>
        <v>4000000</v>
      </c>
      <c r="Q909" s="285">
        <f t="shared" si="182"/>
        <v>110</v>
      </c>
      <c r="R909" s="285">
        <f t="shared" si="183"/>
        <v>85</v>
      </c>
      <c r="S909" s="285">
        <f t="shared" si="184"/>
        <v>0.35</v>
      </c>
      <c r="T909" s="285">
        <f t="shared" si="185"/>
        <v>3.2</v>
      </c>
      <c r="U909" s="285">
        <f t="shared" si="186"/>
        <v>1</v>
      </c>
      <c r="V909" s="285">
        <f t="shared" si="187"/>
        <v>4.5</v>
      </c>
      <c r="W909" s="285">
        <f t="shared" si="188"/>
        <v>1.5</v>
      </c>
      <c r="X909" s="289" t="e">
        <f t="shared" si="189"/>
        <v>#VALUE!</v>
      </c>
      <c r="Y909" s="288" t="e">
        <f t="shared" si="190"/>
        <v>#VALUE!</v>
      </c>
      <c r="Z909" s="256">
        <f t="shared" si="191"/>
        <v>181.74993027852094</v>
      </c>
      <c r="AA909" s="289" t="e">
        <f t="shared" si="192"/>
        <v>#VALUE!</v>
      </c>
      <c r="AB909" s="288" t="e">
        <f t="shared" si="193"/>
        <v>#VALUE!</v>
      </c>
    </row>
    <row r="910" spans="13:28" ht="12" hidden="1" customHeight="1">
      <c r="M910" s="266"/>
      <c r="N910" s="288" t="str">
        <f t="shared" si="194"/>
        <v/>
      </c>
      <c r="O910" s="285">
        <f t="shared" si="180"/>
        <v>150</v>
      </c>
      <c r="P910" s="289">
        <f t="shared" si="181"/>
        <v>4000000</v>
      </c>
      <c r="Q910" s="285">
        <f t="shared" si="182"/>
        <v>110</v>
      </c>
      <c r="R910" s="285">
        <f t="shared" si="183"/>
        <v>85</v>
      </c>
      <c r="S910" s="285">
        <f t="shared" si="184"/>
        <v>0.35</v>
      </c>
      <c r="T910" s="285">
        <f t="shared" si="185"/>
        <v>3.2</v>
      </c>
      <c r="U910" s="285">
        <f t="shared" si="186"/>
        <v>1</v>
      </c>
      <c r="V910" s="285">
        <f t="shared" si="187"/>
        <v>4.5</v>
      </c>
      <c r="W910" s="285">
        <f t="shared" si="188"/>
        <v>1.5</v>
      </c>
      <c r="X910" s="289" t="e">
        <f t="shared" si="189"/>
        <v>#VALUE!</v>
      </c>
      <c r="Y910" s="288" t="e">
        <f t="shared" si="190"/>
        <v>#VALUE!</v>
      </c>
      <c r="Z910" s="256">
        <f t="shared" si="191"/>
        <v>181.74993027852094</v>
      </c>
      <c r="AA910" s="289" t="e">
        <f t="shared" si="192"/>
        <v>#VALUE!</v>
      </c>
      <c r="AB910" s="288" t="e">
        <f t="shared" si="193"/>
        <v>#VALUE!</v>
      </c>
    </row>
    <row r="911" spans="13:28" ht="12" hidden="1" customHeight="1">
      <c r="M911" s="266"/>
      <c r="N911" s="288" t="str">
        <f t="shared" si="194"/>
        <v/>
      </c>
      <c r="O911" s="285">
        <f t="shared" si="180"/>
        <v>150</v>
      </c>
      <c r="P911" s="289">
        <f t="shared" si="181"/>
        <v>4000000</v>
      </c>
      <c r="Q911" s="285">
        <f t="shared" si="182"/>
        <v>110</v>
      </c>
      <c r="R911" s="285">
        <f t="shared" si="183"/>
        <v>85</v>
      </c>
      <c r="S911" s="285">
        <f t="shared" si="184"/>
        <v>0.35</v>
      </c>
      <c r="T911" s="285">
        <f t="shared" si="185"/>
        <v>3.2</v>
      </c>
      <c r="U911" s="285">
        <f t="shared" si="186"/>
        <v>1</v>
      </c>
      <c r="V911" s="285">
        <f t="shared" si="187"/>
        <v>4.5</v>
      </c>
      <c r="W911" s="285">
        <f t="shared" si="188"/>
        <v>1.5</v>
      </c>
      <c r="X911" s="289" t="e">
        <f t="shared" si="189"/>
        <v>#VALUE!</v>
      </c>
      <c r="Y911" s="288" t="e">
        <f t="shared" si="190"/>
        <v>#VALUE!</v>
      </c>
      <c r="Z911" s="256">
        <f t="shared" si="191"/>
        <v>181.74993027852094</v>
      </c>
      <c r="AA911" s="289" t="e">
        <f t="shared" si="192"/>
        <v>#VALUE!</v>
      </c>
      <c r="AB911" s="288" t="e">
        <f t="shared" si="193"/>
        <v>#VALUE!</v>
      </c>
    </row>
    <row r="912" spans="13:28" ht="12" hidden="1" customHeight="1">
      <c r="M912" s="266"/>
      <c r="N912" s="288" t="str">
        <f t="shared" si="194"/>
        <v/>
      </c>
      <c r="O912" s="285">
        <f t="shared" si="180"/>
        <v>150</v>
      </c>
      <c r="P912" s="289">
        <f t="shared" si="181"/>
        <v>4000000</v>
      </c>
      <c r="Q912" s="285">
        <f t="shared" si="182"/>
        <v>110</v>
      </c>
      <c r="R912" s="285">
        <f t="shared" si="183"/>
        <v>85</v>
      </c>
      <c r="S912" s="285">
        <f t="shared" si="184"/>
        <v>0.35</v>
      </c>
      <c r="T912" s="285">
        <f t="shared" si="185"/>
        <v>3.2</v>
      </c>
      <c r="U912" s="285">
        <f t="shared" si="186"/>
        <v>1</v>
      </c>
      <c r="V912" s="285">
        <f t="shared" si="187"/>
        <v>4.5</v>
      </c>
      <c r="W912" s="285">
        <f t="shared" si="188"/>
        <v>1.5</v>
      </c>
      <c r="X912" s="289" t="e">
        <f t="shared" si="189"/>
        <v>#VALUE!</v>
      </c>
      <c r="Y912" s="288" t="e">
        <f t="shared" si="190"/>
        <v>#VALUE!</v>
      </c>
      <c r="Z912" s="256">
        <f t="shared" si="191"/>
        <v>181.74993027852094</v>
      </c>
      <c r="AA912" s="289" t="e">
        <f t="shared" si="192"/>
        <v>#VALUE!</v>
      </c>
      <c r="AB912" s="288" t="e">
        <f t="shared" si="193"/>
        <v>#VALUE!</v>
      </c>
    </row>
    <row r="913" spans="13:28" ht="12" hidden="1" customHeight="1">
      <c r="M913" s="266"/>
      <c r="N913" s="288" t="str">
        <f t="shared" si="194"/>
        <v/>
      </c>
      <c r="O913" s="285">
        <f t="shared" si="180"/>
        <v>150</v>
      </c>
      <c r="P913" s="289">
        <f t="shared" si="181"/>
        <v>4000000</v>
      </c>
      <c r="Q913" s="285">
        <f t="shared" si="182"/>
        <v>110</v>
      </c>
      <c r="R913" s="285">
        <f t="shared" si="183"/>
        <v>85</v>
      </c>
      <c r="S913" s="285">
        <f t="shared" si="184"/>
        <v>0.35</v>
      </c>
      <c r="T913" s="285">
        <f t="shared" si="185"/>
        <v>3.2</v>
      </c>
      <c r="U913" s="285">
        <f t="shared" si="186"/>
        <v>1</v>
      </c>
      <c r="V913" s="285">
        <f t="shared" si="187"/>
        <v>4.5</v>
      </c>
      <c r="W913" s="285">
        <f t="shared" si="188"/>
        <v>1.5</v>
      </c>
      <c r="X913" s="289" t="e">
        <f t="shared" si="189"/>
        <v>#VALUE!</v>
      </c>
      <c r="Y913" s="288" t="e">
        <f t="shared" si="190"/>
        <v>#VALUE!</v>
      </c>
      <c r="Z913" s="256">
        <f t="shared" si="191"/>
        <v>181.74993027852094</v>
      </c>
      <c r="AA913" s="289" t="e">
        <f t="shared" si="192"/>
        <v>#VALUE!</v>
      </c>
      <c r="AB913" s="288" t="e">
        <f t="shared" si="193"/>
        <v>#VALUE!</v>
      </c>
    </row>
    <row r="914" spans="13:28" ht="12" hidden="1" customHeight="1">
      <c r="M914" s="266"/>
      <c r="N914" s="288" t="str">
        <f t="shared" si="194"/>
        <v/>
      </c>
      <c r="O914" s="285">
        <f t="shared" si="180"/>
        <v>150</v>
      </c>
      <c r="P914" s="289">
        <f t="shared" si="181"/>
        <v>4000000</v>
      </c>
      <c r="Q914" s="285">
        <f t="shared" si="182"/>
        <v>110</v>
      </c>
      <c r="R914" s="285">
        <f t="shared" si="183"/>
        <v>85</v>
      </c>
      <c r="S914" s="285">
        <f t="shared" si="184"/>
        <v>0.35</v>
      </c>
      <c r="T914" s="285">
        <f t="shared" si="185"/>
        <v>3.2</v>
      </c>
      <c r="U914" s="285">
        <f t="shared" si="186"/>
        <v>1</v>
      </c>
      <c r="V914" s="285">
        <f t="shared" si="187"/>
        <v>4.5</v>
      </c>
      <c r="W914" s="285">
        <f t="shared" si="188"/>
        <v>1.5</v>
      </c>
      <c r="X914" s="289" t="e">
        <f t="shared" si="189"/>
        <v>#VALUE!</v>
      </c>
      <c r="Y914" s="288" t="e">
        <f t="shared" si="190"/>
        <v>#VALUE!</v>
      </c>
      <c r="Z914" s="256">
        <f t="shared" si="191"/>
        <v>181.74993027852094</v>
      </c>
      <c r="AA914" s="289" t="e">
        <f t="shared" si="192"/>
        <v>#VALUE!</v>
      </c>
      <c r="AB914" s="288" t="e">
        <f t="shared" si="193"/>
        <v>#VALUE!</v>
      </c>
    </row>
    <row r="915" spans="13:28" ht="12" hidden="1" customHeight="1">
      <c r="M915" s="266"/>
      <c r="N915" s="288" t="str">
        <f t="shared" si="194"/>
        <v/>
      </c>
      <c r="O915" s="285">
        <f t="shared" si="180"/>
        <v>150</v>
      </c>
      <c r="P915" s="289">
        <f t="shared" si="181"/>
        <v>4000000</v>
      </c>
      <c r="Q915" s="285">
        <f t="shared" si="182"/>
        <v>110</v>
      </c>
      <c r="R915" s="285">
        <f t="shared" si="183"/>
        <v>85</v>
      </c>
      <c r="S915" s="285">
        <f t="shared" si="184"/>
        <v>0.35</v>
      </c>
      <c r="T915" s="285">
        <f t="shared" si="185"/>
        <v>3.2</v>
      </c>
      <c r="U915" s="285">
        <f t="shared" si="186"/>
        <v>1</v>
      </c>
      <c r="V915" s="285">
        <f t="shared" si="187"/>
        <v>4.5</v>
      </c>
      <c r="W915" s="285">
        <f t="shared" si="188"/>
        <v>1.5</v>
      </c>
      <c r="X915" s="289" t="e">
        <f t="shared" si="189"/>
        <v>#VALUE!</v>
      </c>
      <c r="Y915" s="288" t="e">
        <f t="shared" si="190"/>
        <v>#VALUE!</v>
      </c>
      <c r="Z915" s="256">
        <f t="shared" si="191"/>
        <v>181.74993027852094</v>
      </c>
      <c r="AA915" s="289" t="e">
        <f t="shared" si="192"/>
        <v>#VALUE!</v>
      </c>
      <c r="AB915" s="288" t="e">
        <f t="shared" si="193"/>
        <v>#VALUE!</v>
      </c>
    </row>
    <row r="916" spans="13:28" ht="12" hidden="1" customHeight="1">
      <c r="M916" s="266"/>
      <c r="N916" s="288" t="str">
        <f t="shared" si="194"/>
        <v/>
      </c>
      <c r="O916" s="285">
        <f t="shared" si="180"/>
        <v>150</v>
      </c>
      <c r="P916" s="289">
        <f t="shared" si="181"/>
        <v>4000000</v>
      </c>
      <c r="Q916" s="285">
        <f t="shared" si="182"/>
        <v>110</v>
      </c>
      <c r="R916" s="285">
        <f t="shared" si="183"/>
        <v>85</v>
      </c>
      <c r="S916" s="285">
        <f t="shared" si="184"/>
        <v>0.35</v>
      </c>
      <c r="T916" s="285">
        <f t="shared" si="185"/>
        <v>3.2</v>
      </c>
      <c r="U916" s="285">
        <f t="shared" si="186"/>
        <v>1</v>
      </c>
      <c r="V916" s="285">
        <f t="shared" si="187"/>
        <v>4.5</v>
      </c>
      <c r="W916" s="285">
        <f t="shared" si="188"/>
        <v>1.5</v>
      </c>
      <c r="X916" s="289" t="e">
        <f t="shared" si="189"/>
        <v>#VALUE!</v>
      </c>
      <c r="Y916" s="288" t="e">
        <f t="shared" si="190"/>
        <v>#VALUE!</v>
      </c>
      <c r="Z916" s="256">
        <f t="shared" si="191"/>
        <v>181.74993027852094</v>
      </c>
      <c r="AA916" s="289" t="e">
        <f t="shared" si="192"/>
        <v>#VALUE!</v>
      </c>
      <c r="AB916" s="288" t="e">
        <f t="shared" si="193"/>
        <v>#VALUE!</v>
      </c>
    </row>
    <row r="917" spans="13:28" ht="12" hidden="1" customHeight="1">
      <c r="M917" s="266"/>
      <c r="N917" s="288" t="str">
        <f t="shared" si="194"/>
        <v/>
      </c>
      <c r="O917" s="285">
        <f t="shared" si="180"/>
        <v>150</v>
      </c>
      <c r="P917" s="289">
        <f t="shared" si="181"/>
        <v>4000000</v>
      </c>
      <c r="Q917" s="285">
        <f t="shared" si="182"/>
        <v>110</v>
      </c>
      <c r="R917" s="285">
        <f t="shared" si="183"/>
        <v>85</v>
      </c>
      <c r="S917" s="285">
        <f t="shared" si="184"/>
        <v>0.35</v>
      </c>
      <c r="T917" s="285">
        <f t="shared" si="185"/>
        <v>3.2</v>
      </c>
      <c r="U917" s="285">
        <f t="shared" si="186"/>
        <v>1</v>
      </c>
      <c r="V917" s="285">
        <f t="shared" si="187"/>
        <v>4.5</v>
      </c>
      <c r="W917" s="285">
        <f t="shared" si="188"/>
        <v>1.5</v>
      </c>
      <c r="X917" s="289" t="e">
        <f t="shared" si="189"/>
        <v>#VALUE!</v>
      </c>
      <c r="Y917" s="288" t="e">
        <f t="shared" si="190"/>
        <v>#VALUE!</v>
      </c>
      <c r="Z917" s="256">
        <f t="shared" si="191"/>
        <v>181.74993027852094</v>
      </c>
      <c r="AA917" s="289" t="e">
        <f t="shared" si="192"/>
        <v>#VALUE!</v>
      </c>
      <c r="AB917" s="288" t="e">
        <f t="shared" si="193"/>
        <v>#VALUE!</v>
      </c>
    </row>
    <row r="918" spans="13:28" ht="12" hidden="1" customHeight="1">
      <c r="M918" s="266"/>
      <c r="N918" s="288" t="str">
        <f t="shared" si="194"/>
        <v/>
      </c>
      <c r="O918" s="285">
        <f t="shared" si="180"/>
        <v>150</v>
      </c>
      <c r="P918" s="289">
        <f t="shared" si="181"/>
        <v>4000000</v>
      </c>
      <c r="Q918" s="285">
        <f t="shared" si="182"/>
        <v>110</v>
      </c>
      <c r="R918" s="285">
        <f t="shared" si="183"/>
        <v>85</v>
      </c>
      <c r="S918" s="285">
        <f t="shared" si="184"/>
        <v>0.35</v>
      </c>
      <c r="T918" s="285">
        <f t="shared" si="185"/>
        <v>3.2</v>
      </c>
      <c r="U918" s="285">
        <f t="shared" si="186"/>
        <v>1</v>
      </c>
      <c r="V918" s="285">
        <f t="shared" si="187"/>
        <v>4.5</v>
      </c>
      <c r="W918" s="285">
        <f t="shared" si="188"/>
        <v>1.5</v>
      </c>
      <c r="X918" s="289" t="e">
        <f t="shared" si="189"/>
        <v>#VALUE!</v>
      </c>
      <c r="Y918" s="288" t="e">
        <f t="shared" si="190"/>
        <v>#VALUE!</v>
      </c>
      <c r="Z918" s="256">
        <f t="shared" si="191"/>
        <v>181.74993027852094</v>
      </c>
      <c r="AA918" s="289" t="e">
        <f t="shared" si="192"/>
        <v>#VALUE!</v>
      </c>
      <c r="AB918" s="288" t="e">
        <f t="shared" si="193"/>
        <v>#VALUE!</v>
      </c>
    </row>
    <row r="919" spans="13:28" ht="12" hidden="1" customHeight="1">
      <c r="M919" s="266"/>
      <c r="N919" s="288" t="str">
        <f t="shared" si="194"/>
        <v/>
      </c>
      <c r="O919" s="285">
        <f t="shared" si="180"/>
        <v>150</v>
      </c>
      <c r="P919" s="289">
        <f t="shared" si="181"/>
        <v>4000000</v>
      </c>
      <c r="Q919" s="285">
        <f t="shared" si="182"/>
        <v>110</v>
      </c>
      <c r="R919" s="285">
        <f t="shared" si="183"/>
        <v>85</v>
      </c>
      <c r="S919" s="285">
        <f t="shared" si="184"/>
        <v>0.35</v>
      </c>
      <c r="T919" s="285">
        <f t="shared" si="185"/>
        <v>3.2</v>
      </c>
      <c r="U919" s="285">
        <f t="shared" si="186"/>
        <v>1</v>
      </c>
      <c r="V919" s="285">
        <f t="shared" si="187"/>
        <v>4.5</v>
      </c>
      <c r="W919" s="285">
        <f t="shared" si="188"/>
        <v>1.5</v>
      </c>
      <c r="X919" s="289" t="e">
        <f t="shared" si="189"/>
        <v>#VALUE!</v>
      </c>
      <c r="Y919" s="288" t="e">
        <f t="shared" si="190"/>
        <v>#VALUE!</v>
      </c>
      <c r="Z919" s="256">
        <f t="shared" si="191"/>
        <v>181.74993027852094</v>
      </c>
      <c r="AA919" s="289" t="e">
        <f t="shared" si="192"/>
        <v>#VALUE!</v>
      </c>
      <c r="AB919" s="288" t="e">
        <f t="shared" si="193"/>
        <v>#VALUE!</v>
      </c>
    </row>
    <row r="920" spans="13:28" ht="12" hidden="1" customHeight="1">
      <c r="M920" s="266"/>
      <c r="N920" s="288" t="str">
        <f t="shared" si="194"/>
        <v/>
      </c>
      <c r="O920" s="285">
        <f t="shared" si="180"/>
        <v>150</v>
      </c>
      <c r="P920" s="289">
        <f t="shared" si="181"/>
        <v>4000000</v>
      </c>
      <c r="Q920" s="285">
        <f t="shared" si="182"/>
        <v>110</v>
      </c>
      <c r="R920" s="285">
        <f t="shared" si="183"/>
        <v>85</v>
      </c>
      <c r="S920" s="285">
        <f t="shared" si="184"/>
        <v>0.35</v>
      </c>
      <c r="T920" s="285">
        <f t="shared" si="185"/>
        <v>3.2</v>
      </c>
      <c r="U920" s="285">
        <f t="shared" si="186"/>
        <v>1</v>
      </c>
      <c r="V920" s="285">
        <f t="shared" si="187"/>
        <v>4.5</v>
      </c>
      <c r="W920" s="285">
        <f t="shared" si="188"/>
        <v>1.5</v>
      </c>
      <c r="X920" s="289" t="e">
        <f t="shared" si="189"/>
        <v>#VALUE!</v>
      </c>
      <c r="Y920" s="288" t="e">
        <f t="shared" si="190"/>
        <v>#VALUE!</v>
      </c>
      <c r="Z920" s="256">
        <f t="shared" si="191"/>
        <v>181.74993027852094</v>
      </c>
      <c r="AA920" s="289" t="e">
        <f t="shared" si="192"/>
        <v>#VALUE!</v>
      </c>
      <c r="AB920" s="288" t="e">
        <f t="shared" si="193"/>
        <v>#VALUE!</v>
      </c>
    </row>
    <row r="921" spans="13:28" ht="12" hidden="1" customHeight="1">
      <c r="M921" s="266"/>
      <c r="N921" s="288" t="str">
        <f t="shared" si="194"/>
        <v/>
      </c>
      <c r="O921" s="285">
        <f t="shared" si="180"/>
        <v>150</v>
      </c>
      <c r="P921" s="289">
        <f t="shared" si="181"/>
        <v>4000000</v>
      </c>
      <c r="Q921" s="285">
        <f t="shared" si="182"/>
        <v>110</v>
      </c>
      <c r="R921" s="285">
        <f t="shared" si="183"/>
        <v>85</v>
      </c>
      <c r="S921" s="285">
        <f t="shared" si="184"/>
        <v>0.35</v>
      </c>
      <c r="T921" s="285">
        <f t="shared" si="185"/>
        <v>3.2</v>
      </c>
      <c r="U921" s="285">
        <f t="shared" si="186"/>
        <v>1</v>
      </c>
      <c r="V921" s="285">
        <f t="shared" si="187"/>
        <v>4.5</v>
      </c>
      <c r="W921" s="285">
        <f t="shared" si="188"/>
        <v>1.5</v>
      </c>
      <c r="X921" s="289" t="e">
        <f t="shared" si="189"/>
        <v>#VALUE!</v>
      </c>
      <c r="Y921" s="288" t="e">
        <f t="shared" si="190"/>
        <v>#VALUE!</v>
      </c>
      <c r="Z921" s="256">
        <f t="shared" si="191"/>
        <v>181.74993027852094</v>
      </c>
      <c r="AA921" s="289" t="e">
        <f t="shared" si="192"/>
        <v>#VALUE!</v>
      </c>
      <c r="AB921" s="288" t="e">
        <f t="shared" si="193"/>
        <v>#VALUE!</v>
      </c>
    </row>
    <row r="922" spans="13:28" ht="12" hidden="1" customHeight="1">
      <c r="M922" s="266"/>
      <c r="N922" s="288" t="str">
        <f t="shared" si="194"/>
        <v/>
      </c>
      <c r="O922" s="285">
        <f t="shared" si="180"/>
        <v>150</v>
      </c>
      <c r="P922" s="289">
        <f t="shared" si="181"/>
        <v>4000000</v>
      </c>
      <c r="Q922" s="285">
        <f t="shared" si="182"/>
        <v>110</v>
      </c>
      <c r="R922" s="285">
        <f t="shared" si="183"/>
        <v>85</v>
      </c>
      <c r="S922" s="285">
        <f t="shared" si="184"/>
        <v>0.35</v>
      </c>
      <c r="T922" s="285">
        <f t="shared" si="185"/>
        <v>3.2</v>
      </c>
      <c r="U922" s="285">
        <f t="shared" si="186"/>
        <v>1</v>
      </c>
      <c r="V922" s="285">
        <f t="shared" si="187"/>
        <v>4.5</v>
      </c>
      <c r="W922" s="285">
        <f t="shared" si="188"/>
        <v>1.5</v>
      </c>
      <c r="X922" s="289" t="e">
        <f t="shared" si="189"/>
        <v>#VALUE!</v>
      </c>
      <c r="Y922" s="288" t="e">
        <f t="shared" si="190"/>
        <v>#VALUE!</v>
      </c>
      <c r="Z922" s="256">
        <f t="shared" si="191"/>
        <v>181.74993027852094</v>
      </c>
      <c r="AA922" s="289" t="e">
        <f t="shared" si="192"/>
        <v>#VALUE!</v>
      </c>
      <c r="AB922" s="288" t="e">
        <f t="shared" si="193"/>
        <v>#VALUE!</v>
      </c>
    </row>
    <row r="923" spans="13:28" ht="12" hidden="1" customHeight="1">
      <c r="M923" s="266"/>
      <c r="N923" s="288" t="str">
        <f t="shared" si="194"/>
        <v/>
      </c>
      <c r="O923" s="285">
        <f t="shared" si="180"/>
        <v>150</v>
      </c>
      <c r="P923" s="289">
        <f t="shared" si="181"/>
        <v>4000000</v>
      </c>
      <c r="Q923" s="285">
        <f t="shared" si="182"/>
        <v>110</v>
      </c>
      <c r="R923" s="285">
        <f t="shared" si="183"/>
        <v>85</v>
      </c>
      <c r="S923" s="285">
        <f t="shared" si="184"/>
        <v>0.35</v>
      </c>
      <c r="T923" s="285">
        <f t="shared" si="185"/>
        <v>3.2</v>
      </c>
      <c r="U923" s="285">
        <f t="shared" si="186"/>
        <v>1</v>
      </c>
      <c r="V923" s="285">
        <f t="shared" si="187"/>
        <v>4.5</v>
      </c>
      <c r="W923" s="285">
        <f t="shared" si="188"/>
        <v>1.5</v>
      </c>
      <c r="X923" s="289" t="e">
        <f t="shared" si="189"/>
        <v>#VALUE!</v>
      </c>
      <c r="Y923" s="288" t="e">
        <f t="shared" si="190"/>
        <v>#VALUE!</v>
      </c>
      <c r="Z923" s="256">
        <f t="shared" si="191"/>
        <v>181.74993027852094</v>
      </c>
      <c r="AA923" s="289" t="e">
        <f t="shared" si="192"/>
        <v>#VALUE!</v>
      </c>
      <c r="AB923" s="288" t="e">
        <f t="shared" si="193"/>
        <v>#VALUE!</v>
      </c>
    </row>
    <row r="924" spans="13:28" ht="12" hidden="1" customHeight="1">
      <c r="M924" s="266"/>
      <c r="N924" s="288" t="str">
        <f t="shared" si="194"/>
        <v/>
      </c>
      <c r="O924" s="285">
        <f t="shared" si="180"/>
        <v>150</v>
      </c>
      <c r="P924" s="289">
        <f t="shared" si="181"/>
        <v>4000000</v>
      </c>
      <c r="Q924" s="285">
        <f t="shared" si="182"/>
        <v>110</v>
      </c>
      <c r="R924" s="285">
        <f t="shared" si="183"/>
        <v>85</v>
      </c>
      <c r="S924" s="285">
        <f t="shared" si="184"/>
        <v>0.35</v>
      </c>
      <c r="T924" s="285">
        <f t="shared" si="185"/>
        <v>3.2</v>
      </c>
      <c r="U924" s="285">
        <f t="shared" si="186"/>
        <v>1</v>
      </c>
      <c r="V924" s="285">
        <f t="shared" si="187"/>
        <v>4.5</v>
      </c>
      <c r="W924" s="285">
        <f t="shared" si="188"/>
        <v>1.5</v>
      </c>
      <c r="X924" s="289" t="e">
        <f t="shared" si="189"/>
        <v>#VALUE!</v>
      </c>
      <c r="Y924" s="288" t="e">
        <f t="shared" si="190"/>
        <v>#VALUE!</v>
      </c>
      <c r="Z924" s="256">
        <f t="shared" si="191"/>
        <v>181.74993027852094</v>
      </c>
      <c r="AA924" s="289" t="e">
        <f t="shared" si="192"/>
        <v>#VALUE!</v>
      </c>
      <c r="AB924" s="288" t="e">
        <f t="shared" si="193"/>
        <v>#VALUE!</v>
      </c>
    </row>
    <row r="925" spans="13:28" ht="12" hidden="1" customHeight="1">
      <c r="M925" s="266"/>
      <c r="N925" s="288" t="str">
        <f t="shared" si="194"/>
        <v/>
      </c>
      <c r="O925" s="285">
        <f t="shared" si="180"/>
        <v>150</v>
      </c>
      <c r="P925" s="289">
        <f t="shared" si="181"/>
        <v>4000000</v>
      </c>
      <c r="Q925" s="285">
        <f t="shared" si="182"/>
        <v>110</v>
      </c>
      <c r="R925" s="285">
        <f t="shared" si="183"/>
        <v>85</v>
      </c>
      <c r="S925" s="285">
        <f t="shared" si="184"/>
        <v>0.35</v>
      </c>
      <c r="T925" s="285">
        <f t="shared" si="185"/>
        <v>3.2</v>
      </c>
      <c r="U925" s="285">
        <f t="shared" si="186"/>
        <v>1</v>
      </c>
      <c r="V925" s="285">
        <f t="shared" si="187"/>
        <v>4.5</v>
      </c>
      <c r="W925" s="285">
        <f t="shared" si="188"/>
        <v>1.5</v>
      </c>
      <c r="X925" s="289" t="e">
        <f t="shared" si="189"/>
        <v>#VALUE!</v>
      </c>
      <c r="Y925" s="288" t="e">
        <f t="shared" si="190"/>
        <v>#VALUE!</v>
      </c>
      <c r="Z925" s="256">
        <f t="shared" si="191"/>
        <v>181.74993027852094</v>
      </c>
      <c r="AA925" s="289" t="e">
        <f t="shared" si="192"/>
        <v>#VALUE!</v>
      </c>
      <c r="AB925" s="288" t="e">
        <f t="shared" si="193"/>
        <v>#VALUE!</v>
      </c>
    </row>
    <row r="926" spans="13:28" ht="12" hidden="1" customHeight="1">
      <c r="M926" s="266"/>
      <c r="N926" s="288" t="str">
        <f t="shared" si="194"/>
        <v/>
      </c>
      <c r="O926" s="285">
        <f t="shared" ref="O926:O989" si="195">PCC_MR</f>
        <v>150</v>
      </c>
      <c r="P926" s="289">
        <f t="shared" ref="P926:P989" si="196">PCC_ME</f>
        <v>4000000</v>
      </c>
      <c r="Q926" s="285">
        <f t="shared" ref="Q926:Q989" si="197">K_MODULE</f>
        <v>110</v>
      </c>
      <c r="R926" s="285">
        <f t="shared" ref="R926:R989" si="198">R_</f>
        <v>85</v>
      </c>
      <c r="S926" s="285">
        <f t="shared" ref="S926:S989" si="199">So</f>
        <v>0.35</v>
      </c>
      <c r="T926" s="285">
        <f t="shared" ref="T926:T989" si="200">J_</f>
        <v>3.2</v>
      </c>
      <c r="U926" s="285">
        <f t="shared" ref="U926:U989" si="201">Cd_</f>
        <v>1</v>
      </c>
      <c r="V926" s="285">
        <f t="shared" ref="V926:V989" si="202">Pi</f>
        <v>4.5</v>
      </c>
      <c r="W926" s="285">
        <f t="shared" ref="W926:W989" si="203">Pt</f>
        <v>1.5</v>
      </c>
      <c r="X926" s="289" t="e">
        <f t="shared" ref="X926:X989" si="204">10^(-NORMSINV(R926/100)*S926+7.35*LOG10(N926+1)-0.06+((LOG10((V926-W926)/3))/(1+((1.625*10^7)/((N926+1)^8.46))))+((4.22-0.32*W926)*LOG10((O926*U926*((N926^0.75)-1.132))/(215.63*T926*((N926^0.75)-18.42*(Q926/P926)^0.25)))))</f>
        <v>#VALUE!</v>
      </c>
      <c r="Y926" s="288" t="e">
        <f t="shared" ref="Y926:Y989" si="205">+X926/ESALS</f>
        <v>#VALUE!</v>
      </c>
      <c r="Z926" s="256">
        <f t="shared" ref="Z926:Z989" si="206">PCC_IMR</f>
        <v>181.74993027852094</v>
      </c>
      <c r="AA926" s="289" t="e">
        <f t="shared" ref="AA926:AA989" si="207">10^(-NORMSINV(R926/100)*S926+7.35*LOG10(N926+1)-0.06+((LOG10((V926-W926)/3))/(1+((1.625*10^7)/((N926+1)^8.46))))+((4.22-0.32*W926)*LOG10((Z926*U926*((N926^0.75)-1.132))/(215.63*T926*((N926^0.75)-18.42*(Q926/P926)^0.25)))))</f>
        <v>#VALUE!</v>
      </c>
      <c r="AB926" s="288" t="e">
        <f t="shared" ref="AB926:AB989" si="208">+AA926/ESALS</f>
        <v>#VALUE!</v>
      </c>
    </row>
    <row r="927" spans="13:28" ht="12" hidden="1" customHeight="1">
      <c r="M927" s="266"/>
      <c r="N927" s="288" t="str">
        <f t="shared" ref="N927:N990" si="209">IF(N926 = "", "", IF(AND(0.995*ESALS&lt;=X926,X926&lt;=1.005*ESALS),"",(N926+D_Step)))</f>
        <v/>
      </c>
      <c r="O927" s="285">
        <f t="shared" si="195"/>
        <v>150</v>
      </c>
      <c r="P927" s="289">
        <f t="shared" si="196"/>
        <v>4000000</v>
      </c>
      <c r="Q927" s="285">
        <f t="shared" si="197"/>
        <v>110</v>
      </c>
      <c r="R927" s="285">
        <f t="shared" si="198"/>
        <v>85</v>
      </c>
      <c r="S927" s="285">
        <f t="shared" si="199"/>
        <v>0.35</v>
      </c>
      <c r="T927" s="285">
        <f t="shared" si="200"/>
        <v>3.2</v>
      </c>
      <c r="U927" s="285">
        <f t="shared" si="201"/>
        <v>1</v>
      </c>
      <c r="V927" s="285">
        <f t="shared" si="202"/>
        <v>4.5</v>
      </c>
      <c r="W927" s="285">
        <f t="shared" si="203"/>
        <v>1.5</v>
      </c>
      <c r="X927" s="289" t="e">
        <f t="shared" si="204"/>
        <v>#VALUE!</v>
      </c>
      <c r="Y927" s="288" t="e">
        <f t="shared" si="205"/>
        <v>#VALUE!</v>
      </c>
      <c r="Z927" s="256">
        <f t="shared" si="206"/>
        <v>181.74993027852094</v>
      </c>
      <c r="AA927" s="289" t="e">
        <f t="shared" si="207"/>
        <v>#VALUE!</v>
      </c>
      <c r="AB927" s="288" t="e">
        <f t="shared" si="208"/>
        <v>#VALUE!</v>
      </c>
    </row>
    <row r="928" spans="13:28" ht="12" hidden="1" customHeight="1">
      <c r="M928" s="266"/>
      <c r="N928" s="288" t="str">
        <f t="shared" si="209"/>
        <v/>
      </c>
      <c r="O928" s="285">
        <f t="shared" si="195"/>
        <v>150</v>
      </c>
      <c r="P928" s="289">
        <f t="shared" si="196"/>
        <v>4000000</v>
      </c>
      <c r="Q928" s="285">
        <f t="shared" si="197"/>
        <v>110</v>
      </c>
      <c r="R928" s="285">
        <f t="shared" si="198"/>
        <v>85</v>
      </c>
      <c r="S928" s="285">
        <f t="shared" si="199"/>
        <v>0.35</v>
      </c>
      <c r="T928" s="285">
        <f t="shared" si="200"/>
        <v>3.2</v>
      </c>
      <c r="U928" s="285">
        <f t="shared" si="201"/>
        <v>1</v>
      </c>
      <c r="V928" s="285">
        <f t="shared" si="202"/>
        <v>4.5</v>
      </c>
      <c r="W928" s="285">
        <f t="shared" si="203"/>
        <v>1.5</v>
      </c>
      <c r="X928" s="289" t="e">
        <f t="shared" si="204"/>
        <v>#VALUE!</v>
      </c>
      <c r="Y928" s="288" t="e">
        <f t="shared" si="205"/>
        <v>#VALUE!</v>
      </c>
      <c r="Z928" s="256">
        <f t="shared" si="206"/>
        <v>181.74993027852094</v>
      </c>
      <c r="AA928" s="289" t="e">
        <f t="shared" si="207"/>
        <v>#VALUE!</v>
      </c>
      <c r="AB928" s="288" t="e">
        <f t="shared" si="208"/>
        <v>#VALUE!</v>
      </c>
    </row>
    <row r="929" spans="13:28" ht="12" hidden="1" customHeight="1">
      <c r="M929" s="266"/>
      <c r="N929" s="288" t="str">
        <f t="shared" si="209"/>
        <v/>
      </c>
      <c r="O929" s="285">
        <f t="shared" si="195"/>
        <v>150</v>
      </c>
      <c r="P929" s="289">
        <f t="shared" si="196"/>
        <v>4000000</v>
      </c>
      <c r="Q929" s="285">
        <f t="shared" si="197"/>
        <v>110</v>
      </c>
      <c r="R929" s="285">
        <f t="shared" si="198"/>
        <v>85</v>
      </c>
      <c r="S929" s="285">
        <f t="shared" si="199"/>
        <v>0.35</v>
      </c>
      <c r="T929" s="285">
        <f t="shared" si="200"/>
        <v>3.2</v>
      </c>
      <c r="U929" s="285">
        <f t="shared" si="201"/>
        <v>1</v>
      </c>
      <c r="V929" s="285">
        <f t="shared" si="202"/>
        <v>4.5</v>
      </c>
      <c r="W929" s="285">
        <f t="shared" si="203"/>
        <v>1.5</v>
      </c>
      <c r="X929" s="289" t="e">
        <f t="shared" si="204"/>
        <v>#VALUE!</v>
      </c>
      <c r="Y929" s="288" t="e">
        <f t="shared" si="205"/>
        <v>#VALUE!</v>
      </c>
      <c r="Z929" s="256">
        <f t="shared" si="206"/>
        <v>181.74993027852094</v>
      </c>
      <c r="AA929" s="289" t="e">
        <f t="shared" si="207"/>
        <v>#VALUE!</v>
      </c>
      <c r="AB929" s="288" t="e">
        <f t="shared" si="208"/>
        <v>#VALUE!</v>
      </c>
    </row>
    <row r="930" spans="13:28" ht="12" hidden="1" customHeight="1">
      <c r="M930" s="266"/>
      <c r="N930" s="288" t="str">
        <f t="shared" si="209"/>
        <v/>
      </c>
      <c r="O930" s="285">
        <f t="shared" si="195"/>
        <v>150</v>
      </c>
      <c r="P930" s="289">
        <f t="shared" si="196"/>
        <v>4000000</v>
      </c>
      <c r="Q930" s="285">
        <f t="shared" si="197"/>
        <v>110</v>
      </c>
      <c r="R930" s="285">
        <f t="shared" si="198"/>
        <v>85</v>
      </c>
      <c r="S930" s="285">
        <f t="shared" si="199"/>
        <v>0.35</v>
      </c>
      <c r="T930" s="285">
        <f t="shared" si="200"/>
        <v>3.2</v>
      </c>
      <c r="U930" s="285">
        <f t="shared" si="201"/>
        <v>1</v>
      </c>
      <c r="V930" s="285">
        <f t="shared" si="202"/>
        <v>4.5</v>
      </c>
      <c r="W930" s="285">
        <f t="shared" si="203"/>
        <v>1.5</v>
      </c>
      <c r="X930" s="289" t="e">
        <f t="shared" si="204"/>
        <v>#VALUE!</v>
      </c>
      <c r="Y930" s="288" t="e">
        <f t="shared" si="205"/>
        <v>#VALUE!</v>
      </c>
      <c r="Z930" s="256">
        <f t="shared" si="206"/>
        <v>181.74993027852094</v>
      </c>
      <c r="AA930" s="289" t="e">
        <f t="shared" si="207"/>
        <v>#VALUE!</v>
      </c>
      <c r="AB930" s="288" t="e">
        <f t="shared" si="208"/>
        <v>#VALUE!</v>
      </c>
    </row>
    <row r="931" spans="13:28" ht="12" hidden="1" customHeight="1">
      <c r="M931" s="266"/>
      <c r="N931" s="288" t="str">
        <f t="shared" si="209"/>
        <v/>
      </c>
      <c r="O931" s="285">
        <f t="shared" si="195"/>
        <v>150</v>
      </c>
      <c r="P931" s="289">
        <f t="shared" si="196"/>
        <v>4000000</v>
      </c>
      <c r="Q931" s="285">
        <f t="shared" si="197"/>
        <v>110</v>
      </c>
      <c r="R931" s="285">
        <f t="shared" si="198"/>
        <v>85</v>
      </c>
      <c r="S931" s="285">
        <f t="shared" si="199"/>
        <v>0.35</v>
      </c>
      <c r="T931" s="285">
        <f t="shared" si="200"/>
        <v>3.2</v>
      </c>
      <c r="U931" s="285">
        <f t="shared" si="201"/>
        <v>1</v>
      </c>
      <c r="V931" s="285">
        <f t="shared" si="202"/>
        <v>4.5</v>
      </c>
      <c r="W931" s="285">
        <f t="shared" si="203"/>
        <v>1.5</v>
      </c>
      <c r="X931" s="289" t="e">
        <f t="shared" si="204"/>
        <v>#VALUE!</v>
      </c>
      <c r="Y931" s="288" t="e">
        <f t="shared" si="205"/>
        <v>#VALUE!</v>
      </c>
      <c r="Z931" s="256">
        <f t="shared" si="206"/>
        <v>181.74993027852094</v>
      </c>
      <c r="AA931" s="289" t="e">
        <f t="shared" si="207"/>
        <v>#VALUE!</v>
      </c>
      <c r="AB931" s="288" t="e">
        <f t="shared" si="208"/>
        <v>#VALUE!</v>
      </c>
    </row>
    <row r="932" spans="13:28" ht="12" hidden="1" customHeight="1">
      <c r="M932" s="266"/>
      <c r="N932" s="288" t="str">
        <f t="shared" si="209"/>
        <v/>
      </c>
      <c r="O932" s="285">
        <f t="shared" si="195"/>
        <v>150</v>
      </c>
      <c r="P932" s="289">
        <f t="shared" si="196"/>
        <v>4000000</v>
      </c>
      <c r="Q932" s="285">
        <f t="shared" si="197"/>
        <v>110</v>
      </c>
      <c r="R932" s="285">
        <f t="shared" si="198"/>
        <v>85</v>
      </c>
      <c r="S932" s="285">
        <f t="shared" si="199"/>
        <v>0.35</v>
      </c>
      <c r="T932" s="285">
        <f t="shared" si="200"/>
        <v>3.2</v>
      </c>
      <c r="U932" s="285">
        <f t="shared" si="201"/>
        <v>1</v>
      </c>
      <c r="V932" s="285">
        <f t="shared" si="202"/>
        <v>4.5</v>
      </c>
      <c r="W932" s="285">
        <f t="shared" si="203"/>
        <v>1.5</v>
      </c>
      <c r="X932" s="289" t="e">
        <f t="shared" si="204"/>
        <v>#VALUE!</v>
      </c>
      <c r="Y932" s="288" t="e">
        <f t="shared" si="205"/>
        <v>#VALUE!</v>
      </c>
      <c r="Z932" s="256">
        <f t="shared" si="206"/>
        <v>181.74993027852094</v>
      </c>
      <c r="AA932" s="289" t="e">
        <f t="shared" si="207"/>
        <v>#VALUE!</v>
      </c>
      <c r="AB932" s="288" t="e">
        <f t="shared" si="208"/>
        <v>#VALUE!</v>
      </c>
    </row>
    <row r="933" spans="13:28" ht="12" hidden="1" customHeight="1">
      <c r="M933" s="266"/>
      <c r="N933" s="288" t="str">
        <f t="shared" si="209"/>
        <v/>
      </c>
      <c r="O933" s="285">
        <f t="shared" si="195"/>
        <v>150</v>
      </c>
      <c r="P933" s="289">
        <f t="shared" si="196"/>
        <v>4000000</v>
      </c>
      <c r="Q933" s="285">
        <f t="shared" si="197"/>
        <v>110</v>
      </c>
      <c r="R933" s="285">
        <f t="shared" si="198"/>
        <v>85</v>
      </c>
      <c r="S933" s="285">
        <f t="shared" si="199"/>
        <v>0.35</v>
      </c>
      <c r="T933" s="285">
        <f t="shared" si="200"/>
        <v>3.2</v>
      </c>
      <c r="U933" s="285">
        <f t="shared" si="201"/>
        <v>1</v>
      </c>
      <c r="V933" s="285">
        <f t="shared" si="202"/>
        <v>4.5</v>
      </c>
      <c r="W933" s="285">
        <f t="shared" si="203"/>
        <v>1.5</v>
      </c>
      <c r="X933" s="289" t="e">
        <f t="shared" si="204"/>
        <v>#VALUE!</v>
      </c>
      <c r="Y933" s="288" t="e">
        <f t="shared" si="205"/>
        <v>#VALUE!</v>
      </c>
      <c r="Z933" s="256">
        <f t="shared" si="206"/>
        <v>181.74993027852094</v>
      </c>
      <c r="AA933" s="289" t="e">
        <f t="shared" si="207"/>
        <v>#VALUE!</v>
      </c>
      <c r="AB933" s="288" t="e">
        <f t="shared" si="208"/>
        <v>#VALUE!</v>
      </c>
    </row>
    <row r="934" spans="13:28" ht="12" hidden="1" customHeight="1">
      <c r="M934" s="266"/>
      <c r="N934" s="288" t="str">
        <f t="shared" si="209"/>
        <v/>
      </c>
      <c r="O934" s="285">
        <f t="shared" si="195"/>
        <v>150</v>
      </c>
      <c r="P934" s="289">
        <f t="shared" si="196"/>
        <v>4000000</v>
      </c>
      <c r="Q934" s="285">
        <f t="shared" si="197"/>
        <v>110</v>
      </c>
      <c r="R934" s="285">
        <f t="shared" si="198"/>
        <v>85</v>
      </c>
      <c r="S934" s="285">
        <f t="shared" si="199"/>
        <v>0.35</v>
      </c>
      <c r="T934" s="285">
        <f t="shared" si="200"/>
        <v>3.2</v>
      </c>
      <c r="U934" s="285">
        <f t="shared" si="201"/>
        <v>1</v>
      </c>
      <c r="V934" s="285">
        <f t="shared" si="202"/>
        <v>4.5</v>
      </c>
      <c r="W934" s="285">
        <f t="shared" si="203"/>
        <v>1.5</v>
      </c>
      <c r="X934" s="289" t="e">
        <f t="shared" si="204"/>
        <v>#VALUE!</v>
      </c>
      <c r="Y934" s="288" t="e">
        <f t="shared" si="205"/>
        <v>#VALUE!</v>
      </c>
      <c r="Z934" s="256">
        <f t="shared" si="206"/>
        <v>181.74993027852094</v>
      </c>
      <c r="AA934" s="289" t="e">
        <f t="shared" si="207"/>
        <v>#VALUE!</v>
      </c>
      <c r="AB934" s="288" t="e">
        <f t="shared" si="208"/>
        <v>#VALUE!</v>
      </c>
    </row>
    <row r="935" spans="13:28" ht="12" hidden="1" customHeight="1">
      <c r="M935" s="266"/>
      <c r="N935" s="288" t="str">
        <f t="shared" si="209"/>
        <v/>
      </c>
      <c r="O935" s="285">
        <f t="shared" si="195"/>
        <v>150</v>
      </c>
      <c r="P935" s="289">
        <f t="shared" si="196"/>
        <v>4000000</v>
      </c>
      <c r="Q935" s="285">
        <f t="shared" si="197"/>
        <v>110</v>
      </c>
      <c r="R935" s="285">
        <f t="shared" si="198"/>
        <v>85</v>
      </c>
      <c r="S935" s="285">
        <f t="shared" si="199"/>
        <v>0.35</v>
      </c>
      <c r="T935" s="285">
        <f t="shared" si="200"/>
        <v>3.2</v>
      </c>
      <c r="U935" s="285">
        <f t="shared" si="201"/>
        <v>1</v>
      </c>
      <c r="V935" s="285">
        <f t="shared" si="202"/>
        <v>4.5</v>
      </c>
      <c r="W935" s="285">
        <f t="shared" si="203"/>
        <v>1.5</v>
      </c>
      <c r="X935" s="289" t="e">
        <f t="shared" si="204"/>
        <v>#VALUE!</v>
      </c>
      <c r="Y935" s="288" t="e">
        <f t="shared" si="205"/>
        <v>#VALUE!</v>
      </c>
      <c r="Z935" s="256">
        <f t="shared" si="206"/>
        <v>181.74993027852094</v>
      </c>
      <c r="AA935" s="289" t="e">
        <f t="shared" si="207"/>
        <v>#VALUE!</v>
      </c>
      <c r="AB935" s="288" t="e">
        <f t="shared" si="208"/>
        <v>#VALUE!</v>
      </c>
    </row>
    <row r="936" spans="13:28" ht="12" hidden="1" customHeight="1">
      <c r="M936" s="266"/>
      <c r="N936" s="288" t="str">
        <f t="shared" si="209"/>
        <v/>
      </c>
      <c r="O936" s="285">
        <f t="shared" si="195"/>
        <v>150</v>
      </c>
      <c r="P936" s="289">
        <f t="shared" si="196"/>
        <v>4000000</v>
      </c>
      <c r="Q936" s="285">
        <f t="shared" si="197"/>
        <v>110</v>
      </c>
      <c r="R936" s="285">
        <f t="shared" si="198"/>
        <v>85</v>
      </c>
      <c r="S936" s="285">
        <f t="shared" si="199"/>
        <v>0.35</v>
      </c>
      <c r="T936" s="285">
        <f t="shared" si="200"/>
        <v>3.2</v>
      </c>
      <c r="U936" s="285">
        <f t="shared" si="201"/>
        <v>1</v>
      </c>
      <c r="V936" s="285">
        <f t="shared" si="202"/>
        <v>4.5</v>
      </c>
      <c r="W936" s="285">
        <f t="shared" si="203"/>
        <v>1.5</v>
      </c>
      <c r="X936" s="289" t="e">
        <f t="shared" si="204"/>
        <v>#VALUE!</v>
      </c>
      <c r="Y936" s="288" t="e">
        <f t="shared" si="205"/>
        <v>#VALUE!</v>
      </c>
      <c r="Z936" s="256">
        <f t="shared" si="206"/>
        <v>181.74993027852094</v>
      </c>
      <c r="AA936" s="289" t="e">
        <f t="shared" si="207"/>
        <v>#VALUE!</v>
      </c>
      <c r="AB936" s="288" t="e">
        <f t="shared" si="208"/>
        <v>#VALUE!</v>
      </c>
    </row>
    <row r="937" spans="13:28" ht="12" hidden="1" customHeight="1">
      <c r="M937" s="266"/>
      <c r="N937" s="288" t="str">
        <f t="shared" si="209"/>
        <v/>
      </c>
      <c r="O937" s="285">
        <f t="shared" si="195"/>
        <v>150</v>
      </c>
      <c r="P937" s="289">
        <f t="shared" si="196"/>
        <v>4000000</v>
      </c>
      <c r="Q937" s="285">
        <f t="shared" si="197"/>
        <v>110</v>
      </c>
      <c r="R937" s="285">
        <f t="shared" si="198"/>
        <v>85</v>
      </c>
      <c r="S937" s="285">
        <f t="shared" si="199"/>
        <v>0.35</v>
      </c>
      <c r="T937" s="285">
        <f t="shared" si="200"/>
        <v>3.2</v>
      </c>
      <c r="U937" s="285">
        <f t="shared" si="201"/>
        <v>1</v>
      </c>
      <c r="V937" s="285">
        <f t="shared" si="202"/>
        <v>4.5</v>
      </c>
      <c r="W937" s="285">
        <f t="shared" si="203"/>
        <v>1.5</v>
      </c>
      <c r="X937" s="289" t="e">
        <f t="shared" si="204"/>
        <v>#VALUE!</v>
      </c>
      <c r="Y937" s="288" t="e">
        <f t="shared" si="205"/>
        <v>#VALUE!</v>
      </c>
      <c r="Z937" s="256">
        <f t="shared" si="206"/>
        <v>181.74993027852094</v>
      </c>
      <c r="AA937" s="289" t="e">
        <f t="shared" si="207"/>
        <v>#VALUE!</v>
      </c>
      <c r="AB937" s="288" t="e">
        <f t="shared" si="208"/>
        <v>#VALUE!</v>
      </c>
    </row>
    <row r="938" spans="13:28" ht="12" hidden="1" customHeight="1">
      <c r="M938" s="266"/>
      <c r="N938" s="288" t="str">
        <f t="shared" si="209"/>
        <v/>
      </c>
      <c r="O938" s="285">
        <f t="shared" si="195"/>
        <v>150</v>
      </c>
      <c r="P938" s="289">
        <f t="shared" si="196"/>
        <v>4000000</v>
      </c>
      <c r="Q938" s="285">
        <f t="shared" si="197"/>
        <v>110</v>
      </c>
      <c r="R938" s="285">
        <f t="shared" si="198"/>
        <v>85</v>
      </c>
      <c r="S938" s="285">
        <f t="shared" si="199"/>
        <v>0.35</v>
      </c>
      <c r="T938" s="285">
        <f t="shared" si="200"/>
        <v>3.2</v>
      </c>
      <c r="U938" s="285">
        <f t="shared" si="201"/>
        <v>1</v>
      </c>
      <c r="V938" s="285">
        <f t="shared" si="202"/>
        <v>4.5</v>
      </c>
      <c r="W938" s="285">
        <f t="shared" si="203"/>
        <v>1.5</v>
      </c>
      <c r="X938" s="289" t="e">
        <f t="shared" si="204"/>
        <v>#VALUE!</v>
      </c>
      <c r="Y938" s="288" t="e">
        <f t="shared" si="205"/>
        <v>#VALUE!</v>
      </c>
      <c r="Z938" s="256">
        <f t="shared" si="206"/>
        <v>181.74993027852094</v>
      </c>
      <c r="AA938" s="289" t="e">
        <f t="shared" si="207"/>
        <v>#VALUE!</v>
      </c>
      <c r="AB938" s="288" t="e">
        <f t="shared" si="208"/>
        <v>#VALUE!</v>
      </c>
    </row>
    <row r="939" spans="13:28" ht="12" hidden="1" customHeight="1">
      <c r="M939" s="266"/>
      <c r="N939" s="288" t="str">
        <f t="shared" si="209"/>
        <v/>
      </c>
      <c r="O939" s="285">
        <f t="shared" si="195"/>
        <v>150</v>
      </c>
      <c r="P939" s="289">
        <f t="shared" si="196"/>
        <v>4000000</v>
      </c>
      <c r="Q939" s="285">
        <f t="shared" si="197"/>
        <v>110</v>
      </c>
      <c r="R939" s="285">
        <f t="shared" si="198"/>
        <v>85</v>
      </c>
      <c r="S939" s="285">
        <f t="shared" si="199"/>
        <v>0.35</v>
      </c>
      <c r="T939" s="285">
        <f t="shared" si="200"/>
        <v>3.2</v>
      </c>
      <c r="U939" s="285">
        <f t="shared" si="201"/>
        <v>1</v>
      </c>
      <c r="V939" s="285">
        <f t="shared" si="202"/>
        <v>4.5</v>
      </c>
      <c r="W939" s="285">
        <f t="shared" si="203"/>
        <v>1.5</v>
      </c>
      <c r="X939" s="289" t="e">
        <f t="shared" si="204"/>
        <v>#VALUE!</v>
      </c>
      <c r="Y939" s="288" t="e">
        <f t="shared" si="205"/>
        <v>#VALUE!</v>
      </c>
      <c r="Z939" s="256">
        <f t="shared" si="206"/>
        <v>181.74993027852094</v>
      </c>
      <c r="AA939" s="289" t="e">
        <f t="shared" si="207"/>
        <v>#VALUE!</v>
      </c>
      <c r="AB939" s="288" t="e">
        <f t="shared" si="208"/>
        <v>#VALUE!</v>
      </c>
    </row>
    <row r="940" spans="13:28" ht="12" hidden="1" customHeight="1">
      <c r="M940" s="266"/>
      <c r="N940" s="288" t="str">
        <f t="shared" si="209"/>
        <v/>
      </c>
      <c r="O940" s="285">
        <f t="shared" si="195"/>
        <v>150</v>
      </c>
      <c r="P940" s="289">
        <f t="shared" si="196"/>
        <v>4000000</v>
      </c>
      <c r="Q940" s="285">
        <f t="shared" si="197"/>
        <v>110</v>
      </c>
      <c r="R940" s="285">
        <f t="shared" si="198"/>
        <v>85</v>
      </c>
      <c r="S940" s="285">
        <f t="shared" si="199"/>
        <v>0.35</v>
      </c>
      <c r="T940" s="285">
        <f t="shared" si="200"/>
        <v>3.2</v>
      </c>
      <c r="U940" s="285">
        <f t="shared" si="201"/>
        <v>1</v>
      </c>
      <c r="V940" s="285">
        <f t="shared" si="202"/>
        <v>4.5</v>
      </c>
      <c r="W940" s="285">
        <f t="shared" si="203"/>
        <v>1.5</v>
      </c>
      <c r="X940" s="289" t="e">
        <f t="shared" si="204"/>
        <v>#VALUE!</v>
      </c>
      <c r="Y940" s="288" t="e">
        <f t="shared" si="205"/>
        <v>#VALUE!</v>
      </c>
      <c r="Z940" s="256">
        <f t="shared" si="206"/>
        <v>181.74993027852094</v>
      </c>
      <c r="AA940" s="289" t="e">
        <f t="shared" si="207"/>
        <v>#VALUE!</v>
      </c>
      <c r="AB940" s="288" t="e">
        <f t="shared" si="208"/>
        <v>#VALUE!</v>
      </c>
    </row>
    <row r="941" spans="13:28" ht="12" hidden="1" customHeight="1">
      <c r="M941" s="266"/>
      <c r="N941" s="288" t="str">
        <f t="shared" si="209"/>
        <v/>
      </c>
      <c r="O941" s="285">
        <f t="shared" si="195"/>
        <v>150</v>
      </c>
      <c r="P941" s="289">
        <f t="shared" si="196"/>
        <v>4000000</v>
      </c>
      <c r="Q941" s="285">
        <f t="shared" si="197"/>
        <v>110</v>
      </c>
      <c r="R941" s="285">
        <f t="shared" si="198"/>
        <v>85</v>
      </c>
      <c r="S941" s="285">
        <f t="shared" si="199"/>
        <v>0.35</v>
      </c>
      <c r="T941" s="285">
        <f t="shared" si="200"/>
        <v>3.2</v>
      </c>
      <c r="U941" s="285">
        <f t="shared" si="201"/>
        <v>1</v>
      </c>
      <c r="V941" s="285">
        <f t="shared" si="202"/>
        <v>4.5</v>
      </c>
      <c r="W941" s="285">
        <f t="shared" si="203"/>
        <v>1.5</v>
      </c>
      <c r="X941" s="289" t="e">
        <f t="shared" si="204"/>
        <v>#VALUE!</v>
      </c>
      <c r="Y941" s="288" t="e">
        <f t="shared" si="205"/>
        <v>#VALUE!</v>
      </c>
      <c r="Z941" s="256">
        <f t="shared" si="206"/>
        <v>181.74993027852094</v>
      </c>
      <c r="AA941" s="289" t="e">
        <f t="shared" si="207"/>
        <v>#VALUE!</v>
      </c>
      <c r="AB941" s="288" t="e">
        <f t="shared" si="208"/>
        <v>#VALUE!</v>
      </c>
    </row>
    <row r="942" spans="13:28" ht="12" hidden="1" customHeight="1">
      <c r="M942" s="266"/>
      <c r="N942" s="288" t="str">
        <f t="shared" si="209"/>
        <v/>
      </c>
      <c r="O942" s="285">
        <f t="shared" si="195"/>
        <v>150</v>
      </c>
      <c r="P942" s="289">
        <f t="shared" si="196"/>
        <v>4000000</v>
      </c>
      <c r="Q942" s="285">
        <f t="shared" si="197"/>
        <v>110</v>
      </c>
      <c r="R942" s="285">
        <f t="shared" si="198"/>
        <v>85</v>
      </c>
      <c r="S942" s="285">
        <f t="shared" si="199"/>
        <v>0.35</v>
      </c>
      <c r="T942" s="285">
        <f t="shared" si="200"/>
        <v>3.2</v>
      </c>
      <c r="U942" s="285">
        <f t="shared" si="201"/>
        <v>1</v>
      </c>
      <c r="V942" s="285">
        <f t="shared" si="202"/>
        <v>4.5</v>
      </c>
      <c r="W942" s="285">
        <f t="shared" si="203"/>
        <v>1.5</v>
      </c>
      <c r="X942" s="289" t="e">
        <f t="shared" si="204"/>
        <v>#VALUE!</v>
      </c>
      <c r="Y942" s="288" t="e">
        <f t="shared" si="205"/>
        <v>#VALUE!</v>
      </c>
      <c r="Z942" s="256">
        <f t="shared" si="206"/>
        <v>181.74993027852094</v>
      </c>
      <c r="AA942" s="289" t="e">
        <f t="shared" si="207"/>
        <v>#VALUE!</v>
      </c>
      <c r="AB942" s="288" t="e">
        <f t="shared" si="208"/>
        <v>#VALUE!</v>
      </c>
    </row>
    <row r="943" spans="13:28" ht="12" hidden="1" customHeight="1">
      <c r="M943" s="266"/>
      <c r="N943" s="288" t="str">
        <f t="shared" si="209"/>
        <v/>
      </c>
      <c r="O943" s="285">
        <f t="shared" si="195"/>
        <v>150</v>
      </c>
      <c r="P943" s="289">
        <f t="shared" si="196"/>
        <v>4000000</v>
      </c>
      <c r="Q943" s="285">
        <f t="shared" si="197"/>
        <v>110</v>
      </c>
      <c r="R943" s="285">
        <f t="shared" si="198"/>
        <v>85</v>
      </c>
      <c r="S943" s="285">
        <f t="shared" si="199"/>
        <v>0.35</v>
      </c>
      <c r="T943" s="285">
        <f t="shared" si="200"/>
        <v>3.2</v>
      </c>
      <c r="U943" s="285">
        <f t="shared" si="201"/>
        <v>1</v>
      </c>
      <c r="V943" s="285">
        <f t="shared" si="202"/>
        <v>4.5</v>
      </c>
      <c r="W943" s="285">
        <f t="shared" si="203"/>
        <v>1.5</v>
      </c>
      <c r="X943" s="289" t="e">
        <f t="shared" si="204"/>
        <v>#VALUE!</v>
      </c>
      <c r="Y943" s="288" t="e">
        <f t="shared" si="205"/>
        <v>#VALUE!</v>
      </c>
      <c r="Z943" s="256">
        <f t="shared" si="206"/>
        <v>181.74993027852094</v>
      </c>
      <c r="AA943" s="289" t="e">
        <f t="shared" si="207"/>
        <v>#VALUE!</v>
      </c>
      <c r="AB943" s="288" t="e">
        <f t="shared" si="208"/>
        <v>#VALUE!</v>
      </c>
    </row>
    <row r="944" spans="13:28" ht="12" hidden="1" customHeight="1">
      <c r="M944" s="266"/>
      <c r="N944" s="288" t="str">
        <f t="shared" si="209"/>
        <v/>
      </c>
      <c r="O944" s="285">
        <f t="shared" si="195"/>
        <v>150</v>
      </c>
      <c r="P944" s="289">
        <f t="shared" si="196"/>
        <v>4000000</v>
      </c>
      <c r="Q944" s="285">
        <f t="shared" si="197"/>
        <v>110</v>
      </c>
      <c r="R944" s="285">
        <f t="shared" si="198"/>
        <v>85</v>
      </c>
      <c r="S944" s="285">
        <f t="shared" si="199"/>
        <v>0.35</v>
      </c>
      <c r="T944" s="285">
        <f t="shared" si="200"/>
        <v>3.2</v>
      </c>
      <c r="U944" s="285">
        <f t="shared" si="201"/>
        <v>1</v>
      </c>
      <c r="V944" s="285">
        <f t="shared" si="202"/>
        <v>4.5</v>
      </c>
      <c r="W944" s="285">
        <f t="shared" si="203"/>
        <v>1.5</v>
      </c>
      <c r="X944" s="289" t="e">
        <f t="shared" si="204"/>
        <v>#VALUE!</v>
      </c>
      <c r="Y944" s="288" t="e">
        <f t="shared" si="205"/>
        <v>#VALUE!</v>
      </c>
      <c r="Z944" s="256">
        <f t="shared" si="206"/>
        <v>181.74993027852094</v>
      </c>
      <c r="AA944" s="289" t="e">
        <f t="shared" si="207"/>
        <v>#VALUE!</v>
      </c>
      <c r="AB944" s="288" t="e">
        <f t="shared" si="208"/>
        <v>#VALUE!</v>
      </c>
    </row>
    <row r="945" spans="13:28" ht="12" hidden="1" customHeight="1">
      <c r="M945" s="266"/>
      <c r="N945" s="288" t="str">
        <f t="shared" si="209"/>
        <v/>
      </c>
      <c r="O945" s="285">
        <f t="shared" si="195"/>
        <v>150</v>
      </c>
      <c r="P945" s="289">
        <f t="shared" si="196"/>
        <v>4000000</v>
      </c>
      <c r="Q945" s="285">
        <f t="shared" si="197"/>
        <v>110</v>
      </c>
      <c r="R945" s="285">
        <f t="shared" si="198"/>
        <v>85</v>
      </c>
      <c r="S945" s="285">
        <f t="shared" si="199"/>
        <v>0.35</v>
      </c>
      <c r="T945" s="285">
        <f t="shared" si="200"/>
        <v>3.2</v>
      </c>
      <c r="U945" s="285">
        <f t="shared" si="201"/>
        <v>1</v>
      </c>
      <c r="V945" s="285">
        <f t="shared" si="202"/>
        <v>4.5</v>
      </c>
      <c r="W945" s="285">
        <f t="shared" si="203"/>
        <v>1.5</v>
      </c>
      <c r="X945" s="289" t="e">
        <f t="shared" si="204"/>
        <v>#VALUE!</v>
      </c>
      <c r="Y945" s="288" t="e">
        <f t="shared" si="205"/>
        <v>#VALUE!</v>
      </c>
      <c r="Z945" s="256">
        <f t="shared" si="206"/>
        <v>181.74993027852094</v>
      </c>
      <c r="AA945" s="289" t="e">
        <f t="shared" si="207"/>
        <v>#VALUE!</v>
      </c>
      <c r="AB945" s="288" t="e">
        <f t="shared" si="208"/>
        <v>#VALUE!</v>
      </c>
    </row>
    <row r="946" spans="13:28" ht="12" hidden="1" customHeight="1">
      <c r="M946" s="266"/>
      <c r="N946" s="288" t="str">
        <f t="shared" si="209"/>
        <v/>
      </c>
      <c r="O946" s="285">
        <f t="shared" si="195"/>
        <v>150</v>
      </c>
      <c r="P946" s="289">
        <f t="shared" si="196"/>
        <v>4000000</v>
      </c>
      <c r="Q946" s="285">
        <f t="shared" si="197"/>
        <v>110</v>
      </c>
      <c r="R946" s="285">
        <f t="shared" si="198"/>
        <v>85</v>
      </c>
      <c r="S946" s="285">
        <f t="shared" si="199"/>
        <v>0.35</v>
      </c>
      <c r="T946" s="285">
        <f t="shared" si="200"/>
        <v>3.2</v>
      </c>
      <c r="U946" s="285">
        <f t="shared" si="201"/>
        <v>1</v>
      </c>
      <c r="V946" s="285">
        <f t="shared" si="202"/>
        <v>4.5</v>
      </c>
      <c r="W946" s="285">
        <f t="shared" si="203"/>
        <v>1.5</v>
      </c>
      <c r="X946" s="289" t="e">
        <f t="shared" si="204"/>
        <v>#VALUE!</v>
      </c>
      <c r="Y946" s="288" t="e">
        <f t="shared" si="205"/>
        <v>#VALUE!</v>
      </c>
      <c r="Z946" s="256">
        <f t="shared" si="206"/>
        <v>181.74993027852094</v>
      </c>
      <c r="AA946" s="289" t="e">
        <f t="shared" si="207"/>
        <v>#VALUE!</v>
      </c>
      <c r="AB946" s="288" t="e">
        <f t="shared" si="208"/>
        <v>#VALUE!</v>
      </c>
    </row>
    <row r="947" spans="13:28" ht="12" hidden="1" customHeight="1">
      <c r="M947" s="266"/>
      <c r="N947" s="288" t="str">
        <f t="shared" si="209"/>
        <v/>
      </c>
      <c r="O947" s="285">
        <f t="shared" si="195"/>
        <v>150</v>
      </c>
      <c r="P947" s="289">
        <f t="shared" si="196"/>
        <v>4000000</v>
      </c>
      <c r="Q947" s="285">
        <f t="shared" si="197"/>
        <v>110</v>
      </c>
      <c r="R947" s="285">
        <f t="shared" si="198"/>
        <v>85</v>
      </c>
      <c r="S947" s="285">
        <f t="shared" si="199"/>
        <v>0.35</v>
      </c>
      <c r="T947" s="285">
        <f t="shared" si="200"/>
        <v>3.2</v>
      </c>
      <c r="U947" s="285">
        <f t="shared" si="201"/>
        <v>1</v>
      </c>
      <c r="V947" s="285">
        <f t="shared" si="202"/>
        <v>4.5</v>
      </c>
      <c r="W947" s="285">
        <f t="shared" si="203"/>
        <v>1.5</v>
      </c>
      <c r="X947" s="289" t="e">
        <f t="shared" si="204"/>
        <v>#VALUE!</v>
      </c>
      <c r="Y947" s="288" t="e">
        <f t="shared" si="205"/>
        <v>#VALUE!</v>
      </c>
      <c r="Z947" s="256">
        <f t="shared" si="206"/>
        <v>181.74993027852094</v>
      </c>
      <c r="AA947" s="289" t="e">
        <f t="shared" si="207"/>
        <v>#VALUE!</v>
      </c>
      <c r="AB947" s="288" t="e">
        <f t="shared" si="208"/>
        <v>#VALUE!</v>
      </c>
    </row>
    <row r="948" spans="13:28" ht="12" hidden="1" customHeight="1">
      <c r="M948" s="266"/>
      <c r="N948" s="288" t="str">
        <f t="shared" si="209"/>
        <v/>
      </c>
      <c r="O948" s="285">
        <f t="shared" si="195"/>
        <v>150</v>
      </c>
      <c r="P948" s="289">
        <f t="shared" si="196"/>
        <v>4000000</v>
      </c>
      <c r="Q948" s="285">
        <f t="shared" si="197"/>
        <v>110</v>
      </c>
      <c r="R948" s="285">
        <f t="shared" si="198"/>
        <v>85</v>
      </c>
      <c r="S948" s="285">
        <f t="shared" si="199"/>
        <v>0.35</v>
      </c>
      <c r="T948" s="285">
        <f t="shared" si="200"/>
        <v>3.2</v>
      </c>
      <c r="U948" s="285">
        <f t="shared" si="201"/>
        <v>1</v>
      </c>
      <c r="V948" s="285">
        <f t="shared" si="202"/>
        <v>4.5</v>
      </c>
      <c r="W948" s="285">
        <f t="shared" si="203"/>
        <v>1.5</v>
      </c>
      <c r="X948" s="289" t="e">
        <f t="shared" si="204"/>
        <v>#VALUE!</v>
      </c>
      <c r="Y948" s="288" t="e">
        <f t="shared" si="205"/>
        <v>#VALUE!</v>
      </c>
      <c r="Z948" s="256">
        <f t="shared" si="206"/>
        <v>181.74993027852094</v>
      </c>
      <c r="AA948" s="289" t="e">
        <f t="shared" si="207"/>
        <v>#VALUE!</v>
      </c>
      <c r="AB948" s="288" t="e">
        <f t="shared" si="208"/>
        <v>#VALUE!</v>
      </c>
    </row>
    <row r="949" spans="13:28" ht="12" hidden="1" customHeight="1">
      <c r="M949" s="266"/>
      <c r="N949" s="288" t="str">
        <f t="shared" si="209"/>
        <v/>
      </c>
      <c r="O949" s="285">
        <f t="shared" si="195"/>
        <v>150</v>
      </c>
      <c r="P949" s="289">
        <f t="shared" si="196"/>
        <v>4000000</v>
      </c>
      <c r="Q949" s="285">
        <f t="shared" si="197"/>
        <v>110</v>
      </c>
      <c r="R949" s="285">
        <f t="shared" si="198"/>
        <v>85</v>
      </c>
      <c r="S949" s="285">
        <f t="shared" si="199"/>
        <v>0.35</v>
      </c>
      <c r="T949" s="285">
        <f t="shared" si="200"/>
        <v>3.2</v>
      </c>
      <c r="U949" s="285">
        <f t="shared" si="201"/>
        <v>1</v>
      </c>
      <c r="V949" s="285">
        <f t="shared" si="202"/>
        <v>4.5</v>
      </c>
      <c r="W949" s="285">
        <f t="shared" si="203"/>
        <v>1.5</v>
      </c>
      <c r="X949" s="289" t="e">
        <f t="shared" si="204"/>
        <v>#VALUE!</v>
      </c>
      <c r="Y949" s="288" t="e">
        <f t="shared" si="205"/>
        <v>#VALUE!</v>
      </c>
      <c r="Z949" s="256">
        <f t="shared" si="206"/>
        <v>181.74993027852094</v>
      </c>
      <c r="AA949" s="289" t="e">
        <f t="shared" si="207"/>
        <v>#VALUE!</v>
      </c>
      <c r="AB949" s="288" t="e">
        <f t="shared" si="208"/>
        <v>#VALUE!</v>
      </c>
    </row>
    <row r="950" spans="13:28" ht="12" hidden="1" customHeight="1">
      <c r="M950" s="266"/>
      <c r="N950" s="288" t="str">
        <f t="shared" si="209"/>
        <v/>
      </c>
      <c r="O950" s="285">
        <f t="shared" si="195"/>
        <v>150</v>
      </c>
      <c r="P950" s="289">
        <f t="shared" si="196"/>
        <v>4000000</v>
      </c>
      <c r="Q950" s="285">
        <f t="shared" si="197"/>
        <v>110</v>
      </c>
      <c r="R950" s="285">
        <f t="shared" si="198"/>
        <v>85</v>
      </c>
      <c r="S950" s="285">
        <f t="shared" si="199"/>
        <v>0.35</v>
      </c>
      <c r="T950" s="285">
        <f t="shared" si="200"/>
        <v>3.2</v>
      </c>
      <c r="U950" s="285">
        <f t="shared" si="201"/>
        <v>1</v>
      </c>
      <c r="V950" s="285">
        <f t="shared" si="202"/>
        <v>4.5</v>
      </c>
      <c r="W950" s="285">
        <f t="shared" si="203"/>
        <v>1.5</v>
      </c>
      <c r="X950" s="289" t="e">
        <f t="shared" si="204"/>
        <v>#VALUE!</v>
      </c>
      <c r="Y950" s="288" t="e">
        <f t="shared" si="205"/>
        <v>#VALUE!</v>
      </c>
      <c r="Z950" s="256">
        <f t="shared" si="206"/>
        <v>181.74993027852094</v>
      </c>
      <c r="AA950" s="289" t="e">
        <f t="shared" si="207"/>
        <v>#VALUE!</v>
      </c>
      <c r="AB950" s="288" t="e">
        <f t="shared" si="208"/>
        <v>#VALUE!</v>
      </c>
    </row>
    <row r="951" spans="13:28" ht="12" hidden="1" customHeight="1">
      <c r="M951" s="266"/>
      <c r="N951" s="288" t="str">
        <f t="shared" si="209"/>
        <v/>
      </c>
      <c r="O951" s="285">
        <f t="shared" si="195"/>
        <v>150</v>
      </c>
      <c r="P951" s="289">
        <f t="shared" si="196"/>
        <v>4000000</v>
      </c>
      <c r="Q951" s="285">
        <f t="shared" si="197"/>
        <v>110</v>
      </c>
      <c r="R951" s="285">
        <f t="shared" si="198"/>
        <v>85</v>
      </c>
      <c r="S951" s="285">
        <f t="shared" si="199"/>
        <v>0.35</v>
      </c>
      <c r="T951" s="285">
        <f t="shared" si="200"/>
        <v>3.2</v>
      </c>
      <c r="U951" s="285">
        <f t="shared" si="201"/>
        <v>1</v>
      </c>
      <c r="V951" s="285">
        <f t="shared" si="202"/>
        <v>4.5</v>
      </c>
      <c r="W951" s="285">
        <f t="shared" si="203"/>
        <v>1.5</v>
      </c>
      <c r="X951" s="289" t="e">
        <f t="shared" si="204"/>
        <v>#VALUE!</v>
      </c>
      <c r="Y951" s="288" t="e">
        <f t="shared" si="205"/>
        <v>#VALUE!</v>
      </c>
      <c r="Z951" s="256">
        <f t="shared" si="206"/>
        <v>181.74993027852094</v>
      </c>
      <c r="AA951" s="289" t="e">
        <f t="shared" si="207"/>
        <v>#VALUE!</v>
      </c>
      <c r="AB951" s="288" t="e">
        <f t="shared" si="208"/>
        <v>#VALUE!</v>
      </c>
    </row>
    <row r="952" spans="13:28" ht="12" hidden="1" customHeight="1">
      <c r="M952" s="266"/>
      <c r="N952" s="288" t="str">
        <f t="shared" si="209"/>
        <v/>
      </c>
      <c r="O952" s="285">
        <f t="shared" si="195"/>
        <v>150</v>
      </c>
      <c r="P952" s="289">
        <f t="shared" si="196"/>
        <v>4000000</v>
      </c>
      <c r="Q952" s="285">
        <f t="shared" si="197"/>
        <v>110</v>
      </c>
      <c r="R952" s="285">
        <f t="shared" si="198"/>
        <v>85</v>
      </c>
      <c r="S952" s="285">
        <f t="shared" si="199"/>
        <v>0.35</v>
      </c>
      <c r="T952" s="285">
        <f t="shared" si="200"/>
        <v>3.2</v>
      </c>
      <c r="U952" s="285">
        <f t="shared" si="201"/>
        <v>1</v>
      </c>
      <c r="V952" s="285">
        <f t="shared" si="202"/>
        <v>4.5</v>
      </c>
      <c r="W952" s="285">
        <f t="shared" si="203"/>
        <v>1.5</v>
      </c>
      <c r="X952" s="289" t="e">
        <f t="shared" si="204"/>
        <v>#VALUE!</v>
      </c>
      <c r="Y952" s="288" t="e">
        <f t="shared" si="205"/>
        <v>#VALUE!</v>
      </c>
      <c r="Z952" s="256">
        <f t="shared" si="206"/>
        <v>181.74993027852094</v>
      </c>
      <c r="AA952" s="289" t="e">
        <f t="shared" si="207"/>
        <v>#VALUE!</v>
      </c>
      <c r="AB952" s="288" t="e">
        <f t="shared" si="208"/>
        <v>#VALUE!</v>
      </c>
    </row>
    <row r="953" spans="13:28" ht="12" hidden="1" customHeight="1">
      <c r="M953" s="266"/>
      <c r="N953" s="288" t="str">
        <f t="shared" si="209"/>
        <v/>
      </c>
      <c r="O953" s="285">
        <f t="shared" si="195"/>
        <v>150</v>
      </c>
      <c r="P953" s="289">
        <f t="shared" si="196"/>
        <v>4000000</v>
      </c>
      <c r="Q953" s="285">
        <f t="shared" si="197"/>
        <v>110</v>
      </c>
      <c r="R953" s="285">
        <f t="shared" si="198"/>
        <v>85</v>
      </c>
      <c r="S953" s="285">
        <f t="shared" si="199"/>
        <v>0.35</v>
      </c>
      <c r="T953" s="285">
        <f t="shared" si="200"/>
        <v>3.2</v>
      </c>
      <c r="U953" s="285">
        <f t="shared" si="201"/>
        <v>1</v>
      </c>
      <c r="V953" s="285">
        <f t="shared" si="202"/>
        <v>4.5</v>
      </c>
      <c r="W953" s="285">
        <f t="shared" si="203"/>
        <v>1.5</v>
      </c>
      <c r="X953" s="289" t="e">
        <f t="shared" si="204"/>
        <v>#VALUE!</v>
      </c>
      <c r="Y953" s="288" t="e">
        <f t="shared" si="205"/>
        <v>#VALUE!</v>
      </c>
      <c r="Z953" s="256">
        <f t="shared" si="206"/>
        <v>181.74993027852094</v>
      </c>
      <c r="AA953" s="289" t="e">
        <f t="shared" si="207"/>
        <v>#VALUE!</v>
      </c>
      <c r="AB953" s="288" t="e">
        <f t="shared" si="208"/>
        <v>#VALUE!</v>
      </c>
    </row>
    <row r="954" spans="13:28" ht="12" hidden="1" customHeight="1">
      <c r="M954" s="266"/>
      <c r="N954" s="288" t="str">
        <f t="shared" si="209"/>
        <v/>
      </c>
      <c r="O954" s="285">
        <f t="shared" si="195"/>
        <v>150</v>
      </c>
      <c r="P954" s="289">
        <f t="shared" si="196"/>
        <v>4000000</v>
      </c>
      <c r="Q954" s="285">
        <f t="shared" si="197"/>
        <v>110</v>
      </c>
      <c r="R954" s="285">
        <f t="shared" si="198"/>
        <v>85</v>
      </c>
      <c r="S954" s="285">
        <f t="shared" si="199"/>
        <v>0.35</v>
      </c>
      <c r="T954" s="285">
        <f t="shared" si="200"/>
        <v>3.2</v>
      </c>
      <c r="U954" s="285">
        <f t="shared" si="201"/>
        <v>1</v>
      </c>
      <c r="V954" s="285">
        <f t="shared" si="202"/>
        <v>4.5</v>
      </c>
      <c r="W954" s="285">
        <f t="shared" si="203"/>
        <v>1.5</v>
      </c>
      <c r="X954" s="289" t="e">
        <f t="shared" si="204"/>
        <v>#VALUE!</v>
      </c>
      <c r="Y954" s="288" t="e">
        <f t="shared" si="205"/>
        <v>#VALUE!</v>
      </c>
      <c r="Z954" s="256">
        <f t="shared" si="206"/>
        <v>181.74993027852094</v>
      </c>
      <c r="AA954" s="289" t="e">
        <f t="shared" si="207"/>
        <v>#VALUE!</v>
      </c>
      <c r="AB954" s="288" t="e">
        <f t="shared" si="208"/>
        <v>#VALUE!</v>
      </c>
    </row>
    <row r="955" spans="13:28" ht="12" hidden="1" customHeight="1">
      <c r="M955" s="266"/>
      <c r="N955" s="288" t="str">
        <f t="shared" si="209"/>
        <v/>
      </c>
      <c r="O955" s="285">
        <f t="shared" si="195"/>
        <v>150</v>
      </c>
      <c r="P955" s="289">
        <f t="shared" si="196"/>
        <v>4000000</v>
      </c>
      <c r="Q955" s="285">
        <f t="shared" si="197"/>
        <v>110</v>
      </c>
      <c r="R955" s="285">
        <f t="shared" si="198"/>
        <v>85</v>
      </c>
      <c r="S955" s="285">
        <f t="shared" si="199"/>
        <v>0.35</v>
      </c>
      <c r="T955" s="285">
        <f t="shared" si="200"/>
        <v>3.2</v>
      </c>
      <c r="U955" s="285">
        <f t="shared" si="201"/>
        <v>1</v>
      </c>
      <c r="V955" s="285">
        <f t="shared" si="202"/>
        <v>4.5</v>
      </c>
      <c r="W955" s="285">
        <f t="shared" si="203"/>
        <v>1.5</v>
      </c>
      <c r="X955" s="289" t="e">
        <f t="shared" si="204"/>
        <v>#VALUE!</v>
      </c>
      <c r="Y955" s="288" t="e">
        <f t="shared" si="205"/>
        <v>#VALUE!</v>
      </c>
      <c r="Z955" s="256">
        <f t="shared" si="206"/>
        <v>181.74993027852094</v>
      </c>
      <c r="AA955" s="289" t="e">
        <f t="shared" si="207"/>
        <v>#VALUE!</v>
      </c>
      <c r="AB955" s="288" t="e">
        <f t="shared" si="208"/>
        <v>#VALUE!</v>
      </c>
    </row>
    <row r="956" spans="13:28" ht="12" hidden="1" customHeight="1">
      <c r="M956" s="266"/>
      <c r="N956" s="288" t="str">
        <f t="shared" si="209"/>
        <v/>
      </c>
      <c r="O956" s="285">
        <f t="shared" si="195"/>
        <v>150</v>
      </c>
      <c r="P956" s="289">
        <f t="shared" si="196"/>
        <v>4000000</v>
      </c>
      <c r="Q956" s="285">
        <f t="shared" si="197"/>
        <v>110</v>
      </c>
      <c r="R956" s="285">
        <f t="shared" si="198"/>
        <v>85</v>
      </c>
      <c r="S956" s="285">
        <f t="shared" si="199"/>
        <v>0.35</v>
      </c>
      <c r="T956" s="285">
        <f t="shared" si="200"/>
        <v>3.2</v>
      </c>
      <c r="U956" s="285">
        <f t="shared" si="201"/>
        <v>1</v>
      </c>
      <c r="V956" s="285">
        <f t="shared" si="202"/>
        <v>4.5</v>
      </c>
      <c r="W956" s="285">
        <f t="shared" si="203"/>
        <v>1.5</v>
      </c>
      <c r="X956" s="289" t="e">
        <f t="shared" si="204"/>
        <v>#VALUE!</v>
      </c>
      <c r="Y956" s="288" t="e">
        <f t="shared" si="205"/>
        <v>#VALUE!</v>
      </c>
      <c r="Z956" s="256">
        <f t="shared" si="206"/>
        <v>181.74993027852094</v>
      </c>
      <c r="AA956" s="289" t="e">
        <f t="shared" si="207"/>
        <v>#VALUE!</v>
      </c>
      <c r="AB956" s="288" t="e">
        <f t="shared" si="208"/>
        <v>#VALUE!</v>
      </c>
    </row>
    <row r="957" spans="13:28" ht="12" hidden="1" customHeight="1">
      <c r="M957" s="266"/>
      <c r="N957" s="288" t="str">
        <f t="shared" si="209"/>
        <v/>
      </c>
      <c r="O957" s="285">
        <f t="shared" si="195"/>
        <v>150</v>
      </c>
      <c r="P957" s="289">
        <f t="shared" si="196"/>
        <v>4000000</v>
      </c>
      <c r="Q957" s="285">
        <f t="shared" si="197"/>
        <v>110</v>
      </c>
      <c r="R957" s="285">
        <f t="shared" si="198"/>
        <v>85</v>
      </c>
      <c r="S957" s="285">
        <f t="shared" si="199"/>
        <v>0.35</v>
      </c>
      <c r="T957" s="285">
        <f t="shared" si="200"/>
        <v>3.2</v>
      </c>
      <c r="U957" s="285">
        <f t="shared" si="201"/>
        <v>1</v>
      </c>
      <c r="V957" s="285">
        <f t="shared" si="202"/>
        <v>4.5</v>
      </c>
      <c r="W957" s="285">
        <f t="shared" si="203"/>
        <v>1.5</v>
      </c>
      <c r="X957" s="289" t="e">
        <f t="shared" si="204"/>
        <v>#VALUE!</v>
      </c>
      <c r="Y957" s="288" t="e">
        <f t="shared" si="205"/>
        <v>#VALUE!</v>
      </c>
      <c r="Z957" s="256">
        <f t="shared" si="206"/>
        <v>181.74993027852094</v>
      </c>
      <c r="AA957" s="289" t="e">
        <f t="shared" si="207"/>
        <v>#VALUE!</v>
      </c>
      <c r="AB957" s="288" t="e">
        <f t="shared" si="208"/>
        <v>#VALUE!</v>
      </c>
    </row>
    <row r="958" spans="13:28" ht="12" hidden="1" customHeight="1">
      <c r="M958" s="266"/>
      <c r="N958" s="288" t="str">
        <f t="shared" si="209"/>
        <v/>
      </c>
      <c r="O958" s="285">
        <f t="shared" si="195"/>
        <v>150</v>
      </c>
      <c r="P958" s="289">
        <f t="shared" si="196"/>
        <v>4000000</v>
      </c>
      <c r="Q958" s="285">
        <f t="shared" si="197"/>
        <v>110</v>
      </c>
      <c r="R958" s="285">
        <f t="shared" si="198"/>
        <v>85</v>
      </c>
      <c r="S958" s="285">
        <f t="shared" si="199"/>
        <v>0.35</v>
      </c>
      <c r="T958" s="285">
        <f t="shared" si="200"/>
        <v>3.2</v>
      </c>
      <c r="U958" s="285">
        <f t="shared" si="201"/>
        <v>1</v>
      </c>
      <c r="V958" s="285">
        <f t="shared" si="202"/>
        <v>4.5</v>
      </c>
      <c r="W958" s="285">
        <f t="shared" si="203"/>
        <v>1.5</v>
      </c>
      <c r="X958" s="289" t="e">
        <f t="shared" si="204"/>
        <v>#VALUE!</v>
      </c>
      <c r="Y958" s="288" t="e">
        <f t="shared" si="205"/>
        <v>#VALUE!</v>
      </c>
      <c r="Z958" s="256">
        <f t="shared" si="206"/>
        <v>181.74993027852094</v>
      </c>
      <c r="AA958" s="289" t="e">
        <f t="shared" si="207"/>
        <v>#VALUE!</v>
      </c>
      <c r="AB958" s="288" t="e">
        <f t="shared" si="208"/>
        <v>#VALUE!</v>
      </c>
    </row>
    <row r="959" spans="13:28" ht="12" hidden="1" customHeight="1">
      <c r="M959" s="266"/>
      <c r="N959" s="288" t="str">
        <f t="shared" si="209"/>
        <v/>
      </c>
      <c r="O959" s="285">
        <f t="shared" si="195"/>
        <v>150</v>
      </c>
      <c r="P959" s="289">
        <f t="shared" si="196"/>
        <v>4000000</v>
      </c>
      <c r="Q959" s="285">
        <f t="shared" si="197"/>
        <v>110</v>
      </c>
      <c r="R959" s="285">
        <f t="shared" si="198"/>
        <v>85</v>
      </c>
      <c r="S959" s="285">
        <f t="shared" si="199"/>
        <v>0.35</v>
      </c>
      <c r="T959" s="285">
        <f t="shared" si="200"/>
        <v>3.2</v>
      </c>
      <c r="U959" s="285">
        <f t="shared" si="201"/>
        <v>1</v>
      </c>
      <c r="V959" s="285">
        <f t="shared" si="202"/>
        <v>4.5</v>
      </c>
      <c r="W959" s="285">
        <f t="shared" si="203"/>
        <v>1.5</v>
      </c>
      <c r="X959" s="289" t="e">
        <f t="shared" si="204"/>
        <v>#VALUE!</v>
      </c>
      <c r="Y959" s="288" t="e">
        <f t="shared" si="205"/>
        <v>#VALUE!</v>
      </c>
      <c r="Z959" s="256">
        <f t="shared" si="206"/>
        <v>181.74993027852094</v>
      </c>
      <c r="AA959" s="289" t="e">
        <f t="shared" si="207"/>
        <v>#VALUE!</v>
      </c>
      <c r="AB959" s="288" t="e">
        <f t="shared" si="208"/>
        <v>#VALUE!</v>
      </c>
    </row>
    <row r="960" spans="13:28" ht="12" hidden="1" customHeight="1">
      <c r="M960" s="266"/>
      <c r="N960" s="288" t="str">
        <f t="shared" si="209"/>
        <v/>
      </c>
      <c r="O960" s="285">
        <f t="shared" si="195"/>
        <v>150</v>
      </c>
      <c r="P960" s="289">
        <f t="shared" si="196"/>
        <v>4000000</v>
      </c>
      <c r="Q960" s="285">
        <f t="shared" si="197"/>
        <v>110</v>
      </c>
      <c r="R960" s="285">
        <f t="shared" si="198"/>
        <v>85</v>
      </c>
      <c r="S960" s="285">
        <f t="shared" si="199"/>
        <v>0.35</v>
      </c>
      <c r="T960" s="285">
        <f t="shared" si="200"/>
        <v>3.2</v>
      </c>
      <c r="U960" s="285">
        <f t="shared" si="201"/>
        <v>1</v>
      </c>
      <c r="V960" s="285">
        <f t="shared" si="202"/>
        <v>4.5</v>
      </c>
      <c r="W960" s="285">
        <f t="shared" si="203"/>
        <v>1.5</v>
      </c>
      <c r="X960" s="289" t="e">
        <f t="shared" si="204"/>
        <v>#VALUE!</v>
      </c>
      <c r="Y960" s="288" t="e">
        <f t="shared" si="205"/>
        <v>#VALUE!</v>
      </c>
      <c r="Z960" s="256">
        <f t="shared" si="206"/>
        <v>181.74993027852094</v>
      </c>
      <c r="AA960" s="289" t="e">
        <f t="shared" si="207"/>
        <v>#VALUE!</v>
      </c>
      <c r="AB960" s="288" t="e">
        <f t="shared" si="208"/>
        <v>#VALUE!</v>
      </c>
    </row>
    <row r="961" spans="13:28" ht="12" hidden="1" customHeight="1">
      <c r="M961" s="266"/>
      <c r="N961" s="288" t="str">
        <f t="shared" si="209"/>
        <v/>
      </c>
      <c r="O961" s="285">
        <f t="shared" si="195"/>
        <v>150</v>
      </c>
      <c r="P961" s="289">
        <f t="shared" si="196"/>
        <v>4000000</v>
      </c>
      <c r="Q961" s="285">
        <f t="shared" si="197"/>
        <v>110</v>
      </c>
      <c r="R961" s="285">
        <f t="shared" si="198"/>
        <v>85</v>
      </c>
      <c r="S961" s="285">
        <f t="shared" si="199"/>
        <v>0.35</v>
      </c>
      <c r="T961" s="285">
        <f t="shared" si="200"/>
        <v>3.2</v>
      </c>
      <c r="U961" s="285">
        <f t="shared" si="201"/>
        <v>1</v>
      </c>
      <c r="V961" s="285">
        <f t="shared" si="202"/>
        <v>4.5</v>
      </c>
      <c r="W961" s="285">
        <f t="shared" si="203"/>
        <v>1.5</v>
      </c>
      <c r="X961" s="289" t="e">
        <f t="shared" si="204"/>
        <v>#VALUE!</v>
      </c>
      <c r="Y961" s="288" t="e">
        <f t="shared" si="205"/>
        <v>#VALUE!</v>
      </c>
      <c r="Z961" s="256">
        <f t="shared" si="206"/>
        <v>181.74993027852094</v>
      </c>
      <c r="AA961" s="289" t="e">
        <f t="shared" si="207"/>
        <v>#VALUE!</v>
      </c>
      <c r="AB961" s="288" t="e">
        <f t="shared" si="208"/>
        <v>#VALUE!</v>
      </c>
    </row>
    <row r="962" spans="13:28" ht="12" hidden="1" customHeight="1">
      <c r="M962" s="266"/>
      <c r="N962" s="288" t="str">
        <f t="shared" si="209"/>
        <v/>
      </c>
      <c r="O962" s="285">
        <f t="shared" si="195"/>
        <v>150</v>
      </c>
      <c r="P962" s="289">
        <f t="shared" si="196"/>
        <v>4000000</v>
      </c>
      <c r="Q962" s="285">
        <f t="shared" si="197"/>
        <v>110</v>
      </c>
      <c r="R962" s="285">
        <f t="shared" si="198"/>
        <v>85</v>
      </c>
      <c r="S962" s="285">
        <f t="shared" si="199"/>
        <v>0.35</v>
      </c>
      <c r="T962" s="285">
        <f t="shared" si="200"/>
        <v>3.2</v>
      </c>
      <c r="U962" s="285">
        <f t="shared" si="201"/>
        <v>1</v>
      </c>
      <c r="V962" s="285">
        <f t="shared" si="202"/>
        <v>4.5</v>
      </c>
      <c r="W962" s="285">
        <f t="shared" si="203"/>
        <v>1.5</v>
      </c>
      <c r="X962" s="289" t="e">
        <f t="shared" si="204"/>
        <v>#VALUE!</v>
      </c>
      <c r="Y962" s="288" t="e">
        <f t="shared" si="205"/>
        <v>#VALUE!</v>
      </c>
      <c r="Z962" s="256">
        <f t="shared" si="206"/>
        <v>181.74993027852094</v>
      </c>
      <c r="AA962" s="289" t="e">
        <f t="shared" si="207"/>
        <v>#VALUE!</v>
      </c>
      <c r="AB962" s="288" t="e">
        <f t="shared" si="208"/>
        <v>#VALUE!</v>
      </c>
    </row>
    <row r="963" spans="13:28" ht="12" hidden="1" customHeight="1">
      <c r="M963" s="266"/>
      <c r="N963" s="288" t="str">
        <f t="shared" si="209"/>
        <v/>
      </c>
      <c r="O963" s="285">
        <f t="shared" si="195"/>
        <v>150</v>
      </c>
      <c r="P963" s="289">
        <f t="shared" si="196"/>
        <v>4000000</v>
      </c>
      <c r="Q963" s="285">
        <f t="shared" si="197"/>
        <v>110</v>
      </c>
      <c r="R963" s="285">
        <f t="shared" si="198"/>
        <v>85</v>
      </c>
      <c r="S963" s="285">
        <f t="shared" si="199"/>
        <v>0.35</v>
      </c>
      <c r="T963" s="285">
        <f t="shared" si="200"/>
        <v>3.2</v>
      </c>
      <c r="U963" s="285">
        <f t="shared" si="201"/>
        <v>1</v>
      </c>
      <c r="V963" s="285">
        <f t="shared" si="202"/>
        <v>4.5</v>
      </c>
      <c r="W963" s="285">
        <f t="shared" si="203"/>
        <v>1.5</v>
      </c>
      <c r="X963" s="289" t="e">
        <f t="shared" si="204"/>
        <v>#VALUE!</v>
      </c>
      <c r="Y963" s="288" t="e">
        <f t="shared" si="205"/>
        <v>#VALUE!</v>
      </c>
      <c r="Z963" s="256">
        <f t="shared" si="206"/>
        <v>181.74993027852094</v>
      </c>
      <c r="AA963" s="289" t="e">
        <f t="shared" si="207"/>
        <v>#VALUE!</v>
      </c>
      <c r="AB963" s="288" t="e">
        <f t="shared" si="208"/>
        <v>#VALUE!</v>
      </c>
    </row>
    <row r="964" spans="13:28" ht="12" hidden="1" customHeight="1">
      <c r="M964" s="266"/>
      <c r="N964" s="288" t="str">
        <f t="shared" si="209"/>
        <v/>
      </c>
      <c r="O964" s="285">
        <f t="shared" si="195"/>
        <v>150</v>
      </c>
      <c r="P964" s="289">
        <f t="shared" si="196"/>
        <v>4000000</v>
      </c>
      <c r="Q964" s="285">
        <f t="shared" si="197"/>
        <v>110</v>
      </c>
      <c r="R964" s="285">
        <f t="shared" si="198"/>
        <v>85</v>
      </c>
      <c r="S964" s="285">
        <f t="shared" si="199"/>
        <v>0.35</v>
      </c>
      <c r="T964" s="285">
        <f t="shared" si="200"/>
        <v>3.2</v>
      </c>
      <c r="U964" s="285">
        <f t="shared" si="201"/>
        <v>1</v>
      </c>
      <c r="V964" s="285">
        <f t="shared" si="202"/>
        <v>4.5</v>
      </c>
      <c r="W964" s="285">
        <f t="shared" si="203"/>
        <v>1.5</v>
      </c>
      <c r="X964" s="289" t="e">
        <f t="shared" si="204"/>
        <v>#VALUE!</v>
      </c>
      <c r="Y964" s="288" t="e">
        <f t="shared" si="205"/>
        <v>#VALUE!</v>
      </c>
      <c r="Z964" s="256">
        <f t="shared" si="206"/>
        <v>181.74993027852094</v>
      </c>
      <c r="AA964" s="289" t="e">
        <f t="shared" si="207"/>
        <v>#VALUE!</v>
      </c>
      <c r="AB964" s="288" t="e">
        <f t="shared" si="208"/>
        <v>#VALUE!</v>
      </c>
    </row>
    <row r="965" spans="13:28" ht="12" hidden="1" customHeight="1">
      <c r="M965" s="266"/>
      <c r="N965" s="288" t="str">
        <f t="shared" si="209"/>
        <v/>
      </c>
      <c r="O965" s="285">
        <f t="shared" si="195"/>
        <v>150</v>
      </c>
      <c r="P965" s="289">
        <f t="shared" si="196"/>
        <v>4000000</v>
      </c>
      <c r="Q965" s="285">
        <f t="shared" si="197"/>
        <v>110</v>
      </c>
      <c r="R965" s="285">
        <f t="shared" si="198"/>
        <v>85</v>
      </c>
      <c r="S965" s="285">
        <f t="shared" si="199"/>
        <v>0.35</v>
      </c>
      <c r="T965" s="285">
        <f t="shared" si="200"/>
        <v>3.2</v>
      </c>
      <c r="U965" s="285">
        <f t="shared" si="201"/>
        <v>1</v>
      </c>
      <c r="V965" s="285">
        <f t="shared" si="202"/>
        <v>4.5</v>
      </c>
      <c r="W965" s="285">
        <f t="shared" si="203"/>
        <v>1.5</v>
      </c>
      <c r="X965" s="289" t="e">
        <f t="shared" si="204"/>
        <v>#VALUE!</v>
      </c>
      <c r="Y965" s="288" t="e">
        <f t="shared" si="205"/>
        <v>#VALUE!</v>
      </c>
      <c r="Z965" s="256">
        <f t="shared" si="206"/>
        <v>181.74993027852094</v>
      </c>
      <c r="AA965" s="289" t="e">
        <f t="shared" si="207"/>
        <v>#VALUE!</v>
      </c>
      <c r="AB965" s="288" t="e">
        <f t="shared" si="208"/>
        <v>#VALUE!</v>
      </c>
    </row>
    <row r="966" spans="13:28" ht="12" hidden="1" customHeight="1">
      <c r="M966" s="266"/>
      <c r="N966" s="288" t="str">
        <f t="shared" si="209"/>
        <v/>
      </c>
      <c r="O966" s="285">
        <f t="shared" si="195"/>
        <v>150</v>
      </c>
      <c r="P966" s="289">
        <f t="shared" si="196"/>
        <v>4000000</v>
      </c>
      <c r="Q966" s="285">
        <f t="shared" si="197"/>
        <v>110</v>
      </c>
      <c r="R966" s="285">
        <f t="shared" si="198"/>
        <v>85</v>
      </c>
      <c r="S966" s="285">
        <f t="shared" si="199"/>
        <v>0.35</v>
      </c>
      <c r="T966" s="285">
        <f t="shared" si="200"/>
        <v>3.2</v>
      </c>
      <c r="U966" s="285">
        <f t="shared" si="201"/>
        <v>1</v>
      </c>
      <c r="V966" s="285">
        <f t="shared" si="202"/>
        <v>4.5</v>
      </c>
      <c r="W966" s="285">
        <f t="shared" si="203"/>
        <v>1.5</v>
      </c>
      <c r="X966" s="289" t="e">
        <f t="shared" si="204"/>
        <v>#VALUE!</v>
      </c>
      <c r="Y966" s="288" t="e">
        <f t="shared" si="205"/>
        <v>#VALUE!</v>
      </c>
      <c r="Z966" s="256">
        <f t="shared" si="206"/>
        <v>181.74993027852094</v>
      </c>
      <c r="AA966" s="289" t="e">
        <f t="shared" si="207"/>
        <v>#VALUE!</v>
      </c>
      <c r="AB966" s="288" t="e">
        <f t="shared" si="208"/>
        <v>#VALUE!</v>
      </c>
    </row>
    <row r="967" spans="13:28" ht="12" hidden="1" customHeight="1">
      <c r="M967" s="266"/>
      <c r="N967" s="288" t="str">
        <f t="shared" si="209"/>
        <v/>
      </c>
      <c r="O967" s="285">
        <f t="shared" si="195"/>
        <v>150</v>
      </c>
      <c r="P967" s="289">
        <f t="shared" si="196"/>
        <v>4000000</v>
      </c>
      <c r="Q967" s="285">
        <f t="shared" si="197"/>
        <v>110</v>
      </c>
      <c r="R967" s="285">
        <f t="shared" si="198"/>
        <v>85</v>
      </c>
      <c r="S967" s="285">
        <f t="shared" si="199"/>
        <v>0.35</v>
      </c>
      <c r="T967" s="285">
        <f t="shared" si="200"/>
        <v>3.2</v>
      </c>
      <c r="U967" s="285">
        <f t="shared" si="201"/>
        <v>1</v>
      </c>
      <c r="V967" s="285">
        <f t="shared" si="202"/>
        <v>4.5</v>
      </c>
      <c r="W967" s="285">
        <f t="shared" si="203"/>
        <v>1.5</v>
      </c>
      <c r="X967" s="289" t="e">
        <f t="shared" si="204"/>
        <v>#VALUE!</v>
      </c>
      <c r="Y967" s="288" t="e">
        <f t="shared" si="205"/>
        <v>#VALUE!</v>
      </c>
      <c r="Z967" s="256">
        <f t="shared" si="206"/>
        <v>181.74993027852094</v>
      </c>
      <c r="AA967" s="289" t="e">
        <f t="shared" si="207"/>
        <v>#VALUE!</v>
      </c>
      <c r="AB967" s="288" t="e">
        <f t="shared" si="208"/>
        <v>#VALUE!</v>
      </c>
    </row>
    <row r="968" spans="13:28" ht="12" hidden="1" customHeight="1">
      <c r="M968" s="266"/>
      <c r="N968" s="288" t="str">
        <f t="shared" si="209"/>
        <v/>
      </c>
      <c r="O968" s="285">
        <f t="shared" si="195"/>
        <v>150</v>
      </c>
      <c r="P968" s="289">
        <f t="shared" si="196"/>
        <v>4000000</v>
      </c>
      <c r="Q968" s="285">
        <f t="shared" si="197"/>
        <v>110</v>
      </c>
      <c r="R968" s="285">
        <f t="shared" si="198"/>
        <v>85</v>
      </c>
      <c r="S968" s="285">
        <f t="shared" si="199"/>
        <v>0.35</v>
      </c>
      <c r="T968" s="285">
        <f t="shared" si="200"/>
        <v>3.2</v>
      </c>
      <c r="U968" s="285">
        <f t="shared" si="201"/>
        <v>1</v>
      </c>
      <c r="V968" s="285">
        <f t="shared" si="202"/>
        <v>4.5</v>
      </c>
      <c r="W968" s="285">
        <f t="shared" si="203"/>
        <v>1.5</v>
      </c>
      <c r="X968" s="289" t="e">
        <f t="shared" si="204"/>
        <v>#VALUE!</v>
      </c>
      <c r="Y968" s="288" t="e">
        <f t="shared" si="205"/>
        <v>#VALUE!</v>
      </c>
      <c r="Z968" s="256">
        <f t="shared" si="206"/>
        <v>181.74993027852094</v>
      </c>
      <c r="AA968" s="289" t="e">
        <f t="shared" si="207"/>
        <v>#VALUE!</v>
      </c>
      <c r="AB968" s="288" t="e">
        <f t="shared" si="208"/>
        <v>#VALUE!</v>
      </c>
    </row>
    <row r="969" spans="13:28" ht="12" hidden="1" customHeight="1">
      <c r="M969" s="266"/>
      <c r="N969" s="288" t="str">
        <f t="shared" si="209"/>
        <v/>
      </c>
      <c r="O969" s="285">
        <f t="shared" si="195"/>
        <v>150</v>
      </c>
      <c r="P969" s="289">
        <f t="shared" si="196"/>
        <v>4000000</v>
      </c>
      <c r="Q969" s="285">
        <f t="shared" si="197"/>
        <v>110</v>
      </c>
      <c r="R969" s="285">
        <f t="shared" si="198"/>
        <v>85</v>
      </c>
      <c r="S969" s="285">
        <f t="shared" si="199"/>
        <v>0.35</v>
      </c>
      <c r="T969" s="285">
        <f t="shared" si="200"/>
        <v>3.2</v>
      </c>
      <c r="U969" s="285">
        <f t="shared" si="201"/>
        <v>1</v>
      </c>
      <c r="V969" s="285">
        <f t="shared" si="202"/>
        <v>4.5</v>
      </c>
      <c r="W969" s="285">
        <f t="shared" si="203"/>
        <v>1.5</v>
      </c>
      <c r="X969" s="289" t="e">
        <f t="shared" si="204"/>
        <v>#VALUE!</v>
      </c>
      <c r="Y969" s="288" t="e">
        <f t="shared" si="205"/>
        <v>#VALUE!</v>
      </c>
      <c r="Z969" s="256">
        <f t="shared" si="206"/>
        <v>181.74993027852094</v>
      </c>
      <c r="AA969" s="289" t="e">
        <f t="shared" si="207"/>
        <v>#VALUE!</v>
      </c>
      <c r="AB969" s="288" t="e">
        <f t="shared" si="208"/>
        <v>#VALUE!</v>
      </c>
    </row>
    <row r="970" spans="13:28" ht="12" hidden="1" customHeight="1">
      <c r="M970" s="266"/>
      <c r="N970" s="288" t="str">
        <f t="shared" si="209"/>
        <v/>
      </c>
      <c r="O970" s="285">
        <f t="shared" si="195"/>
        <v>150</v>
      </c>
      <c r="P970" s="289">
        <f t="shared" si="196"/>
        <v>4000000</v>
      </c>
      <c r="Q970" s="285">
        <f t="shared" si="197"/>
        <v>110</v>
      </c>
      <c r="R970" s="285">
        <f t="shared" si="198"/>
        <v>85</v>
      </c>
      <c r="S970" s="285">
        <f t="shared" si="199"/>
        <v>0.35</v>
      </c>
      <c r="T970" s="285">
        <f t="shared" si="200"/>
        <v>3.2</v>
      </c>
      <c r="U970" s="285">
        <f t="shared" si="201"/>
        <v>1</v>
      </c>
      <c r="V970" s="285">
        <f t="shared" si="202"/>
        <v>4.5</v>
      </c>
      <c r="W970" s="285">
        <f t="shared" si="203"/>
        <v>1.5</v>
      </c>
      <c r="X970" s="289" t="e">
        <f t="shared" si="204"/>
        <v>#VALUE!</v>
      </c>
      <c r="Y970" s="288" t="e">
        <f t="shared" si="205"/>
        <v>#VALUE!</v>
      </c>
      <c r="Z970" s="256">
        <f t="shared" si="206"/>
        <v>181.74993027852094</v>
      </c>
      <c r="AA970" s="289" t="e">
        <f t="shared" si="207"/>
        <v>#VALUE!</v>
      </c>
      <c r="AB970" s="288" t="e">
        <f t="shared" si="208"/>
        <v>#VALUE!</v>
      </c>
    </row>
    <row r="971" spans="13:28" ht="12" hidden="1" customHeight="1">
      <c r="M971" s="266"/>
      <c r="N971" s="288" t="str">
        <f t="shared" si="209"/>
        <v/>
      </c>
      <c r="O971" s="285">
        <f t="shared" si="195"/>
        <v>150</v>
      </c>
      <c r="P971" s="289">
        <f t="shared" si="196"/>
        <v>4000000</v>
      </c>
      <c r="Q971" s="285">
        <f t="shared" si="197"/>
        <v>110</v>
      </c>
      <c r="R971" s="285">
        <f t="shared" si="198"/>
        <v>85</v>
      </c>
      <c r="S971" s="285">
        <f t="shared" si="199"/>
        <v>0.35</v>
      </c>
      <c r="T971" s="285">
        <f t="shared" si="200"/>
        <v>3.2</v>
      </c>
      <c r="U971" s="285">
        <f t="shared" si="201"/>
        <v>1</v>
      </c>
      <c r="V971" s="285">
        <f t="shared" si="202"/>
        <v>4.5</v>
      </c>
      <c r="W971" s="285">
        <f t="shared" si="203"/>
        <v>1.5</v>
      </c>
      <c r="X971" s="289" t="e">
        <f t="shared" si="204"/>
        <v>#VALUE!</v>
      </c>
      <c r="Y971" s="288" t="e">
        <f t="shared" si="205"/>
        <v>#VALUE!</v>
      </c>
      <c r="Z971" s="256">
        <f t="shared" si="206"/>
        <v>181.74993027852094</v>
      </c>
      <c r="AA971" s="289" t="e">
        <f t="shared" si="207"/>
        <v>#VALUE!</v>
      </c>
      <c r="AB971" s="288" t="e">
        <f t="shared" si="208"/>
        <v>#VALUE!</v>
      </c>
    </row>
    <row r="972" spans="13:28" ht="12" hidden="1" customHeight="1">
      <c r="M972" s="266"/>
      <c r="N972" s="288" t="str">
        <f t="shared" si="209"/>
        <v/>
      </c>
      <c r="O972" s="285">
        <f t="shared" si="195"/>
        <v>150</v>
      </c>
      <c r="P972" s="289">
        <f t="shared" si="196"/>
        <v>4000000</v>
      </c>
      <c r="Q972" s="285">
        <f t="shared" si="197"/>
        <v>110</v>
      </c>
      <c r="R972" s="285">
        <f t="shared" si="198"/>
        <v>85</v>
      </c>
      <c r="S972" s="285">
        <f t="shared" si="199"/>
        <v>0.35</v>
      </c>
      <c r="T972" s="285">
        <f t="shared" si="200"/>
        <v>3.2</v>
      </c>
      <c r="U972" s="285">
        <f t="shared" si="201"/>
        <v>1</v>
      </c>
      <c r="V972" s="285">
        <f t="shared" si="202"/>
        <v>4.5</v>
      </c>
      <c r="W972" s="285">
        <f t="shared" si="203"/>
        <v>1.5</v>
      </c>
      <c r="X972" s="289" t="e">
        <f t="shared" si="204"/>
        <v>#VALUE!</v>
      </c>
      <c r="Y972" s="288" t="e">
        <f t="shared" si="205"/>
        <v>#VALUE!</v>
      </c>
      <c r="Z972" s="256">
        <f t="shared" si="206"/>
        <v>181.74993027852094</v>
      </c>
      <c r="AA972" s="289" t="e">
        <f t="shared" si="207"/>
        <v>#VALUE!</v>
      </c>
      <c r="AB972" s="288" t="e">
        <f t="shared" si="208"/>
        <v>#VALUE!</v>
      </c>
    </row>
    <row r="973" spans="13:28" ht="12" hidden="1" customHeight="1">
      <c r="M973" s="266"/>
      <c r="N973" s="288" t="str">
        <f t="shared" si="209"/>
        <v/>
      </c>
      <c r="O973" s="285">
        <f t="shared" si="195"/>
        <v>150</v>
      </c>
      <c r="P973" s="289">
        <f t="shared" si="196"/>
        <v>4000000</v>
      </c>
      <c r="Q973" s="285">
        <f t="shared" si="197"/>
        <v>110</v>
      </c>
      <c r="R973" s="285">
        <f t="shared" si="198"/>
        <v>85</v>
      </c>
      <c r="S973" s="285">
        <f t="shared" si="199"/>
        <v>0.35</v>
      </c>
      <c r="T973" s="285">
        <f t="shared" si="200"/>
        <v>3.2</v>
      </c>
      <c r="U973" s="285">
        <f t="shared" si="201"/>
        <v>1</v>
      </c>
      <c r="V973" s="285">
        <f t="shared" si="202"/>
        <v>4.5</v>
      </c>
      <c r="W973" s="285">
        <f t="shared" si="203"/>
        <v>1.5</v>
      </c>
      <c r="X973" s="289" t="e">
        <f t="shared" si="204"/>
        <v>#VALUE!</v>
      </c>
      <c r="Y973" s="288" t="e">
        <f t="shared" si="205"/>
        <v>#VALUE!</v>
      </c>
      <c r="Z973" s="256">
        <f t="shared" si="206"/>
        <v>181.74993027852094</v>
      </c>
      <c r="AA973" s="289" t="e">
        <f t="shared" si="207"/>
        <v>#VALUE!</v>
      </c>
      <c r="AB973" s="288" t="e">
        <f t="shared" si="208"/>
        <v>#VALUE!</v>
      </c>
    </row>
    <row r="974" spans="13:28" ht="12" hidden="1" customHeight="1">
      <c r="M974" s="266"/>
      <c r="N974" s="288" t="str">
        <f t="shared" si="209"/>
        <v/>
      </c>
      <c r="O974" s="285">
        <f t="shared" si="195"/>
        <v>150</v>
      </c>
      <c r="P974" s="289">
        <f t="shared" si="196"/>
        <v>4000000</v>
      </c>
      <c r="Q974" s="285">
        <f t="shared" si="197"/>
        <v>110</v>
      </c>
      <c r="R974" s="285">
        <f t="shared" si="198"/>
        <v>85</v>
      </c>
      <c r="S974" s="285">
        <f t="shared" si="199"/>
        <v>0.35</v>
      </c>
      <c r="T974" s="285">
        <f t="shared" si="200"/>
        <v>3.2</v>
      </c>
      <c r="U974" s="285">
        <f t="shared" si="201"/>
        <v>1</v>
      </c>
      <c r="V974" s="285">
        <f t="shared" si="202"/>
        <v>4.5</v>
      </c>
      <c r="W974" s="285">
        <f t="shared" si="203"/>
        <v>1.5</v>
      </c>
      <c r="X974" s="289" t="e">
        <f t="shared" si="204"/>
        <v>#VALUE!</v>
      </c>
      <c r="Y974" s="288" t="e">
        <f t="shared" si="205"/>
        <v>#VALUE!</v>
      </c>
      <c r="Z974" s="256">
        <f t="shared" si="206"/>
        <v>181.74993027852094</v>
      </c>
      <c r="AA974" s="289" t="e">
        <f t="shared" si="207"/>
        <v>#VALUE!</v>
      </c>
      <c r="AB974" s="288" t="e">
        <f t="shared" si="208"/>
        <v>#VALUE!</v>
      </c>
    </row>
    <row r="975" spans="13:28" ht="12" hidden="1" customHeight="1">
      <c r="M975" s="266"/>
      <c r="N975" s="288" t="str">
        <f t="shared" si="209"/>
        <v/>
      </c>
      <c r="O975" s="285">
        <f t="shared" si="195"/>
        <v>150</v>
      </c>
      <c r="P975" s="289">
        <f t="shared" si="196"/>
        <v>4000000</v>
      </c>
      <c r="Q975" s="285">
        <f t="shared" si="197"/>
        <v>110</v>
      </c>
      <c r="R975" s="285">
        <f t="shared" si="198"/>
        <v>85</v>
      </c>
      <c r="S975" s="285">
        <f t="shared" si="199"/>
        <v>0.35</v>
      </c>
      <c r="T975" s="285">
        <f t="shared" si="200"/>
        <v>3.2</v>
      </c>
      <c r="U975" s="285">
        <f t="shared" si="201"/>
        <v>1</v>
      </c>
      <c r="V975" s="285">
        <f t="shared" si="202"/>
        <v>4.5</v>
      </c>
      <c r="W975" s="285">
        <f t="shared" si="203"/>
        <v>1.5</v>
      </c>
      <c r="X975" s="289" t="e">
        <f t="shared" si="204"/>
        <v>#VALUE!</v>
      </c>
      <c r="Y975" s="288" t="e">
        <f t="shared" si="205"/>
        <v>#VALUE!</v>
      </c>
      <c r="Z975" s="256">
        <f t="shared" si="206"/>
        <v>181.74993027852094</v>
      </c>
      <c r="AA975" s="289" t="e">
        <f t="shared" si="207"/>
        <v>#VALUE!</v>
      </c>
      <c r="AB975" s="288" t="e">
        <f t="shared" si="208"/>
        <v>#VALUE!</v>
      </c>
    </row>
    <row r="976" spans="13:28" ht="12" hidden="1" customHeight="1">
      <c r="M976" s="266"/>
      <c r="N976" s="288" t="str">
        <f t="shared" si="209"/>
        <v/>
      </c>
      <c r="O976" s="285">
        <f t="shared" si="195"/>
        <v>150</v>
      </c>
      <c r="P976" s="289">
        <f t="shared" si="196"/>
        <v>4000000</v>
      </c>
      <c r="Q976" s="285">
        <f t="shared" si="197"/>
        <v>110</v>
      </c>
      <c r="R976" s="285">
        <f t="shared" si="198"/>
        <v>85</v>
      </c>
      <c r="S976" s="285">
        <f t="shared" si="199"/>
        <v>0.35</v>
      </c>
      <c r="T976" s="285">
        <f t="shared" si="200"/>
        <v>3.2</v>
      </c>
      <c r="U976" s="285">
        <f t="shared" si="201"/>
        <v>1</v>
      </c>
      <c r="V976" s="285">
        <f t="shared" si="202"/>
        <v>4.5</v>
      </c>
      <c r="W976" s="285">
        <f t="shared" si="203"/>
        <v>1.5</v>
      </c>
      <c r="X976" s="289" t="e">
        <f t="shared" si="204"/>
        <v>#VALUE!</v>
      </c>
      <c r="Y976" s="288" t="e">
        <f t="shared" si="205"/>
        <v>#VALUE!</v>
      </c>
      <c r="Z976" s="256">
        <f t="shared" si="206"/>
        <v>181.74993027852094</v>
      </c>
      <c r="AA976" s="289" t="e">
        <f t="shared" si="207"/>
        <v>#VALUE!</v>
      </c>
      <c r="AB976" s="288" t="e">
        <f t="shared" si="208"/>
        <v>#VALUE!</v>
      </c>
    </row>
    <row r="977" spans="13:28" ht="12" hidden="1" customHeight="1">
      <c r="M977" s="266"/>
      <c r="N977" s="288" t="str">
        <f t="shared" si="209"/>
        <v/>
      </c>
      <c r="O977" s="285">
        <f t="shared" si="195"/>
        <v>150</v>
      </c>
      <c r="P977" s="289">
        <f t="shared" si="196"/>
        <v>4000000</v>
      </c>
      <c r="Q977" s="285">
        <f t="shared" si="197"/>
        <v>110</v>
      </c>
      <c r="R977" s="285">
        <f t="shared" si="198"/>
        <v>85</v>
      </c>
      <c r="S977" s="285">
        <f t="shared" si="199"/>
        <v>0.35</v>
      </c>
      <c r="T977" s="285">
        <f t="shared" si="200"/>
        <v>3.2</v>
      </c>
      <c r="U977" s="285">
        <f t="shared" si="201"/>
        <v>1</v>
      </c>
      <c r="V977" s="285">
        <f t="shared" si="202"/>
        <v>4.5</v>
      </c>
      <c r="W977" s="285">
        <f t="shared" si="203"/>
        <v>1.5</v>
      </c>
      <c r="X977" s="289" t="e">
        <f t="shared" si="204"/>
        <v>#VALUE!</v>
      </c>
      <c r="Y977" s="288" t="e">
        <f t="shared" si="205"/>
        <v>#VALUE!</v>
      </c>
      <c r="Z977" s="256">
        <f t="shared" si="206"/>
        <v>181.74993027852094</v>
      </c>
      <c r="AA977" s="289" t="e">
        <f t="shared" si="207"/>
        <v>#VALUE!</v>
      </c>
      <c r="AB977" s="288" t="e">
        <f t="shared" si="208"/>
        <v>#VALUE!</v>
      </c>
    </row>
    <row r="978" spans="13:28" ht="12" hidden="1" customHeight="1">
      <c r="M978" s="266"/>
      <c r="N978" s="288" t="str">
        <f t="shared" si="209"/>
        <v/>
      </c>
      <c r="O978" s="285">
        <f t="shared" si="195"/>
        <v>150</v>
      </c>
      <c r="P978" s="289">
        <f t="shared" si="196"/>
        <v>4000000</v>
      </c>
      <c r="Q978" s="285">
        <f t="shared" si="197"/>
        <v>110</v>
      </c>
      <c r="R978" s="285">
        <f t="shared" si="198"/>
        <v>85</v>
      </c>
      <c r="S978" s="285">
        <f t="shared" si="199"/>
        <v>0.35</v>
      </c>
      <c r="T978" s="285">
        <f t="shared" si="200"/>
        <v>3.2</v>
      </c>
      <c r="U978" s="285">
        <f t="shared" si="201"/>
        <v>1</v>
      </c>
      <c r="V978" s="285">
        <f t="shared" si="202"/>
        <v>4.5</v>
      </c>
      <c r="W978" s="285">
        <f t="shared" si="203"/>
        <v>1.5</v>
      </c>
      <c r="X978" s="289" t="e">
        <f t="shared" si="204"/>
        <v>#VALUE!</v>
      </c>
      <c r="Y978" s="288" t="e">
        <f t="shared" si="205"/>
        <v>#VALUE!</v>
      </c>
      <c r="Z978" s="256">
        <f t="shared" si="206"/>
        <v>181.74993027852094</v>
      </c>
      <c r="AA978" s="289" t="e">
        <f t="shared" si="207"/>
        <v>#VALUE!</v>
      </c>
      <c r="AB978" s="288" t="e">
        <f t="shared" si="208"/>
        <v>#VALUE!</v>
      </c>
    </row>
    <row r="979" spans="13:28" ht="12" hidden="1" customHeight="1">
      <c r="M979" s="266"/>
      <c r="N979" s="288" t="str">
        <f t="shared" si="209"/>
        <v/>
      </c>
      <c r="O979" s="285">
        <f t="shared" si="195"/>
        <v>150</v>
      </c>
      <c r="P979" s="289">
        <f t="shared" si="196"/>
        <v>4000000</v>
      </c>
      <c r="Q979" s="285">
        <f t="shared" si="197"/>
        <v>110</v>
      </c>
      <c r="R979" s="285">
        <f t="shared" si="198"/>
        <v>85</v>
      </c>
      <c r="S979" s="285">
        <f t="shared" si="199"/>
        <v>0.35</v>
      </c>
      <c r="T979" s="285">
        <f t="shared" si="200"/>
        <v>3.2</v>
      </c>
      <c r="U979" s="285">
        <f t="shared" si="201"/>
        <v>1</v>
      </c>
      <c r="V979" s="285">
        <f t="shared" si="202"/>
        <v>4.5</v>
      </c>
      <c r="W979" s="285">
        <f t="shared" si="203"/>
        <v>1.5</v>
      </c>
      <c r="X979" s="289" t="e">
        <f t="shared" si="204"/>
        <v>#VALUE!</v>
      </c>
      <c r="Y979" s="288" t="e">
        <f t="shared" si="205"/>
        <v>#VALUE!</v>
      </c>
      <c r="Z979" s="256">
        <f t="shared" si="206"/>
        <v>181.74993027852094</v>
      </c>
      <c r="AA979" s="289" t="e">
        <f t="shared" si="207"/>
        <v>#VALUE!</v>
      </c>
      <c r="AB979" s="288" t="e">
        <f t="shared" si="208"/>
        <v>#VALUE!</v>
      </c>
    </row>
    <row r="980" spans="13:28" ht="12" hidden="1" customHeight="1">
      <c r="M980" s="266"/>
      <c r="N980" s="288" t="str">
        <f t="shared" si="209"/>
        <v/>
      </c>
      <c r="O980" s="285">
        <f t="shared" si="195"/>
        <v>150</v>
      </c>
      <c r="P980" s="289">
        <f t="shared" si="196"/>
        <v>4000000</v>
      </c>
      <c r="Q980" s="285">
        <f t="shared" si="197"/>
        <v>110</v>
      </c>
      <c r="R980" s="285">
        <f t="shared" si="198"/>
        <v>85</v>
      </c>
      <c r="S980" s="285">
        <f t="shared" si="199"/>
        <v>0.35</v>
      </c>
      <c r="T980" s="285">
        <f t="shared" si="200"/>
        <v>3.2</v>
      </c>
      <c r="U980" s="285">
        <f t="shared" si="201"/>
        <v>1</v>
      </c>
      <c r="V980" s="285">
        <f t="shared" si="202"/>
        <v>4.5</v>
      </c>
      <c r="W980" s="285">
        <f t="shared" si="203"/>
        <v>1.5</v>
      </c>
      <c r="X980" s="289" t="e">
        <f t="shared" si="204"/>
        <v>#VALUE!</v>
      </c>
      <c r="Y980" s="288" t="e">
        <f t="shared" si="205"/>
        <v>#VALUE!</v>
      </c>
      <c r="Z980" s="256">
        <f t="shared" si="206"/>
        <v>181.74993027852094</v>
      </c>
      <c r="AA980" s="289" t="e">
        <f t="shared" si="207"/>
        <v>#VALUE!</v>
      </c>
      <c r="AB980" s="288" t="e">
        <f t="shared" si="208"/>
        <v>#VALUE!</v>
      </c>
    </row>
    <row r="981" spans="13:28" ht="12" hidden="1" customHeight="1">
      <c r="M981" s="266"/>
      <c r="N981" s="288" t="str">
        <f t="shared" si="209"/>
        <v/>
      </c>
      <c r="O981" s="285">
        <f t="shared" si="195"/>
        <v>150</v>
      </c>
      <c r="P981" s="289">
        <f t="shared" si="196"/>
        <v>4000000</v>
      </c>
      <c r="Q981" s="285">
        <f t="shared" si="197"/>
        <v>110</v>
      </c>
      <c r="R981" s="285">
        <f t="shared" si="198"/>
        <v>85</v>
      </c>
      <c r="S981" s="285">
        <f t="shared" si="199"/>
        <v>0.35</v>
      </c>
      <c r="T981" s="285">
        <f t="shared" si="200"/>
        <v>3.2</v>
      </c>
      <c r="U981" s="285">
        <f t="shared" si="201"/>
        <v>1</v>
      </c>
      <c r="V981" s="285">
        <f t="shared" si="202"/>
        <v>4.5</v>
      </c>
      <c r="W981" s="285">
        <f t="shared" si="203"/>
        <v>1.5</v>
      </c>
      <c r="X981" s="289" t="e">
        <f t="shared" si="204"/>
        <v>#VALUE!</v>
      </c>
      <c r="Y981" s="288" t="e">
        <f t="shared" si="205"/>
        <v>#VALUE!</v>
      </c>
      <c r="Z981" s="256">
        <f t="shared" si="206"/>
        <v>181.74993027852094</v>
      </c>
      <c r="AA981" s="289" t="e">
        <f t="shared" si="207"/>
        <v>#VALUE!</v>
      </c>
      <c r="AB981" s="288" t="e">
        <f t="shared" si="208"/>
        <v>#VALUE!</v>
      </c>
    </row>
    <row r="982" spans="13:28" ht="12" hidden="1" customHeight="1">
      <c r="M982" s="266"/>
      <c r="N982" s="288" t="str">
        <f t="shared" si="209"/>
        <v/>
      </c>
      <c r="O982" s="285">
        <f t="shared" si="195"/>
        <v>150</v>
      </c>
      <c r="P982" s="289">
        <f t="shared" si="196"/>
        <v>4000000</v>
      </c>
      <c r="Q982" s="285">
        <f t="shared" si="197"/>
        <v>110</v>
      </c>
      <c r="R982" s="285">
        <f t="shared" si="198"/>
        <v>85</v>
      </c>
      <c r="S982" s="285">
        <f t="shared" si="199"/>
        <v>0.35</v>
      </c>
      <c r="T982" s="285">
        <f t="shared" si="200"/>
        <v>3.2</v>
      </c>
      <c r="U982" s="285">
        <f t="shared" si="201"/>
        <v>1</v>
      </c>
      <c r="V982" s="285">
        <f t="shared" si="202"/>
        <v>4.5</v>
      </c>
      <c r="W982" s="285">
        <f t="shared" si="203"/>
        <v>1.5</v>
      </c>
      <c r="X982" s="289" t="e">
        <f t="shared" si="204"/>
        <v>#VALUE!</v>
      </c>
      <c r="Y982" s="288" t="e">
        <f t="shared" si="205"/>
        <v>#VALUE!</v>
      </c>
      <c r="Z982" s="256">
        <f t="shared" si="206"/>
        <v>181.74993027852094</v>
      </c>
      <c r="AA982" s="289" t="e">
        <f t="shared" si="207"/>
        <v>#VALUE!</v>
      </c>
      <c r="AB982" s="288" t="e">
        <f t="shared" si="208"/>
        <v>#VALUE!</v>
      </c>
    </row>
    <row r="983" spans="13:28" ht="12" hidden="1" customHeight="1">
      <c r="M983" s="266"/>
      <c r="N983" s="288" t="str">
        <f t="shared" si="209"/>
        <v/>
      </c>
      <c r="O983" s="285">
        <f t="shared" si="195"/>
        <v>150</v>
      </c>
      <c r="P983" s="289">
        <f t="shared" si="196"/>
        <v>4000000</v>
      </c>
      <c r="Q983" s="285">
        <f t="shared" si="197"/>
        <v>110</v>
      </c>
      <c r="R983" s="285">
        <f t="shared" si="198"/>
        <v>85</v>
      </c>
      <c r="S983" s="285">
        <f t="shared" si="199"/>
        <v>0.35</v>
      </c>
      <c r="T983" s="285">
        <f t="shared" si="200"/>
        <v>3.2</v>
      </c>
      <c r="U983" s="285">
        <f t="shared" si="201"/>
        <v>1</v>
      </c>
      <c r="V983" s="285">
        <f t="shared" si="202"/>
        <v>4.5</v>
      </c>
      <c r="W983" s="285">
        <f t="shared" si="203"/>
        <v>1.5</v>
      </c>
      <c r="X983" s="289" t="e">
        <f t="shared" si="204"/>
        <v>#VALUE!</v>
      </c>
      <c r="Y983" s="288" t="e">
        <f t="shared" si="205"/>
        <v>#VALUE!</v>
      </c>
      <c r="Z983" s="256">
        <f t="shared" si="206"/>
        <v>181.74993027852094</v>
      </c>
      <c r="AA983" s="289" t="e">
        <f t="shared" si="207"/>
        <v>#VALUE!</v>
      </c>
      <c r="AB983" s="288" t="e">
        <f t="shared" si="208"/>
        <v>#VALUE!</v>
      </c>
    </row>
    <row r="984" spans="13:28" ht="12" hidden="1" customHeight="1">
      <c r="M984" s="266"/>
      <c r="N984" s="288" t="str">
        <f t="shared" si="209"/>
        <v/>
      </c>
      <c r="O984" s="285">
        <f t="shared" si="195"/>
        <v>150</v>
      </c>
      <c r="P984" s="289">
        <f t="shared" si="196"/>
        <v>4000000</v>
      </c>
      <c r="Q984" s="285">
        <f t="shared" si="197"/>
        <v>110</v>
      </c>
      <c r="R984" s="285">
        <f t="shared" si="198"/>
        <v>85</v>
      </c>
      <c r="S984" s="285">
        <f t="shared" si="199"/>
        <v>0.35</v>
      </c>
      <c r="T984" s="285">
        <f t="shared" si="200"/>
        <v>3.2</v>
      </c>
      <c r="U984" s="285">
        <f t="shared" si="201"/>
        <v>1</v>
      </c>
      <c r="V984" s="285">
        <f t="shared" si="202"/>
        <v>4.5</v>
      </c>
      <c r="W984" s="285">
        <f t="shared" si="203"/>
        <v>1.5</v>
      </c>
      <c r="X984" s="289" t="e">
        <f t="shared" si="204"/>
        <v>#VALUE!</v>
      </c>
      <c r="Y984" s="288" t="e">
        <f t="shared" si="205"/>
        <v>#VALUE!</v>
      </c>
      <c r="Z984" s="256">
        <f t="shared" si="206"/>
        <v>181.74993027852094</v>
      </c>
      <c r="AA984" s="289" t="e">
        <f t="shared" si="207"/>
        <v>#VALUE!</v>
      </c>
      <c r="AB984" s="288" t="e">
        <f t="shared" si="208"/>
        <v>#VALUE!</v>
      </c>
    </row>
    <row r="985" spans="13:28" ht="12" hidden="1" customHeight="1">
      <c r="M985" s="266"/>
      <c r="N985" s="288" t="str">
        <f t="shared" si="209"/>
        <v/>
      </c>
      <c r="O985" s="285">
        <f t="shared" si="195"/>
        <v>150</v>
      </c>
      <c r="P985" s="289">
        <f t="shared" si="196"/>
        <v>4000000</v>
      </c>
      <c r="Q985" s="285">
        <f t="shared" si="197"/>
        <v>110</v>
      </c>
      <c r="R985" s="285">
        <f t="shared" si="198"/>
        <v>85</v>
      </c>
      <c r="S985" s="285">
        <f t="shared" si="199"/>
        <v>0.35</v>
      </c>
      <c r="T985" s="285">
        <f t="shared" si="200"/>
        <v>3.2</v>
      </c>
      <c r="U985" s="285">
        <f t="shared" si="201"/>
        <v>1</v>
      </c>
      <c r="V985" s="285">
        <f t="shared" si="202"/>
        <v>4.5</v>
      </c>
      <c r="W985" s="285">
        <f t="shared" si="203"/>
        <v>1.5</v>
      </c>
      <c r="X985" s="289" t="e">
        <f t="shared" si="204"/>
        <v>#VALUE!</v>
      </c>
      <c r="Y985" s="288" t="e">
        <f t="shared" si="205"/>
        <v>#VALUE!</v>
      </c>
      <c r="Z985" s="256">
        <f t="shared" si="206"/>
        <v>181.74993027852094</v>
      </c>
      <c r="AA985" s="289" t="e">
        <f t="shared" si="207"/>
        <v>#VALUE!</v>
      </c>
      <c r="AB985" s="288" t="e">
        <f t="shared" si="208"/>
        <v>#VALUE!</v>
      </c>
    </row>
    <row r="986" spans="13:28" ht="12" hidden="1" customHeight="1">
      <c r="M986" s="266"/>
      <c r="N986" s="288" t="str">
        <f t="shared" si="209"/>
        <v/>
      </c>
      <c r="O986" s="285">
        <f t="shared" si="195"/>
        <v>150</v>
      </c>
      <c r="P986" s="289">
        <f t="shared" si="196"/>
        <v>4000000</v>
      </c>
      <c r="Q986" s="285">
        <f t="shared" si="197"/>
        <v>110</v>
      </c>
      <c r="R986" s="285">
        <f t="shared" si="198"/>
        <v>85</v>
      </c>
      <c r="S986" s="285">
        <f t="shared" si="199"/>
        <v>0.35</v>
      </c>
      <c r="T986" s="285">
        <f t="shared" si="200"/>
        <v>3.2</v>
      </c>
      <c r="U986" s="285">
        <f t="shared" si="201"/>
        <v>1</v>
      </c>
      <c r="V986" s="285">
        <f t="shared" si="202"/>
        <v>4.5</v>
      </c>
      <c r="W986" s="285">
        <f t="shared" si="203"/>
        <v>1.5</v>
      </c>
      <c r="X986" s="289" t="e">
        <f t="shared" si="204"/>
        <v>#VALUE!</v>
      </c>
      <c r="Y986" s="288" t="e">
        <f t="shared" si="205"/>
        <v>#VALUE!</v>
      </c>
      <c r="Z986" s="256">
        <f t="shared" si="206"/>
        <v>181.74993027852094</v>
      </c>
      <c r="AA986" s="289" t="e">
        <f t="shared" si="207"/>
        <v>#VALUE!</v>
      </c>
      <c r="AB986" s="288" t="e">
        <f t="shared" si="208"/>
        <v>#VALUE!</v>
      </c>
    </row>
    <row r="987" spans="13:28" ht="12" hidden="1" customHeight="1">
      <c r="M987" s="266"/>
      <c r="N987" s="288" t="str">
        <f t="shared" si="209"/>
        <v/>
      </c>
      <c r="O987" s="285">
        <f t="shared" si="195"/>
        <v>150</v>
      </c>
      <c r="P987" s="289">
        <f t="shared" si="196"/>
        <v>4000000</v>
      </c>
      <c r="Q987" s="285">
        <f t="shared" si="197"/>
        <v>110</v>
      </c>
      <c r="R987" s="285">
        <f t="shared" si="198"/>
        <v>85</v>
      </c>
      <c r="S987" s="285">
        <f t="shared" si="199"/>
        <v>0.35</v>
      </c>
      <c r="T987" s="285">
        <f t="shared" si="200"/>
        <v>3.2</v>
      </c>
      <c r="U987" s="285">
        <f t="shared" si="201"/>
        <v>1</v>
      </c>
      <c r="V987" s="285">
        <f t="shared" si="202"/>
        <v>4.5</v>
      </c>
      <c r="W987" s="285">
        <f t="shared" si="203"/>
        <v>1.5</v>
      </c>
      <c r="X987" s="289" t="e">
        <f t="shared" si="204"/>
        <v>#VALUE!</v>
      </c>
      <c r="Y987" s="288" t="e">
        <f t="shared" si="205"/>
        <v>#VALUE!</v>
      </c>
      <c r="Z987" s="256">
        <f t="shared" si="206"/>
        <v>181.74993027852094</v>
      </c>
      <c r="AA987" s="289" t="e">
        <f t="shared" si="207"/>
        <v>#VALUE!</v>
      </c>
      <c r="AB987" s="288" t="e">
        <f t="shared" si="208"/>
        <v>#VALUE!</v>
      </c>
    </row>
    <row r="988" spans="13:28" ht="12" hidden="1" customHeight="1">
      <c r="M988" s="266"/>
      <c r="N988" s="288" t="str">
        <f t="shared" si="209"/>
        <v/>
      </c>
      <c r="O988" s="285">
        <f t="shared" si="195"/>
        <v>150</v>
      </c>
      <c r="P988" s="289">
        <f t="shared" si="196"/>
        <v>4000000</v>
      </c>
      <c r="Q988" s="285">
        <f t="shared" si="197"/>
        <v>110</v>
      </c>
      <c r="R988" s="285">
        <f t="shared" si="198"/>
        <v>85</v>
      </c>
      <c r="S988" s="285">
        <f t="shared" si="199"/>
        <v>0.35</v>
      </c>
      <c r="T988" s="285">
        <f t="shared" si="200"/>
        <v>3.2</v>
      </c>
      <c r="U988" s="285">
        <f t="shared" si="201"/>
        <v>1</v>
      </c>
      <c r="V988" s="285">
        <f t="shared" si="202"/>
        <v>4.5</v>
      </c>
      <c r="W988" s="285">
        <f t="shared" si="203"/>
        <v>1.5</v>
      </c>
      <c r="X988" s="289" t="e">
        <f t="shared" si="204"/>
        <v>#VALUE!</v>
      </c>
      <c r="Y988" s="288" t="e">
        <f t="shared" si="205"/>
        <v>#VALUE!</v>
      </c>
      <c r="Z988" s="256">
        <f t="shared" si="206"/>
        <v>181.74993027852094</v>
      </c>
      <c r="AA988" s="289" t="e">
        <f t="shared" si="207"/>
        <v>#VALUE!</v>
      </c>
      <c r="AB988" s="288" t="e">
        <f t="shared" si="208"/>
        <v>#VALUE!</v>
      </c>
    </row>
    <row r="989" spans="13:28" ht="12" hidden="1" customHeight="1">
      <c r="M989" s="266"/>
      <c r="N989" s="288" t="str">
        <f t="shared" si="209"/>
        <v/>
      </c>
      <c r="O989" s="285">
        <f t="shared" si="195"/>
        <v>150</v>
      </c>
      <c r="P989" s="289">
        <f t="shared" si="196"/>
        <v>4000000</v>
      </c>
      <c r="Q989" s="285">
        <f t="shared" si="197"/>
        <v>110</v>
      </c>
      <c r="R989" s="285">
        <f t="shared" si="198"/>
        <v>85</v>
      </c>
      <c r="S989" s="285">
        <f t="shared" si="199"/>
        <v>0.35</v>
      </c>
      <c r="T989" s="285">
        <f t="shared" si="200"/>
        <v>3.2</v>
      </c>
      <c r="U989" s="285">
        <f t="shared" si="201"/>
        <v>1</v>
      </c>
      <c r="V989" s="285">
        <f t="shared" si="202"/>
        <v>4.5</v>
      </c>
      <c r="W989" s="285">
        <f t="shared" si="203"/>
        <v>1.5</v>
      </c>
      <c r="X989" s="289" t="e">
        <f t="shared" si="204"/>
        <v>#VALUE!</v>
      </c>
      <c r="Y989" s="288" t="e">
        <f t="shared" si="205"/>
        <v>#VALUE!</v>
      </c>
      <c r="Z989" s="256">
        <f t="shared" si="206"/>
        <v>181.74993027852094</v>
      </c>
      <c r="AA989" s="289" t="e">
        <f t="shared" si="207"/>
        <v>#VALUE!</v>
      </c>
      <c r="AB989" s="288" t="e">
        <f t="shared" si="208"/>
        <v>#VALUE!</v>
      </c>
    </row>
    <row r="990" spans="13:28" ht="12" hidden="1" customHeight="1">
      <c r="M990" s="266"/>
      <c r="N990" s="288" t="str">
        <f t="shared" si="209"/>
        <v/>
      </c>
      <c r="O990" s="285">
        <f t="shared" ref="O990:O1053" si="210">PCC_MR</f>
        <v>150</v>
      </c>
      <c r="P990" s="289">
        <f t="shared" ref="P990:P1053" si="211">PCC_ME</f>
        <v>4000000</v>
      </c>
      <c r="Q990" s="285">
        <f t="shared" ref="Q990:Q1053" si="212">K_MODULE</f>
        <v>110</v>
      </c>
      <c r="R990" s="285">
        <f t="shared" ref="R990:R1053" si="213">R_</f>
        <v>85</v>
      </c>
      <c r="S990" s="285">
        <f t="shared" ref="S990:S1053" si="214">So</f>
        <v>0.35</v>
      </c>
      <c r="T990" s="285">
        <f t="shared" ref="T990:T1053" si="215">J_</f>
        <v>3.2</v>
      </c>
      <c r="U990" s="285">
        <f t="shared" ref="U990:U1053" si="216">Cd_</f>
        <v>1</v>
      </c>
      <c r="V990" s="285">
        <f t="shared" ref="V990:V1053" si="217">Pi</f>
        <v>4.5</v>
      </c>
      <c r="W990" s="285">
        <f t="shared" ref="W990:W1053" si="218">Pt</f>
        <v>1.5</v>
      </c>
      <c r="X990" s="289" t="e">
        <f t="shared" ref="X990:X1053" si="219">10^(-NORMSINV(R990/100)*S990+7.35*LOG10(N990+1)-0.06+((LOG10((V990-W990)/3))/(1+((1.625*10^7)/((N990+1)^8.46))))+((4.22-0.32*W990)*LOG10((O990*U990*((N990^0.75)-1.132))/(215.63*T990*((N990^0.75)-18.42*(Q990/P990)^0.25)))))</f>
        <v>#VALUE!</v>
      </c>
      <c r="Y990" s="288" t="e">
        <f t="shared" ref="Y990:Y1053" si="220">+X990/ESALS</f>
        <v>#VALUE!</v>
      </c>
      <c r="Z990" s="256">
        <f t="shared" ref="Z990:Z1053" si="221">PCC_IMR</f>
        <v>181.74993027852094</v>
      </c>
      <c r="AA990" s="289" t="e">
        <f t="shared" ref="AA990:AA1053" si="222">10^(-NORMSINV(R990/100)*S990+7.35*LOG10(N990+1)-0.06+((LOG10((V990-W990)/3))/(1+((1.625*10^7)/((N990+1)^8.46))))+((4.22-0.32*W990)*LOG10((Z990*U990*((N990^0.75)-1.132))/(215.63*T990*((N990^0.75)-18.42*(Q990/P990)^0.25)))))</f>
        <v>#VALUE!</v>
      </c>
      <c r="AB990" s="288" t="e">
        <f t="shared" ref="AB990:AB1053" si="223">+AA990/ESALS</f>
        <v>#VALUE!</v>
      </c>
    </row>
    <row r="991" spans="13:28" ht="12" hidden="1" customHeight="1">
      <c r="M991" s="266"/>
      <c r="N991" s="288" t="str">
        <f t="shared" ref="N991:N1054" si="224">IF(N990 = "", "", IF(AND(0.995*ESALS&lt;=X990,X990&lt;=1.005*ESALS),"",(N990+D_Step)))</f>
        <v/>
      </c>
      <c r="O991" s="285">
        <f t="shared" si="210"/>
        <v>150</v>
      </c>
      <c r="P991" s="289">
        <f t="shared" si="211"/>
        <v>4000000</v>
      </c>
      <c r="Q991" s="285">
        <f t="shared" si="212"/>
        <v>110</v>
      </c>
      <c r="R991" s="285">
        <f t="shared" si="213"/>
        <v>85</v>
      </c>
      <c r="S991" s="285">
        <f t="shared" si="214"/>
        <v>0.35</v>
      </c>
      <c r="T991" s="285">
        <f t="shared" si="215"/>
        <v>3.2</v>
      </c>
      <c r="U991" s="285">
        <f t="shared" si="216"/>
        <v>1</v>
      </c>
      <c r="V991" s="285">
        <f t="shared" si="217"/>
        <v>4.5</v>
      </c>
      <c r="W991" s="285">
        <f t="shared" si="218"/>
        <v>1.5</v>
      </c>
      <c r="X991" s="289" t="e">
        <f t="shared" si="219"/>
        <v>#VALUE!</v>
      </c>
      <c r="Y991" s="288" t="e">
        <f t="shared" si="220"/>
        <v>#VALUE!</v>
      </c>
      <c r="Z991" s="256">
        <f t="shared" si="221"/>
        <v>181.74993027852094</v>
      </c>
      <c r="AA991" s="289" t="e">
        <f t="shared" si="222"/>
        <v>#VALUE!</v>
      </c>
      <c r="AB991" s="288" t="e">
        <f t="shared" si="223"/>
        <v>#VALUE!</v>
      </c>
    </row>
    <row r="992" spans="13:28" ht="12" hidden="1" customHeight="1">
      <c r="M992" s="266"/>
      <c r="N992" s="288" t="str">
        <f t="shared" si="224"/>
        <v/>
      </c>
      <c r="O992" s="285">
        <f t="shared" si="210"/>
        <v>150</v>
      </c>
      <c r="P992" s="289">
        <f t="shared" si="211"/>
        <v>4000000</v>
      </c>
      <c r="Q992" s="285">
        <f t="shared" si="212"/>
        <v>110</v>
      </c>
      <c r="R992" s="285">
        <f t="shared" si="213"/>
        <v>85</v>
      </c>
      <c r="S992" s="285">
        <f t="shared" si="214"/>
        <v>0.35</v>
      </c>
      <c r="T992" s="285">
        <f t="shared" si="215"/>
        <v>3.2</v>
      </c>
      <c r="U992" s="285">
        <f t="shared" si="216"/>
        <v>1</v>
      </c>
      <c r="V992" s="285">
        <f t="shared" si="217"/>
        <v>4.5</v>
      </c>
      <c r="W992" s="285">
        <f t="shared" si="218"/>
        <v>1.5</v>
      </c>
      <c r="X992" s="289" t="e">
        <f t="shared" si="219"/>
        <v>#VALUE!</v>
      </c>
      <c r="Y992" s="288" t="e">
        <f t="shared" si="220"/>
        <v>#VALUE!</v>
      </c>
      <c r="Z992" s="256">
        <f t="shared" si="221"/>
        <v>181.74993027852094</v>
      </c>
      <c r="AA992" s="289" t="e">
        <f t="shared" si="222"/>
        <v>#VALUE!</v>
      </c>
      <c r="AB992" s="288" t="e">
        <f t="shared" si="223"/>
        <v>#VALUE!</v>
      </c>
    </row>
    <row r="993" spans="13:28" ht="12" hidden="1" customHeight="1">
      <c r="M993" s="266"/>
      <c r="N993" s="288" t="str">
        <f t="shared" si="224"/>
        <v/>
      </c>
      <c r="O993" s="285">
        <f t="shared" si="210"/>
        <v>150</v>
      </c>
      <c r="P993" s="289">
        <f t="shared" si="211"/>
        <v>4000000</v>
      </c>
      <c r="Q993" s="285">
        <f t="shared" si="212"/>
        <v>110</v>
      </c>
      <c r="R993" s="285">
        <f t="shared" si="213"/>
        <v>85</v>
      </c>
      <c r="S993" s="285">
        <f t="shared" si="214"/>
        <v>0.35</v>
      </c>
      <c r="T993" s="285">
        <f t="shared" si="215"/>
        <v>3.2</v>
      </c>
      <c r="U993" s="285">
        <f t="shared" si="216"/>
        <v>1</v>
      </c>
      <c r="V993" s="285">
        <f t="shared" si="217"/>
        <v>4.5</v>
      </c>
      <c r="W993" s="285">
        <f t="shared" si="218"/>
        <v>1.5</v>
      </c>
      <c r="X993" s="289" t="e">
        <f t="shared" si="219"/>
        <v>#VALUE!</v>
      </c>
      <c r="Y993" s="288" t="e">
        <f t="shared" si="220"/>
        <v>#VALUE!</v>
      </c>
      <c r="Z993" s="256">
        <f t="shared" si="221"/>
        <v>181.74993027852094</v>
      </c>
      <c r="AA993" s="289" t="e">
        <f t="shared" si="222"/>
        <v>#VALUE!</v>
      </c>
      <c r="AB993" s="288" t="e">
        <f t="shared" si="223"/>
        <v>#VALUE!</v>
      </c>
    </row>
    <row r="994" spans="13:28" ht="12" hidden="1" customHeight="1">
      <c r="M994" s="266"/>
      <c r="N994" s="288" t="str">
        <f t="shared" si="224"/>
        <v/>
      </c>
      <c r="O994" s="285">
        <f t="shared" si="210"/>
        <v>150</v>
      </c>
      <c r="P994" s="289">
        <f t="shared" si="211"/>
        <v>4000000</v>
      </c>
      <c r="Q994" s="285">
        <f t="shared" si="212"/>
        <v>110</v>
      </c>
      <c r="R994" s="285">
        <f t="shared" si="213"/>
        <v>85</v>
      </c>
      <c r="S994" s="285">
        <f t="shared" si="214"/>
        <v>0.35</v>
      </c>
      <c r="T994" s="285">
        <f t="shared" si="215"/>
        <v>3.2</v>
      </c>
      <c r="U994" s="285">
        <f t="shared" si="216"/>
        <v>1</v>
      </c>
      <c r="V994" s="285">
        <f t="shared" si="217"/>
        <v>4.5</v>
      </c>
      <c r="W994" s="285">
        <f t="shared" si="218"/>
        <v>1.5</v>
      </c>
      <c r="X994" s="289" t="e">
        <f t="shared" si="219"/>
        <v>#VALUE!</v>
      </c>
      <c r="Y994" s="288" t="e">
        <f t="shared" si="220"/>
        <v>#VALUE!</v>
      </c>
      <c r="Z994" s="256">
        <f t="shared" si="221"/>
        <v>181.74993027852094</v>
      </c>
      <c r="AA994" s="289" t="e">
        <f t="shared" si="222"/>
        <v>#VALUE!</v>
      </c>
      <c r="AB994" s="288" t="e">
        <f t="shared" si="223"/>
        <v>#VALUE!</v>
      </c>
    </row>
    <row r="995" spans="13:28" ht="12" hidden="1" customHeight="1">
      <c r="M995" s="266"/>
      <c r="N995" s="288" t="str">
        <f t="shared" si="224"/>
        <v/>
      </c>
      <c r="O995" s="285">
        <f t="shared" si="210"/>
        <v>150</v>
      </c>
      <c r="P995" s="289">
        <f t="shared" si="211"/>
        <v>4000000</v>
      </c>
      <c r="Q995" s="285">
        <f t="shared" si="212"/>
        <v>110</v>
      </c>
      <c r="R995" s="285">
        <f t="shared" si="213"/>
        <v>85</v>
      </c>
      <c r="S995" s="285">
        <f t="shared" si="214"/>
        <v>0.35</v>
      </c>
      <c r="T995" s="285">
        <f t="shared" si="215"/>
        <v>3.2</v>
      </c>
      <c r="U995" s="285">
        <f t="shared" si="216"/>
        <v>1</v>
      </c>
      <c r="V995" s="285">
        <f t="shared" si="217"/>
        <v>4.5</v>
      </c>
      <c r="W995" s="285">
        <f t="shared" si="218"/>
        <v>1.5</v>
      </c>
      <c r="X995" s="289" t="e">
        <f t="shared" si="219"/>
        <v>#VALUE!</v>
      </c>
      <c r="Y995" s="288" t="e">
        <f t="shared" si="220"/>
        <v>#VALUE!</v>
      </c>
      <c r="Z995" s="256">
        <f t="shared" si="221"/>
        <v>181.74993027852094</v>
      </c>
      <c r="AA995" s="289" t="e">
        <f t="shared" si="222"/>
        <v>#VALUE!</v>
      </c>
      <c r="AB995" s="288" t="e">
        <f t="shared" si="223"/>
        <v>#VALUE!</v>
      </c>
    </row>
    <row r="996" spans="13:28" ht="12" hidden="1" customHeight="1">
      <c r="M996" s="266"/>
      <c r="N996" s="288" t="str">
        <f t="shared" si="224"/>
        <v/>
      </c>
      <c r="O996" s="285">
        <f t="shared" si="210"/>
        <v>150</v>
      </c>
      <c r="P996" s="289">
        <f t="shared" si="211"/>
        <v>4000000</v>
      </c>
      <c r="Q996" s="285">
        <f t="shared" si="212"/>
        <v>110</v>
      </c>
      <c r="R996" s="285">
        <f t="shared" si="213"/>
        <v>85</v>
      </c>
      <c r="S996" s="285">
        <f t="shared" si="214"/>
        <v>0.35</v>
      </c>
      <c r="T996" s="285">
        <f t="shared" si="215"/>
        <v>3.2</v>
      </c>
      <c r="U996" s="285">
        <f t="shared" si="216"/>
        <v>1</v>
      </c>
      <c r="V996" s="285">
        <f t="shared" si="217"/>
        <v>4.5</v>
      </c>
      <c r="W996" s="285">
        <f t="shared" si="218"/>
        <v>1.5</v>
      </c>
      <c r="X996" s="289" t="e">
        <f t="shared" si="219"/>
        <v>#VALUE!</v>
      </c>
      <c r="Y996" s="288" t="e">
        <f t="shared" si="220"/>
        <v>#VALUE!</v>
      </c>
      <c r="Z996" s="256">
        <f t="shared" si="221"/>
        <v>181.74993027852094</v>
      </c>
      <c r="AA996" s="289" t="e">
        <f t="shared" si="222"/>
        <v>#VALUE!</v>
      </c>
      <c r="AB996" s="288" t="e">
        <f t="shared" si="223"/>
        <v>#VALUE!</v>
      </c>
    </row>
    <row r="997" spans="13:28" ht="12" hidden="1" customHeight="1">
      <c r="M997" s="266"/>
      <c r="N997" s="288" t="str">
        <f t="shared" si="224"/>
        <v/>
      </c>
      <c r="O997" s="285">
        <f t="shared" si="210"/>
        <v>150</v>
      </c>
      <c r="P997" s="289">
        <f t="shared" si="211"/>
        <v>4000000</v>
      </c>
      <c r="Q997" s="285">
        <f t="shared" si="212"/>
        <v>110</v>
      </c>
      <c r="R997" s="285">
        <f t="shared" si="213"/>
        <v>85</v>
      </c>
      <c r="S997" s="285">
        <f t="shared" si="214"/>
        <v>0.35</v>
      </c>
      <c r="T997" s="285">
        <f t="shared" si="215"/>
        <v>3.2</v>
      </c>
      <c r="U997" s="285">
        <f t="shared" si="216"/>
        <v>1</v>
      </c>
      <c r="V997" s="285">
        <f t="shared" si="217"/>
        <v>4.5</v>
      </c>
      <c r="W997" s="285">
        <f t="shared" si="218"/>
        <v>1.5</v>
      </c>
      <c r="X997" s="289" t="e">
        <f t="shared" si="219"/>
        <v>#VALUE!</v>
      </c>
      <c r="Y997" s="288" t="e">
        <f t="shared" si="220"/>
        <v>#VALUE!</v>
      </c>
      <c r="Z997" s="256">
        <f t="shared" si="221"/>
        <v>181.74993027852094</v>
      </c>
      <c r="AA997" s="289" t="e">
        <f t="shared" si="222"/>
        <v>#VALUE!</v>
      </c>
      <c r="AB997" s="288" t="e">
        <f t="shared" si="223"/>
        <v>#VALUE!</v>
      </c>
    </row>
    <row r="998" spans="13:28" ht="12" hidden="1" customHeight="1">
      <c r="M998" s="266"/>
      <c r="N998" s="288" t="str">
        <f t="shared" si="224"/>
        <v/>
      </c>
      <c r="O998" s="285">
        <f t="shared" si="210"/>
        <v>150</v>
      </c>
      <c r="P998" s="289">
        <f t="shared" si="211"/>
        <v>4000000</v>
      </c>
      <c r="Q998" s="285">
        <f t="shared" si="212"/>
        <v>110</v>
      </c>
      <c r="R998" s="285">
        <f t="shared" si="213"/>
        <v>85</v>
      </c>
      <c r="S998" s="285">
        <f t="shared" si="214"/>
        <v>0.35</v>
      </c>
      <c r="T998" s="285">
        <f t="shared" si="215"/>
        <v>3.2</v>
      </c>
      <c r="U998" s="285">
        <f t="shared" si="216"/>
        <v>1</v>
      </c>
      <c r="V998" s="285">
        <f t="shared" si="217"/>
        <v>4.5</v>
      </c>
      <c r="W998" s="285">
        <f t="shared" si="218"/>
        <v>1.5</v>
      </c>
      <c r="X998" s="289" t="e">
        <f t="shared" si="219"/>
        <v>#VALUE!</v>
      </c>
      <c r="Y998" s="288" t="e">
        <f t="shared" si="220"/>
        <v>#VALUE!</v>
      </c>
      <c r="Z998" s="256">
        <f t="shared" si="221"/>
        <v>181.74993027852094</v>
      </c>
      <c r="AA998" s="289" t="e">
        <f t="shared" si="222"/>
        <v>#VALUE!</v>
      </c>
      <c r="AB998" s="288" t="e">
        <f t="shared" si="223"/>
        <v>#VALUE!</v>
      </c>
    </row>
    <row r="999" spans="13:28" ht="12" hidden="1" customHeight="1">
      <c r="M999" s="266"/>
      <c r="N999" s="288" t="str">
        <f t="shared" si="224"/>
        <v/>
      </c>
      <c r="O999" s="285">
        <f t="shared" si="210"/>
        <v>150</v>
      </c>
      <c r="P999" s="289">
        <f t="shared" si="211"/>
        <v>4000000</v>
      </c>
      <c r="Q999" s="285">
        <f t="shared" si="212"/>
        <v>110</v>
      </c>
      <c r="R999" s="285">
        <f t="shared" si="213"/>
        <v>85</v>
      </c>
      <c r="S999" s="285">
        <f t="shared" si="214"/>
        <v>0.35</v>
      </c>
      <c r="T999" s="285">
        <f t="shared" si="215"/>
        <v>3.2</v>
      </c>
      <c r="U999" s="285">
        <f t="shared" si="216"/>
        <v>1</v>
      </c>
      <c r="V999" s="285">
        <f t="shared" si="217"/>
        <v>4.5</v>
      </c>
      <c r="W999" s="285">
        <f t="shared" si="218"/>
        <v>1.5</v>
      </c>
      <c r="X999" s="289" t="e">
        <f t="shared" si="219"/>
        <v>#VALUE!</v>
      </c>
      <c r="Y999" s="288" t="e">
        <f t="shared" si="220"/>
        <v>#VALUE!</v>
      </c>
      <c r="Z999" s="256">
        <f t="shared" si="221"/>
        <v>181.74993027852094</v>
      </c>
      <c r="AA999" s="289" t="e">
        <f t="shared" si="222"/>
        <v>#VALUE!</v>
      </c>
      <c r="AB999" s="288" t="e">
        <f t="shared" si="223"/>
        <v>#VALUE!</v>
      </c>
    </row>
    <row r="1000" spans="13:28" ht="12" hidden="1" customHeight="1">
      <c r="M1000" s="266"/>
      <c r="N1000" s="288" t="str">
        <f t="shared" si="224"/>
        <v/>
      </c>
      <c r="O1000" s="285">
        <f t="shared" si="210"/>
        <v>150</v>
      </c>
      <c r="P1000" s="289">
        <f t="shared" si="211"/>
        <v>4000000</v>
      </c>
      <c r="Q1000" s="285">
        <f t="shared" si="212"/>
        <v>110</v>
      </c>
      <c r="R1000" s="285">
        <f t="shared" si="213"/>
        <v>85</v>
      </c>
      <c r="S1000" s="285">
        <f t="shared" si="214"/>
        <v>0.35</v>
      </c>
      <c r="T1000" s="285">
        <f t="shared" si="215"/>
        <v>3.2</v>
      </c>
      <c r="U1000" s="285">
        <f t="shared" si="216"/>
        <v>1</v>
      </c>
      <c r="V1000" s="285">
        <f t="shared" si="217"/>
        <v>4.5</v>
      </c>
      <c r="W1000" s="285">
        <f t="shared" si="218"/>
        <v>1.5</v>
      </c>
      <c r="X1000" s="289" t="e">
        <f t="shared" si="219"/>
        <v>#VALUE!</v>
      </c>
      <c r="Y1000" s="288" t="e">
        <f t="shared" si="220"/>
        <v>#VALUE!</v>
      </c>
      <c r="Z1000" s="256">
        <f t="shared" si="221"/>
        <v>181.74993027852094</v>
      </c>
      <c r="AA1000" s="289" t="e">
        <f t="shared" si="222"/>
        <v>#VALUE!</v>
      </c>
      <c r="AB1000" s="288" t="e">
        <f t="shared" si="223"/>
        <v>#VALUE!</v>
      </c>
    </row>
    <row r="1001" spans="13:28" ht="12" hidden="1" customHeight="1">
      <c r="M1001" s="266"/>
      <c r="N1001" s="288" t="str">
        <f t="shared" si="224"/>
        <v/>
      </c>
      <c r="O1001" s="285">
        <f t="shared" si="210"/>
        <v>150</v>
      </c>
      <c r="P1001" s="289">
        <f t="shared" si="211"/>
        <v>4000000</v>
      </c>
      <c r="Q1001" s="285">
        <f t="shared" si="212"/>
        <v>110</v>
      </c>
      <c r="R1001" s="285">
        <f t="shared" si="213"/>
        <v>85</v>
      </c>
      <c r="S1001" s="285">
        <f t="shared" si="214"/>
        <v>0.35</v>
      </c>
      <c r="T1001" s="285">
        <f t="shared" si="215"/>
        <v>3.2</v>
      </c>
      <c r="U1001" s="285">
        <f t="shared" si="216"/>
        <v>1</v>
      </c>
      <c r="V1001" s="285">
        <f t="shared" si="217"/>
        <v>4.5</v>
      </c>
      <c r="W1001" s="285">
        <f t="shared" si="218"/>
        <v>1.5</v>
      </c>
      <c r="X1001" s="289" t="e">
        <f t="shared" si="219"/>
        <v>#VALUE!</v>
      </c>
      <c r="Y1001" s="288" t="e">
        <f t="shared" si="220"/>
        <v>#VALUE!</v>
      </c>
      <c r="Z1001" s="256">
        <f t="shared" si="221"/>
        <v>181.74993027852094</v>
      </c>
      <c r="AA1001" s="289" t="e">
        <f t="shared" si="222"/>
        <v>#VALUE!</v>
      </c>
      <c r="AB1001" s="288" t="e">
        <f t="shared" si="223"/>
        <v>#VALUE!</v>
      </c>
    </row>
    <row r="1002" spans="13:28" ht="12" hidden="1" customHeight="1">
      <c r="M1002" s="266"/>
      <c r="N1002" s="288" t="str">
        <f t="shared" si="224"/>
        <v/>
      </c>
      <c r="O1002" s="285">
        <f t="shared" si="210"/>
        <v>150</v>
      </c>
      <c r="P1002" s="289">
        <f t="shared" si="211"/>
        <v>4000000</v>
      </c>
      <c r="Q1002" s="285">
        <f t="shared" si="212"/>
        <v>110</v>
      </c>
      <c r="R1002" s="285">
        <f t="shared" si="213"/>
        <v>85</v>
      </c>
      <c r="S1002" s="285">
        <f t="shared" si="214"/>
        <v>0.35</v>
      </c>
      <c r="T1002" s="285">
        <f t="shared" si="215"/>
        <v>3.2</v>
      </c>
      <c r="U1002" s="285">
        <f t="shared" si="216"/>
        <v>1</v>
      </c>
      <c r="V1002" s="285">
        <f t="shared" si="217"/>
        <v>4.5</v>
      </c>
      <c r="W1002" s="285">
        <f t="shared" si="218"/>
        <v>1.5</v>
      </c>
      <c r="X1002" s="289" t="e">
        <f t="shared" si="219"/>
        <v>#VALUE!</v>
      </c>
      <c r="Y1002" s="288" t="e">
        <f t="shared" si="220"/>
        <v>#VALUE!</v>
      </c>
      <c r="Z1002" s="256">
        <f t="shared" si="221"/>
        <v>181.74993027852094</v>
      </c>
      <c r="AA1002" s="289" t="e">
        <f t="shared" si="222"/>
        <v>#VALUE!</v>
      </c>
      <c r="AB1002" s="288" t="e">
        <f t="shared" si="223"/>
        <v>#VALUE!</v>
      </c>
    </row>
    <row r="1003" spans="13:28" ht="12" hidden="1" customHeight="1">
      <c r="M1003" s="266"/>
      <c r="N1003" s="288" t="str">
        <f t="shared" si="224"/>
        <v/>
      </c>
      <c r="O1003" s="285">
        <f t="shared" si="210"/>
        <v>150</v>
      </c>
      <c r="P1003" s="289">
        <f t="shared" si="211"/>
        <v>4000000</v>
      </c>
      <c r="Q1003" s="285">
        <f t="shared" si="212"/>
        <v>110</v>
      </c>
      <c r="R1003" s="285">
        <f t="shared" si="213"/>
        <v>85</v>
      </c>
      <c r="S1003" s="285">
        <f t="shared" si="214"/>
        <v>0.35</v>
      </c>
      <c r="T1003" s="285">
        <f t="shared" si="215"/>
        <v>3.2</v>
      </c>
      <c r="U1003" s="285">
        <f t="shared" si="216"/>
        <v>1</v>
      </c>
      <c r="V1003" s="285">
        <f t="shared" si="217"/>
        <v>4.5</v>
      </c>
      <c r="W1003" s="285">
        <f t="shared" si="218"/>
        <v>1.5</v>
      </c>
      <c r="X1003" s="289" t="e">
        <f t="shared" si="219"/>
        <v>#VALUE!</v>
      </c>
      <c r="Y1003" s="288" t="e">
        <f t="shared" si="220"/>
        <v>#VALUE!</v>
      </c>
      <c r="Z1003" s="256">
        <f t="shared" si="221"/>
        <v>181.74993027852094</v>
      </c>
      <c r="AA1003" s="289" t="e">
        <f t="shared" si="222"/>
        <v>#VALUE!</v>
      </c>
      <c r="AB1003" s="288" t="e">
        <f t="shared" si="223"/>
        <v>#VALUE!</v>
      </c>
    </row>
    <row r="1004" spans="13:28" ht="12" hidden="1" customHeight="1">
      <c r="M1004" s="266"/>
      <c r="N1004" s="288" t="str">
        <f t="shared" si="224"/>
        <v/>
      </c>
      <c r="O1004" s="285">
        <f t="shared" si="210"/>
        <v>150</v>
      </c>
      <c r="P1004" s="289">
        <f t="shared" si="211"/>
        <v>4000000</v>
      </c>
      <c r="Q1004" s="285">
        <f t="shared" si="212"/>
        <v>110</v>
      </c>
      <c r="R1004" s="285">
        <f t="shared" si="213"/>
        <v>85</v>
      </c>
      <c r="S1004" s="285">
        <f t="shared" si="214"/>
        <v>0.35</v>
      </c>
      <c r="T1004" s="285">
        <f t="shared" si="215"/>
        <v>3.2</v>
      </c>
      <c r="U1004" s="285">
        <f t="shared" si="216"/>
        <v>1</v>
      </c>
      <c r="V1004" s="285">
        <f t="shared" si="217"/>
        <v>4.5</v>
      </c>
      <c r="W1004" s="285">
        <f t="shared" si="218"/>
        <v>1.5</v>
      </c>
      <c r="X1004" s="289" t="e">
        <f t="shared" si="219"/>
        <v>#VALUE!</v>
      </c>
      <c r="Y1004" s="288" t="e">
        <f t="shared" si="220"/>
        <v>#VALUE!</v>
      </c>
      <c r="Z1004" s="256">
        <f t="shared" si="221"/>
        <v>181.74993027852094</v>
      </c>
      <c r="AA1004" s="289" t="e">
        <f t="shared" si="222"/>
        <v>#VALUE!</v>
      </c>
      <c r="AB1004" s="288" t="e">
        <f t="shared" si="223"/>
        <v>#VALUE!</v>
      </c>
    </row>
    <row r="1005" spans="13:28" ht="12" hidden="1" customHeight="1">
      <c r="M1005" s="266"/>
      <c r="N1005" s="288" t="str">
        <f t="shared" si="224"/>
        <v/>
      </c>
      <c r="O1005" s="285">
        <f t="shared" si="210"/>
        <v>150</v>
      </c>
      <c r="P1005" s="289">
        <f t="shared" si="211"/>
        <v>4000000</v>
      </c>
      <c r="Q1005" s="285">
        <f t="shared" si="212"/>
        <v>110</v>
      </c>
      <c r="R1005" s="285">
        <f t="shared" si="213"/>
        <v>85</v>
      </c>
      <c r="S1005" s="285">
        <f t="shared" si="214"/>
        <v>0.35</v>
      </c>
      <c r="T1005" s="285">
        <f t="shared" si="215"/>
        <v>3.2</v>
      </c>
      <c r="U1005" s="285">
        <f t="shared" si="216"/>
        <v>1</v>
      </c>
      <c r="V1005" s="285">
        <f t="shared" si="217"/>
        <v>4.5</v>
      </c>
      <c r="W1005" s="285">
        <f t="shared" si="218"/>
        <v>1.5</v>
      </c>
      <c r="X1005" s="289" t="e">
        <f t="shared" si="219"/>
        <v>#VALUE!</v>
      </c>
      <c r="Y1005" s="288" t="e">
        <f t="shared" si="220"/>
        <v>#VALUE!</v>
      </c>
      <c r="Z1005" s="256">
        <f t="shared" si="221"/>
        <v>181.74993027852094</v>
      </c>
      <c r="AA1005" s="289" t="e">
        <f t="shared" si="222"/>
        <v>#VALUE!</v>
      </c>
      <c r="AB1005" s="288" t="e">
        <f t="shared" si="223"/>
        <v>#VALUE!</v>
      </c>
    </row>
    <row r="1006" spans="13:28" ht="12" hidden="1" customHeight="1">
      <c r="M1006" s="266"/>
      <c r="N1006" s="288" t="str">
        <f t="shared" si="224"/>
        <v/>
      </c>
      <c r="O1006" s="285">
        <f t="shared" si="210"/>
        <v>150</v>
      </c>
      <c r="P1006" s="289">
        <f t="shared" si="211"/>
        <v>4000000</v>
      </c>
      <c r="Q1006" s="285">
        <f t="shared" si="212"/>
        <v>110</v>
      </c>
      <c r="R1006" s="285">
        <f t="shared" si="213"/>
        <v>85</v>
      </c>
      <c r="S1006" s="285">
        <f t="shared" si="214"/>
        <v>0.35</v>
      </c>
      <c r="T1006" s="285">
        <f t="shared" si="215"/>
        <v>3.2</v>
      </c>
      <c r="U1006" s="285">
        <f t="shared" si="216"/>
        <v>1</v>
      </c>
      <c r="V1006" s="285">
        <f t="shared" si="217"/>
        <v>4.5</v>
      </c>
      <c r="W1006" s="285">
        <f t="shared" si="218"/>
        <v>1.5</v>
      </c>
      <c r="X1006" s="289" t="e">
        <f t="shared" si="219"/>
        <v>#VALUE!</v>
      </c>
      <c r="Y1006" s="288" t="e">
        <f t="shared" si="220"/>
        <v>#VALUE!</v>
      </c>
      <c r="Z1006" s="256">
        <f t="shared" si="221"/>
        <v>181.74993027852094</v>
      </c>
      <c r="AA1006" s="289" t="e">
        <f t="shared" si="222"/>
        <v>#VALUE!</v>
      </c>
      <c r="AB1006" s="288" t="e">
        <f t="shared" si="223"/>
        <v>#VALUE!</v>
      </c>
    </row>
    <row r="1007" spans="13:28" ht="12" hidden="1" customHeight="1">
      <c r="M1007" s="266"/>
      <c r="N1007" s="288" t="str">
        <f t="shared" si="224"/>
        <v/>
      </c>
      <c r="O1007" s="285">
        <f t="shared" si="210"/>
        <v>150</v>
      </c>
      <c r="P1007" s="289">
        <f t="shared" si="211"/>
        <v>4000000</v>
      </c>
      <c r="Q1007" s="285">
        <f t="shared" si="212"/>
        <v>110</v>
      </c>
      <c r="R1007" s="285">
        <f t="shared" si="213"/>
        <v>85</v>
      </c>
      <c r="S1007" s="285">
        <f t="shared" si="214"/>
        <v>0.35</v>
      </c>
      <c r="T1007" s="285">
        <f t="shared" si="215"/>
        <v>3.2</v>
      </c>
      <c r="U1007" s="285">
        <f t="shared" si="216"/>
        <v>1</v>
      </c>
      <c r="V1007" s="285">
        <f t="shared" si="217"/>
        <v>4.5</v>
      </c>
      <c r="W1007" s="285">
        <f t="shared" si="218"/>
        <v>1.5</v>
      </c>
      <c r="X1007" s="289" t="e">
        <f t="shared" si="219"/>
        <v>#VALUE!</v>
      </c>
      <c r="Y1007" s="288" t="e">
        <f t="shared" si="220"/>
        <v>#VALUE!</v>
      </c>
      <c r="Z1007" s="256">
        <f t="shared" si="221"/>
        <v>181.74993027852094</v>
      </c>
      <c r="AA1007" s="289" t="e">
        <f t="shared" si="222"/>
        <v>#VALUE!</v>
      </c>
      <c r="AB1007" s="288" t="e">
        <f t="shared" si="223"/>
        <v>#VALUE!</v>
      </c>
    </row>
    <row r="1008" spans="13:28" ht="12" hidden="1" customHeight="1">
      <c r="M1008" s="266"/>
      <c r="N1008" s="288" t="str">
        <f t="shared" si="224"/>
        <v/>
      </c>
      <c r="O1008" s="285">
        <f t="shared" si="210"/>
        <v>150</v>
      </c>
      <c r="P1008" s="289">
        <f t="shared" si="211"/>
        <v>4000000</v>
      </c>
      <c r="Q1008" s="285">
        <f t="shared" si="212"/>
        <v>110</v>
      </c>
      <c r="R1008" s="285">
        <f t="shared" si="213"/>
        <v>85</v>
      </c>
      <c r="S1008" s="285">
        <f t="shared" si="214"/>
        <v>0.35</v>
      </c>
      <c r="T1008" s="285">
        <f t="shared" si="215"/>
        <v>3.2</v>
      </c>
      <c r="U1008" s="285">
        <f t="shared" si="216"/>
        <v>1</v>
      </c>
      <c r="V1008" s="285">
        <f t="shared" si="217"/>
        <v>4.5</v>
      </c>
      <c r="W1008" s="285">
        <f t="shared" si="218"/>
        <v>1.5</v>
      </c>
      <c r="X1008" s="289" t="e">
        <f t="shared" si="219"/>
        <v>#VALUE!</v>
      </c>
      <c r="Y1008" s="288" t="e">
        <f t="shared" si="220"/>
        <v>#VALUE!</v>
      </c>
      <c r="Z1008" s="256">
        <f t="shared" si="221"/>
        <v>181.74993027852094</v>
      </c>
      <c r="AA1008" s="289" t="e">
        <f t="shared" si="222"/>
        <v>#VALUE!</v>
      </c>
      <c r="AB1008" s="288" t="e">
        <f t="shared" si="223"/>
        <v>#VALUE!</v>
      </c>
    </row>
    <row r="1009" spans="13:28" ht="12" hidden="1" customHeight="1">
      <c r="M1009" s="266"/>
      <c r="N1009" s="288" t="str">
        <f t="shared" si="224"/>
        <v/>
      </c>
      <c r="O1009" s="285">
        <f t="shared" si="210"/>
        <v>150</v>
      </c>
      <c r="P1009" s="289">
        <f t="shared" si="211"/>
        <v>4000000</v>
      </c>
      <c r="Q1009" s="285">
        <f t="shared" si="212"/>
        <v>110</v>
      </c>
      <c r="R1009" s="285">
        <f t="shared" si="213"/>
        <v>85</v>
      </c>
      <c r="S1009" s="285">
        <f t="shared" si="214"/>
        <v>0.35</v>
      </c>
      <c r="T1009" s="285">
        <f t="shared" si="215"/>
        <v>3.2</v>
      </c>
      <c r="U1009" s="285">
        <f t="shared" si="216"/>
        <v>1</v>
      </c>
      <c r="V1009" s="285">
        <f t="shared" si="217"/>
        <v>4.5</v>
      </c>
      <c r="W1009" s="285">
        <f t="shared" si="218"/>
        <v>1.5</v>
      </c>
      <c r="X1009" s="289" t="e">
        <f t="shared" si="219"/>
        <v>#VALUE!</v>
      </c>
      <c r="Y1009" s="288" t="e">
        <f t="shared" si="220"/>
        <v>#VALUE!</v>
      </c>
      <c r="Z1009" s="256">
        <f t="shared" si="221"/>
        <v>181.74993027852094</v>
      </c>
      <c r="AA1009" s="289" t="e">
        <f t="shared" si="222"/>
        <v>#VALUE!</v>
      </c>
      <c r="AB1009" s="288" t="e">
        <f t="shared" si="223"/>
        <v>#VALUE!</v>
      </c>
    </row>
    <row r="1010" spans="13:28" ht="12" hidden="1" customHeight="1">
      <c r="M1010" s="266"/>
      <c r="N1010" s="288" t="str">
        <f t="shared" si="224"/>
        <v/>
      </c>
      <c r="O1010" s="285">
        <f t="shared" si="210"/>
        <v>150</v>
      </c>
      <c r="P1010" s="289">
        <f t="shared" si="211"/>
        <v>4000000</v>
      </c>
      <c r="Q1010" s="285">
        <f t="shared" si="212"/>
        <v>110</v>
      </c>
      <c r="R1010" s="285">
        <f t="shared" si="213"/>
        <v>85</v>
      </c>
      <c r="S1010" s="285">
        <f t="shared" si="214"/>
        <v>0.35</v>
      </c>
      <c r="T1010" s="285">
        <f t="shared" si="215"/>
        <v>3.2</v>
      </c>
      <c r="U1010" s="285">
        <f t="shared" si="216"/>
        <v>1</v>
      </c>
      <c r="V1010" s="285">
        <f t="shared" si="217"/>
        <v>4.5</v>
      </c>
      <c r="W1010" s="285">
        <f t="shared" si="218"/>
        <v>1.5</v>
      </c>
      <c r="X1010" s="289" t="e">
        <f t="shared" si="219"/>
        <v>#VALUE!</v>
      </c>
      <c r="Y1010" s="288" t="e">
        <f t="shared" si="220"/>
        <v>#VALUE!</v>
      </c>
      <c r="Z1010" s="256">
        <f t="shared" si="221"/>
        <v>181.74993027852094</v>
      </c>
      <c r="AA1010" s="289" t="e">
        <f t="shared" si="222"/>
        <v>#VALUE!</v>
      </c>
      <c r="AB1010" s="288" t="e">
        <f t="shared" si="223"/>
        <v>#VALUE!</v>
      </c>
    </row>
    <row r="1011" spans="13:28" ht="12" hidden="1" customHeight="1">
      <c r="M1011" s="266"/>
      <c r="N1011" s="288" t="str">
        <f t="shared" si="224"/>
        <v/>
      </c>
      <c r="O1011" s="285">
        <f t="shared" si="210"/>
        <v>150</v>
      </c>
      <c r="P1011" s="289">
        <f t="shared" si="211"/>
        <v>4000000</v>
      </c>
      <c r="Q1011" s="285">
        <f t="shared" si="212"/>
        <v>110</v>
      </c>
      <c r="R1011" s="285">
        <f t="shared" si="213"/>
        <v>85</v>
      </c>
      <c r="S1011" s="285">
        <f t="shared" si="214"/>
        <v>0.35</v>
      </c>
      <c r="T1011" s="285">
        <f t="shared" si="215"/>
        <v>3.2</v>
      </c>
      <c r="U1011" s="285">
        <f t="shared" si="216"/>
        <v>1</v>
      </c>
      <c r="V1011" s="285">
        <f t="shared" si="217"/>
        <v>4.5</v>
      </c>
      <c r="W1011" s="285">
        <f t="shared" si="218"/>
        <v>1.5</v>
      </c>
      <c r="X1011" s="289" t="e">
        <f t="shared" si="219"/>
        <v>#VALUE!</v>
      </c>
      <c r="Y1011" s="288" t="e">
        <f t="shared" si="220"/>
        <v>#VALUE!</v>
      </c>
      <c r="Z1011" s="256">
        <f t="shared" si="221"/>
        <v>181.74993027852094</v>
      </c>
      <c r="AA1011" s="289" t="e">
        <f t="shared" si="222"/>
        <v>#VALUE!</v>
      </c>
      <c r="AB1011" s="288" t="e">
        <f t="shared" si="223"/>
        <v>#VALUE!</v>
      </c>
    </row>
    <row r="1012" spans="13:28" ht="12" hidden="1" customHeight="1">
      <c r="M1012" s="266"/>
      <c r="N1012" s="288" t="str">
        <f t="shared" si="224"/>
        <v/>
      </c>
      <c r="O1012" s="285">
        <f t="shared" si="210"/>
        <v>150</v>
      </c>
      <c r="P1012" s="289">
        <f t="shared" si="211"/>
        <v>4000000</v>
      </c>
      <c r="Q1012" s="285">
        <f t="shared" si="212"/>
        <v>110</v>
      </c>
      <c r="R1012" s="285">
        <f t="shared" si="213"/>
        <v>85</v>
      </c>
      <c r="S1012" s="285">
        <f t="shared" si="214"/>
        <v>0.35</v>
      </c>
      <c r="T1012" s="285">
        <f t="shared" si="215"/>
        <v>3.2</v>
      </c>
      <c r="U1012" s="285">
        <f t="shared" si="216"/>
        <v>1</v>
      </c>
      <c r="V1012" s="285">
        <f t="shared" si="217"/>
        <v>4.5</v>
      </c>
      <c r="W1012" s="285">
        <f t="shared" si="218"/>
        <v>1.5</v>
      </c>
      <c r="X1012" s="289" t="e">
        <f t="shared" si="219"/>
        <v>#VALUE!</v>
      </c>
      <c r="Y1012" s="288" t="e">
        <f t="shared" si="220"/>
        <v>#VALUE!</v>
      </c>
      <c r="Z1012" s="256">
        <f t="shared" si="221"/>
        <v>181.74993027852094</v>
      </c>
      <c r="AA1012" s="289" t="e">
        <f t="shared" si="222"/>
        <v>#VALUE!</v>
      </c>
      <c r="AB1012" s="288" t="e">
        <f t="shared" si="223"/>
        <v>#VALUE!</v>
      </c>
    </row>
    <row r="1013" spans="13:28" ht="12" hidden="1" customHeight="1">
      <c r="M1013" s="266"/>
      <c r="N1013" s="288" t="str">
        <f t="shared" si="224"/>
        <v/>
      </c>
      <c r="O1013" s="285">
        <f t="shared" si="210"/>
        <v>150</v>
      </c>
      <c r="P1013" s="289">
        <f t="shared" si="211"/>
        <v>4000000</v>
      </c>
      <c r="Q1013" s="285">
        <f t="shared" si="212"/>
        <v>110</v>
      </c>
      <c r="R1013" s="285">
        <f t="shared" si="213"/>
        <v>85</v>
      </c>
      <c r="S1013" s="285">
        <f t="shared" si="214"/>
        <v>0.35</v>
      </c>
      <c r="T1013" s="285">
        <f t="shared" si="215"/>
        <v>3.2</v>
      </c>
      <c r="U1013" s="285">
        <f t="shared" si="216"/>
        <v>1</v>
      </c>
      <c r="V1013" s="285">
        <f t="shared" si="217"/>
        <v>4.5</v>
      </c>
      <c r="W1013" s="285">
        <f t="shared" si="218"/>
        <v>1.5</v>
      </c>
      <c r="X1013" s="289" t="e">
        <f t="shared" si="219"/>
        <v>#VALUE!</v>
      </c>
      <c r="Y1013" s="288" t="e">
        <f t="shared" si="220"/>
        <v>#VALUE!</v>
      </c>
      <c r="Z1013" s="256">
        <f t="shared" si="221"/>
        <v>181.74993027852094</v>
      </c>
      <c r="AA1013" s="289" t="e">
        <f t="shared" si="222"/>
        <v>#VALUE!</v>
      </c>
      <c r="AB1013" s="288" t="e">
        <f t="shared" si="223"/>
        <v>#VALUE!</v>
      </c>
    </row>
    <row r="1014" spans="13:28" ht="12" hidden="1" customHeight="1">
      <c r="M1014" s="266"/>
      <c r="N1014" s="288" t="str">
        <f t="shared" si="224"/>
        <v/>
      </c>
      <c r="O1014" s="285">
        <f t="shared" si="210"/>
        <v>150</v>
      </c>
      <c r="P1014" s="289">
        <f t="shared" si="211"/>
        <v>4000000</v>
      </c>
      <c r="Q1014" s="285">
        <f t="shared" si="212"/>
        <v>110</v>
      </c>
      <c r="R1014" s="285">
        <f t="shared" si="213"/>
        <v>85</v>
      </c>
      <c r="S1014" s="285">
        <f t="shared" si="214"/>
        <v>0.35</v>
      </c>
      <c r="T1014" s="285">
        <f t="shared" si="215"/>
        <v>3.2</v>
      </c>
      <c r="U1014" s="285">
        <f t="shared" si="216"/>
        <v>1</v>
      </c>
      <c r="V1014" s="285">
        <f t="shared" si="217"/>
        <v>4.5</v>
      </c>
      <c r="W1014" s="285">
        <f t="shared" si="218"/>
        <v>1.5</v>
      </c>
      <c r="X1014" s="289" t="e">
        <f t="shared" si="219"/>
        <v>#VALUE!</v>
      </c>
      <c r="Y1014" s="288" t="e">
        <f t="shared" si="220"/>
        <v>#VALUE!</v>
      </c>
      <c r="Z1014" s="256">
        <f t="shared" si="221"/>
        <v>181.74993027852094</v>
      </c>
      <c r="AA1014" s="289" t="e">
        <f t="shared" si="222"/>
        <v>#VALUE!</v>
      </c>
      <c r="AB1014" s="288" t="e">
        <f t="shared" si="223"/>
        <v>#VALUE!</v>
      </c>
    </row>
    <row r="1015" spans="13:28" ht="12" hidden="1" customHeight="1">
      <c r="M1015" s="266"/>
      <c r="N1015" s="288" t="str">
        <f t="shared" si="224"/>
        <v/>
      </c>
      <c r="O1015" s="285">
        <f t="shared" si="210"/>
        <v>150</v>
      </c>
      <c r="P1015" s="289">
        <f t="shared" si="211"/>
        <v>4000000</v>
      </c>
      <c r="Q1015" s="285">
        <f t="shared" si="212"/>
        <v>110</v>
      </c>
      <c r="R1015" s="285">
        <f t="shared" si="213"/>
        <v>85</v>
      </c>
      <c r="S1015" s="285">
        <f t="shared" si="214"/>
        <v>0.35</v>
      </c>
      <c r="T1015" s="285">
        <f t="shared" si="215"/>
        <v>3.2</v>
      </c>
      <c r="U1015" s="285">
        <f t="shared" si="216"/>
        <v>1</v>
      </c>
      <c r="V1015" s="285">
        <f t="shared" si="217"/>
        <v>4.5</v>
      </c>
      <c r="W1015" s="285">
        <f t="shared" si="218"/>
        <v>1.5</v>
      </c>
      <c r="X1015" s="289" t="e">
        <f t="shared" si="219"/>
        <v>#VALUE!</v>
      </c>
      <c r="Y1015" s="288" t="e">
        <f t="shared" si="220"/>
        <v>#VALUE!</v>
      </c>
      <c r="Z1015" s="256">
        <f t="shared" si="221"/>
        <v>181.74993027852094</v>
      </c>
      <c r="AA1015" s="289" t="e">
        <f t="shared" si="222"/>
        <v>#VALUE!</v>
      </c>
      <c r="AB1015" s="288" t="e">
        <f t="shared" si="223"/>
        <v>#VALUE!</v>
      </c>
    </row>
    <row r="1016" spans="13:28" ht="12" hidden="1" customHeight="1">
      <c r="M1016" s="266"/>
      <c r="N1016" s="288" t="str">
        <f t="shared" si="224"/>
        <v/>
      </c>
      <c r="O1016" s="285">
        <f t="shared" si="210"/>
        <v>150</v>
      </c>
      <c r="P1016" s="289">
        <f t="shared" si="211"/>
        <v>4000000</v>
      </c>
      <c r="Q1016" s="285">
        <f t="shared" si="212"/>
        <v>110</v>
      </c>
      <c r="R1016" s="285">
        <f t="shared" si="213"/>
        <v>85</v>
      </c>
      <c r="S1016" s="285">
        <f t="shared" si="214"/>
        <v>0.35</v>
      </c>
      <c r="T1016" s="285">
        <f t="shared" si="215"/>
        <v>3.2</v>
      </c>
      <c r="U1016" s="285">
        <f t="shared" si="216"/>
        <v>1</v>
      </c>
      <c r="V1016" s="285">
        <f t="shared" si="217"/>
        <v>4.5</v>
      </c>
      <c r="W1016" s="285">
        <f t="shared" si="218"/>
        <v>1.5</v>
      </c>
      <c r="X1016" s="289" t="e">
        <f t="shared" si="219"/>
        <v>#VALUE!</v>
      </c>
      <c r="Y1016" s="288" t="e">
        <f t="shared" si="220"/>
        <v>#VALUE!</v>
      </c>
      <c r="Z1016" s="256">
        <f t="shared" si="221"/>
        <v>181.74993027852094</v>
      </c>
      <c r="AA1016" s="289" t="e">
        <f t="shared" si="222"/>
        <v>#VALUE!</v>
      </c>
      <c r="AB1016" s="288" t="e">
        <f t="shared" si="223"/>
        <v>#VALUE!</v>
      </c>
    </row>
    <row r="1017" spans="13:28" ht="12" hidden="1" customHeight="1">
      <c r="M1017" s="266"/>
      <c r="N1017" s="288" t="str">
        <f t="shared" si="224"/>
        <v/>
      </c>
      <c r="O1017" s="285">
        <f t="shared" si="210"/>
        <v>150</v>
      </c>
      <c r="P1017" s="289">
        <f t="shared" si="211"/>
        <v>4000000</v>
      </c>
      <c r="Q1017" s="285">
        <f t="shared" si="212"/>
        <v>110</v>
      </c>
      <c r="R1017" s="285">
        <f t="shared" si="213"/>
        <v>85</v>
      </c>
      <c r="S1017" s="285">
        <f t="shared" si="214"/>
        <v>0.35</v>
      </c>
      <c r="T1017" s="285">
        <f t="shared" si="215"/>
        <v>3.2</v>
      </c>
      <c r="U1017" s="285">
        <f t="shared" si="216"/>
        <v>1</v>
      </c>
      <c r="V1017" s="285">
        <f t="shared" si="217"/>
        <v>4.5</v>
      </c>
      <c r="W1017" s="285">
        <f t="shared" si="218"/>
        <v>1.5</v>
      </c>
      <c r="X1017" s="289" t="e">
        <f t="shared" si="219"/>
        <v>#VALUE!</v>
      </c>
      <c r="Y1017" s="288" t="e">
        <f t="shared" si="220"/>
        <v>#VALUE!</v>
      </c>
      <c r="Z1017" s="256">
        <f t="shared" si="221"/>
        <v>181.74993027852094</v>
      </c>
      <c r="AA1017" s="289" t="e">
        <f t="shared" si="222"/>
        <v>#VALUE!</v>
      </c>
      <c r="AB1017" s="288" t="e">
        <f t="shared" si="223"/>
        <v>#VALUE!</v>
      </c>
    </row>
    <row r="1018" spans="13:28" ht="12" hidden="1" customHeight="1">
      <c r="M1018" s="266"/>
      <c r="N1018" s="288" t="str">
        <f t="shared" si="224"/>
        <v/>
      </c>
      <c r="O1018" s="285">
        <f t="shared" si="210"/>
        <v>150</v>
      </c>
      <c r="P1018" s="289">
        <f t="shared" si="211"/>
        <v>4000000</v>
      </c>
      <c r="Q1018" s="285">
        <f t="shared" si="212"/>
        <v>110</v>
      </c>
      <c r="R1018" s="285">
        <f t="shared" si="213"/>
        <v>85</v>
      </c>
      <c r="S1018" s="285">
        <f t="shared" si="214"/>
        <v>0.35</v>
      </c>
      <c r="T1018" s="285">
        <f t="shared" si="215"/>
        <v>3.2</v>
      </c>
      <c r="U1018" s="285">
        <f t="shared" si="216"/>
        <v>1</v>
      </c>
      <c r="V1018" s="285">
        <f t="shared" si="217"/>
        <v>4.5</v>
      </c>
      <c r="W1018" s="285">
        <f t="shared" si="218"/>
        <v>1.5</v>
      </c>
      <c r="X1018" s="289" t="e">
        <f t="shared" si="219"/>
        <v>#VALUE!</v>
      </c>
      <c r="Y1018" s="288" t="e">
        <f t="shared" si="220"/>
        <v>#VALUE!</v>
      </c>
      <c r="Z1018" s="256">
        <f t="shared" si="221"/>
        <v>181.74993027852094</v>
      </c>
      <c r="AA1018" s="289" t="e">
        <f t="shared" si="222"/>
        <v>#VALUE!</v>
      </c>
      <c r="AB1018" s="288" t="e">
        <f t="shared" si="223"/>
        <v>#VALUE!</v>
      </c>
    </row>
    <row r="1019" spans="13:28" ht="12" hidden="1" customHeight="1">
      <c r="M1019" s="266"/>
      <c r="N1019" s="288" t="str">
        <f t="shared" si="224"/>
        <v/>
      </c>
      <c r="O1019" s="285">
        <f t="shared" si="210"/>
        <v>150</v>
      </c>
      <c r="P1019" s="289">
        <f t="shared" si="211"/>
        <v>4000000</v>
      </c>
      <c r="Q1019" s="285">
        <f t="shared" si="212"/>
        <v>110</v>
      </c>
      <c r="R1019" s="285">
        <f t="shared" si="213"/>
        <v>85</v>
      </c>
      <c r="S1019" s="285">
        <f t="shared" si="214"/>
        <v>0.35</v>
      </c>
      <c r="T1019" s="285">
        <f t="shared" si="215"/>
        <v>3.2</v>
      </c>
      <c r="U1019" s="285">
        <f t="shared" si="216"/>
        <v>1</v>
      </c>
      <c r="V1019" s="285">
        <f t="shared" si="217"/>
        <v>4.5</v>
      </c>
      <c r="W1019" s="285">
        <f t="shared" si="218"/>
        <v>1.5</v>
      </c>
      <c r="X1019" s="289" t="e">
        <f t="shared" si="219"/>
        <v>#VALUE!</v>
      </c>
      <c r="Y1019" s="288" t="e">
        <f t="shared" si="220"/>
        <v>#VALUE!</v>
      </c>
      <c r="Z1019" s="256">
        <f t="shared" si="221"/>
        <v>181.74993027852094</v>
      </c>
      <c r="AA1019" s="289" t="e">
        <f t="shared" si="222"/>
        <v>#VALUE!</v>
      </c>
      <c r="AB1019" s="288" t="e">
        <f t="shared" si="223"/>
        <v>#VALUE!</v>
      </c>
    </row>
    <row r="1020" spans="13:28" ht="12" hidden="1" customHeight="1">
      <c r="M1020" s="266"/>
      <c r="N1020" s="288" t="str">
        <f t="shared" si="224"/>
        <v/>
      </c>
      <c r="O1020" s="285">
        <f t="shared" si="210"/>
        <v>150</v>
      </c>
      <c r="P1020" s="289">
        <f t="shared" si="211"/>
        <v>4000000</v>
      </c>
      <c r="Q1020" s="285">
        <f t="shared" si="212"/>
        <v>110</v>
      </c>
      <c r="R1020" s="285">
        <f t="shared" si="213"/>
        <v>85</v>
      </c>
      <c r="S1020" s="285">
        <f t="shared" si="214"/>
        <v>0.35</v>
      </c>
      <c r="T1020" s="285">
        <f t="shared" si="215"/>
        <v>3.2</v>
      </c>
      <c r="U1020" s="285">
        <f t="shared" si="216"/>
        <v>1</v>
      </c>
      <c r="V1020" s="285">
        <f t="shared" si="217"/>
        <v>4.5</v>
      </c>
      <c r="W1020" s="285">
        <f t="shared" si="218"/>
        <v>1.5</v>
      </c>
      <c r="X1020" s="289" t="e">
        <f t="shared" si="219"/>
        <v>#VALUE!</v>
      </c>
      <c r="Y1020" s="288" t="e">
        <f t="shared" si="220"/>
        <v>#VALUE!</v>
      </c>
      <c r="Z1020" s="256">
        <f t="shared" si="221"/>
        <v>181.74993027852094</v>
      </c>
      <c r="AA1020" s="289" t="e">
        <f t="shared" si="222"/>
        <v>#VALUE!</v>
      </c>
      <c r="AB1020" s="288" t="e">
        <f t="shared" si="223"/>
        <v>#VALUE!</v>
      </c>
    </row>
    <row r="1021" spans="13:28" ht="12" hidden="1" customHeight="1">
      <c r="M1021" s="266"/>
      <c r="N1021" s="288" t="str">
        <f t="shared" si="224"/>
        <v/>
      </c>
      <c r="O1021" s="285">
        <f t="shared" si="210"/>
        <v>150</v>
      </c>
      <c r="P1021" s="289">
        <f t="shared" si="211"/>
        <v>4000000</v>
      </c>
      <c r="Q1021" s="285">
        <f t="shared" si="212"/>
        <v>110</v>
      </c>
      <c r="R1021" s="285">
        <f t="shared" si="213"/>
        <v>85</v>
      </c>
      <c r="S1021" s="285">
        <f t="shared" si="214"/>
        <v>0.35</v>
      </c>
      <c r="T1021" s="285">
        <f t="shared" si="215"/>
        <v>3.2</v>
      </c>
      <c r="U1021" s="285">
        <f t="shared" si="216"/>
        <v>1</v>
      </c>
      <c r="V1021" s="285">
        <f t="shared" si="217"/>
        <v>4.5</v>
      </c>
      <c r="W1021" s="285">
        <f t="shared" si="218"/>
        <v>1.5</v>
      </c>
      <c r="X1021" s="289" t="e">
        <f t="shared" si="219"/>
        <v>#VALUE!</v>
      </c>
      <c r="Y1021" s="288" t="e">
        <f t="shared" si="220"/>
        <v>#VALUE!</v>
      </c>
      <c r="Z1021" s="256">
        <f t="shared" si="221"/>
        <v>181.74993027852094</v>
      </c>
      <c r="AA1021" s="289" t="e">
        <f t="shared" si="222"/>
        <v>#VALUE!</v>
      </c>
      <c r="AB1021" s="288" t="e">
        <f t="shared" si="223"/>
        <v>#VALUE!</v>
      </c>
    </row>
    <row r="1022" spans="13:28" ht="12" hidden="1" customHeight="1">
      <c r="M1022" s="266"/>
      <c r="N1022" s="288" t="str">
        <f t="shared" si="224"/>
        <v/>
      </c>
      <c r="O1022" s="285">
        <f t="shared" si="210"/>
        <v>150</v>
      </c>
      <c r="P1022" s="289">
        <f t="shared" si="211"/>
        <v>4000000</v>
      </c>
      <c r="Q1022" s="285">
        <f t="shared" si="212"/>
        <v>110</v>
      </c>
      <c r="R1022" s="285">
        <f t="shared" si="213"/>
        <v>85</v>
      </c>
      <c r="S1022" s="285">
        <f t="shared" si="214"/>
        <v>0.35</v>
      </c>
      <c r="T1022" s="285">
        <f t="shared" si="215"/>
        <v>3.2</v>
      </c>
      <c r="U1022" s="285">
        <f t="shared" si="216"/>
        <v>1</v>
      </c>
      <c r="V1022" s="285">
        <f t="shared" si="217"/>
        <v>4.5</v>
      </c>
      <c r="W1022" s="285">
        <f t="shared" si="218"/>
        <v>1.5</v>
      </c>
      <c r="X1022" s="289" t="e">
        <f t="shared" si="219"/>
        <v>#VALUE!</v>
      </c>
      <c r="Y1022" s="288" t="e">
        <f t="shared" si="220"/>
        <v>#VALUE!</v>
      </c>
      <c r="Z1022" s="256">
        <f t="shared" si="221"/>
        <v>181.74993027852094</v>
      </c>
      <c r="AA1022" s="289" t="e">
        <f t="shared" si="222"/>
        <v>#VALUE!</v>
      </c>
      <c r="AB1022" s="288" t="e">
        <f t="shared" si="223"/>
        <v>#VALUE!</v>
      </c>
    </row>
    <row r="1023" spans="13:28" ht="12" hidden="1" customHeight="1">
      <c r="M1023" s="266"/>
      <c r="N1023" s="288" t="str">
        <f t="shared" si="224"/>
        <v/>
      </c>
      <c r="O1023" s="285">
        <f t="shared" si="210"/>
        <v>150</v>
      </c>
      <c r="P1023" s="289">
        <f t="shared" si="211"/>
        <v>4000000</v>
      </c>
      <c r="Q1023" s="285">
        <f t="shared" si="212"/>
        <v>110</v>
      </c>
      <c r="R1023" s="285">
        <f t="shared" si="213"/>
        <v>85</v>
      </c>
      <c r="S1023" s="285">
        <f t="shared" si="214"/>
        <v>0.35</v>
      </c>
      <c r="T1023" s="285">
        <f t="shared" si="215"/>
        <v>3.2</v>
      </c>
      <c r="U1023" s="285">
        <f t="shared" si="216"/>
        <v>1</v>
      </c>
      <c r="V1023" s="285">
        <f t="shared" si="217"/>
        <v>4.5</v>
      </c>
      <c r="W1023" s="285">
        <f t="shared" si="218"/>
        <v>1.5</v>
      </c>
      <c r="X1023" s="289" t="e">
        <f t="shared" si="219"/>
        <v>#VALUE!</v>
      </c>
      <c r="Y1023" s="288" t="e">
        <f t="shared" si="220"/>
        <v>#VALUE!</v>
      </c>
      <c r="Z1023" s="256">
        <f t="shared" si="221"/>
        <v>181.74993027852094</v>
      </c>
      <c r="AA1023" s="289" t="e">
        <f t="shared" si="222"/>
        <v>#VALUE!</v>
      </c>
      <c r="AB1023" s="288" t="e">
        <f t="shared" si="223"/>
        <v>#VALUE!</v>
      </c>
    </row>
    <row r="1024" spans="13:28" ht="12" hidden="1" customHeight="1">
      <c r="M1024" s="266"/>
      <c r="N1024" s="288" t="str">
        <f t="shared" si="224"/>
        <v/>
      </c>
      <c r="O1024" s="285">
        <f t="shared" si="210"/>
        <v>150</v>
      </c>
      <c r="P1024" s="289">
        <f t="shared" si="211"/>
        <v>4000000</v>
      </c>
      <c r="Q1024" s="285">
        <f t="shared" si="212"/>
        <v>110</v>
      </c>
      <c r="R1024" s="285">
        <f t="shared" si="213"/>
        <v>85</v>
      </c>
      <c r="S1024" s="285">
        <f t="shared" si="214"/>
        <v>0.35</v>
      </c>
      <c r="T1024" s="285">
        <f t="shared" si="215"/>
        <v>3.2</v>
      </c>
      <c r="U1024" s="285">
        <f t="shared" si="216"/>
        <v>1</v>
      </c>
      <c r="V1024" s="285">
        <f t="shared" si="217"/>
        <v>4.5</v>
      </c>
      <c r="W1024" s="285">
        <f t="shared" si="218"/>
        <v>1.5</v>
      </c>
      <c r="X1024" s="289" t="e">
        <f t="shared" si="219"/>
        <v>#VALUE!</v>
      </c>
      <c r="Y1024" s="288" t="e">
        <f t="shared" si="220"/>
        <v>#VALUE!</v>
      </c>
      <c r="Z1024" s="256">
        <f t="shared" si="221"/>
        <v>181.74993027852094</v>
      </c>
      <c r="AA1024" s="289" t="e">
        <f t="shared" si="222"/>
        <v>#VALUE!</v>
      </c>
      <c r="AB1024" s="288" t="e">
        <f t="shared" si="223"/>
        <v>#VALUE!</v>
      </c>
    </row>
    <row r="1025" spans="13:28" ht="12" hidden="1" customHeight="1">
      <c r="M1025" s="266"/>
      <c r="N1025" s="288" t="str">
        <f t="shared" si="224"/>
        <v/>
      </c>
      <c r="O1025" s="285">
        <f t="shared" si="210"/>
        <v>150</v>
      </c>
      <c r="P1025" s="289">
        <f t="shared" si="211"/>
        <v>4000000</v>
      </c>
      <c r="Q1025" s="285">
        <f t="shared" si="212"/>
        <v>110</v>
      </c>
      <c r="R1025" s="285">
        <f t="shared" si="213"/>
        <v>85</v>
      </c>
      <c r="S1025" s="285">
        <f t="shared" si="214"/>
        <v>0.35</v>
      </c>
      <c r="T1025" s="285">
        <f t="shared" si="215"/>
        <v>3.2</v>
      </c>
      <c r="U1025" s="285">
        <f t="shared" si="216"/>
        <v>1</v>
      </c>
      <c r="V1025" s="285">
        <f t="shared" si="217"/>
        <v>4.5</v>
      </c>
      <c r="W1025" s="285">
        <f t="shared" si="218"/>
        <v>1.5</v>
      </c>
      <c r="X1025" s="289" t="e">
        <f t="shared" si="219"/>
        <v>#VALUE!</v>
      </c>
      <c r="Y1025" s="288" t="e">
        <f t="shared" si="220"/>
        <v>#VALUE!</v>
      </c>
      <c r="Z1025" s="256">
        <f t="shared" si="221"/>
        <v>181.74993027852094</v>
      </c>
      <c r="AA1025" s="289" t="e">
        <f t="shared" si="222"/>
        <v>#VALUE!</v>
      </c>
      <c r="AB1025" s="288" t="e">
        <f t="shared" si="223"/>
        <v>#VALUE!</v>
      </c>
    </row>
    <row r="1026" spans="13:28" ht="12" hidden="1" customHeight="1">
      <c r="M1026" s="266"/>
      <c r="N1026" s="288" t="str">
        <f t="shared" si="224"/>
        <v/>
      </c>
      <c r="O1026" s="285">
        <f t="shared" si="210"/>
        <v>150</v>
      </c>
      <c r="P1026" s="289">
        <f t="shared" si="211"/>
        <v>4000000</v>
      </c>
      <c r="Q1026" s="285">
        <f t="shared" si="212"/>
        <v>110</v>
      </c>
      <c r="R1026" s="285">
        <f t="shared" si="213"/>
        <v>85</v>
      </c>
      <c r="S1026" s="285">
        <f t="shared" si="214"/>
        <v>0.35</v>
      </c>
      <c r="T1026" s="285">
        <f t="shared" si="215"/>
        <v>3.2</v>
      </c>
      <c r="U1026" s="285">
        <f t="shared" si="216"/>
        <v>1</v>
      </c>
      <c r="V1026" s="285">
        <f t="shared" si="217"/>
        <v>4.5</v>
      </c>
      <c r="W1026" s="285">
        <f t="shared" si="218"/>
        <v>1.5</v>
      </c>
      <c r="X1026" s="289" t="e">
        <f t="shared" si="219"/>
        <v>#VALUE!</v>
      </c>
      <c r="Y1026" s="288" t="e">
        <f t="shared" si="220"/>
        <v>#VALUE!</v>
      </c>
      <c r="Z1026" s="256">
        <f t="shared" si="221"/>
        <v>181.74993027852094</v>
      </c>
      <c r="AA1026" s="289" t="e">
        <f t="shared" si="222"/>
        <v>#VALUE!</v>
      </c>
      <c r="AB1026" s="288" t="e">
        <f t="shared" si="223"/>
        <v>#VALUE!</v>
      </c>
    </row>
    <row r="1027" spans="13:28" ht="12" hidden="1" customHeight="1">
      <c r="M1027" s="266"/>
      <c r="N1027" s="288" t="str">
        <f t="shared" si="224"/>
        <v/>
      </c>
      <c r="O1027" s="285">
        <f t="shared" si="210"/>
        <v>150</v>
      </c>
      <c r="P1027" s="289">
        <f t="shared" si="211"/>
        <v>4000000</v>
      </c>
      <c r="Q1027" s="285">
        <f t="shared" si="212"/>
        <v>110</v>
      </c>
      <c r="R1027" s="285">
        <f t="shared" si="213"/>
        <v>85</v>
      </c>
      <c r="S1027" s="285">
        <f t="shared" si="214"/>
        <v>0.35</v>
      </c>
      <c r="T1027" s="285">
        <f t="shared" si="215"/>
        <v>3.2</v>
      </c>
      <c r="U1027" s="285">
        <f t="shared" si="216"/>
        <v>1</v>
      </c>
      <c r="V1027" s="285">
        <f t="shared" si="217"/>
        <v>4.5</v>
      </c>
      <c r="W1027" s="285">
        <f t="shared" si="218"/>
        <v>1.5</v>
      </c>
      <c r="X1027" s="289" t="e">
        <f t="shared" si="219"/>
        <v>#VALUE!</v>
      </c>
      <c r="Y1027" s="288" t="e">
        <f t="shared" si="220"/>
        <v>#VALUE!</v>
      </c>
      <c r="Z1027" s="256">
        <f t="shared" si="221"/>
        <v>181.74993027852094</v>
      </c>
      <c r="AA1027" s="289" t="e">
        <f t="shared" si="222"/>
        <v>#VALUE!</v>
      </c>
      <c r="AB1027" s="288" t="e">
        <f t="shared" si="223"/>
        <v>#VALUE!</v>
      </c>
    </row>
    <row r="1028" spans="13:28" ht="12" hidden="1" customHeight="1">
      <c r="M1028" s="266"/>
      <c r="N1028" s="288" t="str">
        <f t="shared" si="224"/>
        <v/>
      </c>
      <c r="O1028" s="285">
        <f t="shared" si="210"/>
        <v>150</v>
      </c>
      <c r="P1028" s="289">
        <f t="shared" si="211"/>
        <v>4000000</v>
      </c>
      <c r="Q1028" s="285">
        <f t="shared" si="212"/>
        <v>110</v>
      </c>
      <c r="R1028" s="285">
        <f t="shared" si="213"/>
        <v>85</v>
      </c>
      <c r="S1028" s="285">
        <f t="shared" si="214"/>
        <v>0.35</v>
      </c>
      <c r="T1028" s="285">
        <f t="shared" si="215"/>
        <v>3.2</v>
      </c>
      <c r="U1028" s="285">
        <f t="shared" si="216"/>
        <v>1</v>
      </c>
      <c r="V1028" s="285">
        <f t="shared" si="217"/>
        <v>4.5</v>
      </c>
      <c r="W1028" s="285">
        <f t="shared" si="218"/>
        <v>1.5</v>
      </c>
      <c r="X1028" s="289" t="e">
        <f t="shared" si="219"/>
        <v>#VALUE!</v>
      </c>
      <c r="Y1028" s="288" t="e">
        <f t="shared" si="220"/>
        <v>#VALUE!</v>
      </c>
      <c r="Z1028" s="256">
        <f t="shared" si="221"/>
        <v>181.74993027852094</v>
      </c>
      <c r="AA1028" s="289" t="e">
        <f t="shared" si="222"/>
        <v>#VALUE!</v>
      </c>
      <c r="AB1028" s="288" t="e">
        <f t="shared" si="223"/>
        <v>#VALUE!</v>
      </c>
    </row>
    <row r="1029" spans="13:28" ht="12" hidden="1" customHeight="1">
      <c r="M1029" s="266"/>
      <c r="N1029" s="288" t="str">
        <f t="shared" si="224"/>
        <v/>
      </c>
      <c r="O1029" s="285">
        <f t="shared" si="210"/>
        <v>150</v>
      </c>
      <c r="P1029" s="289">
        <f t="shared" si="211"/>
        <v>4000000</v>
      </c>
      <c r="Q1029" s="285">
        <f t="shared" si="212"/>
        <v>110</v>
      </c>
      <c r="R1029" s="285">
        <f t="shared" si="213"/>
        <v>85</v>
      </c>
      <c r="S1029" s="285">
        <f t="shared" si="214"/>
        <v>0.35</v>
      </c>
      <c r="T1029" s="285">
        <f t="shared" si="215"/>
        <v>3.2</v>
      </c>
      <c r="U1029" s="285">
        <f t="shared" si="216"/>
        <v>1</v>
      </c>
      <c r="V1029" s="285">
        <f t="shared" si="217"/>
        <v>4.5</v>
      </c>
      <c r="W1029" s="285">
        <f t="shared" si="218"/>
        <v>1.5</v>
      </c>
      <c r="X1029" s="289" t="e">
        <f t="shared" si="219"/>
        <v>#VALUE!</v>
      </c>
      <c r="Y1029" s="288" t="e">
        <f t="shared" si="220"/>
        <v>#VALUE!</v>
      </c>
      <c r="Z1029" s="256">
        <f t="shared" si="221"/>
        <v>181.74993027852094</v>
      </c>
      <c r="AA1029" s="289" t="e">
        <f t="shared" si="222"/>
        <v>#VALUE!</v>
      </c>
      <c r="AB1029" s="288" t="e">
        <f t="shared" si="223"/>
        <v>#VALUE!</v>
      </c>
    </row>
    <row r="1030" spans="13:28" ht="12" hidden="1" customHeight="1">
      <c r="M1030" s="266"/>
      <c r="N1030" s="288" t="str">
        <f t="shared" si="224"/>
        <v/>
      </c>
      <c r="O1030" s="285">
        <f t="shared" si="210"/>
        <v>150</v>
      </c>
      <c r="P1030" s="289">
        <f t="shared" si="211"/>
        <v>4000000</v>
      </c>
      <c r="Q1030" s="285">
        <f t="shared" si="212"/>
        <v>110</v>
      </c>
      <c r="R1030" s="285">
        <f t="shared" si="213"/>
        <v>85</v>
      </c>
      <c r="S1030" s="285">
        <f t="shared" si="214"/>
        <v>0.35</v>
      </c>
      <c r="T1030" s="285">
        <f t="shared" si="215"/>
        <v>3.2</v>
      </c>
      <c r="U1030" s="285">
        <f t="shared" si="216"/>
        <v>1</v>
      </c>
      <c r="V1030" s="285">
        <f t="shared" si="217"/>
        <v>4.5</v>
      </c>
      <c r="W1030" s="285">
        <f t="shared" si="218"/>
        <v>1.5</v>
      </c>
      <c r="X1030" s="289" t="e">
        <f t="shared" si="219"/>
        <v>#VALUE!</v>
      </c>
      <c r="Y1030" s="288" t="e">
        <f t="shared" si="220"/>
        <v>#VALUE!</v>
      </c>
      <c r="Z1030" s="256">
        <f t="shared" si="221"/>
        <v>181.74993027852094</v>
      </c>
      <c r="AA1030" s="289" t="e">
        <f t="shared" si="222"/>
        <v>#VALUE!</v>
      </c>
      <c r="AB1030" s="288" t="e">
        <f t="shared" si="223"/>
        <v>#VALUE!</v>
      </c>
    </row>
    <row r="1031" spans="13:28" ht="12" hidden="1" customHeight="1">
      <c r="M1031" s="266"/>
      <c r="N1031" s="288" t="str">
        <f t="shared" si="224"/>
        <v/>
      </c>
      <c r="O1031" s="285">
        <f t="shared" si="210"/>
        <v>150</v>
      </c>
      <c r="P1031" s="289">
        <f t="shared" si="211"/>
        <v>4000000</v>
      </c>
      <c r="Q1031" s="285">
        <f t="shared" si="212"/>
        <v>110</v>
      </c>
      <c r="R1031" s="285">
        <f t="shared" si="213"/>
        <v>85</v>
      </c>
      <c r="S1031" s="285">
        <f t="shared" si="214"/>
        <v>0.35</v>
      </c>
      <c r="T1031" s="285">
        <f t="shared" si="215"/>
        <v>3.2</v>
      </c>
      <c r="U1031" s="285">
        <f t="shared" si="216"/>
        <v>1</v>
      </c>
      <c r="V1031" s="285">
        <f t="shared" si="217"/>
        <v>4.5</v>
      </c>
      <c r="W1031" s="285">
        <f t="shared" si="218"/>
        <v>1.5</v>
      </c>
      <c r="X1031" s="289" t="e">
        <f t="shared" si="219"/>
        <v>#VALUE!</v>
      </c>
      <c r="Y1031" s="288" t="e">
        <f t="shared" si="220"/>
        <v>#VALUE!</v>
      </c>
      <c r="Z1031" s="256">
        <f t="shared" si="221"/>
        <v>181.74993027852094</v>
      </c>
      <c r="AA1031" s="289" t="e">
        <f t="shared" si="222"/>
        <v>#VALUE!</v>
      </c>
      <c r="AB1031" s="288" t="e">
        <f t="shared" si="223"/>
        <v>#VALUE!</v>
      </c>
    </row>
    <row r="1032" spans="13:28" ht="12" hidden="1" customHeight="1">
      <c r="M1032" s="266"/>
      <c r="N1032" s="288" t="str">
        <f t="shared" si="224"/>
        <v/>
      </c>
      <c r="O1032" s="285">
        <f t="shared" si="210"/>
        <v>150</v>
      </c>
      <c r="P1032" s="289">
        <f t="shared" si="211"/>
        <v>4000000</v>
      </c>
      <c r="Q1032" s="285">
        <f t="shared" si="212"/>
        <v>110</v>
      </c>
      <c r="R1032" s="285">
        <f t="shared" si="213"/>
        <v>85</v>
      </c>
      <c r="S1032" s="285">
        <f t="shared" si="214"/>
        <v>0.35</v>
      </c>
      <c r="T1032" s="285">
        <f t="shared" si="215"/>
        <v>3.2</v>
      </c>
      <c r="U1032" s="285">
        <f t="shared" si="216"/>
        <v>1</v>
      </c>
      <c r="V1032" s="285">
        <f t="shared" si="217"/>
        <v>4.5</v>
      </c>
      <c r="W1032" s="285">
        <f t="shared" si="218"/>
        <v>1.5</v>
      </c>
      <c r="X1032" s="289" t="e">
        <f t="shared" si="219"/>
        <v>#VALUE!</v>
      </c>
      <c r="Y1032" s="288" t="e">
        <f t="shared" si="220"/>
        <v>#VALUE!</v>
      </c>
      <c r="Z1032" s="256">
        <f t="shared" si="221"/>
        <v>181.74993027852094</v>
      </c>
      <c r="AA1032" s="289" t="e">
        <f t="shared" si="222"/>
        <v>#VALUE!</v>
      </c>
      <c r="AB1032" s="288" t="e">
        <f t="shared" si="223"/>
        <v>#VALUE!</v>
      </c>
    </row>
    <row r="1033" spans="13:28" ht="12" hidden="1" customHeight="1">
      <c r="M1033" s="266"/>
      <c r="N1033" s="288" t="str">
        <f t="shared" si="224"/>
        <v/>
      </c>
      <c r="O1033" s="285">
        <f t="shared" si="210"/>
        <v>150</v>
      </c>
      <c r="P1033" s="289">
        <f t="shared" si="211"/>
        <v>4000000</v>
      </c>
      <c r="Q1033" s="285">
        <f t="shared" si="212"/>
        <v>110</v>
      </c>
      <c r="R1033" s="285">
        <f t="shared" si="213"/>
        <v>85</v>
      </c>
      <c r="S1033" s="285">
        <f t="shared" si="214"/>
        <v>0.35</v>
      </c>
      <c r="T1033" s="285">
        <f t="shared" si="215"/>
        <v>3.2</v>
      </c>
      <c r="U1033" s="285">
        <f t="shared" si="216"/>
        <v>1</v>
      </c>
      <c r="V1033" s="285">
        <f t="shared" si="217"/>
        <v>4.5</v>
      </c>
      <c r="W1033" s="285">
        <f t="shared" si="218"/>
        <v>1.5</v>
      </c>
      <c r="X1033" s="289" t="e">
        <f t="shared" si="219"/>
        <v>#VALUE!</v>
      </c>
      <c r="Y1033" s="288" t="e">
        <f t="shared" si="220"/>
        <v>#VALUE!</v>
      </c>
      <c r="Z1033" s="256">
        <f t="shared" si="221"/>
        <v>181.74993027852094</v>
      </c>
      <c r="AA1033" s="289" t="e">
        <f t="shared" si="222"/>
        <v>#VALUE!</v>
      </c>
      <c r="AB1033" s="288" t="e">
        <f t="shared" si="223"/>
        <v>#VALUE!</v>
      </c>
    </row>
    <row r="1034" spans="13:28" ht="12" hidden="1" customHeight="1">
      <c r="M1034" s="266"/>
      <c r="N1034" s="288" t="str">
        <f t="shared" si="224"/>
        <v/>
      </c>
      <c r="O1034" s="285">
        <f t="shared" si="210"/>
        <v>150</v>
      </c>
      <c r="P1034" s="289">
        <f t="shared" si="211"/>
        <v>4000000</v>
      </c>
      <c r="Q1034" s="285">
        <f t="shared" si="212"/>
        <v>110</v>
      </c>
      <c r="R1034" s="285">
        <f t="shared" si="213"/>
        <v>85</v>
      </c>
      <c r="S1034" s="285">
        <f t="shared" si="214"/>
        <v>0.35</v>
      </c>
      <c r="T1034" s="285">
        <f t="shared" si="215"/>
        <v>3.2</v>
      </c>
      <c r="U1034" s="285">
        <f t="shared" si="216"/>
        <v>1</v>
      </c>
      <c r="V1034" s="285">
        <f t="shared" si="217"/>
        <v>4.5</v>
      </c>
      <c r="W1034" s="285">
        <f t="shared" si="218"/>
        <v>1.5</v>
      </c>
      <c r="X1034" s="289" t="e">
        <f t="shared" si="219"/>
        <v>#VALUE!</v>
      </c>
      <c r="Y1034" s="288" t="e">
        <f t="shared" si="220"/>
        <v>#VALUE!</v>
      </c>
      <c r="Z1034" s="256">
        <f t="shared" si="221"/>
        <v>181.74993027852094</v>
      </c>
      <c r="AA1034" s="289" t="e">
        <f t="shared" si="222"/>
        <v>#VALUE!</v>
      </c>
      <c r="AB1034" s="288" t="e">
        <f t="shared" si="223"/>
        <v>#VALUE!</v>
      </c>
    </row>
    <row r="1035" spans="13:28" ht="12" hidden="1" customHeight="1">
      <c r="M1035" s="266"/>
      <c r="N1035" s="288" t="str">
        <f t="shared" si="224"/>
        <v/>
      </c>
      <c r="O1035" s="285">
        <f t="shared" si="210"/>
        <v>150</v>
      </c>
      <c r="P1035" s="289">
        <f t="shared" si="211"/>
        <v>4000000</v>
      </c>
      <c r="Q1035" s="285">
        <f t="shared" si="212"/>
        <v>110</v>
      </c>
      <c r="R1035" s="285">
        <f t="shared" si="213"/>
        <v>85</v>
      </c>
      <c r="S1035" s="285">
        <f t="shared" si="214"/>
        <v>0.35</v>
      </c>
      <c r="T1035" s="285">
        <f t="shared" si="215"/>
        <v>3.2</v>
      </c>
      <c r="U1035" s="285">
        <f t="shared" si="216"/>
        <v>1</v>
      </c>
      <c r="V1035" s="285">
        <f t="shared" si="217"/>
        <v>4.5</v>
      </c>
      <c r="W1035" s="285">
        <f t="shared" si="218"/>
        <v>1.5</v>
      </c>
      <c r="X1035" s="289" t="e">
        <f t="shared" si="219"/>
        <v>#VALUE!</v>
      </c>
      <c r="Y1035" s="288" t="e">
        <f t="shared" si="220"/>
        <v>#VALUE!</v>
      </c>
      <c r="Z1035" s="256">
        <f t="shared" si="221"/>
        <v>181.74993027852094</v>
      </c>
      <c r="AA1035" s="289" t="e">
        <f t="shared" si="222"/>
        <v>#VALUE!</v>
      </c>
      <c r="AB1035" s="288" t="e">
        <f t="shared" si="223"/>
        <v>#VALUE!</v>
      </c>
    </row>
    <row r="1036" spans="13:28" ht="12" hidden="1" customHeight="1">
      <c r="M1036" s="266"/>
      <c r="N1036" s="288" t="str">
        <f t="shared" si="224"/>
        <v/>
      </c>
      <c r="O1036" s="285">
        <f t="shared" si="210"/>
        <v>150</v>
      </c>
      <c r="P1036" s="289">
        <f t="shared" si="211"/>
        <v>4000000</v>
      </c>
      <c r="Q1036" s="285">
        <f t="shared" si="212"/>
        <v>110</v>
      </c>
      <c r="R1036" s="285">
        <f t="shared" si="213"/>
        <v>85</v>
      </c>
      <c r="S1036" s="285">
        <f t="shared" si="214"/>
        <v>0.35</v>
      </c>
      <c r="T1036" s="285">
        <f t="shared" si="215"/>
        <v>3.2</v>
      </c>
      <c r="U1036" s="285">
        <f t="shared" si="216"/>
        <v>1</v>
      </c>
      <c r="V1036" s="285">
        <f t="shared" si="217"/>
        <v>4.5</v>
      </c>
      <c r="W1036" s="285">
        <f t="shared" si="218"/>
        <v>1.5</v>
      </c>
      <c r="X1036" s="289" t="e">
        <f t="shared" si="219"/>
        <v>#VALUE!</v>
      </c>
      <c r="Y1036" s="288" t="e">
        <f t="shared" si="220"/>
        <v>#VALUE!</v>
      </c>
      <c r="Z1036" s="256">
        <f t="shared" si="221"/>
        <v>181.74993027852094</v>
      </c>
      <c r="AA1036" s="289" t="e">
        <f t="shared" si="222"/>
        <v>#VALUE!</v>
      </c>
      <c r="AB1036" s="288" t="e">
        <f t="shared" si="223"/>
        <v>#VALUE!</v>
      </c>
    </row>
    <row r="1037" spans="13:28" ht="12" hidden="1" customHeight="1">
      <c r="M1037" s="266"/>
      <c r="N1037" s="288" t="str">
        <f t="shared" si="224"/>
        <v/>
      </c>
      <c r="O1037" s="285">
        <f t="shared" si="210"/>
        <v>150</v>
      </c>
      <c r="P1037" s="289">
        <f t="shared" si="211"/>
        <v>4000000</v>
      </c>
      <c r="Q1037" s="285">
        <f t="shared" si="212"/>
        <v>110</v>
      </c>
      <c r="R1037" s="285">
        <f t="shared" si="213"/>
        <v>85</v>
      </c>
      <c r="S1037" s="285">
        <f t="shared" si="214"/>
        <v>0.35</v>
      </c>
      <c r="T1037" s="285">
        <f t="shared" si="215"/>
        <v>3.2</v>
      </c>
      <c r="U1037" s="285">
        <f t="shared" si="216"/>
        <v>1</v>
      </c>
      <c r="V1037" s="285">
        <f t="shared" si="217"/>
        <v>4.5</v>
      </c>
      <c r="W1037" s="285">
        <f t="shared" si="218"/>
        <v>1.5</v>
      </c>
      <c r="X1037" s="289" t="e">
        <f t="shared" si="219"/>
        <v>#VALUE!</v>
      </c>
      <c r="Y1037" s="288" t="e">
        <f t="shared" si="220"/>
        <v>#VALUE!</v>
      </c>
      <c r="Z1037" s="256">
        <f t="shared" si="221"/>
        <v>181.74993027852094</v>
      </c>
      <c r="AA1037" s="289" t="e">
        <f t="shared" si="222"/>
        <v>#VALUE!</v>
      </c>
      <c r="AB1037" s="288" t="e">
        <f t="shared" si="223"/>
        <v>#VALUE!</v>
      </c>
    </row>
    <row r="1038" spans="13:28" ht="12" hidden="1" customHeight="1">
      <c r="M1038" s="266"/>
      <c r="N1038" s="288" t="str">
        <f t="shared" si="224"/>
        <v/>
      </c>
      <c r="O1038" s="285">
        <f t="shared" si="210"/>
        <v>150</v>
      </c>
      <c r="P1038" s="289">
        <f t="shared" si="211"/>
        <v>4000000</v>
      </c>
      <c r="Q1038" s="285">
        <f t="shared" si="212"/>
        <v>110</v>
      </c>
      <c r="R1038" s="285">
        <f t="shared" si="213"/>
        <v>85</v>
      </c>
      <c r="S1038" s="285">
        <f t="shared" si="214"/>
        <v>0.35</v>
      </c>
      <c r="T1038" s="285">
        <f t="shared" si="215"/>
        <v>3.2</v>
      </c>
      <c r="U1038" s="285">
        <f t="shared" si="216"/>
        <v>1</v>
      </c>
      <c r="V1038" s="285">
        <f t="shared" si="217"/>
        <v>4.5</v>
      </c>
      <c r="W1038" s="285">
        <f t="shared" si="218"/>
        <v>1.5</v>
      </c>
      <c r="X1038" s="289" t="e">
        <f t="shared" si="219"/>
        <v>#VALUE!</v>
      </c>
      <c r="Y1038" s="288" t="e">
        <f t="shared" si="220"/>
        <v>#VALUE!</v>
      </c>
      <c r="Z1038" s="256">
        <f t="shared" si="221"/>
        <v>181.74993027852094</v>
      </c>
      <c r="AA1038" s="289" t="e">
        <f t="shared" si="222"/>
        <v>#VALUE!</v>
      </c>
      <c r="AB1038" s="288" t="e">
        <f t="shared" si="223"/>
        <v>#VALUE!</v>
      </c>
    </row>
    <row r="1039" spans="13:28" ht="12" hidden="1" customHeight="1">
      <c r="M1039" s="266"/>
      <c r="N1039" s="288" t="str">
        <f t="shared" si="224"/>
        <v/>
      </c>
      <c r="O1039" s="285">
        <f t="shared" si="210"/>
        <v>150</v>
      </c>
      <c r="P1039" s="289">
        <f t="shared" si="211"/>
        <v>4000000</v>
      </c>
      <c r="Q1039" s="285">
        <f t="shared" si="212"/>
        <v>110</v>
      </c>
      <c r="R1039" s="285">
        <f t="shared" si="213"/>
        <v>85</v>
      </c>
      <c r="S1039" s="285">
        <f t="shared" si="214"/>
        <v>0.35</v>
      </c>
      <c r="T1039" s="285">
        <f t="shared" si="215"/>
        <v>3.2</v>
      </c>
      <c r="U1039" s="285">
        <f t="shared" si="216"/>
        <v>1</v>
      </c>
      <c r="V1039" s="285">
        <f t="shared" si="217"/>
        <v>4.5</v>
      </c>
      <c r="W1039" s="285">
        <f t="shared" si="218"/>
        <v>1.5</v>
      </c>
      <c r="X1039" s="289" t="e">
        <f t="shared" si="219"/>
        <v>#VALUE!</v>
      </c>
      <c r="Y1039" s="288" t="e">
        <f t="shared" si="220"/>
        <v>#VALUE!</v>
      </c>
      <c r="Z1039" s="256">
        <f t="shared" si="221"/>
        <v>181.74993027852094</v>
      </c>
      <c r="AA1039" s="289" t="e">
        <f t="shared" si="222"/>
        <v>#VALUE!</v>
      </c>
      <c r="AB1039" s="288" t="e">
        <f t="shared" si="223"/>
        <v>#VALUE!</v>
      </c>
    </row>
    <row r="1040" spans="13:28" ht="12" hidden="1" customHeight="1">
      <c r="M1040" s="266"/>
      <c r="N1040" s="288" t="str">
        <f t="shared" si="224"/>
        <v/>
      </c>
      <c r="O1040" s="285">
        <f t="shared" si="210"/>
        <v>150</v>
      </c>
      <c r="P1040" s="289">
        <f t="shared" si="211"/>
        <v>4000000</v>
      </c>
      <c r="Q1040" s="285">
        <f t="shared" si="212"/>
        <v>110</v>
      </c>
      <c r="R1040" s="285">
        <f t="shared" si="213"/>
        <v>85</v>
      </c>
      <c r="S1040" s="285">
        <f t="shared" si="214"/>
        <v>0.35</v>
      </c>
      <c r="T1040" s="285">
        <f t="shared" si="215"/>
        <v>3.2</v>
      </c>
      <c r="U1040" s="285">
        <f t="shared" si="216"/>
        <v>1</v>
      </c>
      <c r="V1040" s="285">
        <f t="shared" si="217"/>
        <v>4.5</v>
      </c>
      <c r="W1040" s="285">
        <f t="shared" si="218"/>
        <v>1.5</v>
      </c>
      <c r="X1040" s="289" t="e">
        <f t="shared" si="219"/>
        <v>#VALUE!</v>
      </c>
      <c r="Y1040" s="288" t="e">
        <f t="shared" si="220"/>
        <v>#VALUE!</v>
      </c>
      <c r="Z1040" s="256">
        <f t="shared" si="221"/>
        <v>181.74993027852094</v>
      </c>
      <c r="AA1040" s="289" t="e">
        <f t="shared" si="222"/>
        <v>#VALUE!</v>
      </c>
      <c r="AB1040" s="288" t="e">
        <f t="shared" si="223"/>
        <v>#VALUE!</v>
      </c>
    </row>
    <row r="1041" spans="13:28" ht="12" hidden="1" customHeight="1">
      <c r="M1041" s="266"/>
      <c r="N1041" s="288" t="str">
        <f t="shared" si="224"/>
        <v/>
      </c>
      <c r="O1041" s="285">
        <f t="shared" si="210"/>
        <v>150</v>
      </c>
      <c r="P1041" s="289">
        <f t="shared" si="211"/>
        <v>4000000</v>
      </c>
      <c r="Q1041" s="285">
        <f t="shared" si="212"/>
        <v>110</v>
      </c>
      <c r="R1041" s="285">
        <f t="shared" si="213"/>
        <v>85</v>
      </c>
      <c r="S1041" s="285">
        <f t="shared" si="214"/>
        <v>0.35</v>
      </c>
      <c r="T1041" s="285">
        <f t="shared" si="215"/>
        <v>3.2</v>
      </c>
      <c r="U1041" s="285">
        <f t="shared" si="216"/>
        <v>1</v>
      </c>
      <c r="V1041" s="285">
        <f t="shared" si="217"/>
        <v>4.5</v>
      </c>
      <c r="W1041" s="285">
        <f t="shared" si="218"/>
        <v>1.5</v>
      </c>
      <c r="X1041" s="289" t="e">
        <f t="shared" si="219"/>
        <v>#VALUE!</v>
      </c>
      <c r="Y1041" s="288" t="e">
        <f t="shared" si="220"/>
        <v>#VALUE!</v>
      </c>
      <c r="Z1041" s="256">
        <f t="shared" si="221"/>
        <v>181.74993027852094</v>
      </c>
      <c r="AA1041" s="289" t="e">
        <f t="shared" si="222"/>
        <v>#VALUE!</v>
      </c>
      <c r="AB1041" s="288" t="e">
        <f t="shared" si="223"/>
        <v>#VALUE!</v>
      </c>
    </row>
    <row r="1042" spans="13:28" ht="12" hidden="1" customHeight="1">
      <c r="M1042" s="266"/>
      <c r="N1042" s="288" t="str">
        <f t="shared" si="224"/>
        <v/>
      </c>
      <c r="O1042" s="285">
        <f t="shared" si="210"/>
        <v>150</v>
      </c>
      <c r="P1042" s="289">
        <f t="shared" si="211"/>
        <v>4000000</v>
      </c>
      <c r="Q1042" s="285">
        <f t="shared" si="212"/>
        <v>110</v>
      </c>
      <c r="R1042" s="285">
        <f t="shared" si="213"/>
        <v>85</v>
      </c>
      <c r="S1042" s="285">
        <f t="shared" si="214"/>
        <v>0.35</v>
      </c>
      <c r="T1042" s="285">
        <f t="shared" si="215"/>
        <v>3.2</v>
      </c>
      <c r="U1042" s="285">
        <f t="shared" si="216"/>
        <v>1</v>
      </c>
      <c r="V1042" s="285">
        <f t="shared" si="217"/>
        <v>4.5</v>
      </c>
      <c r="W1042" s="285">
        <f t="shared" si="218"/>
        <v>1.5</v>
      </c>
      <c r="X1042" s="289" t="e">
        <f t="shared" si="219"/>
        <v>#VALUE!</v>
      </c>
      <c r="Y1042" s="288" t="e">
        <f t="shared" si="220"/>
        <v>#VALUE!</v>
      </c>
      <c r="Z1042" s="256">
        <f t="shared" si="221"/>
        <v>181.74993027852094</v>
      </c>
      <c r="AA1042" s="289" t="e">
        <f t="shared" si="222"/>
        <v>#VALUE!</v>
      </c>
      <c r="AB1042" s="288" t="e">
        <f t="shared" si="223"/>
        <v>#VALUE!</v>
      </c>
    </row>
    <row r="1043" spans="13:28" ht="12" hidden="1" customHeight="1">
      <c r="M1043" s="266"/>
      <c r="N1043" s="288" t="str">
        <f t="shared" si="224"/>
        <v/>
      </c>
      <c r="O1043" s="285">
        <f t="shared" si="210"/>
        <v>150</v>
      </c>
      <c r="P1043" s="289">
        <f t="shared" si="211"/>
        <v>4000000</v>
      </c>
      <c r="Q1043" s="285">
        <f t="shared" si="212"/>
        <v>110</v>
      </c>
      <c r="R1043" s="285">
        <f t="shared" si="213"/>
        <v>85</v>
      </c>
      <c r="S1043" s="285">
        <f t="shared" si="214"/>
        <v>0.35</v>
      </c>
      <c r="T1043" s="285">
        <f t="shared" si="215"/>
        <v>3.2</v>
      </c>
      <c r="U1043" s="285">
        <f t="shared" si="216"/>
        <v>1</v>
      </c>
      <c r="V1043" s="285">
        <f t="shared" si="217"/>
        <v>4.5</v>
      </c>
      <c r="W1043" s="285">
        <f t="shared" si="218"/>
        <v>1.5</v>
      </c>
      <c r="X1043" s="289" t="e">
        <f t="shared" si="219"/>
        <v>#VALUE!</v>
      </c>
      <c r="Y1043" s="288" t="e">
        <f t="shared" si="220"/>
        <v>#VALUE!</v>
      </c>
      <c r="Z1043" s="256">
        <f t="shared" si="221"/>
        <v>181.74993027852094</v>
      </c>
      <c r="AA1043" s="289" t="e">
        <f t="shared" si="222"/>
        <v>#VALUE!</v>
      </c>
      <c r="AB1043" s="288" t="e">
        <f t="shared" si="223"/>
        <v>#VALUE!</v>
      </c>
    </row>
    <row r="1044" spans="13:28" ht="12" hidden="1" customHeight="1">
      <c r="M1044" s="266"/>
      <c r="N1044" s="288" t="str">
        <f t="shared" si="224"/>
        <v/>
      </c>
      <c r="O1044" s="285">
        <f t="shared" si="210"/>
        <v>150</v>
      </c>
      <c r="P1044" s="289">
        <f t="shared" si="211"/>
        <v>4000000</v>
      </c>
      <c r="Q1044" s="285">
        <f t="shared" si="212"/>
        <v>110</v>
      </c>
      <c r="R1044" s="285">
        <f t="shared" si="213"/>
        <v>85</v>
      </c>
      <c r="S1044" s="285">
        <f t="shared" si="214"/>
        <v>0.35</v>
      </c>
      <c r="T1044" s="285">
        <f t="shared" si="215"/>
        <v>3.2</v>
      </c>
      <c r="U1044" s="285">
        <f t="shared" si="216"/>
        <v>1</v>
      </c>
      <c r="V1044" s="285">
        <f t="shared" si="217"/>
        <v>4.5</v>
      </c>
      <c r="W1044" s="285">
        <f t="shared" si="218"/>
        <v>1.5</v>
      </c>
      <c r="X1044" s="289" t="e">
        <f t="shared" si="219"/>
        <v>#VALUE!</v>
      </c>
      <c r="Y1044" s="288" t="e">
        <f t="shared" si="220"/>
        <v>#VALUE!</v>
      </c>
      <c r="Z1044" s="256">
        <f t="shared" si="221"/>
        <v>181.74993027852094</v>
      </c>
      <c r="AA1044" s="289" t="e">
        <f t="shared" si="222"/>
        <v>#VALUE!</v>
      </c>
      <c r="AB1044" s="288" t="e">
        <f t="shared" si="223"/>
        <v>#VALUE!</v>
      </c>
    </row>
    <row r="1045" spans="13:28" ht="12" hidden="1" customHeight="1">
      <c r="M1045" s="266"/>
      <c r="N1045" s="288" t="str">
        <f t="shared" si="224"/>
        <v/>
      </c>
      <c r="O1045" s="285">
        <f t="shared" si="210"/>
        <v>150</v>
      </c>
      <c r="P1045" s="289">
        <f t="shared" si="211"/>
        <v>4000000</v>
      </c>
      <c r="Q1045" s="285">
        <f t="shared" si="212"/>
        <v>110</v>
      </c>
      <c r="R1045" s="285">
        <f t="shared" si="213"/>
        <v>85</v>
      </c>
      <c r="S1045" s="285">
        <f t="shared" si="214"/>
        <v>0.35</v>
      </c>
      <c r="T1045" s="285">
        <f t="shared" si="215"/>
        <v>3.2</v>
      </c>
      <c r="U1045" s="285">
        <f t="shared" si="216"/>
        <v>1</v>
      </c>
      <c r="V1045" s="285">
        <f t="shared" si="217"/>
        <v>4.5</v>
      </c>
      <c r="W1045" s="285">
        <f t="shared" si="218"/>
        <v>1.5</v>
      </c>
      <c r="X1045" s="289" t="e">
        <f t="shared" si="219"/>
        <v>#VALUE!</v>
      </c>
      <c r="Y1045" s="288" t="e">
        <f t="shared" si="220"/>
        <v>#VALUE!</v>
      </c>
      <c r="Z1045" s="256">
        <f t="shared" si="221"/>
        <v>181.74993027852094</v>
      </c>
      <c r="AA1045" s="289" t="e">
        <f t="shared" si="222"/>
        <v>#VALUE!</v>
      </c>
      <c r="AB1045" s="288" t="e">
        <f t="shared" si="223"/>
        <v>#VALUE!</v>
      </c>
    </row>
    <row r="1046" spans="13:28" ht="12" hidden="1" customHeight="1">
      <c r="M1046" s="266"/>
      <c r="N1046" s="288" t="str">
        <f t="shared" si="224"/>
        <v/>
      </c>
      <c r="O1046" s="285">
        <f t="shared" si="210"/>
        <v>150</v>
      </c>
      <c r="P1046" s="289">
        <f t="shared" si="211"/>
        <v>4000000</v>
      </c>
      <c r="Q1046" s="285">
        <f t="shared" si="212"/>
        <v>110</v>
      </c>
      <c r="R1046" s="285">
        <f t="shared" si="213"/>
        <v>85</v>
      </c>
      <c r="S1046" s="285">
        <f t="shared" si="214"/>
        <v>0.35</v>
      </c>
      <c r="T1046" s="285">
        <f t="shared" si="215"/>
        <v>3.2</v>
      </c>
      <c r="U1046" s="285">
        <f t="shared" si="216"/>
        <v>1</v>
      </c>
      <c r="V1046" s="285">
        <f t="shared" si="217"/>
        <v>4.5</v>
      </c>
      <c r="W1046" s="285">
        <f t="shared" si="218"/>
        <v>1.5</v>
      </c>
      <c r="X1046" s="289" t="e">
        <f t="shared" si="219"/>
        <v>#VALUE!</v>
      </c>
      <c r="Y1046" s="288" t="e">
        <f t="shared" si="220"/>
        <v>#VALUE!</v>
      </c>
      <c r="Z1046" s="256">
        <f t="shared" si="221"/>
        <v>181.74993027852094</v>
      </c>
      <c r="AA1046" s="289" t="e">
        <f t="shared" si="222"/>
        <v>#VALUE!</v>
      </c>
      <c r="AB1046" s="288" t="e">
        <f t="shared" si="223"/>
        <v>#VALUE!</v>
      </c>
    </row>
    <row r="1047" spans="13:28" ht="12" hidden="1" customHeight="1">
      <c r="M1047" s="266"/>
      <c r="N1047" s="288" t="str">
        <f t="shared" si="224"/>
        <v/>
      </c>
      <c r="O1047" s="285">
        <f t="shared" si="210"/>
        <v>150</v>
      </c>
      <c r="P1047" s="289">
        <f t="shared" si="211"/>
        <v>4000000</v>
      </c>
      <c r="Q1047" s="285">
        <f t="shared" si="212"/>
        <v>110</v>
      </c>
      <c r="R1047" s="285">
        <f t="shared" si="213"/>
        <v>85</v>
      </c>
      <c r="S1047" s="285">
        <f t="shared" si="214"/>
        <v>0.35</v>
      </c>
      <c r="T1047" s="285">
        <f t="shared" si="215"/>
        <v>3.2</v>
      </c>
      <c r="U1047" s="285">
        <f t="shared" si="216"/>
        <v>1</v>
      </c>
      <c r="V1047" s="285">
        <f t="shared" si="217"/>
        <v>4.5</v>
      </c>
      <c r="W1047" s="285">
        <f t="shared" si="218"/>
        <v>1.5</v>
      </c>
      <c r="X1047" s="289" t="e">
        <f t="shared" si="219"/>
        <v>#VALUE!</v>
      </c>
      <c r="Y1047" s="288" t="e">
        <f t="shared" si="220"/>
        <v>#VALUE!</v>
      </c>
      <c r="Z1047" s="256">
        <f t="shared" si="221"/>
        <v>181.74993027852094</v>
      </c>
      <c r="AA1047" s="289" t="e">
        <f t="shared" si="222"/>
        <v>#VALUE!</v>
      </c>
      <c r="AB1047" s="288" t="e">
        <f t="shared" si="223"/>
        <v>#VALUE!</v>
      </c>
    </row>
    <row r="1048" spans="13:28" ht="12" hidden="1" customHeight="1">
      <c r="M1048" s="266"/>
      <c r="N1048" s="288" t="str">
        <f t="shared" si="224"/>
        <v/>
      </c>
      <c r="O1048" s="285">
        <f t="shared" si="210"/>
        <v>150</v>
      </c>
      <c r="P1048" s="289">
        <f t="shared" si="211"/>
        <v>4000000</v>
      </c>
      <c r="Q1048" s="285">
        <f t="shared" si="212"/>
        <v>110</v>
      </c>
      <c r="R1048" s="285">
        <f t="shared" si="213"/>
        <v>85</v>
      </c>
      <c r="S1048" s="285">
        <f t="shared" si="214"/>
        <v>0.35</v>
      </c>
      <c r="T1048" s="285">
        <f t="shared" si="215"/>
        <v>3.2</v>
      </c>
      <c r="U1048" s="285">
        <f t="shared" si="216"/>
        <v>1</v>
      </c>
      <c r="V1048" s="285">
        <f t="shared" si="217"/>
        <v>4.5</v>
      </c>
      <c r="W1048" s="285">
        <f t="shared" si="218"/>
        <v>1.5</v>
      </c>
      <c r="X1048" s="289" t="e">
        <f t="shared" si="219"/>
        <v>#VALUE!</v>
      </c>
      <c r="Y1048" s="288" t="e">
        <f t="shared" si="220"/>
        <v>#VALUE!</v>
      </c>
      <c r="Z1048" s="256">
        <f t="shared" si="221"/>
        <v>181.74993027852094</v>
      </c>
      <c r="AA1048" s="289" t="e">
        <f t="shared" si="222"/>
        <v>#VALUE!</v>
      </c>
      <c r="AB1048" s="288" t="e">
        <f t="shared" si="223"/>
        <v>#VALUE!</v>
      </c>
    </row>
    <row r="1049" spans="13:28" ht="12" hidden="1" customHeight="1">
      <c r="M1049" s="266"/>
      <c r="N1049" s="288" t="str">
        <f t="shared" si="224"/>
        <v/>
      </c>
      <c r="O1049" s="285">
        <f t="shared" si="210"/>
        <v>150</v>
      </c>
      <c r="P1049" s="289">
        <f t="shared" si="211"/>
        <v>4000000</v>
      </c>
      <c r="Q1049" s="285">
        <f t="shared" si="212"/>
        <v>110</v>
      </c>
      <c r="R1049" s="285">
        <f t="shared" si="213"/>
        <v>85</v>
      </c>
      <c r="S1049" s="285">
        <f t="shared" si="214"/>
        <v>0.35</v>
      </c>
      <c r="T1049" s="285">
        <f t="shared" si="215"/>
        <v>3.2</v>
      </c>
      <c r="U1049" s="285">
        <f t="shared" si="216"/>
        <v>1</v>
      </c>
      <c r="V1049" s="285">
        <f t="shared" si="217"/>
        <v>4.5</v>
      </c>
      <c r="W1049" s="285">
        <f t="shared" si="218"/>
        <v>1.5</v>
      </c>
      <c r="X1049" s="289" t="e">
        <f t="shared" si="219"/>
        <v>#VALUE!</v>
      </c>
      <c r="Y1049" s="288" t="e">
        <f t="shared" si="220"/>
        <v>#VALUE!</v>
      </c>
      <c r="Z1049" s="256">
        <f t="shared" si="221"/>
        <v>181.74993027852094</v>
      </c>
      <c r="AA1049" s="289" t="e">
        <f t="shared" si="222"/>
        <v>#VALUE!</v>
      </c>
      <c r="AB1049" s="288" t="e">
        <f t="shared" si="223"/>
        <v>#VALUE!</v>
      </c>
    </row>
    <row r="1050" spans="13:28" ht="12" hidden="1" customHeight="1">
      <c r="M1050" s="266"/>
      <c r="N1050" s="288" t="str">
        <f t="shared" si="224"/>
        <v/>
      </c>
      <c r="O1050" s="285">
        <f t="shared" si="210"/>
        <v>150</v>
      </c>
      <c r="P1050" s="289">
        <f t="shared" si="211"/>
        <v>4000000</v>
      </c>
      <c r="Q1050" s="285">
        <f t="shared" si="212"/>
        <v>110</v>
      </c>
      <c r="R1050" s="285">
        <f t="shared" si="213"/>
        <v>85</v>
      </c>
      <c r="S1050" s="285">
        <f t="shared" si="214"/>
        <v>0.35</v>
      </c>
      <c r="T1050" s="285">
        <f t="shared" si="215"/>
        <v>3.2</v>
      </c>
      <c r="U1050" s="285">
        <f t="shared" si="216"/>
        <v>1</v>
      </c>
      <c r="V1050" s="285">
        <f t="shared" si="217"/>
        <v>4.5</v>
      </c>
      <c r="W1050" s="285">
        <f t="shared" si="218"/>
        <v>1.5</v>
      </c>
      <c r="X1050" s="289" t="e">
        <f t="shared" si="219"/>
        <v>#VALUE!</v>
      </c>
      <c r="Y1050" s="288" t="e">
        <f t="shared" si="220"/>
        <v>#VALUE!</v>
      </c>
      <c r="Z1050" s="256">
        <f t="shared" si="221"/>
        <v>181.74993027852094</v>
      </c>
      <c r="AA1050" s="289" t="e">
        <f t="shared" si="222"/>
        <v>#VALUE!</v>
      </c>
      <c r="AB1050" s="288" t="e">
        <f t="shared" si="223"/>
        <v>#VALUE!</v>
      </c>
    </row>
    <row r="1051" spans="13:28" ht="12" hidden="1" customHeight="1">
      <c r="M1051" s="266"/>
      <c r="N1051" s="288" t="str">
        <f t="shared" si="224"/>
        <v/>
      </c>
      <c r="O1051" s="285">
        <f t="shared" si="210"/>
        <v>150</v>
      </c>
      <c r="P1051" s="289">
        <f t="shared" si="211"/>
        <v>4000000</v>
      </c>
      <c r="Q1051" s="285">
        <f t="shared" si="212"/>
        <v>110</v>
      </c>
      <c r="R1051" s="285">
        <f t="shared" si="213"/>
        <v>85</v>
      </c>
      <c r="S1051" s="285">
        <f t="shared" si="214"/>
        <v>0.35</v>
      </c>
      <c r="T1051" s="285">
        <f t="shared" si="215"/>
        <v>3.2</v>
      </c>
      <c r="U1051" s="285">
        <f t="shared" si="216"/>
        <v>1</v>
      </c>
      <c r="V1051" s="285">
        <f t="shared" si="217"/>
        <v>4.5</v>
      </c>
      <c r="W1051" s="285">
        <f t="shared" si="218"/>
        <v>1.5</v>
      </c>
      <c r="X1051" s="289" t="e">
        <f t="shared" si="219"/>
        <v>#VALUE!</v>
      </c>
      <c r="Y1051" s="288" t="e">
        <f t="shared" si="220"/>
        <v>#VALUE!</v>
      </c>
      <c r="Z1051" s="256">
        <f t="shared" si="221"/>
        <v>181.74993027852094</v>
      </c>
      <c r="AA1051" s="289" t="e">
        <f t="shared" si="222"/>
        <v>#VALUE!</v>
      </c>
      <c r="AB1051" s="288" t="e">
        <f t="shared" si="223"/>
        <v>#VALUE!</v>
      </c>
    </row>
    <row r="1052" spans="13:28" ht="12" hidden="1" customHeight="1">
      <c r="M1052" s="266"/>
      <c r="N1052" s="288" t="str">
        <f t="shared" si="224"/>
        <v/>
      </c>
      <c r="O1052" s="285">
        <f t="shared" si="210"/>
        <v>150</v>
      </c>
      <c r="P1052" s="289">
        <f t="shared" si="211"/>
        <v>4000000</v>
      </c>
      <c r="Q1052" s="285">
        <f t="shared" si="212"/>
        <v>110</v>
      </c>
      <c r="R1052" s="285">
        <f t="shared" si="213"/>
        <v>85</v>
      </c>
      <c r="S1052" s="285">
        <f t="shared" si="214"/>
        <v>0.35</v>
      </c>
      <c r="T1052" s="285">
        <f t="shared" si="215"/>
        <v>3.2</v>
      </c>
      <c r="U1052" s="285">
        <f t="shared" si="216"/>
        <v>1</v>
      </c>
      <c r="V1052" s="285">
        <f t="shared" si="217"/>
        <v>4.5</v>
      </c>
      <c r="W1052" s="285">
        <f t="shared" si="218"/>
        <v>1.5</v>
      </c>
      <c r="X1052" s="289" t="e">
        <f t="shared" si="219"/>
        <v>#VALUE!</v>
      </c>
      <c r="Y1052" s="288" t="e">
        <f t="shared" si="220"/>
        <v>#VALUE!</v>
      </c>
      <c r="Z1052" s="256">
        <f t="shared" si="221"/>
        <v>181.74993027852094</v>
      </c>
      <c r="AA1052" s="289" t="e">
        <f t="shared" si="222"/>
        <v>#VALUE!</v>
      </c>
      <c r="AB1052" s="288" t="e">
        <f t="shared" si="223"/>
        <v>#VALUE!</v>
      </c>
    </row>
    <row r="1053" spans="13:28" ht="12" hidden="1" customHeight="1">
      <c r="M1053" s="266"/>
      <c r="N1053" s="288" t="str">
        <f t="shared" si="224"/>
        <v/>
      </c>
      <c r="O1053" s="285">
        <f t="shared" si="210"/>
        <v>150</v>
      </c>
      <c r="P1053" s="289">
        <f t="shared" si="211"/>
        <v>4000000</v>
      </c>
      <c r="Q1053" s="285">
        <f t="shared" si="212"/>
        <v>110</v>
      </c>
      <c r="R1053" s="285">
        <f t="shared" si="213"/>
        <v>85</v>
      </c>
      <c r="S1053" s="285">
        <f t="shared" si="214"/>
        <v>0.35</v>
      </c>
      <c r="T1053" s="285">
        <f t="shared" si="215"/>
        <v>3.2</v>
      </c>
      <c r="U1053" s="285">
        <f t="shared" si="216"/>
        <v>1</v>
      </c>
      <c r="V1053" s="285">
        <f t="shared" si="217"/>
        <v>4.5</v>
      </c>
      <c r="W1053" s="285">
        <f t="shared" si="218"/>
        <v>1.5</v>
      </c>
      <c r="X1053" s="289" t="e">
        <f t="shared" si="219"/>
        <v>#VALUE!</v>
      </c>
      <c r="Y1053" s="288" t="e">
        <f t="shared" si="220"/>
        <v>#VALUE!</v>
      </c>
      <c r="Z1053" s="256">
        <f t="shared" si="221"/>
        <v>181.74993027852094</v>
      </c>
      <c r="AA1053" s="289" t="e">
        <f t="shared" si="222"/>
        <v>#VALUE!</v>
      </c>
      <c r="AB1053" s="288" t="e">
        <f t="shared" si="223"/>
        <v>#VALUE!</v>
      </c>
    </row>
    <row r="1054" spans="13:28" ht="12" hidden="1" customHeight="1">
      <c r="M1054" s="266"/>
      <c r="N1054" s="288" t="str">
        <f t="shared" si="224"/>
        <v/>
      </c>
      <c r="O1054" s="285">
        <f t="shared" ref="O1054:O1117" si="225">PCC_MR</f>
        <v>150</v>
      </c>
      <c r="P1054" s="289">
        <f t="shared" ref="P1054:P1117" si="226">PCC_ME</f>
        <v>4000000</v>
      </c>
      <c r="Q1054" s="285">
        <f t="shared" ref="Q1054:Q1117" si="227">K_MODULE</f>
        <v>110</v>
      </c>
      <c r="R1054" s="285">
        <f t="shared" ref="R1054:R1117" si="228">R_</f>
        <v>85</v>
      </c>
      <c r="S1054" s="285">
        <f t="shared" ref="S1054:S1117" si="229">So</f>
        <v>0.35</v>
      </c>
      <c r="T1054" s="285">
        <f t="shared" ref="T1054:T1117" si="230">J_</f>
        <v>3.2</v>
      </c>
      <c r="U1054" s="285">
        <f t="shared" ref="U1054:U1117" si="231">Cd_</f>
        <v>1</v>
      </c>
      <c r="V1054" s="285">
        <f t="shared" ref="V1054:V1117" si="232">Pi</f>
        <v>4.5</v>
      </c>
      <c r="W1054" s="285">
        <f t="shared" ref="W1054:W1117" si="233">Pt</f>
        <v>1.5</v>
      </c>
      <c r="X1054" s="289" t="e">
        <f t="shared" ref="X1054:X1117" si="234">10^(-NORMSINV(R1054/100)*S1054+7.35*LOG10(N1054+1)-0.06+((LOG10((V1054-W1054)/3))/(1+((1.625*10^7)/((N1054+1)^8.46))))+((4.22-0.32*W1054)*LOG10((O1054*U1054*((N1054^0.75)-1.132))/(215.63*T1054*((N1054^0.75)-18.42*(Q1054/P1054)^0.25)))))</f>
        <v>#VALUE!</v>
      </c>
      <c r="Y1054" s="288" t="e">
        <f t="shared" ref="Y1054:Y1117" si="235">+X1054/ESALS</f>
        <v>#VALUE!</v>
      </c>
      <c r="Z1054" s="256">
        <f t="shared" ref="Z1054:Z1117" si="236">PCC_IMR</f>
        <v>181.74993027852094</v>
      </c>
      <c r="AA1054" s="289" t="e">
        <f t="shared" ref="AA1054:AA1117" si="237">10^(-NORMSINV(R1054/100)*S1054+7.35*LOG10(N1054+1)-0.06+((LOG10((V1054-W1054)/3))/(1+((1.625*10^7)/((N1054+1)^8.46))))+((4.22-0.32*W1054)*LOG10((Z1054*U1054*((N1054^0.75)-1.132))/(215.63*T1054*((N1054^0.75)-18.42*(Q1054/P1054)^0.25)))))</f>
        <v>#VALUE!</v>
      </c>
      <c r="AB1054" s="288" t="e">
        <f t="shared" ref="AB1054:AB1117" si="238">+AA1054/ESALS</f>
        <v>#VALUE!</v>
      </c>
    </row>
    <row r="1055" spans="13:28" ht="12" hidden="1" customHeight="1">
      <c r="M1055" s="266"/>
      <c r="N1055" s="288" t="str">
        <f t="shared" ref="N1055:N1118" si="239">IF(N1054 = "", "", IF(AND(0.995*ESALS&lt;=X1054,X1054&lt;=1.005*ESALS),"",(N1054+D_Step)))</f>
        <v/>
      </c>
      <c r="O1055" s="285">
        <f t="shared" si="225"/>
        <v>150</v>
      </c>
      <c r="P1055" s="289">
        <f t="shared" si="226"/>
        <v>4000000</v>
      </c>
      <c r="Q1055" s="285">
        <f t="shared" si="227"/>
        <v>110</v>
      </c>
      <c r="R1055" s="285">
        <f t="shared" si="228"/>
        <v>85</v>
      </c>
      <c r="S1055" s="285">
        <f t="shared" si="229"/>
        <v>0.35</v>
      </c>
      <c r="T1055" s="285">
        <f t="shared" si="230"/>
        <v>3.2</v>
      </c>
      <c r="U1055" s="285">
        <f t="shared" si="231"/>
        <v>1</v>
      </c>
      <c r="V1055" s="285">
        <f t="shared" si="232"/>
        <v>4.5</v>
      </c>
      <c r="W1055" s="285">
        <f t="shared" si="233"/>
        <v>1.5</v>
      </c>
      <c r="X1055" s="289" t="e">
        <f t="shared" si="234"/>
        <v>#VALUE!</v>
      </c>
      <c r="Y1055" s="288" t="e">
        <f t="shared" si="235"/>
        <v>#VALUE!</v>
      </c>
      <c r="Z1055" s="256">
        <f t="shared" si="236"/>
        <v>181.74993027852094</v>
      </c>
      <c r="AA1055" s="289" t="e">
        <f t="shared" si="237"/>
        <v>#VALUE!</v>
      </c>
      <c r="AB1055" s="288" t="e">
        <f t="shared" si="238"/>
        <v>#VALUE!</v>
      </c>
    </row>
    <row r="1056" spans="13:28" ht="12" hidden="1" customHeight="1">
      <c r="M1056" s="266"/>
      <c r="N1056" s="288" t="str">
        <f t="shared" si="239"/>
        <v/>
      </c>
      <c r="O1056" s="285">
        <f t="shared" si="225"/>
        <v>150</v>
      </c>
      <c r="P1056" s="289">
        <f t="shared" si="226"/>
        <v>4000000</v>
      </c>
      <c r="Q1056" s="285">
        <f t="shared" si="227"/>
        <v>110</v>
      </c>
      <c r="R1056" s="285">
        <f t="shared" si="228"/>
        <v>85</v>
      </c>
      <c r="S1056" s="285">
        <f t="shared" si="229"/>
        <v>0.35</v>
      </c>
      <c r="T1056" s="285">
        <f t="shared" si="230"/>
        <v>3.2</v>
      </c>
      <c r="U1056" s="285">
        <f t="shared" si="231"/>
        <v>1</v>
      </c>
      <c r="V1056" s="285">
        <f t="shared" si="232"/>
        <v>4.5</v>
      </c>
      <c r="W1056" s="285">
        <f t="shared" si="233"/>
        <v>1.5</v>
      </c>
      <c r="X1056" s="289" t="e">
        <f t="shared" si="234"/>
        <v>#VALUE!</v>
      </c>
      <c r="Y1056" s="288" t="e">
        <f t="shared" si="235"/>
        <v>#VALUE!</v>
      </c>
      <c r="Z1056" s="256">
        <f t="shared" si="236"/>
        <v>181.74993027852094</v>
      </c>
      <c r="AA1056" s="289" t="e">
        <f t="shared" si="237"/>
        <v>#VALUE!</v>
      </c>
      <c r="AB1056" s="288" t="e">
        <f t="shared" si="238"/>
        <v>#VALUE!</v>
      </c>
    </row>
    <row r="1057" spans="13:28" ht="12" hidden="1" customHeight="1">
      <c r="M1057" s="266"/>
      <c r="N1057" s="288" t="str">
        <f t="shared" si="239"/>
        <v/>
      </c>
      <c r="O1057" s="285">
        <f t="shared" si="225"/>
        <v>150</v>
      </c>
      <c r="P1057" s="289">
        <f t="shared" si="226"/>
        <v>4000000</v>
      </c>
      <c r="Q1057" s="285">
        <f t="shared" si="227"/>
        <v>110</v>
      </c>
      <c r="R1057" s="285">
        <f t="shared" si="228"/>
        <v>85</v>
      </c>
      <c r="S1057" s="285">
        <f t="shared" si="229"/>
        <v>0.35</v>
      </c>
      <c r="T1057" s="285">
        <f t="shared" si="230"/>
        <v>3.2</v>
      </c>
      <c r="U1057" s="285">
        <f t="shared" si="231"/>
        <v>1</v>
      </c>
      <c r="V1057" s="285">
        <f t="shared" si="232"/>
        <v>4.5</v>
      </c>
      <c r="W1057" s="285">
        <f t="shared" si="233"/>
        <v>1.5</v>
      </c>
      <c r="X1057" s="289" t="e">
        <f t="shared" si="234"/>
        <v>#VALUE!</v>
      </c>
      <c r="Y1057" s="288" t="e">
        <f t="shared" si="235"/>
        <v>#VALUE!</v>
      </c>
      <c r="Z1057" s="256">
        <f t="shared" si="236"/>
        <v>181.74993027852094</v>
      </c>
      <c r="AA1057" s="289" t="e">
        <f t="shared" si="237"/>
        <v>#VALUE!</v>
      </c>
      <c r="AB1057" s="288" t="e">
        <f t="shared" si="238"/>
        <v>#VALUE!</v>
      </c>
    </row>
    <row r="1058" spans="13:28" ht="12" hidden="1" customHeight="1">
      <c r="M1058" s="266"/>
      <c r="N1058" s="288" t="str">
        <f t="shared" si="239"/>
        <v/>
      </c>
      <c r="O1058" s="285">
        <f t="shared" si="225"/>
        <v>150</v>
      </c>
      <c r="P1058" s="289">
        <f t="shared" si="226"/>
        <v>4000000</v>
      </c>
      <c r="Q1058" s="285">
        <f t="shared" si="227"/>
        <v>110</v>
      </c>
      <c r="R1058" s="285">
        <f t="shared" si="228"/>
        <v>85</v>
      </c>
      <c r="S1058" s="285">
        <f t="shared" si="229"/>
        <v>0.35</v>
      </c>
      <c r="T1058" s="285">
        <f t="shared" si="230"/>
        <v>3.2</v>
      </c>
      <c r="U1058" s="285">
        <f t="shared" si="231"/>
        <v>1</v>
      </c>
      <c r="V1058" s="285">
        <f t="shared" si="232"/>
        <v>4.5</v>
      </c>
      <c r="W1058" s="285">
        <f t="shared" si="233"/>
        <v>1.5</v>
      </c>
      <c r="X1058" s="289" t="e">
        <f t="shared" si="234"/>
        <v>#VALUE!</v>
      </c>
      <c r="Y1058" s="288" t="e">
        <f t="shared" si="235"/>
        <v>#VALUE!</v>
      </c>
      <c r="Z1058" s="256">
        <f t="shared" si="236"/>
        <v>181.74993027852094</v>
      </c>
      <c r="AA1058" s="289" t="e">
        <f t="shared" si="237"/>
        <v>#VALUE!</v>
      </c>
      <c r="AB1058" s="288" t="e">
        <f t="shared" si="238"/>
        <v>#VALUE!</v>
      </c>
    </row>
    <row r="1059" spans="13:28" ht="12" hidden="1" customHeight="1">
      <c r="M1059" s="266"/>
      <c r="N1059" s="288" t="str">
        <f t="shared" si="239"/>
        <v/>
      </c>
      <c r="O1059" s="285">
        <f t="shared" si="225"/>
        <v>150</v>
      </c>
      <c r="P1059" s="289">
        <f t="shared" si="226"/>
        <v>4000000</v>
      </c>
      <c r="Q1059" s="285">
        <f t="shared" si="227"/>
        <v>110</v>
      </c>
      <c r="R1059" s="285">
        <f t="shared" si="228"/>
        <v>85</v>
      </c>
      <c r="S1059" s="285">
        <f t="shared" si="229"/>
        <v>0.35</v>
      </c>
      <c r="T1059" s="285">
        <f t="shared" si="230"/>
        <v>3.2</v>
      </c>
      <c r="U1059" s="285">
        <f t="shared" si="231"/>
        <v>1</v>
      </c>
      <c r="V1059" s="285">
        <f t="shared" si="232"/>
        <v>4.5</v>
      </c>
      <c r="W1059" s="285">
        <f t="shared" si="233"/>
        <v>1.5</v>
      </c>
      <c r="X1059" s="289" t="e">
        <f t="shared" si="234"/>
        <v>#VALUE!</v>
      </c>
      <c r="Y1059" s="288" t="e">
        <f t="shared" si="235"/>
        <v>#VALUE!</v>
      </c>
      <c r="Z1059" s="256">
        <f t="shared" si="236"/>
        <v>181.74993027852094</v>
      </c>
      <c r="AA1059" s="289" t="e">
        <f t="shared" si="237"/>
        <v>#VALUE!</v>
      </c>
      <c r="AB1059" s="288" t="e">
        <f t="shared" si="238"/>
        <v>#VALUE!</v>
      </c>
    </row>
    <row r="1060" spans="13:28" ht="12" hidden="1" customHeight="1">
      <c r="M1060" s="266"/>
      <c r="N1060" s="288" t="str">
        <f t="shared" si="239"/>
        <v/>
      </c>
      <c r="O1060" s="285">
        <f t="shared" si="225"/>
        <v>150</v>
      </c>
      <c r="P1060" s="289">
        <f t="shared" si="226"/>
        <v>4000000</v>
      </c>
      <c r="Q1060" s="285">
        <f t="shared" si="227"/>
        <v>110</v>
      </c>
      <c r="R1060" s="285">
        <f t="shared" si="228"/>
        <v>85</v>
      </c>
      <c r="S1060" s="285">
        <f t="shared" si="229"/>
        <v>0.35</v>
      </c>
      <c r="T1060" s="285">
        <f t="shared" si="230"/>
        <v>3.2</v>
      </c>
      <c r="U1060" s="285">
        <f t="shared" si="231"/>
        <v>1</v>
      </c>
      <c r="V1060" s="285">
        <f t="shared" si="232"/>
        <v>4.5</v>
      </c>
      <c r="W1060" s="285">
        <f t="shared" si="233"/>
        <v>1.5</v>
      </c>
      <c r="X1060" s="289" t="e">
        <f t="shared" si="234"/>
        <v>#VALUE!</v>
      </c>
      <c r="Y1060" s="288" t="e">
        <f t="shared" si="235"/>
        <v>#VALUE!</v>
      </c>
      <c r="Z1060" s="256">
        <f t="shared" si="236"/>
        <v>181.74993027852094</v>
      </c>
      <c r="AA1060" s="289" t="e">
        <f t="shared" si="237"/>
        <v>#VALUE!</v>
      </c>
      <c r="AB1060" s="288" t="e">
        <f t="shared" si="238"/>
        <v>#VALUE!</v>
      </c>
    </row>
    <row r="1061" spans="13:28" ht="12" hidden="1" customHeight="1">
      <c r="M1061" s="266"/>
      <c r="N1061" s="288" t="str">
        <f t="shared" si="239"/>
        <v/>
      </c>
      <c r="O1061" s="285">
        <f t="shared" si="225"/>
        <v>150</v>
      </c>
      <c r="P1061" s="289">
        <f t="shared" si="226"/>
        <v>4000000</v>
      </c>
      <c r="Q1061" s="285">
        <f t="shared" si="227"/>
        <v>110</v>
      </c>
      <c r="R1061" s="285">
        <f t="shared" si="228"/>
        <v>85</v>
      </c>
      <c r="S1061" s="285">
        <f t="shared" si="229"/>
        <v>0.35</v>
      </c>
      <c r="T1061" s="285">
        <f t="shared" si="230"/>
        <v>3.2</v>
      </c>
      <c r="U1061" s="285">
        <f t="shared" si="231"/>
        <v>1</v>
      </c>
      <c r="V1061" s="285">
        <f t="shared" si="232"/>
        <v>4.5</v>
      </c>
      <c r="W1061" s="285">
        <f t="shared" si="233"/>
        <v>1.5</v>
      </c>
      <c r="X1061" s="289" t="e">
        <f t="shared" si="234"/>
        <v>#VALUE!</v>
      </c>
      <c r="Y1061" s="288" t="e">
        <f t="shared" si="235"/>
        <v>#VALUE!</v>
      </c>
      <c r="Z1061" s="256">
        <f t="shared" si="236"/>
        <v>181.74993027852094</v>
      </c>
      <c r="AA1061" s="289" t="e">
        <f t="shared" si="237"/>
        <v>#VALUE!</v>
      </c>
      <c r="AB1061" s="288" t="e">
        <f t="shared" si="238"/>
        <v>#VALUE!</v>
      </c>
    </row>
    <row r="1062" spans="13:28" ht="12" hidden="1" customHeight="1">
      <c r="M1062" s="266"/>
      <c r="N1062" s="288" t="str">
        <f t="shared" si="239"/>
        <v/>
      </c>
      <c r="O1062" s="285">
        <f t="shared" si="225"/>
        <v>150</v>
      </c>
      <c r="P1062" s="289">
        <f t="shared" si="226"/>
        <v>4000000</v>
      </c>
      <c r="Q1062" s="285">
        <f t="shared" si="227"/>
        <v>110</v>
      </c>
      <c r="R1062" s="285">
        <f t="shared" si="228"/>
        <v>85</v>
      </c>
      <c r="S1062" s="285">
        <f t="shared" si="229"/>
        <v>0.35</v>
      </c>
      <c r="T1062" s="285">
        <f t="shared" si="230"/>
        <v>3.2</v>
      </c>
      <c r="U1062" s="285">
        <f t="shared" si="231"/>
        <v>1</v>
      </c>
      <c r="V1062" s="285">
        <f t="shared" si="232"/>
        <v>4.5</v>
      </c>
      <c r="W1062" s="285">
        <f t="shared" si="233"/>
        <v>1.5</v>
      </c>
      <c r="X1062" s="289" t="e">
        <f t="shared" si="234"/>
        <v>#VALUE!</v>
      </c>
      <c r="Y1062" s="288" t="e">
        <f t="shared" si="235"/>
        <v>#VALUE!</v>
      </c>
      <c r="Z1062" s="256">
        <f t="shared" si="236"/>
        <v>181.74993027852094</v>
      </c>
      <c r="AA1062" s="289" t="e">
        <f t="shared" si="237"/>
        <v>#VALUE!</v>
      </c>
      <c r="AB1062" s="288" t="e">
        <f t="shared" si="238"/>
        <v>#VALUE!</v>
      </c>
    </row>
    <row r="1063" spans="13:28" ht="12" hidden="1" customHeight="1">
      <c r="M1063" s="266"/>
      <c r="N1063" s="288" t="str">
        <f t="shared" si="239"/>
        <v/>
      </c>
      <c r="O1063" s="285">
        <f t="shared" si="225"/>
        <v>150</v>
      </c>
      <c r="P1063" s="289">
        <f t="shared" si="226"/>
        <v>4000000</v>
      </c>
      <c r="Q1063" s="285">
        <f t="shared" si="227"/>
        <v>110</v>
      </c>
      <c r="R1063" s="285">
        <f t="shared" si="228"/>
        <v>85</v>
      </c>
      <c r="S1063" s="285">
        <f t="shared" si="229"/>
        <v>0.35</v>
      </c>
      <c r="T1063" s="285">
        <f t="shared" si="230"/>
        <v>3.2</v>
      </c>
      <c r="U1063" s="285">
        <f t="shared" si="231"/>
        <v>1</v>
      </c>
      <c r="V1063" s="285">
        <f t="shared" si="232"/>
        <v>4.5</v>
      </c>
      <c r="W1063" s="285">
        <f t="shared" si="233"/>
        <v>1.5</v>
      </c>
      <c r="X1063" s="289" t="e">
        <f t="shared" si="234"/>
        <v>#VALUE!</v>
      </c>
      <c r="Y1063" s="288" t="e">
        <f t="shared" si="235"/>
        <v>#VALUE!</v>
      </c>
      <c r="Z1063" s="256">
        <f t="shared" si="236"/>
        <v>181.74993027852094</v>
      </c>
      <c r="AA1063" s="289" t="e">
        <f t="shared" si="237"/>
        <v>#VALUE!</v>
      </c>
      <c r="AB1063" s="288" t="e">
        <f t="shared" si="238"/>
        <v>#VALUE!</v>
      </c>
    </row>
    <row r="1064" spans="13:28" ht="12" hidden="1" customHeight="1">
      <c r="M1064" s="266"/>
      <c r="N1064" s="288" t="str">
        <f t="shared" si="239"/>
        <v/>
      </c>
      <c r="O1064" s="285">
        <f t="shared" si="225"/>
        <v>150</v>
      </c>
      <c r="P1064" s="289">
        <f t="shared" si="226"/>
        <v>4000000</v>
      </c>
      <c r="Q1064" s="285">
        <f t="shared" si="227"/>
        <v>110</v>
      </c>
      <c r="R1064" s="285">
        <f t="shared" si="228"/>
        <v>85</v>
      </c>
      <c r="S1064" s="285">
        <f t="shared" si="229"/>
        <v>0.35</v>
      </c>
      <c r="T1064" s="285">
        <f t="shared" si="230"/>
        <v>3.2</v>
      </c>
      <c r="U1064" s="285">
        <f t="shared" si="231"/>
        <v>1</v>
      </c>
      <c r="V1064" s="285">
        <f t="shared" si="232"/>
        <v>4.5</v>
      </c>
      <c r="W1064" s="285">
        <f t="shared" si="233"/>
        <v>1.5</v>
      </c>
      <c r="X1064" s="289" t="e">
        <f t="shared" si="234"/>
        <v>#VALUE!</v>
      </c>
      <c r="Y1064" s="288" t="e">
        <f t="shared" si="235"/>
        <v>#VALUE!</v>
      </c>
      <c r="Z1064" s="256">
        <f t="shared" si="236"/>
        <v>181.74993027852094</v>
      </c>
      <c r="AA1064" s="289" t="e">
        <f t="shared" si="237"/>
        <v>#VALUE!</v>
      </c>
      <c r="AB1064" s="288" t="e">
        <f t="shared" si="238"/>
        <v>#VALUE!</v>
      </c>
    </row>
    <row r="1065" spans="13:28" ht="12" hidden="1" customHeight="1">
      <c r="M1065" s="266"/>
      <c r="N1065" s="288" t="str">
        <f t="shared" si="239"/>
        <v/>
      </c>
      <c r="O1065" s="285">
        <f t="shared" si="225"/>
        <v>150</v>
      </c>
      <c r="P1065" s="289">
        <f t="shared" si="226"/>
        <v>4000000</v>
      </c>
      <c r="Q1065" s="285">
        <f t="shared" si="227"/>
        <v>110</v>
      </c>
      <c r="R1065" s="285">
        <f t="shared" si="228"/>
        <v>85</v>
      </c>
      <c r="S1065" s="285">
        <f t="shared" si="229"/>
        <v>0.35</v>
      </c>
      <c r="T1065" s="285">
        <f t="shared" si="230"/>
        <v>3.2</v>
      </c>
      <c r="U1065" s="285">
        <f t="shared" si="231"/>
        <v>1</v>
      </c>
      <c r="V1065" s="285">
        <f t="shared" si="232"/>
        <v>4.5</v>
      </c>
      <c r="W1065" s="285">
        <f t="shared" si="233"/>
        <v>1.5</v>
      </c>
      <c r="X1065" s="289" t="e">
        <f t="shared" si="234"/>
        <v>#VALUE!</v>
      </c>
      <c r="Y1065" s="288" t="e">
        <f t="shared" si="235"/>
        <v>#VALUE!</v>
      </c>
      <c r="Z1065" s="256">
        <f t="shared" si="236"/>
        <v>181.74993027852094</v>
      </c>
      <c r="AA1065" s="289" t="e">
        <f t="shared" si="237"/>
        <v>#VALUE!</v>
      </c>
      <c r="AB1065" s="288" t="e">
        <f t="shared" si="238"/>
        <v>#VALUE!</v>
      </c>
    </row>
    <row r="1066" spans="13:28" ht="12" hidden="1" customHeight="1">
      <c r="M1066" s="266"/>
      <c r="N1066" s="288" t="str">
        <f t="shared" si="239"/>
        <v/>
      </c>
      <c r="O1066" s="285">
        <f t="shared" si="225"/>
        <v>150</v>
      </c>
      <c r="P1066" s="289">
        <f t="shared" si="226"/>
        <v>4000000</v>
      </c>
      <c r="Q1066" s="285">
        <f t="shared" si="227"/>
        <v>110</v>
      </c>
      <c r="R1066" s="285">
        <f t="shared" si="228"/>
        <v>85</v>
      </c>
      <c r="S1066" s="285">
        <f t="shared" si="229"/>
        <v>0.35</v>
      </c>
      <c r="T1066" s="285">
        <f t="shared" si="230"/>
        <v>3.2</v>
      </c>
      <c r="U1066" s="285">
        <f t="shared" si="231"/>
        <v>1</v>
      </c>
      <c r="V1066" s="285">
        <f t="shared" si="232"/>
        <v>4.5</v>
      </c>
      <c r="W1066" s="285">
        <f t="shared" si="233"/>
        <v>1.5</v>
      </c>
      <c r="X1066" s="289" t="e">
        <f t="shared" si="234"/>
        <v>#VALUE!</v>
      </c>
      <c r="Y1066" s="288" t="e">
        <f t="shared" si="235"/>
        <v>#VALUE!</v>
      </c>
      <c r="Z1066" s="256">
        <f t="shared" si="236"/>
        <v>181.74993027852094</v>
      </c>
      <c r="AA1066" s="289" t="e">
        <f t="shared" si="237"/>
        <v>#VALUE!</v>
      </c>
      <c r="AB1066" s="288" t="e">
        <f t="shared" si="238"/>
        <v>#VALUE!</v>
      </c>
    </row>
    <row r="1067" spans="13:28" ht="12" hidden="1" customHeight="1">
      <c r="M1067" s="266"/>
      <c r="N1067" s="288" t="str">
        <f t="shared" si="239"/>
        <v/>
      </c>
      <c r="O1067" s="285">
        <f t="shared" si="225"/>
        <v>150</v>
      </c>
      <c r="P1067" s="289">
        <f t="shared" si="226"/>
        <v>4000000</v>
      </c>
      <c r="Q1067" s="285">
        <f t="shared" si="227"/>
        <v>110</v>
      </c>
      <c r="R1067" s="285">
        <f t="shared" si="228"/>
        <v>85</v>
      </c>
      <c r="S1067" s="285">
        <f t="shared" si="229"/>
        <v>0.35</v>
      </c>
      <c r="T1067" s="285">
        <f t="shared" si="230"/>
        <v>3.2</v>
      </c>
      <c r="U1067" s="285">
        <f t="shared" si="231"/>
        <v>1</v>
      </c>
      <c r="V1067" s="285">
        <f t="shared" si="232"/>
        <v>4.5</v>
      </c>
      <c r="W1067" s="285">
        <f t="shared" si="233"/>
        <v>1.5</v>
      </c>
      <c r="X1067" s="289" t="e">
        <f t="shared" si="234"/>
        <v>#VALUE!</v>
      </c>
      <c r="Y1067" s="288" t="e">
        <f t="shared" si="235"/>
        <v>#VALUE!</v>
      </c>
      <c r="Z1067" s="256">
        <f t="shared" si="236"/>
        <v>181.74993027852094</v>
      </c>
      <c r="AA1067" s="289" t="e">
        <f t="shared" si="237"/>
        <v>#VALUE!</v>
      </c>
      <c r="AB1067" s="288" t="e">
        <f t="shared" si="238"/>
        <v>#VALUE!</v>
      </c>
    </row>
    <row r="1068" spans="13:28" ht="12" hidden="1" customHeight="1">
      <c r="M1068" s="266"/>
      <c r="N1068" s="288" t="str">
        <f t="shared" si="239"/>
        <v/>
      </c>
      <c r="O1068" s="285">
        <f t="shared" si="225"/>
        <v>150</v>
      </c>
      <c r="P1068" s="289">
        <f t="shared" si="226"/>
        <v>4000000</v>
      </c>
      <c r="Q1068" s="285">
        <f t="shared" si="227"/>
        <v>110</v>
      </c>
      <c r="R1068" s="285">
        <f t="shared" si="228"/>
        <v>85</v>
      </c>
      <c r="S1068" s="285">
        <f t="shared" si="229"/>
        <v>0.35</v>
      </c>
      <c r="T1068" s="285">
        <f t="shared" si="230"/>
        <v>3.2</v>
      </c>
      <c r="U1068" s="285">
        <f t="shared" si="231"/>
        <v>1</v>
      </c>
      <c r="V1068" s="285">
        <f t="shared" si="232"/>
        <v>4.5</v>
      </c>
      <c r="W1068" s="285">
        <f t="shared" si="233"/>
        <v>1.5</v>
      </c>
      <c r="X1068" s="289" t="e">
        <f t="shared" si="234"/>
        <v>#VALUE!</v>
      </c>
      <c r="Y1068" s="288" t="e">
        <f t="shared" si="235"/>
        <v>#VALUE!</v>
      </c>
      <c r="Z1068" s="256">
        <f t="shared" si="236"/>
        <v>181.74993027852094</v>
      </c>
      <c r="AA1068" s="289" t="e">
        <f t="shared" si="237"/>
        <v>#VALUE!</v>
      </c>
      <c r="AB1068" s="288" t="e">
        <f t="shared" si="238"/>
        <v>#VALUE!</v>
      </c>
    </row>
    <row r="1069" spans="13:28" ht="12" hidden="1" customHeight="1">
      <c r="M1069" s="266"/>
      <c r="N1069" s="288" t="str">
        <f t="shared" si="239"/>
        <v/>
      </c>
      <c r="O1069" s="285">
        <f t="shared" si="225"/>
        <v>150</v>
      </c>
      <c r="P1069" s="289">
        <f t="shared" si="226"/>
        <v>4000000</v>
      </c>
      <c r="Q1069" s="285">
        <f t="shared" si="227"/>
        <v>110</v>
      </c>
      <c r="R1069" s="285">
        <f t="shared" si="228"/>
        <v>85</v>
      </c>
      <c r="S1069" s="285">
        <f t="shared" si="229"/>
        <v>0.35</v>
      </c>
      <c r="T1069" s="285">
        <f t="shared" si="230"/>
        <v>3.2</v>
      </c>
      <c r="U1069" s="285">
        <f t="shared" si="231"/>
        <v>1</v>
      </c>
      <c r="V1069" s="285">
        <f t="shared" si="232"/>
        <v>4.5</v>
      </c>
      <c r="W1069" s="285">
        <f t="shared" si="233"/>
        <v>1.5</v>
      </c>
      <c r="X1069" s="289" t="e">
        <f t="shared" si="234"/>
        <v>#VALUE!</v>
      </c>
      <c r="Y1069" s="288" t="e">
        <f t="shared" si="235"/>
        <v>#VALUE!</v>
      </c>
      <c r="Z1069" s="256">
        <f t="shared" si="236"/>
        <v>181.74993027852094</v>
      </c>
      <c r="AA1069" s="289" t="e">
        <f t="shared" si="237"/>
        <v>#VALUE!</v>
      </c>
      <c r="AB1069" s="288" t="e">
        <f t="shared" si="238"/>
        <v>#VALUE!</v>
      </c>
    </row>
    <row r="1070" spans="13:28" ht="12" hidden="1" customHeight="1">
      <c r="M1070" s="266"/>
      <c r="N1070" s="288" t="str">
        <f t="shared" si="239"/>
        <v/>
      </c>
      <c r="O1070" s="285">
        <f t="shared" si="225"/>
        <v>150</v>
      </c>
      <c r="P1070" s="289">
        <f t="shared" si="226"/>
        <v>4000000</v>
      </c>
      <c r="Q1070" s="285">
        <f t="shared" si="227"/>
        <v>110</v>
      </c>
      <c r="R1070" s="285">
        <f t="shared" si="228"/>
        <v>85</v>
      </c>
      <c r="S1070" s="285">
        <f t="shared" si="229"/>
        <v>0.35</v>
      </c>
      <c r="T1070" s="285">
        <f t="shared" si="230"/>
        <v>3.2</v>
      </c>
      <c r="U1070" s="285">
        <f t="shared" si="231"/>
        <v>1</v>
      </c>
      <c r="V1070" s="285">
        <f t="shared" si="232"/>
        <v>4.5</v>
      </c>
      <c r="W1070" s="285">
        <f t="shared" si="233"/>
        <v>1.5</v>
      </c>
      <c r="X1070" s="289" t="e">
        <f t="shared" si="234"/>
        <v>#VALUE!</v>
      </c>
      <c r="Y1070" s="288" t="e">
        <f t="shared" si="235"/>
        <v>#VALUE!</v>
      </c>
      <c r="Z1070" s="256">
        <f t="shared" si="236"/>
        <v>181.74993027852094</v>
      </c>
      <c r="AA1070" s="289" t="e">
        <f t="shared" si="237"/>
        <v>#VALUE!</v>
      </c>
      <c r="AB1070" s="288" t="e">
        <f t="shared" si="238"/>
        <v>#VALUE!</v>
      </c>
    </row>
    <row r="1071" spans="13:28" ht="12" hidden="1" customHeight="1">
      <c r="M1071" s="266"/>
      <c r="N1071" s="288" t="str">
        <f t="shared" si="239"/>
        <v/>
      </c>
      <c r="O1071" s="285">
        <f t="shared" si="225"/>
        <v>150</v>
      </c>
      <c r="P1071" s="289">
        <f t="shared" si="226"/>
        <v>4000000</v>
      </c>
      <c r="Q1071" s="285">
        <f t="shared" si="227"/>
        <v>110</v>
      </c>
      <c r="R1071" s="285">
        <f t="shared" si="228"/>
        <v>85</v>
      </c>
      <c r="S1071" s="285">
        <f t="shared" si="229"/>
        <v>0.35</v>
      </c>
      <c r="T1071" s="285">
        <f t="shared" si="230"/>
        <v>3.2</v>
      </c>
      <c r="U1071" s="285">
        <f t="shared" si="231"/>
        <v>1</v>
      </c>
      <c r="V1071" s="285">
        <f t="shared" si="232"/>
        <v>4.5</v>
      </c>
      <c r="W1071" s="285">
        <f t="shared" si="233"/>
        <v>1.5</v>
      </c>
      <c r="X1071" s="289" t="e">
        <f t="shared" si="234"/>
        <v>#VALUE!</v>
      </c>
      <c r="Y1071" s="288" t="e">
        <f t="shared" si="235"/>
        <v>#VALUE!</v>
      </c>
      <c r="Z1071" s="256">
        <f t="shared" si="236"/>
        <v>181.74993027852094</v>
      </c>
      <c r="AA1071" s="289" t="e">
        <f t="shared" si="237"/>
        <v>#VALUE!</v>
      </c>
      <c r="AB1071" s="288" t="e">
        <f t="shared" si="238"/>
        <v>#VALUE!</v>
      </c>
    </row>
    <row r="1072" spans="13:28" ht="12" hidden="1" customHeight="1">
      <c r="M1072" s="266"/>
      <c r="N1072" s="288" t="str">
        <f t="shared" si="239"/>
        <v/>
      </c>
      <c r="O1072" s="285">
        <f t="shared" si="225"/>
        <v>150</v>
      </c>
      <c r="P1072" s="289">
        <f t="shared" si="226"/>
        <v>4000000</v>
      </c>
      <c r="Q1072" s="285">
        <f t="shared" si="227"/>
        <v>110</v>
      </c>
      <c r="R1072" s="285">
        <f t="shared" si="228"/>
        <v>85</v>
      </c>
      <c r="S1072" s="285">
        <f t="shared" si="229"/>
        <v>0.35</v>
      </c>
      <c r="T1072" s="285">
        <f t="shared" si="230"/>
        <v>3.2</v>
      </c>
      <c r="U1072" s="285">
        <f t="shared" si="231"/>
        <v>1</v>
      </c>
      <c r="V1072" s="285">
        <f t="shared" si="232"/>
        <v>4.5</v>
      </c>
      <c r="W1072" s="285">
        <f t="shared" si="233"/>
        <v>1.5</v>
      </c>
      <c r="X1072" s="289" t="e">
        <f t="shared" si="234"/>
        <v>#VALUE!</v>
      </c>
      <c r="Y1072" s="288" t="e">
        <f t="shared" si="235"/>
        <v>#VALUE!</v>
      </c>
      <c r="Z1072" s="256">
        <f t="shared" si="236"/>
        <v>181.74993027852094</v>
      </c>
      <c r="AA1072" s="289" t="e">
        <f t="shared" si="237"/>
        <v>#VALUE!</v>
      </c>
      <c r="AB1072" s="288" t="e">
        <f t="shared" si="238"/>
        <v>#VALUE!</v>
      </c>
    </row>
    <row r="1073" spans="13:28" ht="12" hidden="1" customHeight="1">
      <c r="M1073" s="266"/>
      <c r="N1073" s="288" t="str">
        <f t="shared" si="239"/>
        <v/>
      </c>
      <c r="O1073" s="285">
        <f t="shared" si="225"/>
        <v>150</v>
      </c>
      <c r="P1073" s="289">
        <f t="shared" si="226"/>
        <v>4000000</v>
      </c>
      <c r="Q1073" s="285">
        <f t="shared" si="227"/>
        <v>110</v>
      </c>
      <c r="R1073" s="285">
        <f t="shared" si="228"/>
        <v>85</v>
      </c>
      <c r="S1073" s="285">
        <f t="shared" si="229"/>
        <v>0.35</v>
      </c>
      <c r="T1073" s="285">
        <f t="shared" si="230"/>
        <v>3.2</v>
      </c>
      <c r="U1073" s="285">
        <f t="shared" si="231"/>
        <v>1</v>
      </c>
      <c r="V1073" s="285">
        <f t="shared" si="232"/>
        <v>4.5</v>
      </c>
      <c r="W1073" s="285">
        <f t="shared" si="233"/>
        <v>1.5</v>
      </c>
      <c r="X1073" s="289" t="e">
        <f t="shared" si="234"/>
        <v>#VALUE!</v>
      </c>
      <c r="Y1073" s="288" t="e">
        <f t="shared" si="235"/>
        <v>#VALUE!</v>
      </c>
      <c r="Z1073" s="256">
        <f t="shared" si="236"/>
        <v>181.74993027852094</v>
      </c>
      <c r="AA1073" s="289" t="e">
        <f t="shared" si="237"/>
        <v>#VALUE!</v>
      </c>
      <c r="AB1073" s="288" t="e">
        <f t="shared" si="238"/>
        <v>#VALUE!</v>
      </c>
    </row>
    <row r="1074" spans="13:28" ht="12" hidden="1" customHeight="1">
      <c r="M1074" s="266"/>
      <c r="N1074" s="288" t="str">
        <f t="shared" si="239"/>
        <v/>
      </c>
      <c r="O1074" s="285">
        <f t="shared" si="225"/>
        <v>150</v>
      </c>
      <c r="P1074" s="289">
        <f t="shared" si="226"/>
        <v>4000000</v>
      </c>
      <c r="Q1074" s="285">
        <f t="shared" si="227"/>
        <v>110</v>
      </c>
      <c r="R1074" s="285">
        <f t="shared" si="228"/>
        <v>85</v>
      </c>
      <c r="S1074" s="285">
        <f t="shared" si="229"/>
        <v>0.35</v>
      </c>
      <c r="T1074" s="285">
        <f t="shared" si="230"/>
        <v>3.2</v>
      </c>
      <c r="U1074" s="285">
        <f t="shared" si="231"/>
        <v>1</v>
      </c>
      <c r="V1074" s="285">
        <f t="shared" si="232"/>
        <v>4.5</v>
      </c>
      <c r="W1074" s="285">
        <f t="shared" si="233"/>
        <v>1.5</v>
      </c>
      <c r="X1074" s="289" t="e">
        <f t="shared" si="234"/>
        <v>#VALUE!</v>
      </c>
      <c r="Y1074" s="288" t="e">
        <f t="shared" si="235"/>
        <v>#VALUE!</v>
      </c>
      <c r="Z1074" s="256">
        <f t="shared" si="236"/>
        <v>181.74993027852094</v>
      </c>
      <c r="AA1074" s="289" t="e">
        <f t="shared" si="237"/>
        <v>#VALUE!</v>
      </c>
      <c r="AB1074" s="288" t="e">
        <f t="shared" si="238"/>
        <v>#VALUE!</v>
      </c>
    </row>
    <row r="1075" spans="13:28" ht="12" hidden="1" customHeight="1">
      <c r="M1075" s="266"/>
      <c r="N1075" s="288" t="str">
        <f t="shared" si="239"/>
        <v/>
      </c>
      <c r="O1075" s="285">
        <f t="shared" si="225"/>
        <v>150</v>
      </c>
      <c r="P1075" s="289">
        <f t="shared" si="226"/>
        <v>4000000</v>
      </c>
      <c r="Q1075" s="285">
        <f t="shared" si="227"/>
        <v>110</v>
      </c>
      <c r="R1075" s="285">
        <f t="shared" si="228"/>
        <v>85</v>
      </c>
      <c r="S1075" s="285">
        <f t="shared" si="229"/>
        <v>0.35</v>
      </c>
      <c r="T1075" s="285">
        <f t="shared" si="230"/>
        <v>3.2</v>
      </c>
      <c r="U1075" s="285">
        <f t="shared" si="231"/>
        <v>1</v>
      </c>
      <c r="V1075" s="285">
        <f t="shared" si="232"/>
        <v>4.5</v>
      </c>
      <c r="W1075" s="285">
        <f t="shared" si="233"/>
        <v>1.5</v>
      </c>
      <c r="X1075" s="289" t="e">
        <f t="shared" si="234"/>
        <v>#VALUE!</v>
      </c>
      <c r="Y1075" s="288" t="e">
        <f t="shared" si="235"/>
        <v>#VALUE!</v>
      </c>
      <c r="Z1075" s="256">
        <f t="shared" si="236"/>
        <v>181.74993027852094</v>
      </c>
      <c r="AA1075" s="289" t="e">
        <f t="shared" si="237"/>
        <v>#VALUE!</v>
      </c>
      <c r="AB1075" s="288" t="e">
        <f t="shared" si="238"/>
        <v>#VALUE!</v>
      </c>
    </row>
    <row r="1076" spans="13:28" ht="12" hidden="1" customHeight="1">
      <c r="M1076" s="266"/>
      <c r="N1076" s="288" t="str">
        <f t="shared" si="239"/>
        <v/>
      </c>
      <c r="O1076" s="285">
        <f t="shared" si="225"/>
        <v>150</v>
      </c>
      <c r="P1076" s="289">
        <f t="shared" si="226"/>
        <v>4000000</v>
      </c>
      <c r="Q1076" s="285">
        <f t="shared" si="227"/>
        <v>110</v>
      </c>
      <c r="R1076" s="285">
        <f t="shared" si="228"/>
        <v>85</v>
      </c>
      <c r="S1076" s="285">
        <f t="shared" si="229"/>
        <v>0.35</v>
      </c>
      <c r="T1076" s="285">
        <f t="shared" si="230"/>
        <v>3.2</v>
      </c>
      <c r="U1076" s="285">
        <f t="shared" si="231"/>
        <v>1</v>
      </c>
      <c r="V1076" s="285">
        <f t="shared" si="232"/>
        <v>4.5</v>
      </c>
      <c r="W1076" s="285">
        <f t="shared" si="233"/>
        <v>1.5</v>
      </c>
      <c r="X1076" s="289" t="e">
        <f t="shared" si="234"/>
        <v>#VALUE!</v>
      </c>
      <c r="Y1076" s="288" t="e">
        <f t="shared" si="235"/>
        <v>#VALUE!</v>
      </c>
      <c r="Z1076" s="256">
        <f t="shared" si="236"/>
        <v>181.74993027852094</v>
      </c>
      <c r="AA1076" s="289" t="e">
        <f t="shared" si="237"/>
        <v>#VALUE!</v>
      </c>
      <c r="AB1076" s="288" t="e">
        <f t="shared" si="238"/>
        <v>#VALUE!</v>
      </c>
    </row>
    <row r="1077" spans="13:28" ht="12" hidden="1" customHeight="1">
      <c r="M1077" s="266"/>
      <c r="N1077" s="288" t="str">
        <f t="shared" si="239"/>
        <v/>
      </c>
      <c r="O1077" s="285">
        <f t="shared" si="225"/>
        <v>150</v>
      </c>
      <c r="P1077" s="289">
        <f t="shared" si="226"/>
        <v>4000000</v>
      </c>
      <c r="Q1077" s="285">
        <f t="shared" si="227"/>
        <v>110</v>
      </c>
      <c r="R1077" s="285">
        <f t="shared" si="228"/>
        <v>85</v>
      </c>
      <c r="S1077" s="285">
        <f t="shared" si="229"/>
        <v>0.35</v>
      </c>
      <c r="T1077" s="285">
        <f t="shared" si="230"/>
        <v>3.2</v>
      </c>
      <c r="U1077" s="285">
        <f t="shared" si="231"/>
        <v>1</v>
      </c>
      <c r="V1077" s="285">
        <f t="shared" si="232"/>
        <v>4.5</v>
      </c>
      <c r="W1077" s="285">
        <f t="shared" si="233"/>
        <v>1.5</v>
      </c>
      <c r="X1077" s="289" t="e">
        <f t="shared" si="234"/>
        <v>#VALUE!</v>
      </c>
      <c r="Y1077" s="288" t="e">
        <f t="shared" si="235"/>
        <v>#VALUE!</v>
      </c>
      <c r="Z1077" s="256">
        <f t="shared" si="236"/>
        <v>181.74993027852094</v>
      </c>
      <c r="AA1077" s="289" t="e">
        <f t="shared" si="237"/>
        <v>#VALUE!</v>
      </c>
      <c r="AB1077" s="288" t="e">
        <f t="shared" si="238"/>
        <v>#VALUE!</v>
      </c>
    </row>
    <row r="1078" spans="13:28" ht="12" hidden="1" customHeight="1">
      <c r="M1078" s="266"/>
      <c r="N1078" s="288" t="str">
        <f t="shared" si="239"/>
        <v/>
      </c>
      <c r="O1078" s="285">
        <f t="shared" si="225"/>
        <v>150</v>
      </c>
      <c r="P1078" s="289">
        <f t="shared" si="226"/>
        <v>4000000</v>
      </c>
      <c r="Q1078" s="285">
        <f t="shared" si="227"/>
        <v>110</v>
      </c>
      <c r="R1078" s="285">
        <f t="shared" si="228"/>
        <v>85</v>
      </c>
      <c r="S1078" s="285">
        <f t="shared" si="229"/>
        <v>0.35</v>
      </c>
      <c r="T1078" s="285">
        <f t="shared" si="230"/>
        <v>3.2</v>
      </c>
      <c r="U1078" s="285">
        <f t="shared" si="231"/>
        <v>1</v>
      </c>
      <c r="V1078" s="285">
        <f t="shared" si="232"/>
        <v>4.5</v>
      </c>
      <c r="W1078" s="285">
        <f t="shared" si="233"/>
        <v>1.5</v>
      </c>
      <c r="X1078" s="289" t="e">
        <f t="shared" si="234"/>
        <v>#VALUE!</v>
      </c>
      <c r="Y1078" s="288" t="e">
        <f t="shared" si="235"/>
        <v>#VALUE!</v>
      </c>
      <c r="Z1078" s="256">
        <f t="shared" si="236"/>
        <v>181.74993027852094</v>
      </c>
      <c r="AA1078" s="289" t="e">
        <f t="shared" si="237"/>
        <v>#VALUE!</v>
      </c>
      <c r="AB1078" s="288" t="e">
        <f t="shared" si="238"/>
        <v>#VALUE!</v>
      </c>
    </row>
    <row r="1079" spans="13:28" ht="12" hidden="1" customHeight="1">
      <c r="M1079" s="266"/>
      <c r="N1079" s="288" t="str">
        <f t="shared" si="239"/>
        <v/>
      </c>
      <c r="O1079" s="285">
        <f t="shared" si="225"/>
        <v>150</v>
      </c>
      <c r="P1079" s="289">
        <f t="shared" si="226"/>
        <v>4000000</v>
      </c>
      <c r="Q1079" s="285">
        <f t="shared" si="227"/>
        <v>110</v>
      </c>
      <c r="R1079" s="285">
        <f t="shared" si="228"/>
        <v>85</v>
      </c>
      <c r="S1079" s="285">
        <f t="shared" si="229"/>
        <v>0.35</v>
      </c>
      <c r="T1079" s="285">
        <f t="shared" si="230"/>
        <v>3.2</v>
      </c>
      <c r="U1079" s="285">
        <f t="shared" si="231"/>
        <v>1</v>
      </c>
      <c r="V1079" s="285">
        <f t="shared" si="232"/>
        <v>4.5</v>
      </c>
      <c r="W1079" s="285">
        <f t="shared" si="233"/>
        <v>1.5</v>
      </c>
      <c r="X1079" s="289" t="e">
        <f t="shared" si="234"/>
        <v>#VALUE!</v>
      </c>
      <c r="Y1079" s="288" t="e">
        <f t="shared" si="235"/>
        <v>#VALUE!</v>
      </c>
      <c r="Z1079" s="256">
        <f t="shared" si="236"/>
        <v>181.74993027852094</v>
      </c>
      <c r="AA1079" s="289" t="e">
        <f t="shared" si="237"/>
        <v>#VALUE!</v>
      </c>
      <c r="AB1079" s="288" t="e">
        <f t="shared" si="238"/>
        <v>#VALUE!</v>
      </c>
    </row>
    <row r="1080" spans="13:28" ht="12" hidden="1" customHeight="1">
      <c r="M1080" s="266"/>
      <c r="N1080" s="288" t="str">
        <f t="shared" si="239"/>
        <v/>
      </c>
      <c r="O1080" s="285">
        <f t="shared" si="225"/>
        <v>150</v>
      </c>
      <c r="P1080" s="289">
        <f t="shared" si="226"/>
        <v>4000000</v>
      </c>
      <c r="Q1080" s="285">
        <f t="shared" si="227"/>
        <v>110</v>
      </c>
      <c r="R1080" s="285">
        <f t="shared" si="228"/>
        <v>85</v>
      </c>
      <c r="S1080" s="285">
        <f t="shared" si="229"/>
        <v>0.35</v>
      </c>
      <c r="T1080" s="285">
        <f t="shared" si="230"/>
        <v>3.2</v>
      </c>
      <c r="U1080" s="285">
        <f t="shared" si="231"/>
        <v>1</v>
      </c>
      <c r="V1080" s="285">
        <f t="shared" si="232"/>
        <v>4.5</v>
      </c>
      <c r="W1080" s="285">
        <f t="shared" si="233"/>
        <v>1.5</v>
      </c>
      <c r="X1080" s="289" t="e">
        <f t="shared" si="234"/>
        <v>#VALUE!</v>
      </c>
      <c r="Y1080" s="288" t="e">
        <f t="shared" si="235"/>
        <v>#VALUE!</v>
      </c>
      <c r="Z1080" s="256">
        <f t="shared" si="236"/>
        <v>181.74993027852094</v>
      </c>
      <c r="AA1080" s="289" t="e">
        <f t="shared" si="237"/>
        <v>#VALUE!</v>
      </c>
      <c r="AB1080" s="288" t="e">
        <f t="shared" si="238"/>
        <v>#VALUE!</v>
      </c>
    </row>
    <row r="1081" spans="13:28" ht="12" hidden="1" customHeight="1">
      <c r="M1081" s="266"/>
      <c r="N1081" s="288" t="str">
        <f t="shared" si="239"/>
        <v/>
      </c>
      <c r="O1081" s="285">
        <f t="shared" si="225"/>
        <v>150</v>
      </c>
      <c r="P1081" s="289">
        <f t="shared" si="226"/>
        <v>4000000</v>
      </c>
      <c r="Q1081" s="285">
        <f t="shared" si="227"/>
        <v>110</v>
      </c>
      <c r="R1081" s="285">
        <f t="shared" si="228"/>
        <v>85</v>
      </c>
      <c r="S1081" s="285">
        <f t="shared" si="229"/>
        <v>0.35</v>
      </c>
      <c r="T1081" s="285">
        <f t="shared" si="230"/>
        <v>3.2</v>
      </c>
      <c r="U1081" s="285">
        <f t="shared" si="231"/>
        <v>1</v>
      </c>
      <c r="V1081" s="285">
        <f t="shared" si="232"/>
        <v>4.5</v>
      </c>
      <c r="W1081" s="285">
        <f t="shared" si="233"/>
        <v>1.5</v>
      </c>
      <c r="X1081" s="289" t="e">
        <f t="shared" si="234"/>
        <v>#VALUE!</v>
      </c>
      <c r="Y1081" s="288" t="e">
        <f t="shared" si="235"/>
        <v>#VALUE!</v>
      </c>
      <c r="Z1081" s="256">
        <f t="shared" si="236"/>
        <v>181.74993027852094</v>
      </c>
      <c r="AA1081" s="289" t="e">
        <f t="shared" si="237"/>
        <v>#VALUE!</v>
      </c>
      <c r="AB1081" s="288" t="e">
        <f t="shared" si="238"/>
        <v>#VALUE!</v>
      </c>
    </row>
    <row r="1082" spans="13:28" ht="12" hidden="1" customHeight="1">
      <c r="M1082" s="266"/>
      <c r="N1082" s="288" t="str">
        <f t="shared" si="239"/>
        <v/>
      </c>
      <c r="O1082" s="285">
        <f t="shared" si="225"/>
        <v>150</v>
      </c>
      <c r="P1082" s="289">
        <f t="shared" si="226"/>
        <v>4000000</v>
      </c>
      <c r="Q1082" s="285">
        <f t="shared" si="227"/>
        <v>110</v>
      </c>
      <c r="R1082" s="285">
        <f t="shared" si="228"/>
        <v>85</v>
      </c>
      <c r="S1082" s="285">
        <f t="shared" si="229"/>
        <v>0.35</v>
      </c>
      <c r="T1082" s="285">
        <f t="shared" si="230"/>
        <v>3.2</v>
      </c>
      <c r="U1082" s="285">
        <f t="shared" si="231"/>
        <v>1</v>
      </c>
      <c r="V1082" s="285">
        <f t="shared" si="232"/>
        <v>4.5</v>
      </c>
      <c r="W1082" s="285">
        <f t="shared" si="233"/>
        <v>1.5</v>
      </c>
      <c r="X1082" s="289" t="e">
        <f t="shared" si="234"/>
        <v>#VALUE!</v>
      </c>
      <c r="Y1082" s="288" t="e">
        <f t="shared" si="235"/>
        <v>#VALUE!</v>
      </c>
      <c r="Z1082" s="256">
        <f t="shared" si="236"/>
        <v>181.74993027852094</v>
      </c>
      <c r="AA1082" s="289" t="e">
        <f t="shared" si="237"/>
        <v>#VALUE!</v>
      </c>
      <c r="AB1082" s="288" t="e">
        <f t="shared" si="238"/>
        <v>#VALUE!</v>
      </c>
    </row>
    <row r="1083" spans="13:28" ht="12" hidden="1" customHeight="1">
      <c r="M1083" s="266"/>
      <c r="N1083" s="288" t="str">
        <f t="shared" si="239"/>
        <v/>
      </c>
      <c r="O1083" s="285">
        <f t="shared" si="225"/>
        <v>150</v>
      </c>
      <c r="P1083" s="289">
        <f t="shared" si="226"/>
        <v>4000000</v>
      </c>
      <c r="Q1083" s="285">
        <f t="shared" si="227"/>
        <v>110</v>
      </c>
      <c r="R1083" s="285">
        <f t="shared" si="228"/>
        <v>85</v>
      </c>
      <c r="S1083" s="285">
        <f t="shared" si="229"/>
        <v>0.35</v>
      </c>
      <c r="T1083" s="285">
        <f t="shared" si="230"/>
        <v>3.2</v>
      </c>
      <c r="U1083" s="285">
        <f t="shared" si="231"/>
        <v>1</v>
      </c>
      <c r="V1083" s="285">
        <f t="shared" si="232"/>
        <v>4.5</v>
      </c>
      <c r="W1083" s="285">
        <f t="shared" si="233"/>
        <v>1.5</v>
      </c>
      <c r="X1083" s="289" t="e">
        <f t="shared" si="234"/>
        <v>#VALUE!</v>
      </c>
      <c r="Y1083" s="288" t="e">
        <f t="shared" si="235"/>
        <v>#VALUE!</v>
      </c>
      <c r="Z1083" s="256">
        <f t="shared" si="236"/>
        <v>181.74993027852094</v>
      </c>
      <c r="AA1083" s="289" t="e">
        <f t="shared" si="237"/>
        <v>#VALUE!</v>
      </c>
      <c r="AB1083" s="288" t="e">
        <f t="shared" si="238"/>
        <v>#VALUE!</v>
      </c>
    </row>
    <row r="1084" spans="13:28" ht="12" hidden="1" customHeight="1">
      <c r="M1084" s="266"/>
      <c r="N1084" s="288" t="str">
        <f t="shared" si="239"/>
        <v/>
      </c>
      <c r="O1084" s="285">
        <f t="shared" si="225"/>
        <v>150</v>
      </c>
      <c r="P1084" s="289">
        <f t="shared" si="226"/>
        <v>4000000</v>
      </c>
      <c r="Q1084" s="285">
        <f t="shared" si="227"/>
        <v>110</v>
      </c>
      <c r="R1084" s="285">
        <f t="shared" si="228"/>
        <v>85</v>
      </c>
      <c r="S1084" s="285">
        <f t="shared" si="229"/>
        <v>0.35</v>
      </c>
      <c r="T1084" s="285">
        <f t="shared" si="230"/>
        <v>3.2</v>
      </c>
      <c r="U1084" s="285">
        <f t="shared" si="231"/>
        <v>1</v>
      </c>
      <c r="V1084" s="285">
        <f t="shared" si="232"/>
        <v>4.5</v>
      </c>
      <c r="W1084" s="285">
        <f t="shared" si="233"/>
        <v>1.5</v>
      </c>
      <c r="X1084" s="289" t="e">
        <f t="shared" si="234"/>
        <v>#VALUE!</v>
      </c>
      <c r="Y1084" s="288" t="e">
        <f t="shared" si="235"/>
        <v>#VALUE!</v>
      </c>
      <c r="Z1084" s="256">
        <f t="shared" si="236"/>
        <v>181.74993027852094</v>
      </c>
      <c r="AA1084" s="289" t="e">
        <f t="shared" si="237"/>
        <v>#VALUE!</v>
      </c>
      <c r="AB1084" s="288" t="e">
        <f t="shared" si="238"/>
        <v>#VALUE!</v>
      </c>
    </row>
    <row r="1085" spans="13:28" ht="12" hidden="1" customHeight="1">
      <c r="M1085" s="266"/>
      <c r="N1085" s="288" t="str">
        <f t="shared" si="239"/>
        <v/>
      </c>
      <c r="O1085" s="285">
        <f t="shared" si="225"/>
        <v>150</v>
      </c>
      <c r="P1085" s="289">
        <f t="shared" si="226"/>
        <v>4000000</v>
      </c>
      <c r="Q1085" s="285">
        <f t="shared" si="227"/>
        <v>110</v>
      </c>
      <c r="R1085" s="285">
        <f t="shared" si="228"/>
        <v>85</v>
      </c>
      <c r="S1085" s="285">
        <f t="shared" si="229"/>
        <v>0.35</v>
      </c>
      <c r="T1085" s="285">
        <f t="shared" si="230"/>
        <v>3.2</v>
      </c>
      <c r="U1085" s="285">
        <f t="shared" si="231"/>
        <v>1</v>
      </c>
      <c r="V1085" s="285">
        <f t="shared" si="232"/>
        <v>4.5</v>
      </c>
      <c r="W1085" s="285">
        <f t="shared" si="233"/>
        <v>1.5</v>
      </c>
      <c r="X1085" s="289" t="e">
        <f t="shared" si="234"/>
        <v>#VALUE!</v>
      </c>
      <c r="Y1085" s="288" t="e">
        <f t="shared" si="235"/>
        <v>#VALUE!</v>
      </c>
      <c r="Z1085" s="256">
        <f t="shared" si="236"/>
        <v>181.74993027852094</v>
      </c>
      <c r="AA1085" s="289" t="e">
        <f t="shared" si="237"/>
        <v>#VALUE!</v>
      </c>
      <c r="AB1085" s="288" t="e">
        <f t="shared" si="238"/>
        <v>#VALUE!</v>
      </c>
    </row>
    <row r="1086" spans="13:28" ht="12" hidden="1" customHeight="1">
      <c r="M1086" s="266"/>
      <c r="N1086" s="288" t="str">
        <f t="shared" si="239"/>
        <v/>
      </c>
      <c r="O1086" s="285">
        <f t="shared" si="225"/>
        <v>150</v>
      </c>
      <c r="P1086" s="289">
        <f t="shared" si="226"/>
        <v>4000000</v>
      </c>
      <c r="Q1086" s="285">
        <f t="shared" si="227"/>
        <v>110</v>
      </c>
      <c r="R1086" s="285">
        <f t="shared" si="228"/>
        <v>85</v>
      </c>
      <c r="S1086" s="285">
        <f t="shared" si="229"/>
        <v>0.35</v>
      </c>
      <c r="T1086" s="285">
        <f t="shared" si="230"/>
        <v>3.2</v>
      </c>
      <c r="U1086" s="285">
        <f t="shared" si="231"/>
        <v>1</v>
      </c>
      <c r="V1086" s="285">
        <f t="shared" si="232"/>
        <v>4.5</v>
      </c>
      <c r="W1086" s="285">
        <f t="shared" si="233"/>
        <v>1.5</v>
      </c>
      <c r="X1086" s="289" t="e">
        <f t="shared" si="234"/>
        <v>#VALUE!</v>
      </c>
      <c r="Y1086" s="288" t="e">
        <f t="shared" si="235"/>
        <v>#VALUE!</v>
      </c>
      <c r="Z1086" s="256">
        <f t="shared" si="236"/>
        <v>181.74993027852094</v>
      </c>
      <c r="AA1086" s="289" t="e">
        <f t="shared" si="237"/>
        <v>#VALUE!</v>
      </c>
      <c r="AB1086" s="288" t="e">
        <f t="shared" si="238"/>
        <v>#VALUE!</v>
      </c>
    </row>
    <row r="1087" spans="13:28" ht="12" hidden="1" customHeight="1">
      <c r="M1087" s="266"/>
      <c r="N1087" s="288" t="str">
        <f t="shared" si="239"/>
        <v/>
      </c>
      <c r="O1087" s="285">
        <f t="shared" si="225"/>
        <v>150</v>
      </c>
      <c r="P1087" s="289">
        <f t="shared" si="226"/>
        <v>4000000</v>
      </c>
      <c r="Q1087" s="285">
        <f t="shared" si="227"/>
        <v>110</v>
      </c>
      <c r="R1087" s="285">
        <f t="shared" si="228"/>
        <v>85</v>
      </c>
      <c r="S1087" s="285">
        <f t="shared" si="229"/>
        <v>0.35</v>
      </c>
      <c r="T1087" s="285">
        <f t="shared" si="230"/>
        <v>3.2</v>
      </c>
      <c r="U1087" s="285">
        <f t="shared" si="231"/>
        <v>1</v>
      </c>
      <c r="V1087" s="285">
        <f t="shared" si="232"/>
        <v>4.5</v>
      </c>
      <c r="W1087" s="285">
        <f t="shared" si="233"/>
        <v>1.5</v>
      </c>
      <c r="X1087" s="289" t="e">
        <f t="shared" si="234"/>
        <v>#VALUE!</v>
      </c>
      <c r="Y1087" s="288" t="e">
        <f t="shared" si="235"/>
        <v>#VALUE!</v>
      </c>
      <c r="Z1087" s="256">
        <f t="shared" si="236"/>
        <v>181.74993027852094</v>
      </c>
      <c r="AA1087" s="289" t="e">
        <f t="shared" si="237"/>
        <v>#VALUE!</v>
      </c>
      <c r="AB1087" s="288" t="e">
        <f t="shared" si="238"/>
        <v>#VALUE!</v>
      </c>
    </row>
    <row r="1088" spans="13:28" ht="12" hidden="1" customHeight="1">
      <c r="M1088" s="266"/>
      <c r="N1088" s="288" t="str">
        <f t="shared" si="239"/>
        <v/>
      </c>
      <c r="O1088" s="285">
        <f t="shared" si="225"/>
        <v>150</v>
      </c>
      <c r="P1088" s="289">
        <f t="shared" si="226"/>
        <v>4000000</v>
      </c>
      <c r="Q1088" s="285">
        <f t="shared" si="227"/>
        <v>110</v>
      </c>
      <c r="R1088" s="285">
        <f t="shared" si="228"/>
        <v>85</v>
      </c>
      <c r="S1088" s="285">
        <f t="shared" si="229"/>
        <v>0.35</v>
      </c>
      <c r="T1088" s="285">
        <f t="shared" si="230"/>
        <v>3.2</v>
      </c>
      <c r="U1088" s="285">
        <f t="shared" si="231"/>
        <v>1</v>
      </c>
      <c r="V1088" s="285">
        <f t="shared" si="232"/>
        <v>4.5</v>
      </c>
      <c r="W1088" s="285">
        <f t="shared" si="233"/>
        <v>1.5</v>
      </c>
      <c r="X1088" s="289" t="e">
        <f t="shared" si="234"/>
        <v>#VALUE!</v>
      </c>
      <c r="Y1088" s="288" t="e">
        <f t="shared" si="235"/>
        <v>#VALUE!</v>
      </c>
      <c r="Z1088" s="256">
        <f t="shared" si="236"/>
        <v>181.74993027852094</v>
      </c>
      <c r="AA1088" s="289" t="e">
        <f t="shared" si="237"/>
        <v>#VALUE!</v>
      </c>
      <c r="AB1088" s="288" t="e">
        <f t="shared" si="238"/>
        <v>#VALUE!</v>
      </c>
    </row>
    <row r="1089" spans="13:28" ht="12" hidden="1" customHeight="1">
      <c r="M1089" s="266"/>
      <c r="N1089" s="288" t="str">
        <f t="shared" si="239"/>
        <v/>
      </c>
      <c r="O1089" s="285">
        <f t="shared" si="225"/>
        <v>150</v>
      </c>
      <c r="P1089" s="289">
        <f t="shared" si="226"/>
        <v>4000000</v>
      </c>
      <c r="Q1089" s="285">
        <f t="shared" si="227"/>
        <v>110</v>
      </c>
      <c r="R1089" s="285">
        <f t="shared" si="228"/>
        <v>85</v>
      </c>
      <c r="S1089" s="285">
        <f t="shared" si="229"/>
        <v>0.35</v>
      </c>
      <c r="T1089" s="285">
        <f t="shared" si="230"/>
        <v>3.2</v>
      </c>
      <c r="U1089" s="285">
        <f t="shared" si="231"/>
        <v>1</v>
      </c>
      <c r="V1089" s="285">
        <f t="shared" si="232"/>
        <v>4.5</v>
      </c>
      <c r="W1089" s="285">
        <f t="shared" si="233"/>
        <v>1.5</v>
      </c>
      <c r="X1089" s="289" t="e">
        <f t="shared" si="234"/>
        <v>#VALUE!</v>
      </c>
      <c r="Y1089" s="288" t="e">
        <f t="shared" si="235"/>
        <v>#VALUE!</v>
      </c>
      <c r="Z1089" s="256">
        <f t="shared" si="236"/>
        <v>181.74993027852094</v>
      </c>
      <c r="AA1089" s="289" t="e">
        <f t="shared" si="237"/>
        <v>#VALUE!</v>
      </c>
      <c r="AB1089" s="288" t="e">
        <f t="shared" si="238"/>
        <v>#VALUE!</v>
      </c>
    </row>
    <row r="1090" spans="13:28" ht="12" hidden="1" customHeight="1">
      <c r="M1090" s="266"/>
      <c r="N1090" s="288" t="str">
        <f t="shared" si="239"/>
        <v/>
      </c>
      <c r="O1090" s="285">
        <f t="shared" si="225"/>
        <v>150</v>
      </c>
      <c r="P1090" s="289">
        <f t="shared" si="226"/>
        <v>4000000</v>
      </c>
      <c r="Q1090" s="285">
        <f t="shared" si="227"/>
        <v>110</v>
      </c>
      <c r="R1090" s="285">
        <f t="shared" si="228"/>
        <v>85</v>
      </c>
      <c r="S1090" s="285">
        <f t="shared" si="229"/>
        <v>0.35</v>
      </c>
      <c r="T1090" s="285">
        <f t="shared" si="230"/>
        <v>3.2</v>
      </c>
      <c r="U1090" s="285">
        <f t="shared" si="231"/>
        <v>1</v>
      </c>
      <c r="V1090" s="285">
        <f t="shared" si="232"/>
        <v>4.5</v>
      </c>
      <c r="W1090" s="285">
        <f t="shared" si="233"/>
        <v>1.5</v>
      </c>
      <c r="X1090" s="289" t="e">
        <f t="shared" si="234"/>
        <v>#VALUE!</v>
      </c>
      <c r="Y1090" s="288" t="e">
        <f t="shared" si="235"/>
        <v>#VALUE!</v>
      </c>
      <c r="Z1090" s="256">
        <f t="shared" si="236"/>
        <v>181.74993027852094</v>
      </c>
      <c r="AA1090" s="289" t="e">
        <f t="shared" si="237"/>
        <v>#VALUE!</v>
      </c>
      <c r="AB1090" s="288" t="e">
        <f t="shared" si="238"/>
        <v>#VALUE!</v>
      </c>
    </row>
    <row r="1091" spans="13:28" ht="12" hidden="1" customHeight="1">
      <c r="M1091" s="266"/>
      <c r="N1091" s="288" t="str">
        <f t="shared" si="239"/>
        <v/>
      </c>
      <c r="O1091" s="285">
        <f t="shared" si="225"/>
        <v>150</v>
      </c>
      <c r="P1091" s="289">
        <f t="shared" si="226"/>
        <v>4000000</v>
      </c>
      <c r="Q1091" s="285">
        <f t="shared" si="227"/>
        <v>110</v>
      </c>
      <c r="R1091" s="285">
        <f t="shared" si="228"/>
        <v>85</v>
      </c>
      <c r="S1091" s="285">
        <f t="shared" si="229"/>
        <v>0.35</v>
      </c>
      <c r="T1091" s="285">
        <f t="shared" si="230"/>
        <v>3.2</v>
      </c>
      <c r="U1091" s="285">
        <f t="shared" si="231"/>
        <v>1</v>
      </c>
      <c r="V1091" s="285">
        <f t="shared" si="232"/>
        <v>4.5</v>
      </c>
      <c r="W1091" s="285">
        <f t="shared" si="233"/>
        <v>1.5</v>
      </c>
      <c r="X1091" s="289" t="e">
        <f t="shared" si="234"/>
        <v>#VALUE!</v>
      </c>
      <c r="Y1091" s="288" t="e">
        <f t="shared" si="235"/>
        <v>#VALUE!</v>
      </c>
      <c r="Z1091" s="256">
        <f t="shared" si="236"/>
        <v>181.74993027852094</v>
      </c>
      <c r="AA1091" s="289" t="e">
        <f t="shared" si="237"/>
        <v>#VALUE!</v>
      </c>
      <c r="AB1091" s="288" t="e">
        <f t="shared" si="238"/>
        <v>#VALUE!</v>
      </c>
    </row>
    <row r="1092" spans="13:28" ht="12" hidden="1" customHeight="1">
      <c r="M1092" s="266"/>
      <c r="N1092" s="288" t="str">
        <f t="shared" si="239"/>
        <v/>
      </c>
      <c r="O1092" s="285">
        <f t="shared" si="225"/>
        <v>150</v>
      </c>
      <c r="P1092" s="289">
        <f t="shared" si="226"/>
        <v>4000000</v>
      </c>
      <c r="Q1092" s="285">
        <f t="shared" si="227"/>
        <v>110</v>
      </c>
      <c r="R1092" s="285">
        <f t="shared" si="228"/>
        <v>85</v>
      </c>
      <c r="S1092" s="285">
        <f t="shared" si="229"/>
        <v>0.35</v>
      </c>
      <c r="T1092" s="285">
        <f t="shared" si="230"/>
        <v>3.2</v>
      </c>
      <c r="U1092" s="285">
        <f t="shared" si="231"/>
        <v>1</v>
      </c>
      <c r="V1092" s="285">
        <f t="shared" si="232"/>
        <v>4.5</v>
      </c>
      <c r="W1092" s="285">
        <f t="shared" si="233"/>
        <v>1.5</v>
      </c>
      <c r="X1092" s="289" t="e">
        <f t="shared" si="234"/>
        <v>#VALUE!</v>
      </c>
      <c r="Y1092" s="288" t="e">
        <f t="shared" si="235"/>
        <v>#VALUE!</v>
      </c>
      <c r="Z1092" s="256">
        <f t="shared" si="236"/>
        <v>181.74993027852094</v>
      </c>
      <c r="AA1092" s="289" t="e">
        <f t="shared" si="237"/>
        <v>#VALUE!</v>
      </c>
      <c r="AB1092" s="288" t="e">
        <f t="shared" si="238"/>
        <v>#VALUE!</v>
      </c>
    </row>
    <row r="1093" spans="13:28" ht="12" hidden="1" customHeight="1">
      <c r="M1093" s="266"/>
      <c r="N1093" s="288" t="str">
        <f t="shared" si="239"/>
        <v/>
      </c>
      <c r="O1093" s="285">
        <f t="shared" si="225"/>
        <v>150</v>
      </c>
      <c r="P1093" s="289">
        <f t="shared" si="226"/>
        <v>4000000</v>
      </c>
      <c r="Q1093" s="285">
        <f t="shared" si="227"/>
        <v>110</v>
      </c>
      <c r="R1093" s="285">
        <f t="shared" si="228"/>
        <v>85</v>
      </c>
      <c r="S1093" s="285">
        <f t="shared" si="229"/>
        <v>0.35</v>
      </c>
      <c r="T1093" s="285">
        <f t="shared" si="230"/>
        <v>3.2</v>
      </c>
      <c r="U1093" s="285">
        <f t="shared" si="231"/>
        <v>1</v>
      </c>
      <c r="V1093" s="285">
        <f t="shared" si="232"/>
        <v>4.5</v>
      </c>
      <c r="W1093" s="285">
        <f t="shared" si="233"/>
        <v>1.5</v>
      </c>
      <c r="X1093" s="289" t="e">
        <f t="shared" si="234"/>
        <v>#VALUE!</v>
      </c>
      <c r="Y1093" s="288" t="e">
        <f t="shared" si="235"/>
        <v>#VALUE!</v>
      </c>
      <c r="Z1093" s="256">
        <f t="shared" si="236"/>
        <v>181.74993027852094</v>
      </c>
      <c r="AA1093" s="289" t="e">
        <f t="shared" si="237"/>
        <v>#VALUE!</v>
      </c>
      <c r="AB1093" s="288" t="e">
        <f t="shared" si="238"/>
        <v>#VALUE!</v>
      </c>
    </row>
    <row r="1094" spans="13:28" ht="12" hidden="1" customHeight="1">
      <c r="M1094" s="266"/>
      <c r="N1094" s="288" t="str">
        <f t="shared" si="239"/>
        <v/>
      </c>
      <c r="O1094" s="285">
        <f t="shared" si="225"/>
        <v>150</v>
      </c>
      <c r="P1094" s="289">
        <f t="shared" si="226"/>
        <v>4000000</v>
      </c>
      <c r="Q1094" s="285">
        <f t="shared" si="227"/>
        <v>110</v>
      </c>
      <c r="R1094" s="285">
        <f t="shared" si="228"/>
        <v>85</v>
      </c>
      <c r="S1094" s="285">
        <f t="shared" si="229"/>
        <v>0.35</v>
      </c>
      <c r="T1094" s="285">
        <f t="shared" si="230"/>
        <v>3.2</v>
      </c>
      <c r="U1094" s="285">
        <f t="shared" si="231"/>
        <v>1</v>
      </c>
      <c r="V1094" s="285">
        <f t="shared" si="232"/>
        <v>4.5</v>
      </c>
      <c r="W1094" s="285">
        <f t="shared" si="233"/>
        <v>1.5</v>
      </c>
      <c r="X1094" s="289" t="e">
        <f t="shared" si="234"/>
        <v>#VALUE!</v>
      </c>
      <c r="Y1094" s="288" t="e">
        <f t="shared" si="235"/>
        <v>#VALUE!</v>
      </c>
      <c r="Z1094" s="256">
        <f t="shared" si="236"/>
        <v>181.74993027852094</v>
      </c>
      <c r="AA1094" s="289" t="e">
        <f t="shared" si="237"/>
        <v>#VALUE!</v>
      </c>
      <c r="AB1094" s="288" t="e">
        <f t="shared" si="238"/>
        <v>#VALUE!</v>
      </c>
    </row>
    <row r="1095" spans="13:28" ht="12" hidden="1" customHeight="1">
      <c r="M1095" s="266"/>
      <c r="N1095" s="288" t="str">
        <f t="shared" si="239"/>
        <v/>
      </c>
      <c r="O1095" s="285">
        <f t="shared" si="225"/>
        <v>150</v>
      </c>
      <c r="P1095" s="289">
        <f t="shared" si="226"/>
        <v>4000000</v>
      </c>
      <c r="Q1095" s="285">
        <f t="shared" si="227"/>
        <v>110</v>
      </c>
      <c r="R1095" s="285">
        <f t="shared" si="228"/>
        <v>85</v>
      </c>
      <c r="S1095" s="285">
        <f t="shared" si="229"/>
        <v>0.35</v>
      </c>
      <c r="T1095" s="285">
        <f t="shared" si="230"/>
        <v>3.2</v>
      </c>
      <c r="U1095" s="285">
        <f t="shared" si="231"/>
        <v>1</v>
      </c>
      <c r="V1095" s="285">
        <f t="shared" si="232"/>
        <v>4.5</v>
      </c>
      <c r="W1095" s="285">
        <f t="shared" si="233"/>
        <v>1.5</v>
      </c>
      <c r="X1095" s="289" t="e">
        <f t="shared" si="234"/>
        <v>#VALUE!</v>
      </c>
      <c r="Y1095" s="288" t="e">
        <f t="shared" si="235"/>
        <v>#VALUE!</v>
      </c>
      <c r="Z1095" s="256">
        <f t="shared" si="236"/>
        <v>181.74993027852094</v>
      </c>
      <c r="AA1095" s="289" t="e">
        <f t="shared" si="237"/>
        <v>#VALUE!</v>
      </c>
      <c r="AB1095" s="288" t="e">
        <f t="shared" si="238"/>
        <v>#VALUE!</v>
      </c>
    </row>
    <row r="1096" spans="13:28" ht="12" hidden="1" customHeight="1">
      <c r="M1096" s="266"/>
      <c r="N1096" s="288" t="str">
        <f t="shared" si="239"/>
        <v/>
      </c>
      <c r="O1096" s="285">
        <f t="shared" si="225"/>
        <v>150</v>
      </c>
      <c r="P1096" s="289">
        <f t="shared" si="226"/>
        <v>4000000</v>
      </c>
      <c r="Q1096" s="285">
        <f t="shared" si="227"/>
        <v>110</v>
      </c>
      <c r="R1096" s="285">
        <f t="shared" si="228"/>
        <v>85</v>
      </c>
      <c r="S1096" s="285">
        <f t="shared" si="229"/>
        <v>0.35</v>
      </c>
      <c r="T1096" s="285">
        <f t="shared" si="230"/>
        <v>3.2</v>
      </c>
      <c r="U1096" s="285">
        <f t="shared" si="231"/>
        <v>1</v>
      </c>
      <c r="V1096" s="285">
        <f t="shared" si="232"/>
        <v>4.5</v>
      </c>
      <c r="W1096" s="285">
        <f t="shared" si="233"/>
        <v>1.5</v>
      </c>
      <c r="X1096" s="289" t="e">
        <f t="shared" si="234"/>
        <v>#VALUE!</v>
      </c>
      <c r="Y1096" s="288" t="e">
        <f t="shared" si="235"/>
        <v>#VALUE!</v>
      </c>
      <c r="Z1096" s="256">
        <f t="shared" si="236"/>
        <v>181.74993027852094</v>
      </c>
      <c r="AA1096" s="289" t="e">
        <f t="shared" si="237"/>
        <v>#VALUE!</v>
      </c>
      <c r="AB1096" s="288" t="e">
        <f t="shared" si="238"/>
        <v>#VALUE!</v>
      </c>
    </row>
    <row r="1097" spans="13:28" ht="12" hidden="1" customHeight="1">
      <c r="M1097" s="266"/>
      <c r="N1097" s="288" t="str">
        <f t="shared" si="239"/>
        <v/>
      </c>
      <c r="O1097" s="285">
        <f t="shared" si="225"/>
        <v>150</v>
      </c>
      <c r="P1097" s="289">
        <f t="shared" si="226"/>
        <v>4000000</v>
      </c>
      <c r="Q1097" s="285">
        <f t="shared" si="227"/>
        <v>110</v>
      </c>
      <c r="R1097" s="285">
        <f t="shared" si="228"/>
        <v>85</v>
      </c>
      <c r="S1097" s="285">
        <f t="shared" si="229"/>
        <v>0.35</v>
      </c>
      <c r="T1097" s="285">
        <f t="shared" si="230"/>
        <v>3.2</v>
      </c>
      <c r="U1097" s="285">
        <f t="shared" si="231"/>
        <v>1</v>
      </c>
      <c r="V1097" s="285">
        <f t="shared" si="232"/>
        <v>4.5</v>
      </c>
      <c r="W1097" s="285">
        <f t="shared" si="233"/>
        <v>1.5</v>
      </c>
      <c r="X1097" s="289" t="e">
        <f t="shared" si="234"/>
        <v>#VALUE!</v>
      </c>
      <c r="Y1097" s="288" t="e">
        <f t="shared" si="235"/>
        <v>#VALUE!</v>
      </c>
      <c r="Z1097" s="256">
        <f t="shared" si="236"/>
        <v>181.74993027852094</v>
      </c>
      <c r="AA1097" s="289" t="e">
        <f t="shared" si="237"/>
        <v>#VALUE!</v>
      </c>
      <c r="AB1097" s="288" t="e">
        <f t="shared" si="238"/>
        <v>#VALUE!</v>
      </c>
    </row>
    <row r="1098" spans="13:28" ht="12" hidden="1" customHeight="1">
      <c r="M1098" s="266"/>
      <c r="N1098" s="288" t="str">
        <f t="shared" si="239"/>
        <v/>
      </c>
      <c r="O1098" s="285">
        <f t="shared" si="225"/>
        <v>150</v>
      </c>
      <c r="P1098" s="289">
        <f t="shared" si="226"/>
        <v>4000000</v>
      </c>
      <c r="Q1098" s="285">
        <f t="shared" si="227"/>
        <v>110</v>
      </c>
      <c r="R1098" s="285">
        <f t="shared" si="228"/>
        <v>85</v>
      </c>
      <c r="S1098" s="285">
        <f t="shared" si="229"/>
        <v>0.35</v>
      </c>
      <c r="T1098" s="285">
        <f t="shared" si="230"/>
        <v>3.2</v>
      </c>
      <c r="U1098" s="285">
        <f t="shared" si="231"/>
        <v>1</v>
      </c>
      <c r="V1098" s="285">
        <f t="shared" si="232"/>
        <v>4.5</v>
      </c>
      <c r="W1098" s="285">
        <f t="shared" si="233"/>
        <v>1.5</v>
      </c>
      <c r="X1098" s="289" t="e">
        <f t="shared" si="234"/>
        <v>#VALUE!</v>
      </c>
      <c r="Y1098" s="288" t="e">
        <f t="shared" si="235"/>
        <v>#VALUE!</v>
      </c>
      <c r="Z1098" s="256">
        <f t="shared" si="236"/>
        <v>181.74993027852094</v>
      </c>
      <c r="AA1098" s="289" t="e">
        <f t="shared" si="237"/>
        <v>#VALUE!</v>
      </c>
      <c r="AB1098" s="288" t="e">
        <f t="shared" si="238"/>
        <v>#VALUE!</v>
      </c>
    </row>
    <row r="1099" spans="13:28" ht="12" hidden="1" customHeight="1">
      <c r="M1099" s="266"/>
      <c r="N1099" s="288" t="str">
        <f t="shared" si="239"/>
        <v/>
      </c>
      <c r="O1099" s="285">
        <f t="shared" si="225"/>
        <v>150</v>
      </c>
      <c r="P1099" s="289">
        <f t="shared" si="226"/>
        <v>4000000</v>
      </c>
      <c r="Q1099" s="285">
        <f t="shared" si="227"/>
        <v>110</v>
      </c>
      <c r="R1099" s="285">
        <f t="shared" si="228"/>
        <v>85</v>
      </c>
      <c r="S1099" s="285">
        <f t="shared" si="229"/>
        <v>0.35</v>
      </c>
      <c r="T1099" s="285">
        <f t="shared" si="230"/>
        <v>3.2</v>
      </c>
      <c r="U1099" s="285">
        <f t="shared" si="231"/>
        <v>1</v>
      </c>
      <c r="V1099" s="285">
        <f t="shared" si="232"/>
        <v>4.5</v>
      </c>
      <c r="W1099" s="285">
        <f t="shared" si="233"/>
        <v>1.5</v>
      </c>
      <c r="X1099" s="289" t="e">
        <f t="shared" si="234"/>
        <v>#VALUE!</v>
      </c>
      <c r="Y1099" s="288" t="e">
        <f t="shared" si="235"/>
        <v>#VALUE!</v>
      </c>
      <c r="Z1099" s="256">
        <f t="shared" si="236"/>
        <v>181.74993027852094</v>
      </c>
      <c r="AA1099" s="289" t="e">
        <f t="shared" si="237"/>
        <v>#VALUE!</v>
      </c>
      <c r="AB1099" s="288" t="e">
        <f t="shared" si="238"/>
        <v>#VALUE!</v>
      </c>
    </row>
    <row r="1100" spans="13:28" ht="12" hidden="1" customHeight="1">
      <c r="M1100" s="266"/>
      <c r="N1100" s="288" t="str">
        <f t="shared" si="239"/>
        <v/>
      </c>
      <c r="O1100" s="285">
        <f t="shared" si="225"/>
        <v>150</v>
      </c>
      <c r="P1100" s="289">
        <f t="shared" si="226"/>
        <v>4000000</v>
      </c>
      <c r="Q1100" s="285">
        <f t="shared" si="227"/>
        <v>110</v>
      </c>
      <c r="R1100" s="285">
        <f t="shared" si="228"/>
        <v>85</v>
      </c>
      <c r="S1100" s="285">
        <f t="shared" si="229"/>
        <v>0.35</v>
      </c>
      <c r="T1100" s="285">
        <f t="shared" si="230"/>
        <v>3.2</v>
      </c>
      <c r="U1100" s="285">
        <f t="shared" si="231"/>
        <v>1</v>
      </c>
      <c r="V1100" s="285">
        <f t="shared" si="232"/>
        <v>4.5</v>
      </c>
      <c r="W1100" s="285">
        <f t="shared" si="233"/>
        <v>1.5</v>
      </c>
      <c r="X1100" s="289" t="e">
        <f t="shared" si="234"/>
        <v>#VALUE!</v>
      </c>
      <c r="Y1100" s="288" t="e">
        <f t="shared" si="235"/>
        <v>#VALUE!</v>
      </c>
      <c r="Z1100" s="256">
        <f t="shared" si="236"/>
        <v>181.74993027852094</v>
      </c>
      <c r="AA1100" s="289" t="e">
        <f t="shared" si="237"/>
        <v>#VALUE!</v>
      </c>
      <c r="AB1100" s="288" t="e">
        <f t="shared" si="238"/>
        <v>#VALUE!</v>
      </c>
    </row>
    <row r="1101" spans="13:28" ht="12" hidden="1" customHeight="1">
      <c r="M1101" s="266"/>
      <c r="N1101" s="288" t="str">
        <f t="shared" si="239"/>
        <v/>
      </c>
      <c r="O1101" s="285">
        <f t="shared" si="225"/>
        <v>150</v>
      </c>
      <c r="P1101" s="289">
        <f t="shared" si="226"/>
        <v>4000000</v>
      </c>
      <c r="Q1101" s="285">
        <f t="shared" si="227"/>
        <v>110</v>
      </c>
      <c r="R1101" s="285">
        <f t="shared" si="228"/>
        <v>85</v>
      </c>
      <c r="S1101" s="285">
        <f t="shared" si="229"/>
        <v>0.35</v>
      </c>
      <c r="T1101" s="285">
        <f t="shared" si="230"/>
        <v>3.2</v>
      </c>
      <c r="U1101" s="285">
        <f t="shared" si="231"/>
        <v>1</v>
      </c>
      <c r="V1101" s="285">
        <f t="shared" si="232"/>
        <v>4.5</v>
      </c>
      <c r="W1101" s="285">
        <f t="shared" si="233"/>
        <v>1.5</v>
      </c>
      <c r="X1101" s="289" t="e">
        <f t="shared" si="234"/>
        <v>#VALUE!</v>
      </c>
      <c r="Y1101" s="288" t="e">
        <f t="shared" si="235"/>
        <v>#VALUE!</v>
      </c>
      <c r="Z1101" s="256">
        <f t="shared" si="236"/>
        <v>181.74993027852094</v>
      </c>
      <c r="AA1101" s="289" t="e">
        <f t="shared" si="237"/>
        <v>#VALUE!</v>
      </c>
      <c r="AB1101" s="288" t="e">
        <f t="shared" si="238"/>
        <v>#VALUE!</v>
      </c>
    </row>
    <row r="1102" spans="13:28" ht="12" hidden="1" customHeight="1">
      <c r="M1102" s="266"/>
      <c r="N1102" s="288" t="str">
        <f t="shared" si="239"/>
        <v/>
      </c>
      <c r="O1102" s="285">
        <f t="shared" si="225"/>
        <v>150</v>
      </c>
      <c r="P1102" s="289">
        <f t="shared" si="226"/>
        <v>4000000</v>
      </c>
      <c r="Q1102" s="285">
        <f t="shared" si="227"/>
        <v>110</v>
      </c>
      <c r="R1102" s="285">
        <f t="shared" si="228"/>
        <v>85</v>
      </c>
      <c r="S1102" s="285">
        <f t="shared" si="229"/>
        <v>0.35</v>
      </c>
      <c r="T1102" s="285">
        <f t="shared" si="230"/>
        <v>3.2</v>
      </c>
      <c r="U1102" s="285">
        <f t="shared" si="231"/>
        <v>1</v>
      </c>
      <c r="V1102" s="285">
        <f t="shared" si="232"/>
        <v>4.5</v>
      </c>
      <c r="W1102" s="285">
        <f t="shared" si="233"/>
        <v>1.5</v>
      </c>
      <c r="X1102" s="289" t="e">
        <f t="shared" si="234"/>
        <v>#VALUE!</v>
      </c>
      <c r="Y1102" s="288" t="e">
        <f t="shared" si="235"/>
        <v>#VALUE!</v>
      </c>
      <c r="Z1102" s="256">
        <f t="shared" si="236"/>
        <v>181.74993027852094</v>
      </c>
      <c r="AA1102" s="289" t="e">
        <f t="shared" si="237"/>
        <v>#VALUE!</v>
      </c>
      <c r="AB1102" s="288" t="e">
        <f t="shared" si="238"/>
        <v>#VALUE!</v>
      </c>
    </row>
    <row r="1103" spans="13:28" ht="12" hidden="1" customHeight="1">
      <c r="M1103" s="266"/>
      <c r="N1103" s="288" t="str">
        <f t="shared" si="239"/>
        <v/>
      </c>
      <c r="O1103" s="285">
        <f t="shared" si="225"/>
        <v>150</v>
      </c>
      <c r="P1103" s="289">
        <f t="shared" si="226"/>
        <v>4000000</v>
      </c>
      <c r="Q1103" s="285">
        <f t="shared" si="227"/>
        <v>110</v>
      </c>
      <c r="R1103" s="285">
        <f t="shared" si="228"/>
        <v>85</v>
      </c>
      <c r="S1103" s="285">
        <f t="shared" si="229"/>
        <v>0.35</v>
      </c>
      <c r="T1103" s="285">
        <f t="shared" si="230"/>
        <v>3.2</v>
      </c>
      <c r="U1103" s="285">
        <f t="shared" si="231"/>
        <v>1</v>
      </c>
      <c r="V1103" s="285">
        <f t="shared" si="232"/>
        <v>4.5</v>
      </c>
      <c r="W1103" s="285">
        <f t="shared" si="233"/>
        <v>1.5</v>
      </c>
      <c r="X1103" s="289" t="e">
        <f t="shared" si="234"/>
        <v>#VALUE!</v>
      </c>
      <c r="Y1103" s="288" t="e">
        <f t="shared" si="235"/>
        <v>#VALUE!</v>
      </c>
      <c r="Z1103" s="256">
        <f t="shared" si="236"/>
        <v>181.74993027852094</v>
      </c>
      <c r="AA1103" s="289" t="e">
        <f t="shared" si="237"/>
        <v>#VALUE!</v>
      </c>
      <c r="AB1103" s="288" t="e">
        <f t="shared" si="238"/>
        <v>#VALUE!</v>
      </c>
    </row>
    <row r="1104" spans="13:28" ht="12" hidden="1" customHeight="1">
      <c r="M1104" s="266"/>
      <c r="N1104" s="288" t="str">
        <f t="shared" si="239"/>
        <v/>
      </c>
      <c r="O1104" s="285">
        <f t="shared" si="225"/>
        <v>150</v>
      </c>
      <c r="P1104" s="289">
        <f t="shared" si="226"/>
        <v>4000000</v>
      </c>
      <c r="Q1104" s="285">
        <f t="shared" si="227"/>
        <v>110</v>
      </c>
      <c r="R1104" s="285">
        <f t="shared" si="228"/>
        <v>85</v>
      </c>
      <c r="S1104" s="285">
        <f t="shared" si="229"/>
        <v>0.35</v>
      </c>
      <c r="T1104" s="285">
        <f t="shared" si="230"/>
        <v>3.2</v>
      </c>
      <c r="U1104" s="285">
        <f t="shared" si="231"/>
        <v>1</v>
      </c>
      <c r="V1104" s="285">
        <f t="shared" si="232"/>
        <v>4.5</v>
      </c>
      <c r="W1104" s="285">
        <f t="shared" si="233"/>
        <v>1.5</v>
      </c>
      <c r="X1104" s="289" t="e">
        <f t="shared" si="234"/>
        <v>#VALUE!</v>
      </c>
      <c r="Y1104" s="288" t="e">
        <f t="shared" si="235"/>
        <v>#VALUE!</v>
      </c>
      <c r="Z1104" s="256">
        <f t="shared" si="236"/>
        <v>181.74993027852094</v>
      </c>
      <c r="AA1104" s="289" t="e">
        <f t="shared" si="237"/>
        <v>#VALUE!</v>
      </c>
      <c r="AB1104" s="288" t="e">
        <f t="shared" si="238"/>
        <v>#VALUE!</v>
      </c>
    </row>
    <row r="1105" spans="13:28" ht="12" hidden="1" customHeight="1">
      <c r="M1105" s="266"/>
      <c r="N1105" s="288" t="str">
        <f t="shared" si="239"/>
        <v/>
      </c>
      <c r="O1105" s="285">
        <f t="shared" si="225"/>
        <v>150</v>
      </c>
      <c r="P1105" s="289">
        <f t="shared" si="226"/>
        <v>4000000</v>
      </c>
      <c r="Q1105" s="285">
        <f t="shared" si="227"/>
        <v>110</v>
      </c>
      <c r="R1105" s="285">
        <f t="shared" si="228"/>
        <v>85</v>
      </c>
      <c r="S1105" s="285">
        <f t="shared" si="229"/>
        <v>0.35</v>
      </c>
      <c r="T1105" s="285">
        <f t="shared" si="230"/>
        <v>3.2</v>
      </c>
      <c r="U1105" s="285">
        <f t="shared" si="231"/>
        <v>1</v>
      </c>
      <c r="V1105" s="285">
        <f t="shared" si="232"/>
        <v>4.5</v>
      </c>
      <c r="W1105" s="285">
        <f t="shared" si="233"/>
        <v>1.5</v>
      </c>
      <c r="X1105" s="289" t="e">
        <f t="shared" si="234"/>
        <v>#VALUE!</v>
      </c>
      <c r="Y1105" s="288" t="e">
        <f t="shared" si="235"/>
        <v>#VALUE!</v>
      </c>
      <c r="Z1105" s="256">
        <f t="shared" si="236"/>
        <v>181.74993027852094</v>
      </c>
      <c r="AA1105" s="289" t="e">
        <f t="shared" si="237"/>
        <v>#VALUE!</v>
      </c>
      <c r="AB1105" s="288" t="e">
        <f t="shared" si="238"/>
        <v>#VALUE!</v>
      </c>
    </row>
    <row r="1106" spans="13:28" ht="12" hidden="1" customHeight="1">
      <c r="M1106" s="266"/>
      <c r="N1106" s="288" t="str">
        <f t="shared" si="239"/>
        <v/>
      </c>
      <c r="O1106" s="285">
        <f t="shared" si="225"/>
        <v>150</v>
      </c>
      <c r="P1106" s="289">
        <f t="shared" si="226"/>
        <v>4000000</v>
      </c>
      <c r="Q1106" s="285">
        <f t="shared" si="227"/>
        <v>110</v>
      </c>
      <c r="R1106" s="285">
        <f t="shared" si="228"/>
        <v>85</v>
      </c>
      <c r="S1106" s="285">
        <f t="shared" si="229"/>
        <v>0.35</v>
      </c>
      <c r="T1106" s="285">
        <f t="shared" si="230"/>
        <v>3.2</v>
      </c>
      <c r="U1106" s="285">
        <f t="shared" si="231"/>
        <v>1</v>
      </c>
      <c r="V1106" s="285">
        <f t="shared" si="232"/>
        <v>4.5</v>
      </c>
      <c r="W1106" s="285">
        <f t="shared" si="233"/>
        <v>1.5</v>
      </c>
      <c r="X1106" s="289" t="e">
        <f t="shared" si="234"/>
        <v>#VALUE!</v>
      </c>
      <c r="Y1106" s="288" t="e">
        <f t="shared" si="235"/>
        <v>#VALUE!</v>
      </c>
      <c r="Z1106" s="256">
        <f t="shared" si="236"/>
        <v>181.74993027852094</v>
      </c>
      <c r="AA1106" s="289" t="e">
        <f t="shared" si="237"/>
        <v>#VALUE!</v>
      </c>
      <c r="AB1106" s="288" t="e">
        <f t="shared" si="238"/>
        <v>#VALUE!</v>
      </c>
    </row>
    <row r="1107" spans="13:28" ht="12" hidden="1" customHeight="1">
      <c r="M1107" s="266"/>
      <c r="N1107" s="288" t="str">
        <f t="shared" si="239"/>
        <v/>
      </c>
      <c r="O1107" s="285">
        <f t="shared" si="225"/>
        <v>150</v>
      </c>
      <c r="P1107" s="289">
        <f t="shared" si="226"/>
        <v>4000000</v>
      </c>
      <c r="Q1107" s="285">
        <f t="shared" si="227"/>
        <v>110</v>
      </c>
      <c r="R1107" s="285">
        <f t="shared" si="228"/>
        <v>85</v>
      </c>
      <c r="S1107" s="285">
        <f t="shared" si="229"/>
        <v>0.35</v>
      </c>
      <c r="T1107" s="285">
        <f t="shared" si="230"/>
        <v>3.2</v>
      </c>
      <c r="U1107" s="285">
        <f t="shared" si="231"/>
        <v>1</v>
      </c>
      <c r="V1107" s="285">
        <f t="shared" si="232"/>
        <v>4.5</v>
      </c>
      <c r="W1107" s="285">
        <f t="shared" si="233"/>
        <v>1.5</v>
      </c>
      <c r="X1107" s="289" t="e">
        <f t="shared" si="234"/>
        <v>#VALUE!</v>
      </c>
      <c r="Y1107" s="288" t="e">
        <f t="shared" si="235"/>
        <v>#VALUE!</v>
      </c>
      <c r="Z1107" s="256">
        <f t="shared" si="236"/>
        <v>181.74993027852094</v>
      </c>
      <c r="AA1107" s="289" t="e">
        <f t="shared" si="237"/>
        <v>#VALUE!</v>
      </c>
      <c r="AB1107" s="288" t="e">
        <f t="shared" si="238"/>
        <v>#VALUE!</v>
      </c>
    </row>
    <row r="1108" spans="13:28" ht="12" hidden="1" customHeight="1">
      <c r="M1108" s="266"/>
      <c r="N1108" s="288" t="str">
        <f t="shared" si="239"/>
        <v/>
      </c>
      <c r="O1108" s="285">
        <f t="shared" si="225"/>
        <v>150</v>
      </c>
      <c r="P1108" s="289">
        <f t="shared" si="226"/>
        <v>4000000</v>
      </c>
      <c r="Q1108" s="285">
        <f t="shared" si="227"/>
        <v>110</v>
      </c>
      <c r="R1108" s="285">
        <f t="shared" si="228"/>
        <v>85</v>
      </c>
      <c r="S1108" s="285">
        <f t="shared" si="229"/>
        <v>0.35</v>
      </c>
      <c r="T1108" s="285">
        <f t="shared" si="230"/>
        <v>3.2</v>
      </c>
      <c r="U1108" s="285">
        <f t="shared" si="231"/>
        <v>1</v>
      </c>
      <c r="V1108" s="285">
        <f t="shared" si="232"/>
        <v>4.5</v>
      </c>
      <c r="W1108" s="285">
        <f t="shared" si="233"/>
        <v>1.5</v>
      </c>
      <c r="X1108" s="289" t="e">
        <f t="shared" si="234"/>
        <v>#VALUE!</v>
      </c>
      <c r="Y1108" s="288" t="e">
        <f t="shared" si="235"/>
        <v>#VALUE!</v>
      </c>
      <c r="Z1108" s="256">
        <f t="shared" si="236"/>
        <v>181.74993027852094</v>
      </c>
      <c r="AA1108" s="289" t="e">
        <f t="shared" si="237"/>
        <v>#VALUE!</v>
      </c>
      <c r="AB1108" s="288" t="e">
        <f t="shared" si="238"/>
        <v>#VALUE!</v>
      </c>
    </row>
    <row r="1109" spans="13:28" ht="12" hidden="1" customHeight="1">
      <c r="M1109" s="266"/>
      <c r="N1109" s="288" t="str">
        <f t="shared" si="239"/>
        <v/>
      </c>
      <c r="O1109" s="285">
        <f t="shared" si="225"/>
        <v>150</v>
      </c>
      <c r="P1109" s="289">
        <f t="shared" si="226"/>
        <v>4000000</v>
      </c>
      <c r="Q1109" s="285">
        <f t="shared" si="227"/>
        <v>110</v>
      </c>
      <c r="R1109" s="285">
        <f t="shared" si="228"/>
        <v>85</v>
      </c>
      <c r="S1109" s="285">
        <f t="shared" si="229"/>
        <v>0.35</v>
      </c>
      <c r="T1109" s="285">
        <f t="shared" si="230"/>
        <v>3.2</v>
      </c>
      <c r="U1109" s="285">
        <f t="shared" si="231"/>
        <v>1</v>
      </c>
      <c r="V1109" s="285">
        <f t="shared" si="232"/>
        <v>4.5</v>
      </c>
      <c r="W1109" s="285">
        <f t="shared" si="233"/>
        <v>1.5</v>
      </c>
      <c r="X1109" s="289" t="e">
        <f t="shared" si="234"/>
        <v>#VALUE!</v>
      </c>
      <c r="Y1109" s="288" t="e">
        <f t="shared" si="235"/>
        <v>#VALUE!</v>
      </c>
      <c r="Z1109" s="256">
        <f t="shared" si="236"/>
        <v>181.74993027852094</v>
      </c>
      <c r="AA1109" s="289" t="e">
        <f t="shared" si="237"/>
        <v>#VALUE!</v>
      </c>
      <c r="AB1109" s="288" t="e">
        <f t="shared" si="238"/>
        <v>#VALUE!</v>
      </c>
    </row>
    <row r="1110" spans="13:28" ht="12" hidden="1" customHeight="1">
      <c r="M1110" s="266"/>
      <c r="N1110" s="288" t="str">
        <f t="shared" si="239"/>
        <v/>
      </c>
      <c r="O1110" s="285">
        <f t="shared" si="225"/>
        <v>150</v>
      </c>
      <c r="P1110" s="289">
        <f t="shared" si="226"/>
        <v>4000000</v>
      </c>
      <c r="Q1110" s="285">
        <f t="shared" si="227"/>
        <v>110</v>
      </c>
      <c r="R1110" s="285">
        <f t="shared" si="228"/>
        <v>85</v>
      </c>
      <c r="S1110" s="285">
        <f t="shared" si="229"/>
        <v>0.35</v>
      </c>
      <c r="T1110" s="285">
        <f t="shared" si="230"/>
        <v>3.2</v>
      </c>
      <c r="U1110" s="285">
        <f t="shared" si="231"/>
        <v>1</v>
      </c>
      <c r="V1110" s="285">
        <f t="shared" si="232"/>
        <v>4.5</v>
      </c>
      <c r="W1110" s="285">
        <f t="shared" si="233"/>
        <v>1.5</v>
      </c>
      <c r="X1110" s="289" t="e">
        <f t="shared" si="234"/>
        <v>#VALUE!</v>
      </c>
      <c r="Y1110" s="288" t="e">
        <f t="shared" si="235"/>
        <v>#VALUE!</v>
      </c>
      <c r="Z1110" s="256">
        <f t="shared" si="236"/>
        <v>181.74993027852094</v>
      </c>
      <c r="AA1110" s="289" t="e">
        <f t="shared" si="237"/>
        <v>#VALUE!</v>
      </c>
      <c r="AB1110" s="288" t="e">
        <f t="shared" si="238"/>
        <v>#VALUE!</v>
      </c>
    </row>
    <row r="1111" spans="13:28" ht="12" hidden="1" customHeight="1">
      <c r="M1111" s="266"/>
      <c r="N1111" s="288" t="str">
        <f t="shared" si="239"/>
        <v/>
      </c>
      <c r="O1111" s="285">
        <f t="shared" si="225"/>
        <v>150</v>
      </c>
      <c r="P1111" s="289">
        <f t="shared" si="226"/>
        <v>4000000</v>
      </c>
      <c r="Q1111" s="285">
        <f t="shared" si="227"/>
        <v>110</v>
      </c>
      <c r="R1111" s="285">
        <f t="shared" si="228"/>
        <v>85</v>
      </c>
      <c r="S1111" s="285">
        <f t="shared" si="229"/>
        <v>0.35</v>
      </c>
      <c r="T1111" s="285">
        <f t="shared" si="230"/>
        <v>3.2</v>
      </c>
      <c r="U1111" s="285">
        <f t="shared" si="231"/>
        <v>1</v>
      </c>
      <c r="V1111" s="285">
        <f t="shared" si="232"/>
        <v>4.5</v>
      </c>
      <c r="W1111" s="285">
        <f t="shared" si="233"/>
        <v>1.5</v>
      </c>
      <c r="X1111" s="289" t="e">
        <f t="shared" si="234"/>
        <v>#VALUE!</v>
      </c>
      <c r="Y1111" s="288" t="e">
        <f t="shared" si="235"/>
        <v>#VALUE!</v>
      </c>
      <c r="Z1111" s="256">
        <f t="shared" si="236"/>
        <v>181.74993027852094</v>
      </c>
      <c r="AA1111" s="289" t="e">
        <f t="shared" si="237"/>
        <v>#VALUE!</v>
      </c>
      <c r="AB1111" s="288" t="e">
        <f t="shared" si="238"/>
        <v>#VALUE!</v>
      </c>
    </row>
    <row r="1112" spans="13:28" ht="12" hidden="1" customHeight="1">
      <c r="M1112" s="266"/>
      <c r="N1112" s="288" t="str">
        <f t="shared" si="239"/>
        <v/>
      </c>
      <c r="O1112" s="285">
        <f t="shared" si="225"/>
        <v>150</v>
      </c>
      <c r="P1112" s="289">
        <f t="shared" si="226"/>
        <v>4000000</v>
      </c>
      <c r="Q1112" s="285">
        <f t="shared" si="227"/>
        <v>110</v>
      </c>
      <c r="R1112" s="285">
        <f t="shared" si="228"/>
        <v>85</v>
      </c>
      <c r="S1112" s="285">
        <f t="shared" si="229"/>
        <v>0.35</v>
      </c>
      <c r="T1112" s="285">
        <f t="shared" si="230"/>
        <v>3.2</v>
      </c>
      <c r="U1112" s="285">
        <f t="shared" si="231"/>
        <v>1</v>
      </c>
      <c r="V1112" s="285">
        <f t="shared" si="232"/>
        <v>4.5</v>
      </c>
      <c r="W1112" s="285">
        <f t="shared" si="233"/>
        <v>1.5</v>
      </c>
      <c r="X1112" s="289" t="e">
        <f t="shared" si="234"/>
        <v>#VALUE!</v>
      </c>
      <c r="Y1112" s="288" t="e">
        <f t="shared" si="235"/>
        <v>#VALUE!</v>
      </c>
      <c r="Z1112" s="256">
        <f t="shared" si="236"/>
        <v>181.74993027852094</v>
      </c>
      <c r="AA1112" s="289" t="e">
        <f t="shared" si="237"/>
        <v>#VALUE!</v>
      </c>
      <c r="AB1112" s="288" t="e">
        <f t="shared" si="238"/>
        <v>#VALUE!</v>
      </c>
    </row>
    <row r="1113" spans="13:28" ht="12" hidden="1" customHeight="1">
      <c r="M1113" s="266"/>
      <c r="N1113" s="288" t="str">
        <f t="shared" si="239"/>
        <v/>
      </c>
      <c r="O1113" s="285">
        <f t="shared" si="225"/>
        <v>150</v>
      </c>
      <c r="P1113" s="289">
        <f t="shared" si="226"/>
        <v>4000000</v>
      </c>
      <c r="Q1113" s="285">
        <f t="shared" si="227"/>
        <v>110</v>
      </c>
      <c r="R1113" s="285">
        <f t="shared" si="228"/>
        <v>85</v>
      </c>
      <c r="S1113" s="285">
        <f t="shared" si="229"/>
        <v>0.35</v>
      </c>
      <c r="T1113" s="285">
        <f t="shared" si="230"/>
        <v>3.2</v>
      </c>
      <c r="U1113" s="285">
        <f t="shared" si="231"/>
        <v>1</v>
      </c>
      <c r="V1113" s="285">
        <f t="shared" si="232"/>
        <v>4.5</v>
      </c>
      <c r="W1113" s="285">
        <f t="shared" si="233"/>
        <v>1.5</v>
      </c>
      <c r="X1113" s="289" t="e">
        <f t="shared" si="234"/>
        <v>#VALUE!</v>
      </c>
      <c r="Y1113" s="288" t="e">
        <f t="shared" si="235"/>
        <v>#VALUE!</v>
      </c>
      <c r="Z1113" s="256">
        <f t="shared" si="236"/>
        <v>181.74993027852094</v>
      </c>
      <c r="AA1113" s="289" t="e">
        <f t="shared" si="237"/>
        <v>#VALUE!</v>
      </c>
      <c r="AB1113" s="288" t="e">
        <f t="shared" si="238"/>
        <v>#VALUE!</v>
      </c>
    </row>
    <row r="1114" spans="13:28" ht="12" hidden="1" customHeight="1">
      <c r="M1114" s="266"/>
      <c r="N1114" s="288" t="str">
        <f t="shared" si="239"/>
        <v/>
      </c>
      <c r="O1114" s="285">
        <f t="shared" si="225"/>
        <v>150</v>
      </c>
      <c r="P1114" s="289">
        <f t="shared" si="226"/>
        <v>4000000</v>
      </c>
      <c r="Q1114" s="285">
        <f t="shared" si="227"/>
        <v>110</v>
      </c>
      <c r="R1114" s="285">
        <f t="shared" si="228"/>
        <v>85</v>
      </c>
      <c r="S1114" s="285">
        <f t="shared" si="229"/>
        <v>0.35</v>
      </c>
      <c r="T1114" s="285">
        <f t="shared" si="230"/>
        <v>3.2</v>
      </c>
      <c r="U1114" s="285">
        <f t="shared" si="231"/>
        <v>1</v>
      </c>
      <c r="V1114" s="285">
        <f t="shared" si="232"/>
        <v>4.5</v>
      </c>
      <c r="W1114" s="285">
        <f t="shared" si="233"/>
        <v>1.5</v>
      </c>
      <c r="X1114" s="289" t="e">
        <f t="shared" si="234"/>
        <v>#VALUE!</v>
      </c>
      <c r="Y1114" s="288" t="e">
        <f t="shared" si="235"/>
        <v>#VALUE!</v>
      </c>
      <c r="Z1114" s="256">
        <f t="shared" si="236"/>
        <v>181.74993027852094</v>
      </c>
      <c r="AA1114" s="289" t="e">
        <f t="shared" si="237"/>
        <v>#VALUE!</v>
      </c>
      <c r="AB1114" s="288" t="e">
        <f t="shared" si="238"/>
        <v>#VALUE!</v>
      </c>
    </row>
    <row r="1115" spans="13:28" ht="12" hidden="1" customHeight="1">
      <c r="M1115" s="266"/>
      <c r="N1115" s="288" t="str">
        <f t="shared" si="239"/>
        <v/>
      </c>
      <c r="O1115" s="285">
        <f t="shared" si="225"/>
        <v>150</v>
      </c>
      <c r="P1115" s="289">
        <f t="shared" si="226"/>
        <v>4000000</v>
      </c>
      <c r="Q1115" s="285">
        <f t="shared" si="227"/>
        <v>110</v>
      </c>
      <c r="R1115" s="285">
        <f t="shared" si="228"/>
        <v>85</v>
      </c>
      <c r="S1115" s="285">
        <f t="shared" si="229"/>
        <v>0.35</v>
      </c>
      <c r="T1115" s="285">
        <f t="shared" si="230"/>
        <v>3.2</v>
      </c>
      <c r="U1115" s="285">
        <f t="shared" si="231"/>
        <v>1</v>
      </c>
      <c r="V1115" s="285">
        <f t="shared" si="232"/>
        <v>4.5</v>
      </c>
      <c r="W1115" s="285">
        <f t="shared" si="233"/>
        <v>1.5</v>
      </c>
      <c r="X1115" s="289" t="e">
        <f t="shared" si="234"/>
        <v>#VALUE!</v>
      </c>
      <c r="Y1115" s="288" t="e">
        <f t="shared" si="235"/>
        <v>#VALUE!</v>
      </c>
      <c r="Z1115" s="256">
        <f t="shared" si="236"/>
        <v>181.74993027852094</v>
      </c>
      <c r="AA1115" s="289" t="e">
        <f t="shared" si="237"/>
        <v>#VALUE!</v>
      </c>
      <c r="AB1115" s="288" t="e">
        <f t="shared" si="238"/>
        <v>#VALUE!</v>
      </c>
    </row>
    <row r="1116" spans="13:28" ht="12" hidden="1" customHeight="1">
      <c r="M1116" s="266"/>
      <c r="N1116" s="288" t="str">
        <f t="shared" si="239"/>
        <v/>
      </c>
      <c r="O1116" s="285">
        <f t="shared" si="225"/>
        <v>150</v>
      </c>
      <c r="P1116" s="289">
        <f t="shared" si="226"/>
        <v>4000000</v>
      </c>
      <c r="Q1116" s="285">
        <f t="shared" si="227"/>
        <v>110</v>
      </c>
      <c r="R1116" s="285">
        <f t="shared" si="228"/>
        <v>85</v>
      </c>
      <c r="S1116" s="285">
        <f t="shared" si="229"/>
        <v>0.35</v>
      </c>
      <c r="T1116" s="285">
        <f t="shared" si="230"/>
        <v>3.2</v>
      </c>
      <c r="U1116" s="285">
        <f t="shared" si="231"/>
        <v>1</v>
      </c>
      <c r="V1116" s="285">
        <f t="shared" si="232"/>
        <v>4.5</v>
      </c>
      <c r="W1116" s="285">
        <f t="shared" si="233"/>
        <v>1.5</v>
      </c>
      <c r="X1116" s="289" t="e">
        <f t="shared" si="234"/>
        <v>#VALUE!</v>
      </c>
      <c r="Y1116" s="288" t="e">
        <f t="shared" si="235"/>
        <v>#VALUE!</v>
      </c>
      <c r="Z1116" s="256">
        <f t="shared" si="236"/>
        <v>181.74993027852094</v>
      </c>
      <c r="AA1116" s="289" t="e">
        <f t="shared" si="237"/>
        <v>#VALUE!</v>
      </c>
      <c r="AB1116" s="288" t="e">
        <f t="shared" si="238"/>
        <v>#VALUE!</v>
      </c>
    </row>
    <row r="1117" spans="13:28" ht="12" hidden="1" customHeight="1">
      <c r="M1117" s="266"/>
      <c r="N1117" s="288" t="str">
        <f t="shared" si="239"/>
        <v/>
      </c>
      <c r="O1117" s="285">
        <f t="shared" si="225"/>
        <v>150</v>
      </c>
      <c r="P1117" s="289">
        <f t="shared" si="226"/>
        <v>4000000</v>
      </c>
      <c r="Q1117" s="285">
        <f t="shared" si="227"/>
        <v>110</v>
      </c>
      <c r="R1117" s="285">
        <f t="shared" si="228"/>
        <v>85</v>
      </c>
      <c r="S1117" s="285">
        <f t="shared" si="229"/>
        <v>0.35</v>
      </c>
      <c r="T1117" s="285">
        <f t="shared" si="230"/>
        <v>3.2</v>
      </c>
      <c r="U1117" s="285">
        <f t="shared" si="231"/>
        <v>1</v>
      </c>
      <c r="V1117" s="285">
        <f t="shared" si="232"/>
        <v>4.5</v>
      </c>
      <c r="W1117" s="285">
        <f t="shared" si="233"/>
        <v>1.5</v>
      </c>
      <c r="X1117" s="289" t="e">
        <f t="shared" si="234"/>
        <v>#VALUE!</v>
      </c>
      <c r="Y1117" s="288" t="e">
        <f t="shared" si="235"/>
        <v>#VALUE!</v>
      </c>
      <c r="Z1117" s="256">
        <f t="shared" si="236"/>
        <v>181.74993027852094</v>
      </c>
      <c r="AA1117" s="289" t="e">
        <f t="shared" si="237"/>
        <v>#VALUE!</v>
      </c>
      <c r="AB1117" s="288" t="e">
        <f t="shared" si="238"/>
        <v>#VALUE!</v>
      </c>
    </row>
    <row r="1118" spans="13:28" ht="12" hidden="1" customHeight="1">
      <c r="M1118" s="266"/>
      <c r="N1118" s="288" t="str">
        <f t="shared" si="239"/>
        <v/>
      </c>
      <c r="O1118" s="285">
        <f t="shared" ref="O1118:O1181" si="240">PCC_MR</f>
        <v>150</v>
      </c>
      <c r="P1118" s="289">
        <f t="shared" ref="P1118:P1181" si="241">PCC_ME</f>
        <v>4000000</v>
      </c>
      <c r="Q1118" s="285">
        <f t="shared" ref="Q1118:Q1181" si="242">K_MODULE</f>
        <v>110</v>
      </c>
      <c r="R1118" s="285">
        <f t="shared" ref="R1118:R1181" si="243">R_</f>
        <v>85</v>
      </c>
      <c r="S1118" s="285">
        <f t="shared" ref="S1118:S1181" si="244">So</f>
        <v>0.35</v>
      </c>
      <c r="T1118" s="285">
        <f t="shared" ref="T1118:T1181" si="245">J_</f>
        <v>3.2</v>
      </c>
      <c r="U1118" s="285">
        <f t="shared" ref="U1118:U1181" si="246">Cd_</f>
        <v>1</v>
      </c>
      <c r="V1118" s="285">
        <f t="shared" ref="V1118:V1181" si="247">Pi</f>
        <v>4.5</v>
      </c>
      <c r="W1118" s="285">
        <f t="shared" ref="W1118:W1181" si="248">Pt</f>
        <v>1.5</v>
      </c>
      <c r="X1118" s="289" t="e">
        <f t="shared" ref="X1118:X1181" si="249">10^(-NORMSINV(R1118/100)*S1118+7.35*LOG10(N1118+1)-0.06+((LOG10((V1118-W1118)/3))/(1+((1.625*10^7)/((N1118+1)^8.46))))+((4.22-0.32*W1118)*LOG10((O1118*U1118*((N1118^0.75)-1.132))/(215.63*T1118*((N1118^0.75)-18.42*(Q1118/P1118)^0.25)))))</f>
        <v>#VALUE!</v>
      </c>
      <c r="Y1118" s="288" t="e">
        <f t="shared" ref="Y1118:Y1181" si="250">+X1118/ESALS</f>
        <v>#VALUE!</v>
      </c>
      <c r="Z1118" s="256">
        <f t="shared" ref="Z1118:Z1181" si="251">PCC_IMR</f>
        <v>181.74993027852094</v>
      </c>
      <c r="AA1118" s="289" t="e">
        <f t="shared" ref="AA1118:AA1181" si="252">10^(-NORMSINV(R1118/100)*S1118+7.35*LOG10(N1118+1)-0.06+((LOG10((V1118-W1118)/3))/(1+((1.625*10^7)/((N1118+1)^8.46))))+((4.22-0.32*W1118)*LOG10((Z1118*U1118*((N1118^0.75)-1.132))/(215.63*T1118*((N1118^0.75)-18.42*(Q1118/P1118)^0.25)))))</f>
        <v>#VALUE!</v>
      </c>
      <c r="AB1118" s="288" t="e">
        <f t="shared" ref="AB1118:AB1181" si="253">+AA1118/ESALS</f>
        <v>#VALUE!</v>
      </c>
    </row>
    <row r="1119" spans="13:28" ht="12" hidden="1" customHeight="1">
      <c r="M1119" s="266"/>
      <c r="N1119" s="288" t="str">
        <f t="shared" ref="N1119:N1182" si="254">IF(N1118 = "", "", IF(AND(0.995*ESALS&lt;=X1118,X1118&lt;=1.005*ESALS),"",(N1118+D_Step)))</f>
        <v/>
      </c>
      <c r="O1119" s="285">
        <f t="shared" si="240"/>
        <v>150</v>
      </c>
      <c r="P1119" s="289">
        <f t="shared" si="241"/>
        <v>4000000</v>
      </c>
      <c r="Q1119" s="285">
        <f t="shared" si="242"/>
        <v>110</v>
      </c>
      <c r="R1119" s="285">
        <f t="shared" si="243"/>
        <v>85</v>
      </c>
      <c r="S1119" s="285">
        <f t="shared" si="244"/>
        <v>0.35</v>
      </c>
      <c r="T1119" s="285">
        <f t="shared" si="245"/>
        <v>3.2</v>
      </c>
      <c r="U1119" s="285">
        <f t="shared" si="246"/>
        <v>1</v>
      </c>
      <c r="V1119" s="285">
        <f t="shared" si="247"/>
        <v>4.5</v>
      </c>
      <c r="W1119" s="285">
        <f t="shared" si="248"/>
        <v>1.5</v>
      </c>
      <c r="X1119" s="289" t="e">
        <f t="shared" si="249"/>
        <v>#VALUE!</v>
      </c>
      <c r="Y1119" s="288" t="e">
        <f t="shared" si="250"/>
        <v>#VALUE!</v>
      </c>
      <c r="Z1119" s="256">
        <f t="shared" si="251"/>
        <v>181.74993027852094</v>
      </c>
      <c r="AA1119" s="289" t="e">
        <f t="shared" si="252"/>
        <v>#VALUE!</v>
      </c>
      <c r="AB1119" s="288" t="e">
        <f t="shared" si="253"/>
        <v>#VALUE!</v>
      </c>
    </row>
    <row r="1120" spans="13:28" ht="12" hidden="1" customHeight="1">
      <c r="M1120" s="266"/>
      <c r="N1120" s="288" t="str">
        <f t="shared" si="254"/>
        <v/>
      </c>
      <c r="O1120" s="285">
        <f t="shared" si="240"/>
        <v>150</v>
      </c>
      <c r="P1120" s="289">
        <f t="shared" si="241"/>
        <v>4000000</v>
      </c>
      <c r="Q1120" s="285">
        <f t="shared" si="242"/>
        <v>110</v>
      </c>
      <c r="R1120" s="285">
        <f t="shared" si="243"/>
        <v>85</v>
      </c>
      <c r="S1120" s="285">
        <f t="shared" si="244"/>
        <v>0.35</v>
      </c>
      <c r="T1120" s="285">
        <f t="shared" si="245"/>
        <v>3.2</v>
      </c>
      <c r="U1120" s="285">
        <f t="shared" si="246"/>
        <v>1</v>
      </c>
      <c r="V1120" s="285">
        <f t="shared" si="247"/>
        <v>4.5</v>
      </c>
      <c r="W1120" s="285">
        <f t="shared" si="248"/>
        <v>1.5</v>
      </c>
      <c r="X1120" s="289" t="e">
        <f t="shared" si="249"/>
        <v>#VALUE!</v>
      </c>
      <c r="Y1120" s="288" t="e">
        <f t="shared" si="250"/>
        <v>#VALUE!</v>
      </c>
      <c r="Z1120" s="256">
        <f t="shared" si="251"/>
        <v>181.74993027852094</v>
      </c>
      <c r="AA1120" s="289" t="e">
        <f t="shared" si="252"/>
        <v>#VALUE!</v>
      </c>
      <c r="AB1120" s="288" t="e">
        <f t="shared" si="253"/>
        <v>#VALUE!</v>
      </c>
    </row>
    <row r="1121" spans="13:28" ht="12" hidden="1" customHeight="1">
      <c r="M1121" s="266"/>
      <c r="N1121" s="288" t="str">
        <f t="shared" si="254"/>
        <v/>
      </c>
      <c r="O1121" s="285">
        <f t="shared" si="240"/>
        <v>150</v>
      </c>
      <c r="P1121" s="289">
        <f t="shared" si="241"/>
        <v>4000000</v>
      </c>
      <c r="Q1121" s="285">
        <f t="shared" si="242"/>
        <v>110</v>
      </c>
      <c r="R1121" s="285">
        <f t="shared" si="243"/>
        <v>85</v>
      </c>
      <c r="S1121" s="285">
        <f t="shared" si="244"/>
        <v>0.35</v>
      </c>
      <c r="T1121" s="285">
        <f t="shared" si="245"/>
        <v>3.2</v>
      </c>
      <c r="U1121" s="285">
        <f t="shared" si="246"/>
        <v>1</v>
      </c>
      <c r="V1121" s="285">
        <f t="shared" si="247"/>
        <v>4.5</v>
      </c>
      <c r="W1121" s="285">
        <f t="shared" si="248"/>
        <v>1.5</v>
      </c>
      <c r="X1121" s="289" t="e">
        <f t="shared" si="249"/>
        <v>#VALUE!</v>
      </c>
      <c r="Y1121" s="288" t="e">
        <f t="shared" si="250"/>
        <v>#VALUE!</v>
      </c>
      <c r="Z1121" s="256">
        <f t="shared" si="251"/>
        <v>181.74993027852094</v>
      </c>
      <c r="AA1121" s="289" t="e">
        <f t="shared" si="252"/>
        <v>#VALUE!</v>
      </c>
      <c r="AB1121" s="288" t="e">
        <f t="shared" si="253"/>
        <v>#VALUE!</v>
      </c>
    </row>
    <row r="1122" spans="13:28" ht="12" hidden="1" customHeight="1">
      <c r="M1122" s="266"/>
      <c r="N1122" s="288" t="str">
        <f t="shared" si="254"/>
        <v/>
      </c>
      <c r="O1122" s="285">
        <f t="shared" si="240"/>
        <v>150</v>
      </c>
      <c r="P1122" s="289">
        <f t="shared" si="241"/>
        <v>4000000</v>
      </c>
      <c r="Q1122" s="285">
        <f t="shared" si="242"/>
        <v>110</v>
      </c>
      <c r="R1122" s="285">
        <f t="shared" si="243"/>
        <v>85</v>
      </c>
      <c r="S1122" s="285">
        <f t="shared" si="244"/>
        <v>0.35</v>
      </c>
      <c r="T1122" s="285">
        <f t="shared" si="245"/>
        <v>3.2</v>
      </c>
      <c r="U1122" s="285">
        <f t="shared" si="246"/>
        <v>1</v>
      </c>
      <c r="V1122" s="285">
        <f t="shared" si="247"/>
        <v>4.5</v>
      </c>
      <c r="W1122" s="285">
        <f t="shared" si="248"/>
        <v>1.5</v>
      </c>
      <c r="X1122" s="289" t="e">
        <f t="shared" si="249"/>
        <v>#VALUE!</v>
      </c>
      <c r="Y1122" s="288" t="e">
        <f t="shared" si="250"/>
        <v>#VALUE!</v>
      </c>
      <c r="Z1122" s="256">
        <f t="shared" si="251"/>
        <v>181.74993027852094</v>
      </c>
      <c r="AA1122" s="289" t="e">
        <f t="shared" si="252"/>
        <v>#VALUE!</v>
      </c>
      <c r="AB1122" s="288" t="e">
        <f t="shared" si="253"/>
        <v>#VALUE!</v>
      </c>
    </row>
    <row r="1123" spans="13:28" ht="12" hidden="1" customHeight="1">
      <c r="M1123" s="266"/>
      <c r="N1123" s="288" t="str">
        <f t="shared" si="254"/>
        <v/>
      </c>
      <c r="O1123" s="285">
        <f t="shared" si="240"/>
        <v>150</v>
      </c>
      <c r="P1123" s="289">
        <f t="shared" si="241"/>
        <v>4000000</v>
      </c>
      <c r="Q1123" s="285">
        <f t="shared" si="242"/>
        <v>110</v>
      </c>
      <c r="R1123" s="285">
        <f t="shared" si="243"/>
        <v>85</v>
      </c>
      <c r="S1123" s="285">
        <f t="shared" si="244"/>
        <v>0.35</v>
      </c>
      <c r="T1123" s="285">
        <f t="shared" si="245"/>
        <v>3.2</v>
      </c>
      <c r="U1123" s="285">
        <f t="shared" si="246"/>
        <v>1</v>
      </c>
      <c r="V1123" s="285">
        <f t="shared" si="247"/>
        <v>4.5</v>
      </c>
      <c r="W1123" s="285">
        <f t="shared" si="248"/>
        <v>1.5</v>
      </c>
      <c r="X1123" s="289" t="e">
        <f t="shared" si="249"/>
        <v>#VALUE!</v>
      </c>
      <c r="Y1123" s="288" t="e">
        <f t="shared" si="250"/>
        <v>#VALUE!</v>
      </c>
      <c r="Z1123" s="256">
        <f t="shared" si="251"/>
        <v>181.74993027852094</v>
      </c>
      <c r="AA1123" s="289" t="e">
        <f t="shared" si="252"/>
        <v>#VALUE!</v>
      </c>
      <c r="AB1123" s="288" t="e">
        <f t="shared" si="253"/>
        <v>#VALUE!</v>
      </c>
    </row>
    <row r="1124" spans="13:28" ht="12" hidden="1" customHeight="1">
      <c r="M1124" s="266"/>
      <c r="N1124" s="288" t="str">
        <f t="shared" si="254"/>
        <v/>
      </c>
      <c r="O1124" s="285">
        <f t="shared" si="240"/>
        <v>150</v>
      </c>
      <c r="P1124" s="289">
        <f t="shared" si="241"/>
        <v>4000000</v>
      </c>
      <c r="Q1124" s="285">
        <f t="shared" si="242"/>
        <v>110</v>
      </c>
      <c r="R1124" s="285">
        <f t="shared" si="243"/>
        <v>85</v>
      </c>
      <c r="S1124" s="285">
        <f t="shared" si="244"/>
        <v>0.35</v>
      </c>
      <c r="T1124" s="285">
        <f t="shared" si="245"/>
        <v>3.2</v>
      </c>
      <c r="U1124" s="285">
        <f t="shared" si="246"/>
        <v>1</v>
      </c>
      <c r="V1124" s="285">
        <f t="shared" si="247"/>
        <v>4.5</v>
      </c>
      <c r="W1124" s="285">
        <f t="shared" si="248"/>
        <v>1.5</v>
      </c>
      <c r="X1124" s="289" t="e">
        <f t="shared" si="249"/>
        <v>#VALUE!</v>
      </c>
      <c r="Y1124" s="288" t="e">
        <f t="shared" si="250"/>
        <v>#VALUE!</v>
      </c>
      <c r="Z1124" s="256">
        <f t="shared" si="251"/>
        <v>181.74993027852094</v>
      </c>
      <c r="AA1124" s="289" t="e">
        <f t="shared" si="252"/>
        <v>#VALUE!</v>
      </c>
      <c r="AB1124" s="288" t="e">
        <f t="shared" si="253"/>
        <v>#VALUE!</v>
      </c>
    </row>
    <row r="1125" spans="13:28" ht="12" hidden="1" customHeight="1">
      <c r="M1125" s="266"/>
      <c r="N1125" s="288" t="str">
        <f t="shared" si="254"/>
        <v/>
      </c>
      <c r="O1125" s="285">
        <f t="shared" si="240"/>
        <v>150</v>
      </c>
      <c r="P1125" s="289">
        <f t="shared" si="241"/>
        <v>4000000</v>
      </c>
      <c r="Q1125" s="285">
        <f t="shared" si="242"/>
        <v>110</v>
      </c>
      <c r="R1125" s="285">
        <f t="shared" si="243"/>
        <v>85</v>
      </c>
      <c r="S1125" s="285">
        <f t="shared" si="244"/>
        <v>0.35</v>
      </c>
      <c r="T1125" s="285">
        <f t="shared" si="245"/>
        <v>3.2</v>
      </c>
      <c r="U1125" s="285">
        <f t="shared" si="246"/>
        <v>1</v>
      </c>
      <c r="V1125" s="285">
        <f t="shared" si="247"/>
        <v>4.5</v>
      </c>
      <c r="W1125" s="285">
        <f t="shared" si="248"/>
        <v>1.5</v>
      </c>
      <c r="X1125" s="289" t="e">
        <f t="shared" si="249"/>
        <v>#VALUE!</v>
      </c>
      <c r="Y1125" s="288" t="e">
        <f t="shared" si="250"/>
        <v>#VALUE!</v>
      </c>
      <c r="Z1125" s="256">
        <f t="shared" si="251"/>
        <v>181.74993027852094</v>
      </c>
      <c r="AA1125" s="289" t="e">
        <f t="shared" si="252"/>
        <v>#VALUE!</v>
      </c>
      <c r="AB1125" s="288" t="e">
        <f t="shared" si="253"/>
        <v>#VALUE!</v>
      </c>
    </row>
    <row r="1126" spans="13:28" ht="12" hidden="1" customHeight="1">
      <c r="M1126" s="266"/>
      <c r="N1126" s="288" t="str">
        <f t="shared" si="254"/>
        <v/>
      </c>
      <c r="O1126" s="285">
        <f t="shared" si="240"/>
        <v>150</v>
      </c>
      <c r="P1126" s="289">
        <f t="shared" si="241"/>
        <v>4000000</v>
      </c>
      <c r="Q1126" s="285">
        <f t="shared" si="242"/>
        <v>110</v>
      </c>
      <c r="R1126" s="285">
        <f t="shared" si="243"/>
        <v>85</v>
      </c>
      <c r="S1126" s="285">
        <f t="shared" si="244"/>
        <v>0.35</v>
      </c>
      <c r="T1126" s="285">
        <f t="shared" si="245"/>
        <v>3.2</v>
      </c>
      <c r="U1126" s="285">
        <f t="shared" si="246"/>
        <v>1</v>
      </c>
      <c r="V1126" s="285">
        <f t="shared" si="247"/>
        <v>4.5</v>
      </c>
      <c r="W1126" s="285">
        <f t="shared" si="248"/>
        <v>1.5</v>
      </c>
      <c r="X1126" s="289" t="e">
        <f t="shared" si="249"/>
        <v>#VALUE!</v>
      </c>
      <c r="Y1126" s="288" t="e">
        <f t="shared" si="250"/>
        <v>#VALUE!</v>
      </c>
      <c r="Z1126" s="256">
        <f t="shared" si="251"/>
        <v>181.74993027852094</v>
      </c>
      <c r="AA1126" s="289" t="e">
        <f t="shared" si="252"/>
        <v>#VALUE!</v>
      </c>
      <c r="AB1126" s="288" t="e">
        <f t="shared" si="253"/>
        <v>#VALUE!</v>
      </c>
    </row>
    <row r="1127" spans="13:28" ht="12" hidden="1" customHeight="1">
      <c r="M1127" s="266"/>
      <c r="N1127" s="288" t="str">
        <f t="shared" si="254"/>
        <v/>
      </c>
      <c r="O1127" s="285">
        <f t="shared" si="240"/>
        <v>150</v>
      </c>
      <c r="P1127" s="289">
        <f t="shared" si="241"/>
        <v>4000000</v>
      </c>
      <c r="Q1127" s="285">
        <f t="shared" si="242"/>
        <v>110</v>
      </c>
      <c r="R1127" s="285">
        <f t="shared" si="243"/>
        <v>85</v>
      </c>
      <c r="S1127" s="285">
        <f t="shared" si="244"/>
        <v>0.35</v>
      </c>
      <c r="T1127" s="285">
        <f t="shared" si="245"/>
        <v>3.2</v>
      </c>
      <c r="U1127" s="285">
        <f t="shared" si="246"/>
        <v>1</v>
      </c>
      <c r="V1127" s="285">
        <f t="shared" si="247"/>
        <v>4.5</v>
      </c>
      <c r="W1127" s="285">
        <f t="shared" si="248"/>
        <v>1.5</v>
      </c>
      <c r="X1127" s="289" t="e">
        <f t="shared" si="249"/>
        <v>#VALUE!</v>
      </c>
      <c r="Y1127" s="288" t="e">
        <f t="shared" si="250"/>
        <v>#VALUE!</v>
      </c>
      <c r="Z1127" s="256">
        <f t="shared" si="251"/>
        <v>181.74993027852094</v>
      </c>
      <c r="AA1127" s="289" t="e">
        <f t="shared" si="252"/>
        <v>#VALUE!</v>
      </c>
      <c r="AB1127" s="288" t="e">
        <f t="shared" si="253"/>
        <v>#VALUE!</v>
      </c>
    </row>
    <row r="1128" spans="13:28" ht="12" hidden="1" customHeight="1">
      <c r="M1128" s="266"/>
      <c r="N1128" s="288" t="str">
        <f t="shared" si="254"/>
        <v/>
      </c>
      <c r="O1128" s="285">
        <f t="shared" si="240"/>
        <v>150</v>
      </c>
      <c r="P1128" s="289">
        <f t="shared" si="241"/>
        <v>4000000</v>
      </c>
      <c r="Q1128" s="285">
        <f t="shared" si="242"/>
        <v>110</v>
      </c>
      <c r="R1128" s="285">
        <f t="shared" si="243"/>
        <v>85</v>
      </c>
      <c r="S1128" s="285">
        <f t="shared" si="244"/>
        <v>0.35</v>
      </c>
      <c r="T1128" s="285">
        <f t="shared" si="245"/>
        <v>3.2</v>
      </c>
      <c r="U1128" s="285">
        <f t="shared" si="246"/>
        <v>1</v>
      </c>
      <c r="V1128" s="285">
        <f t="shared" si="247"/>
        <v>4.5</v>
      </c>
      <c r="W1128" s="285">
        <f t="shared" si="248"/>
        <v>1.5</v>
      </c>
      <c r="X1128" s="289" t="e">
        <f t="shared" si="249"/>
        <v>#VALUE!</v>
      </c>
      <c r="Y1128" s="288" t="e">
        <f t="shared" si="250"/>
        <v>#VALUE!</v>
      </c>
      <c r="Z1128" s="256">
        <f t="shared" si="251"/>
        <v>181.74993027852094</v>
      </c>
      <c r="AA1128" s="289" t="e">
        <f t="shared" si="252"/>
        <v>#VALUE!</v>
      </c>
      <c r="AB1128" s="288" t="e">
        <f t="shared" si="253"/>
        <v>#VALUE!</v>
      </c>
    </row>
    <row r="1129" spans="13:28" ht="12" hidden="1" customHeight="1">
      <c r="M1129" s="266"/>
      <c r="N1129" s="288" t="str">
        <f t="shared" si="254"/>
        <v/>
      </c>
      <c r="O1129" s="285">
        <f t="shared" si="240"/>
        <v>150</v>
      </c>
      <c r="P1129" s="289">
        <f t="shared" si="241"/>
        <v>4000000</v>
      </c>
      <c r="Q1129" s="285">
        <f t="shared" si="242"/>
        <v>110</v>
      </c>
      <c r="R1129" s="285">
        <f t="shared" si="243"/>
        <v>85</v>
      </c>
      <c r="S1129" s="285">
        <f t="shared" si="244"/>
        <v>0.35</v>
      </c>
      <c r="T1129" s="285">
        <f t="shared" si="245"/>
        <v>3.2</v>
      </c>
      <c r="U1129" s="285">
        <f t="shared" si="246"/>
        <v>1</v>
      </c>
      <c r="V1129" s="285">
        <f t="shared" si="247"/>
        <v>4.5</v>
      </c>
      <c r="W1129" s="285">
        <f t="shared" si="248"/>
        <v>1.5</v>
      </c>
      <c r="X1129" s="289" t="e">
        <f t="shared" si="249"/>
        <v>#VALUE!</v>
      </c>
      <c r="Y1129" s="288" t="e">
        <f t="shared" si="250"/>
        <v>#VALUE!</v>
      </c>
      <c r="Z1129" s="256">
        <f t="shared" si="251"/>
        <v>181.74993027852094</v>
      </c>
      <c r="AA1129" s="289" t="e">
        <f t="shared" si="252"/>
        <v>#VALUE!</v>
      </c>
      <c r="AB1129" s="288" t="e">
        <f t="shared" si="253"/>
        <v>#VALUE!</v>
      </c>
    </row>
    <row r="1130" spans="13:28" ht="12" hidden="1" customHeight="1">
      <c r="M1130" s="266"/>
      <c r="N1130" s="288" t="str">
        <f t="shared" si="254"/>
        <v/>
      </c>
      <c r="O1130" s="285">
        <f t="shared" si="240"/>
        <v>150</v>
      </c>
      <c r="P1130" s="289">
        <f t="shared" si="241"/>
        <v>4000000</v>
      </c>
      <c r="Q1130" s="285">
        <f t="shared" si="242"/>
        <v>110</v>
      </c>
      <c r="R1130" s="285">
        <f t="shared" si="243"/>
        <v>85</v>
      </c>
      <c r="S1130" s="285">
        <f t="shared" si="244"/>
        <v>0.35</v>
      </c>
      <c r="T1130" s="285">
        <f t="shared" si="245"/>
        <v>3.2</v>
      </c>
      <c r="U1130" s="285">
        <f t="shared" si="246"/>
        <v>1</v>
      </c>
      <c r="V1130" s="285">
        <f t="shared" si="247"/>
        <v>4.5</v>
      </c>
      <c r="W1130" s="285">
        <f t="shared" si="248"/>
        <v>1.5</v>
      </c>
      <c r="X1130" s="289" t="e">
        <f t="shared" si="249"/>
        <v>#VALUE!</v>
      </c>
      <c r="Y1130" s="288" t="e">
        <f t="shared" si="250"/>
        <v>#VALUE!</v>
      </c>
      <c r="Z1130" s="256">
        <f t="shared" si="251"/>
        <v>181.74993027852094</v>
      </c>
      <c r="AA1130" s="289" t="e">
        <f t="shared" si="252"/>
        <v>#VALUE!</v>
      </c>
      <c r="AB1130" s="288" t="e">
        <f t="shared" si="253"/>
        <v>#VALUE!</v>
      </c>
    </row>
    <row r="1131" spans="13:28" ht="12" hidden="1" customHeight="1">
      <c r="M1131" s="266"/>
      <c r="N1131" s="288" t="str">
        <f t="shared" si="254"/>
        <v/>
      </c>
      <c r="O1131" s="285">
        <f t="shared" si="240"/>
        <v>150</v>
      </c>
      <c r="P1131" s="289">
        <f t="shared" si="241"/>
        <v>4000000</v>
      </c>
      <c r="Q1131" s="285">
        <f t="shared" si="242"/>
        <v>110</v>
      </c>
      <c r="R1131" s="285">
        <f t="shared" si="243"/>
        <v>85</v>
      </c>
      <c r="S1131" s="285">
        <f t="shared" si="244"/>
        <v>0.35</v>
      </c>
      <c r="T1131" s="285">
        <f t="shared" si="245"/>
        <v>3.2</v>
      </c>
      <c r="U1131" s="285">
        <f t="shared" si="246"/>
        <v>1</v>
      </c>
      <c r="V1131" s="285">
        <f t="shared" si="247"/>
        <v>4.5</v>
      </c>
      <c r="W1131" s="285">
        <f t="shared" si="248"/>
        <v>1.5</v>
      </c>
      <c r="X1131" s="289" t="e">
        <f t="shared" si="249"/>
        <v>#VALUE!</v>
      </c>
      <c r="Y1131" s="288" t="e">
        <f t="shared" si="250"/>
        <v>#VALUE!</v>
      </c>
      <c r="Z1131" s="256">
        <f t="shared" si="251"/>
        <v>181.74993027852094</v>
      </c>
      <c r="AA1131" s="289" t="e">
        <f t="shared" si="252"/>
        <v>#VALUE!</v>
      </c>
      <c r="AB1131" s="288" t="e">
        <f t="shared" si="253"/>
        <v>#VALUE!</v>
      </c>
    </row>
    <row r="1132" spans="13:28" ht="12" hidden="1" customHeight="1">
      <c r="M1132" s="266"/>
      <c r="N1132" s="288" t="str">
        <f t="shared" si="254"/>
        <v/>
      </c>
      <c r="O1132" s="285">
        <f t="shared" si="240"/>
        <v>150</v>
      </c>
      <c r="P1132" s="289">
        <f t="shared" si="241"/>
        <v>4000000</v>
      </c>
      <c r="Q1132" s="285">
        <f t="shared" si="242"/>
        <v>110</v>
      </c>
      <c r="R1132" s="285">
        <f t="shared" si="243"/>
        <v>85</v>
      </c>
      <c r="S1132" s="285">
        <f t="shared" si="244"/>
        <v>0.35</v>
      </c>
      <c r="T1132" s="285">
        <f t="shared" si="245"/>
        <v>3.2</v>
      </c>
      <c r="U1132" s="285">
        <f t="shared" si="246"/>
        <v>1</v>
      </c>
      <c r="V1132" s="285">
        <f t="shared" si="247"/>
        <v>4.5</v>
      </c>
      <c r="W1132" s="285">
        <f t="shared" si="248"/>
        <v>1.5</v>
      </c>
      <c r="X1132" s="289" t="e">
        <f t="shared" si="249"/>
        <v>#VALUE!</v>
      </c>
      <c r="Y1132" s="288" t="e">
        <f t="shared" si="250"/>
        <v>#VALUE!</v>
      </c>
      <c r="Z1132" s="256">
        <f t="shared" si="251"/>
        <v>181.74993027852094</v>
      </c>
      <c r="AA1132" s="289" t="e">
        <f t="shared" si="252"/>
        <v>#VALUE!</v>
      </c>
      <c r="AB1132" s="288" t="e">
        <f t="shared" si="253"/>
        <v>#VALUE!</v>
      </c>
    </row>
    <row r="1133" spans="13:28" ht="12" hidden="1" customHeight="1">
      <c r="M1133" s="266"/>
      <c r="N1133" s="288" t="str">
        <f t="shared" si="254"/>
        <v/>
      </c>
      <c r="O1133" s="285">
        <f t="shared" si="240"/>
        <v>150</v>
      </c>
      <c r="P1133" s="289">
        <f t="shared" si="241"/>
        <v>4000000</v>
      </c>
      <c r="Q1133" s="285">
        <f t="shared" si="242"/>
        <v>110</v>
      </c>
      <c r="R1133" s="285">
        <f t="shared" si="243"/>
        <v>85</v>
      </c>
      <c r="S1133" s="285">
        <f t="shared" si="244"/>
        <v>0.35</v>
      </c>
      <c r="T1133" s="285">
        <f t="shared" si="245"/>
        <v>3.2</v>
      </c>
      <c r="U1133" s="285">
        <f t="shared" si="246"/>
        <v>1</v>
      </c>
      <c r="V1133" s="285">
        <f t="shared" si="247"/>
        <v>4.5</v>
      </c>
      <c r="W1133" s="285">
        <f t="shared" si="248"/>
        <v>1.5</v>
      </c>
      <c r="X1133" s="289" t="e">
        <f t="shared" si="249"/>
        <v>#VALUE!</v>
      </c>
      <c r="Y1133" s="288" t="e">
        <f t="shared" si="250"/>
        <v>#VALUE!</v>
      </c>
      <c r="Z1133" s="256">
        <f t="shared" si="251"/>
        <v>181.74993027852094</v>
      </c>
      <c r="AA1133" s="289" t="e">
        <f t="shared" si="252"/>
        <v>#VALUE!</v>
      </c>
      <c r="AB1133" s="288" t="e">
        <f t="shared" si="253"/>
        <v>#VALUE!</v>
      </c>
    </row>
    <row r="1134" spans="13:28" ht="12" hidden="1" customHeight="1">
      <c r="M1134" s="266"/>
      <c r="N1134" s="288" t="str">
        <f t="shared" si="254"/>
        <v/>
      </c>
      <c r="O1134" s="285">
        <f t="shared" si="240"/>
        <v>150</v>
      </c>
      <c r="P1134" s="289">
        <f t="shared" si="241"/>
        <v>4000000</v>
      </c>
      <c r="Q1134" s="285">
        <f t="shared" si="242"/>
        <v>110</v>
      </c>
      <c r="R1134" s="285">
        <f t="shared" si="243"/>
        <v>85</v>
      </c>
      <c r="S1134" s="285">
        <f t="shared" si="244"/>
        <v>0.35</v>
      </c>
      <c r="T1134" s="285">
        <f t="shared" si="245"/>
        <v>3.2</v>
      </c>
      <c r="U1134" s="285">
        <f t="shared" si="246"/>
        <v>1</v>
      </c>
      <c r="V1134" s="285">
        <f t="shared" si="247"/>
        <v>4.5</v>
      </c>
      <c r="W1134" s="285">
        <f t="shared" si="248"/>
        <v>1.5</v>
      </c>
      <c r="X1134" s="289" t="e">
        <f t="shared" si="249"/>
        <v>#VALUE!</v>
      </c>
      <c r="Y1134" s="288" t="e">
        <f t="shared" si="250"/>
        <v>#VALUE!</v>
      </c>
      <c r="Z1134" s="256">
        <f t="shared" si="251"/>
        <v>181.74993027852094</v>
      </c>
      <c r="AA1134" s="289" t="e">
        <f t="shared" si="252"/>
        <v>#VALUE!</v>
      </c>
      <c r="AB1134" s="288" t="e">
        <f t="shared" si="253"/>
        <v>#VALUE!</v>
      </c>
    </row>
    <row r="1135" spans="13:28" ht="12" hidden="1" customHeight="1">
      <c r="M1135" s="266"/>
      <c r="N1135" s="288" t="str">
        <f t="shared" si="254"/>
        <v/>
      </c>
      <c r="O1135" s="285">
        <f t="shared" si="240"/>
        <v>150</v>
      </c>
      <c r="P1135" s="289">
        <f t="shared" si="241"/>
        <v>4000000</v>
      </c>
      <c r="Q1135" s="285">
        <f t="shared" si="242"/>
        <v>110</v>
      </c>
      <c r="R1135" s="285">
        <f t="shared" si="243"/>
        <v>85</v>
      </c>
      <c r="S1135" s="285">
        <f t="shared" si="244"/>
        <v>0.35</v>
      </c>
      <c r="T1135" s="285">
        <f t="shared" si="245"/>
        <v>3.2</v>
      </c>
      <c r="U1135" s="285">
        <f t="shared" si="246"/>
        <v>1</v>
      </c>
      <c r="V1135" s="285">
        <f t="shared" si="247"/>
        <v>4.5</v>
      </c>
      <c r="W1135" s="285">
        <f t="shared" si="248"/>
        <v>1.5</v>
      </c>
      <c r="X1135" s="289" t="e">
        <f t="shared" si="249"/>
        <v>#VALUE!</v>
      </c>
      <c r="Y1135" s="288" t="e">
        <f t="shared" si="250"/>
        <v>#VALUE!</v>
      </c>
      <c r="Z1135" s="256">
        <f t="shared" si="251"/>
        <v>181.74993027852094</v>
      </c>
      <c r="AA1135" s="289" t="e">
        <f t="shared" si="252"/>
        <v>#VALUE!</v>
      </c>
      <c r="AB1135" s="288" t="e">
        <f t="shared" si="253"/>
        <v>#VALUE!</v>
      </c>
    </row>
    <row r="1136" spans="13:28" ht="12" hidden="1" customHeight="1">
      <c r="M1136" s="266"/>
      <c r="N1136" s="288" t="str">
        <f t="shared" si="254"/>
        <v/>
      </c>
      <c r="O1136" s="285">
        <f t="shared" si="240"/>
        <v>150</v>
      </c>
      <c r="P1136" s="289">
        <f t="shared" si="241"/>
        <v>4000000</v>
      </c>
      <c r="Q1136" s="285">
        <f t="shared" si="242"/>
        <v>110</v>
      </c>
      <c r="R1136" s="285">
        <f t="shared" si="243"/>
        <v>85</v>
      </c>
      <c r="S1136" s="285">
        <f t="shared" si="244"/>
        <v>0.35</v>
      </c>
      <c r="T1136" s="285">
        <f t="shared" si="245"/>
        <v>3.2</v>
      </c>
      <c r="U1136" s="285">
        <f t="shared" si="246"/>
        <v>1</v>
      </c>
      <c r="V1136" s="285">
        <f t="shared" si="247"/>
        <v>4.5</v>
      </c>
      <c r="W1136" s="285">
        <f t="shared" si="248"/>
        <v>1.5</v>
      </c>
      <c r="X1136" s="289" t="e">
        <f t="shared" si="249"/>
        <v>#VALUE!</v>
      </c>
      <c r="Y1136" s="288" t="e">
        <f t="shared" si="250"/>
        <v>#VALUE!</v>
      </c>
      <c r="Z1136" s="256">
        <f t="shared" si="251"/>
        <v>181.74993027852094</v>
      </c>
      <c r="AA1136" s="289" t="e">
        <f t="shared" si="252"/>
        <v>#VALUE!</v>
      </c>
      <c r="AB1136" s="288" t="e">
        <f t="shared" si="253"/>
        <v>#VALUE!</v>
      </c>
    </row>
    <row r="1137" spans="13:28" ht="12" hidden="1" customHeight="1">
      <c r="M1137" s="266"/>
      <c r="N1137" s="288" t="str">
        <f t="shared" si="254"/>
        <v/>
      </c>
      <c r="O1137" s="285">
        <f t="shared" si="240"/>
        <v>150</v>
      </c>
      <c r="P1137" s="289">
        <f t="shared" si="241"/>
        <v>4000000</v>
      </c>
      <c r="Q1137" s="285">
        <f t="shared" si="242"/>
        <v>110</v>
      </c>
      <c r="R1137" s="285">
        <f t="shared" si="243"/>
        <v>85</v>
      </c>
      <c r="S1137" s="285">
        <f t="shared" si="244"/>
        <v>0.35</v>
      </c>
      <c r="T1137" s="285">
        <f t="shared" si="245"/>
        <v>3.2</v>
      </c>
      <c r="U1137" s="285">
        <f t="shared" si="246"/>
        <v>1</v>
      </c>
      <c r="V1137" s="285">
        <f t="shared" si="247"/>
        <v>4.5</v>
      </c>
      <c r="W1137" s="285">
        <f t="shared" si="248"/>
        <v>1.5</v>
      </c>
      <c r="X1137" s="289" t="e">
        <f t="shared" si="249"/>
        <v>#VALUE!</v>
      </c>
      <c r="Y1137" s="288" t="e">
        <f t="shared" si="250"/>
        <v>#VALUE!</v>
      </c>
      <c r="Z1137" s="256">
        <f t="shared" si="251"/>
        <v>181.74993027852094</v>
      </c>
      <c r="AA1137" s="289" t="e">
        <f t="shared" si="252"/>
        <v>#VALUE!</v>
      </c>
      <c r="AB1137" s="288" t="e">
        <f t="shared" si="253"/>
        <v>#VALUE!</v>
      </c>
    </row>
    <row r="1138" spans="13:28" ht="12" hidden="1" customHeight="1">
      <c r="M1138" s="266"/>
      <c r="N1138" s="288" t="str">
        <f t="shared" si="254"/>
        <v/>
      </c>
      <c r="O1138" s="285">
        <f t="shared" si="240"/>
        <v>150</v>
      </c>
      <c r="P1138" s="289">
        <f t="shared" si="241"/>
        <v>4000000</v>
      </c>
      <c r="Q1138" s="285">
        <f t="shared" si="242"/>
        <v>110</v>
      </c>
      <c r="R1138" s="285">
        <f t="shared" si="243"/>
        <v>85</v>
      </c>
      <c r="S1138" s="285">
        <f t="shared" si="244"/>
        <v>0.35</v>
      </c>
      <c r="T1138" s="285">
        <f t="shared" si="245"/>
        <v>3.2</v>
      </c>
      <c r="U1138" s="285">
        <f t="shared" si="246"/>
        <v>1</v>
      </c>
      <c r="V1138" s="285">
        <f t="shared" si="247"/>
        <v>4.5</v>
      </c>
      <c r="W1138" s="285">
        <f t="shared" si="248"/>
        <v>1.5</v>
      </c>
      <c r="X1138" s="289" t="e">
        <f t="shared" si="249"/>
        <v>#VALUE!</v>
      </c>
      <c r="Y1138" s="288" t="e">
        <f t="shared" si="250"/>
        <v>#VALUE!</v>
      </c>
      <c r="Z1138" s="256">
        <f t="shared" si="251"/>
        <v>181.74993027852094</v>
      </c>
      <c r="AA1138" s="289" t="e">
        <f t="shared" si="252"/>
        <v>#VALUE!</v>
      </c>
      <c r="AB1138" s="288" t="e">
        <f t="shared" si="253"/>
        <v>#VALUE!</v>
      </c>
    </row>
    <row r="1139" spans="13:28" ht="12" hidden="1" customHeight="1">
      <c r="M1139" s="266"/>
      <c r="N1139" s="288" t="str">
        <f t="shared" si="254"/>
        <v/>
      </c>
      <c r="O1139" s="285">
        <f t="shared" si="240"/>
        <v>150</v>
      </c>
      <c r="P1139" s="289">
        <f t="shared" si="241"/>
        <v>4000000</v>
      </c>
      <c r="Q1139" s="285">
        <f t="shared" si="242"/>
        <v>110</v>
      </c>
      <c r="R1139" s="285">
        <f t="shared" si="243"/>
        <v>85</v>
      </c>
      <c r="S1139" s="285">
        <f t="shared" si="244"/>
        <v>0.35</v>
      </c>
      <c r="T1139" s="285">
        <f t="shared" si="245"/>
        <v>3.2</v>
      </c>
      <c r="U1139" s="285">
        <f t="shared" si="246"/>
        <v>1</v>
      </c>
      <c r="V1139" s="285">
        <f t="shared" si="247"/>
        <v>4.5</v>
      </c>
      <c r="W1139" s="285">
        <f t="shared" si="248"/>
        <v>1.5</v>
      </c>
      <c r="X1139" s="289" t="e">
        <f t="shared" si="249"/>
        <v>#VALUE!</v>
      </c>
      <c r="Y1139" s="288" t="e">
        <f t="shared" si="250"/>
        <v>#VALUE!</v>
      </c>
      <c r="Z1139" s="256">
        <f t="shared" si="251"/>
        <v>181.74993027852094</v>
      </c>
      <c r="AA1139" s="289" t="e">
        <f t="shared" si="252"/>
        <v>#VALUE!</v>
      </c>
      <c r="AB1139" s="288" t="e">
        <f t="shared" si="253"/>
        <v>#VALUE!</v>
      </c>
    </row>
    <row r="1140" spans="13:28" ht="12" hidden="1" customHeight="1">
      <c r="M1140" s="266"/>
      <c r="N1140" s="288" t="str">
        <f t="shared" si="254"/>
        <v/>
      </c>
      <c r="O1140" s="285">
        <f t="shared" si="240"/>
        <v>150</v>
      </c>
      <c r="P1140" s="289">
        <f t="shared" si="241"/>
        <v>4000000</v>
      </c>
      <c r="Q1140" s="285">
        <f t="shared" si="242"/>
        <v>110</v>
      </c>
      <c r="R1140" s="285">
        <f t="shared" si="243"/>
        <v>85</v>
      </c>
      <c r="S1140" s="285">
        <f t="shared" si="244"/>
        <v>0.35</v>
      </c>
      <c r="T1140" s="285">
        <f t="shared" si="245"/>
        <v>3.2</v>
      </c>
      <c r="U1140" s="285">
        <f t="shared" si="246"/>
        <v>1</v>
      </c>
      <c r="V1140" s="285">
        <f t="shared" si="247"/>
        <v>4.5</v>
      </c>
      <c r="W1140" s="285">
        <f t="shared" si="248"/>
        <v>1.5</v>
      </c>
      <c r="X1140" s="289" t="e">
        <f t="shared" si="249"/>
        <v>#VALUE!</v>
      </c>
      <c r="Y1140" s="288" t="e">
        <f t="shared" si="250"/>
        <v>#VALUE!</v>
      </c>
      <c r="Z1140" s="256">
        <f t="shared" si="251"/>
        <v>181.74993027852094</v>
      </c>
      <c r="AA1140" s="289" t="e">
        <f t="shared" si="252"/>
        <v>#VALUE!</v>
      </c>
      <c r="AB1140" s="288" t="e">
        <f t="shared" si="253"/>
        <v>#VALUE!</v>
      </c>
    </row>
    <row r="1141" spans="13:28" ht="12" hidden="1" customHeight="1">
      <c r="M1141" s="266"/>
      <c r="N1141" s="288" t="str">
        <f t="shared" si="254"/>
        <v/>
      </c>
      <c r="O1141" s="285">
        <f t="shared" si="240"/>
        <v>150</v>
      </c>
      <c r="P1141" s="289">
        <f t="shared" si="241"/>
        <v>4000000</v>
      </c>
      <c r="Q1141" s="285">
        <f t="shared" si="242"/>
        <v>110</v>
      </c>
      <c r="R1141" s="285">
        <f t="shared" si="243"/>
        <v>85</v>
      </c>
      <c r="S1141" s="285">
        <f t="shared" si="244"/>
        <v>0.35</v>
      </c>
      <c r="T1141" s="285">
        <f t="shared" si="245"/>
        <v>3.2</v>
      </c>
      <c r="U1141" s="285">
        <f t="shared" si="246"/>
        <v>1</v>
      </c>
      <c r="V1141" s="285">
        <f t="shared" si="247"/>
        <v>4.5</v>
      </c>
      <c r="W1141" s="285">
        <f t="shared" si="248"/>
        <v>1.5</v>
      </c>
      <c r="X1141" s="289" t="e">
        <f t="shared" si="249"/>
        <v>#VALUE!</v>
      </c>
      <c r="Y1141" s="288" t="e">
        <f t="shared" si="250"/>
        <v>#VALUE!</v>
      </c>
      <c r="Z1141" s="256">
        <f t="shared" si="251"/>
        <v>181.74993027852094</v>
      </c>
      <c r="AA1141" s="289" t="e">
        <f t="shared" si="252"/>
        <v>#VALUE!</v>
      </c>
      <c r="AB1141" s="288" t="e">
        <f t="shared" si="253"/>
        <v>#VALUE!</v>
      </c>
    </row>
    <row r="1142" spans="13:28" ht="12" hidden="1" customHeight="1">
      <c r="M1142" s="266"/>
      <c r="N1142" s="288" t="str">
        <f t="shared" si="254"/>
        <v/>
      </c>
      <c r="O1142" s="285">
        <f t="shared" si="240"/>
        <v>150</v>
      </c>
      <c r="P1142" s="289">
        <f t="shared" si="241"/>
        <v>4000000</v>
      </c>
      <c r="Q1142" s="285">
        <f t="shared" si="242"/>
        <v>110</v>
      </c>
      <c r="R1142" s="285">
        <f t="shared" si="243"/>
        <v>85</v>
      </c>
      <c r="S1142" s="285">
        <f t="shared" si="244"/>
        <v>0.35</v>
      </c>
      <c r="T1142" s="285">
        <f t="shared" si="245"/>
        <v>3.2</v>
      </c>
      <c r="U1142" s="285">
        <f t="shared" si="246"/>
        <v>1</v>
      </c>
      <c r="V1142" s="285">
        <f t="shared" si="247"/>
        <v>4.5</v>
      </c>
      <c r="W1142" s="285">
        <f t="shared" si="248"/>
        <v>1.5</v>
      </c>
      <c r="X1142" s="289" t="e">
        <f t="shared" si="249"/>
        <v>#VALUE!</v>
      </c>
      <c r="Y1142" s="288" t="e">
        <f t="shared" si="250"/>
        <v>#VALUE!</v>
      </c>
      <c r="Z1142" s="256">
        <f t="shared" si="251"/>
        <v>181.74993027852094</v>
      </c>
      <c r="AA1142" s="289" t="e">
        <f t="shared" si="252"/>
        <v>#VALUE!</v>
      </c>
      <c r="AB1142" s="288" t="e">
        <f t="shared" si="253"/>
        <v>#VALUE!</v>
      </c>
    </row>
    <row r="1143" spans="13:28" ht="12" hidden="1" customHeight="1">
      <c r="M1143" s="266"/>
      <c r="N1143" s="288" t="str">
        <f t="shared" si="254"/>
        <v/>
      </c>
      <c r="O1143" s="285">
        <f t="shared" si="240"/>
        <v>150</v>
      </c>
      <c r="P1143" s="289">
        <f t="shared" si="241"/>
        <v>4000000</v>
      </c>
      <c r="Q1143" s="285">
        <f t="shared" si="242"/>
        <v>110</v>
      </c>
      <c r="R1143" s="285">
        <f t="shared" si="243"/>
        <v>85</v>
      </c>
      <c r="S1143" s="285">
        <f t="shared" si="244"/>
        <v>0.35</v>
      </c>
      <c r="T1143" s="285">
        <f t="shared" si="245"/>
        <v>3.2</v>
      </c>
      <c r="U1143" s="285">
        <f t="shared" si="246"/>
        <v>1</v>
      </c>
      <c r="V1143" s="285">
        <f t="shared" si="247"/>
        <v>4.5</v>
      </c>
      <c r="W1143" s="285">
        <f t="shared" si="248"/>
        <v>1.5</v>
      </c>
      <c r="X1143" s="289" t="e">
        <f t="shared" si="249"/>
        <v>#VALUE!</v>
      </c>
      <c r="Y1143" s="288" t="e">
        <f t="shared" si="250"/>
        <v>#VALUE!</v>
      </c>
      <c r="Z1143" s="256">
        <f t="shared" si="251"/>
        <v>181.74993027852094</v>
      </c>
      <c r="AA1143" s="289" t="e">
        <f t="shared" si="252"/>
        <v>#VALUE!</v>
      </c>
      <c r="AB1143" s="288" t="e">
        <f t="shared" si="253"/>
        <v>#VALUE!</v>
      </c>
    </row>
    <row r="1144" spans="13:28" ht="12" hidden="1" customHeight="1">
      <c r="M1144" s="266"/>
      <c r="N1144" s="288" t="str">
        <f t="shared" si="254"/>
        <v/>
      </c>
      <c r="O1144" s="285">
        <f t="shared" si="240"/>
        <v>150</v>
      </c>
      <c r="P1144" s="289">
        <f t="shared" si="241"/>
        <v>4000000</v>
      </c>
      <c r="Q1144" s="285">
        <f t="shared" si="242"/>
        <v>110</v>
      </c>
      <c r="R1144" s="285">
        <f t="shared" si="243"/>
        <v>85</v>
      </c>
      <c r="S1144" s="285">
        <f t="shared" si="244"/>
        <v>0.35</v>
      </c>
      <c r="T1144" s="285">
        <f t="shared" si="245"/>
        <v>3.2</v>
      </c>
      <c r="U1144" s="285">
        <f t="shared" si="246"/>
        <v>1</v>
      </c>
      <c r="V1144" s="285">
        <f t="shared" si="247"/>
        <v>4.5</v>
      </c>
      <c r="W1144" s="285">
        <f t="shared" si="248"/>
        <v>1.5</v>
      </c>
      <c r="X1144" s="289" t="e">
        <f t="shared" si="249"/>
        <v>#VALUE!</v>
      </c>
      <c r="Y1144" s="288" t="e">
        <f t="shared" si="250"/>
        <v>#VALUE!</v>
      </c>
      <c r="Z1144" s="256">
        <f t="shared" si="251"/>
        <v>181.74993027852094</v>
      </c>
      <c r="AA1144" s="289" t="e">
        <f t="shared" si="252"/>
        <v>#VALUE!</v>
      </c>
      <c r="AB1144" s="288" t="e">
        <f t="shared" si="253"/>
        <v>#VALUE!</v>
      </c>
    </row>
    <row r="1145" spans="13:28" ht="12" hidden="1" customHeight="1">
      <c r="M1145" s="266"/>
      <c r="N1145" s="288" t="str">
        <f t="shared" si="254"/>
        <v/>
      </c>
      <c r="O1145" s="285">
        <f t="shared" si="240"/>
        <v>150</v>
      </c>
      <c r="P1145" s="289">
        <f t="shared" si="241"/>
        <v>4000000</v>
      </c>
      <c r="Q1145" s="285">
        <f t="shared" si="242"/>
        <v>110</v>
      </c>
      <c r="R1145" s="285">
        <f t="shared" si="243"/>
        <v>85</v>
      </c>
      <c r="S1145" s="285">
        <f t="shared" si="244"/>
        <v>0.35</v>
      </c>
      <c r="T1145" s="285">
        <f t="shared" si="245"/>
        <v>3.2</v>
      </c>
      <c r="U1145" s="285">
        <f t="shared" si="246"/>
        <v>1</v>
      </c>
      <c r="V1145" s="285">
        <f t="shared" si="247"/>
        <v>4.5</v>
      </c>
      <c r="W1145" s="285">
        <f t="shared" si="248"/>
        <v>1.5</v>
      </c>
      <c r="X1145" s="289" t="e">
        <f t="shared" si="249"/>
        <v>#VALUE!</v>
      </c>
      <c r="Y1145" s="288" t="e">
        <f t="shared" si="250"/>
        <v>#VALUE!</v>
      </c>
      <c r="Z1145" s="256">
        <f t="shared" si="251"/>
        <v>181.74993027852094</v>
      </c>
      <c r="AA1145" s="289" t="e">
        <f t="shared" si="252"/>
        <v>#VALUE!</v>
      </c>
      <c r="AB1145" s="288" t="e">
        <f t="shared" si="253"/>
        <v>#VALUE!</v>
      </c>
    </row>
    <row r="1146" spans="13:28" ht="12" hidden="1" customHeight="1">
      <c r="M1146" s="266"/>
      <c r="N1146" s="288" t="str">
        <f t="shared" si="254"/>
        <v/>
      </c>
      <c r="O1146" s="285">
        <f t="shared" si="240"/>
        <v>150</v>
      </c>
      <c r="P1146" s="289">
        <f t="shared" si="241"/>
        <v>4000000</v>
      </c>
      <c r="Q1146" s="285">
        <f t="shared" si="242"/>
        <v>110</v>
      </c>
      <c r="R1146" s="285">
        <f t="shared" si="243"/>
        <v>85</v>
      </c>
      <c r="S1146" s="285">
        <f t="shared" si="244"/>
        <v>0.35</v>
      </c>
      <c r="T1146" s="285">
        <f t="shared" si="245"/>
        <v>3.2</v>
      </c>
      <c r="U1146" s="285">
        <f t="shared" si="246"/>
        <v>1</v>
      </c>
      <c r="V1146" s="285">
        <f t="shared" si="247"/>
        <v>4.5</v>
      </c>
      <c r="W1146" s="285">
        <f t="shared" si="248"/>
        <v>1.5</v>
      </c>
      <c r="X1146" s="289" t="e">
        <f t="shared" si="249"/>
        <v>#VALUE!</v>
      </c>
      <c r="Y1146" s="288" t="e">
        <f t="shared" si="250"/>
        <v>#VALUE!</v>
      </c>
      <c r="Z1146" s="256">
        <f t="shared" si="251"/>
        <v>181.74993027852094</v>
      </c>
      <c r="AA1146" s="289" t="e">
        <f t="shared" si="252"/>
        <v>#VALUE!</v>
      </c>
      <c r="AB1146" s="288" t="e">
        <f t="shared" si="253"/>
        <v>#VALUE!</v>
      </c>
    </row>
    <row r="1147" spans="13:28" ht="12" hidden="1" customHeight="1">
      <c r="M1147" s="266"/>
      <c r="N1147" s="288" t="str">
        <f t="shared" si="254"/>
        <v/>
      </c>
      <c r="O1147" s="285">
        <f t="shared" si="240"/>
        <v>150</v>
      </c>
      <c r="P1147" s="289">
        <f t="shared" si="241"/>
        <v>4000000</v>
      </c>
      <c r="Q1147" s="285">
        <f t="shared" si="242"/>
        <v>110</v>
      </c>
      <c r="R1147" s="285">
        <f t="shared" si="243"/>
        <v>85</v>
      </c>
      <c r="S1147" s="285">
        <f t="shared" si="244"/>
        <v>0.35</v>
      </c>
      <c r="T1147" s="285">
        <f t="shared" si="245"/>
        <v>3.2</v>
      </c>
      <c r="U1147" s="285">
        <f t="shared" si="246"/>
        <v>1</v>
      </c>
      <c r="V1147" s="285">
        <f t="shared" si="247"/>
        <v>4.5</v>
      </c>
      <c r="W1147" s="285">
        <f t="shared" si="248"/>
        <v>1.5</v>
      </c>
      <c r="X1147" s="289" t="e">
        <f t="shared" si="249"/>
        <v>#VALUE!</v>
      </c>
      <c r="Y1147" s="288" t="e">
        <f t="shared" si="250"/>
        <v>#VALUE!</v>
      </c>
      <c r="Z1147" s="256">
        <f t="shared" si="251"/>
        <v>181.74993027852094</v>
      </c>
      <c r="AA1147" s="289" t="e">
        <f t="shared" si="252"/>
        <v>#VALUE!</v>
      </c>
      <c r="AB1147" s="288" t="e">
        <f t="shared" si="253"/>
        <v>#VALUE!</v>
      </c>
    </row>
    <row r="1148" spans="13:28" ht="12" hidden="1" customHeight="1">
      <c r="M1148" s="266"/>
      <c r="N1148" s="288" t="str">
        <f t="shared" si="254"/>
        <v/>
      </c>
      <c r="O1148" s="285">
        <f t="shared" si="240"/>
        <v>150</v>
      </c>
      <c r="P1148" s="289">
        <f t="shared" si="241"/>
        <v>4000000</v>
      </c>
      <c r="Q1148" s="285">
        <f t="shared" si="242"/>
        <v>110</v>
      </c>
      <c r="R1148" s="285">
        <f t="shared" si="243"/>
        <v>85</v>
      </c>
      <c r="S1148" s="285">
        <f t="shared" si="244"/>
        <v>0.35</v>
      </c>
      <c r="T1148" s="285">
        <f t="shared" si="245"/>
        <v>3.2</v>
      </c>
      <c r="U1148" s="285">
        <f t="shared" si="246"/>
        <v>1</v>
      </c>
      <c r="V1148" s="285">
        <f t="shared" si="247"/>
        <v>4.5</v>
      </c>
      <c r="W1148" s="285">
        <f t="shared" si="248"/>
        <v>1.5</v>
      </c>
      <c r="X1148" s="289" t="e">
        <f t="shared" si="249"/>
        <v>#VALUE!</v>
      </c>
      <c r="Y1148" s="288" t="e">
        <f t="shared" si="250"/>
        <v>#VALUE!</v>
      </c>
      <c r="Z1148" s="256">
        <f t="shared" si="251"/>
        <v>181.74993027852094</v>
      </c>
      <c r="AA1148" s="289" t="e">
        <f t="shared" si="252"/>
        <v>#VALUE!</v>
      </c>
      <c r="AB1148" s="288" t="e">
        <f t="shared" si="253"/>
        <v>#VALUE!</v>
      </c>
    </row>
    <row r="1149" spans="13:28" ht="12" hidden="1" customHeight="1">
      <c r="M1149" s="266"/>
      <c r="N1149" s="288" t="str">
        <f t="shared" si="254"/>
        <v/>
      </c>
      <c r="O1149" s="285">
        <f t="shared" si="240"/>
        <v>150</v>
      </c>
      <c r="P1149" s="289">
        <f t="shared" si="241"/>
        <v>4000000</v>
      </c>
      <c r="Q1149" s="285">
        <f t="shared" si="242"/>
        <v>110</v>
      </c>
      <c r="R1149" s="285">
        <f t="shared" si="243"/>
        <v>85</v>
      </c>
      <c r="S1149" s="285">
        <f t="shared" si="244"/>
        <v>0.35</v>
      </c>
      <c r="T1149" s="285">
        <f t="shared" si="245"/>
        <v>3.2</v>
      </c>
      <c r="U1149" s="285">
        <f t="shared" si="246"/>
        <v>1</v>
      </c>
      <c r="V1149" s="285">
        <f t="shared" si="247"/>
        <v>4.5</v>
      </c>
      <c r="W1149" s="285">
        <f t="shared" si="248"/>
        <v>1.5</v>
      </c>
      <c r="X1149" s="289" t="e">
        <f t="shared" si="249"/>
        <v>#VALUE!</v>
      </c>
      <c r="Y1149" s="288" t="e">
        <f t="shared" si="250"/>
        <v>#VALUE!</v>
      </c>
      <c r="Z1149" s="256">
        <f t="shared" si="251"/>
        <v>181.74993027852094</v>
      </c>
      <c r="AA1149" s="289" t="e">
        <f t="shared" si="252"/>
        <v>#VALUE!</v>
      </c>
      <c r="AB1149" s="288" t="e">
        <f t="shared" si="253"/>
        <v>#VALUE!</v>
      </c>
    </row>
    <row r="1150" spans="13:28" ht="12" hidden="1" customHeight="1">
      <c r="M1150" s="266"/>
      <c r="N1150" s="288" t="str">
        <f t="shared" si="254"/>
        <v/>
      </c>
      <c r="O1150" s="285">
        <f t="shared" si="240"/>
        <v>150</v>
      </c>
      <c r="P1150" s="289">
        <f t="shared" si="241"/>
        <v>4000000</v>
      </c>
      <c r="Q1150" s="285">
        <f t="shared" si="242"/>
        <v>110</v>
      </c>
      <c r="R1150" s="285">
        <f t="shared" si="243"/>
        <v>85</v>
      </c>
      <c r="S1150" s="285">
        <f t="shared" si="244"/>
        <v>0.35</v>
      </c>
      <c r="T1150" s="285">
        <f t="shared" si="245"/>
        <v>3.2</v>
      </c>
      <c r="U1150" s="285">
        <f t="shared" si="246"/>
        <v>1</v>
      </c>
      <c r="V1150" s="285">
        <f t="shared" si="247"/>
        <v>4.5</v>
      </c>
      <c r="W1150" s="285">
        <f t="shared" si="248"/>
        <v>1.5</v>
      </c>
      <c r="X1150" s="289" t="e">
        <f t="shared" si="249"/>
        <v>#VALUE!</v>
      </c>
      <c r="Y1150" s="288" t="e">
        <f t="shared" si="250"/>
        <v>#VALUE!</v>
      </c>
      <c r="Z1150" s="256">
        <f t="shared" si="251"/>
        <v>181.74993027852094</v>
      </c>
      <c r="AA1150" s="289" t="e">
        <f t="shared" si="252"/>
        <v>#VALUE!</v>
      </c>
      <c r="AB1150" s="288" t="e">
        <f t="shared" si="253"/>
        <v>#VALUE!</v>
      </c>
    </row>
    <row r="1151" spans="13:28" ht="12" hidden="1" customHeight="1">
      <c r="M1151" s="266"/>
      <c r="N1151" s="288" t="str">
        <f t="shared" si="254"/>
        <v/>
      </c>
      <c r="O1151" s="285">
        <f t="shared" si="240"/>
        <v>150</v>
      </c>
      <c r="P1151" s="289">
        <f t="shared" si="241"/>
        <v>4000000</v>
      </c>
      <c r="Q1151" s="285">
        <f t="shared" si="242"/>
        <v>110</v>
      </c>
      <c r="R1151" s="285">
        <f t="shared" si="243"/>
        <v>85</v>
      </c>
      <c r="S1151" s="285">
        <f t="shared" si="244"/>
        <v>0.35</v>
      </c>
      <c r="T1151" s="285">
        <f t="shared" si="245"/>
        <v>3.2</v>
      </c>
      <c r="U1151" s="285">
        <f t="shared" si="246"/>
        <v>1</v>
      </c>
      <c r="V1151" s="285">
        <f t="shared" si="247"/>
        <v>4.5</v>
      </c>
      <c r="W1151" s="285">
        <f t="shared" si="248"/>
        <v>1.5</v>
      </c>
      <c r="X1151" s="289" t="e">
        <f t="shared" si="249"/>
        <v>#VALUE!</v>
      </c>
      <c r="Y1151" s="288" t="e">
        <f t="shared" si="250"/>
        <v>#VALUE!</v>
      </c>
      <c r="Z1151" s="256">
        <f t="shared" si="251"/>
        <v>181.74993027852094</v>
      </c>
      <c r="AA1151" s="289" t="e">
        <f t="shared" si="252"/>
        <v>#VALUE!</v>
      </c>
      <c r="AB1151" s="288" t="e">
        <f t="shared" si="253"/>
        <v>#VALUE!</v>
      </c>
    </row>
    <row r="1152" spans="13:28" ht="12" hidden="1" customHeight="1">
      <c r="M1152" s="266"/>
      <c r="N1152" s="288" t="str">
        <f t="shared" si="254"/>
        <v/>
      </c>
      <c r="O1152" s="285">
        <f t="shared" si="240"/>
        <v>150</v>
      </c>
      <c r="P1152" s="289">
        <f t="shared" si="241"/>
        <v>4000000</v>
      </c>
      <c r="Q1152" s="285">
        <f t="shared" si="242"/>
        <v>110</v>
      </c>
      <c r="R1152" s="285">
        <f t="shared" si="243"/>
        <v>85</v>
      </c>
      <c r="S1152" s="285">
        <f t="shared" si="244"/>
        <v>0.35</v>
      </c>
      <c r="T1152" s="285">
        <f t="shared" si="245"/>
        <v>3.2</v>
      </c>
      <c r="U1152" s="285">
        <f t="shared" si="246"/>
        <v>1</v>
      </c>
      <c r="V1152" s="285">
        <f t="shared" si="247"/>
        <v>4.5</v>
      </c>
      <c r="W1152" s="285">
        <f t="shared" si="248"/>
        <v>1.5</v>
      </c>
      <c r="X1152" s="289" t="e">
        <f t="shared" si="249"/>
        <v>#VALUE!</v>
      </c>
      <c r="Y1152" s="288" t="e">
        <f t="shared" si="250"/>
        <v>#VALUE!</v>
      </c>
      <c r="Z1152" s="256">
        <f t="shared" si="251"/>
        <v>181.74993027852094</v>
      </c>
      <c r="AA1152" s="289" t="e">
        <f t="shared" si="252"/>
        <v>#VALUE!</v>
      </c>
      <c r="AB1152" s="288" t="e">
        <f t="shared" si="253"/>
        <v>#VALUE!</v>
      </c>
    </row>
    <row r="1153" spans="13:28" ht="12" hidden="1" customHeight="1">
      <c r="M1153" s="266"/>
      <c r="N1153" s="288" t="str">
        <f t="shared" si="254"/>
        <v/>
      </c>
      <c r="O1153" s="285">
        <f t="shared" si="240"/>
        <v>150</v>
      </c>
      <c r="P1153" s="289">
        <f t="shared" si="241"/>
        <v>4000000</v>
      </c>
      <c r="Q1153" s="285">
        <f t="shared" si="242"/>
        <v>110</v>
      </c>
      <c r="R1153" s="285">
        <f t="shared" si="243"/>
        <v>85</v>
      </c>
      <c r="S1153" s="285">
        <f t="shared" si="244"/>
        <v>0.35</v>
      </c>
      <c r="T1153" s="285">
        <f t="shared" si="245"/>
        <v>3.2</v>
      </c>
      <c r="U1153" s="285">
        <f t="shared" si="246"/>
        <v>1</v>
      </c>
      <c r="V1153" s="285">
        <f t="shared" si="247"/>
        <v>4.5</v>
      </c>
      <c r="W1153" s="285">
        <f t="shared" si="248"/>
        <v>1.5</v>
      </c>
      <c r="X1153" s="289" t="e">
        <f t="shared" si="249"/>
        <v>#VALUE!</v>
      </c>
      <c r="Y1153" s="288" t="e">
        <f t="shared" si="250"/>
        <v>#VALUE!</v>
      </c>
      <c r="Z1153" s="256">
        <f t="shared" si="251"/>
        <v>181.74993027852094</v>
      </c>
      <c r="AA1153" s="289" t="e">
        <f t="shared" si="252"/>
        <v>#VALUE!</v>
      </c>
      <c r="AB1153" s="288" t="e">
        <f t="shared" si="253"/>
        <v>#VALUE!</v>
      </c>
    </row>
    <row r="1154" spans="13:28" ht="12" hidden="1" customHeight="1">
      <c r="M1154" s="266"/>
      <c r="N1154" s="288" t="str">
        <f t="shared" si="254"/>
        <v/>
      </c>
      <c r="O1154" s="285">
        <f t="shared" si="240"/>
        <v>150</v>
      </c>
      <c r="P1154" s="289">
        <f t="shared" si="241"/>
        <v>4000000</v>
      </c>
      <c r="Q1154" s="285">
        <f t="shared" si="242"/>
        <v>110</v>
      </c>
      <c r="R1154" s="285">
        <f t="shared" si="243"/>
        <v>85</v>
      </c>
      <c r="S1154" s="285">
        <f t="shared" si="244"/>
        <v>0.35</v>
      </c>
      <c r="T1154" s="285">
        <f t="shared" si="245"/>
        <v>3.2</v>
      </c>
      <c r="U1154" s="285">
        <f t="shared" si="246"/>
        <v>1</v>
      </c>
      <c r="V1154" s="285">
        <f t="shared" si="247"/>
        <v>4.5</v>
      </c>
      <c r="W1154" s="285">
        <f t="shared" si="248"/>
        <v>1.5</v>
      </c>
      <c r="X1154" s="289" t="e">
        <f t="shared" si="249"/>
        <v>#VALUE!</v>
      </c>
      <c r="Y1154" s="288" t="e">
        <f t="shared" si="250"/>
        <v>#VALUE!</v>
      </c>
      <c r="Z1154" s="256">
        <f t="shared" si="251"/>
        <v>181.74993027852094</v>
      </c>
      <c r="AA1154" s="289" t="e">
        <f t="shared" si="252"/>
        <v>#VALUE!</v>
      </c>
      <c r="AB1154" s="288" t="e">
        <f t="shared" si="253"/>
        <v>#VALUE!</v>
      </c>
    </row>
    <row r="1155" spans="13:28" ht="12" hidden="1" customHeight="1">
      <c r="M1155" s="266"/>
      <c r="N1155" s="288" t="str">
        <f t="shared" si="254"/>
        <v/>
      </c>
      <c r="O1155" s="285">
        <f t="shared" si="240"/>
        <v>150</v>
      </c>
      <c r="P1155" s="289">
        <f t="shared" si="241"/>
        <v>4000000</v>
      </c>
      <c r="Q1155" s="285">
        <f t="shared" si="242"/>
        <v>110</v>
      </c>
      <c r="R1155" s="285">
        <f t="shared" si="243"/>
        <v>85</v>
      </c>
      <c r="S1155" s="285">
        <f t="shared" si="244"/>
        <v>0.35</v>
      </c>
      <c r="T1155" s="285">
        <f t="shared" si="245"/>
        <v>3.2</v>
      </c>
      <c r="U1155" s="285">
        <f t="shared" si="246"/>
        <v>1</v>
      </c>
      <c r="V1155" s="285">
        <f t="shared" si="247"/>
        <v>4.5</v>
      </c>
      <c r="W1155" s="285">
        <f t="shared" si="248"/>
        <v>1.5</v>
      </c>
      <c r="X1155" s="289" t="e">
        <f t="shared" si="249"/>
        <v>#VALUE!</v>
      </c>
      <c r="Y1155" s="288" t="e">
        <f t="shared" si="250"/>
        <v>#VALUE!</v>
      </c>
      <c r="Z1155" s="256">
        <f t="shared" si="251"/>
        <v>181.74993027852094</v>
      </c>
      <c r="AA1155" s="289" t="e">
        <f t="shared" si="252"/>
        <v>#VALUE!</v>
      </c>
      <c r="AB1155" s="288" t="e">
        <f t="shared" si="253"/>
        <v>#VALUE!</v>
      </c>
    </row>
    <row r="1156" spans="13:28" ht="12" hidden="1" customHeight="1">
      <c r="M1156" s="266"/>
      <c r="N1156" s="288" t="str">
        <f t="shared" si="254"/>
        <v/>
      </c>
      <c r="O1156" s="285">
        <f t="shared" si="240"/>
        <v>150</v>
      </c>
      <c r="P1156" s="289">
        <f t="shared" si="241"/>
        <v>4000000</v>
      </c>
      <c r="Q1156" s="285">
        <f t="shared" si="242"/>
        <v>110</v>
      </c>
      <c r="R1156" s="285">
        <f t="shared" si="243"/>
        <v>85</v>
      </c>
      <c r="S1156" s="285">
        <f t="shared" si="244"/>
        <v>0.35</v>
      </c>
      <c r="T1156" s="285">
        <f t="shared" si="245"/>
        <v>3.2</v>
      </c>
      <c r="U1156" s="285">
        <f t="shared" si="246"/>
        <v>1</v>
      </c>
      <c r="V1156" s="285">
        <f t="shared" si="247"/>
        <v>4.5</v>
      </c>
      <c r="W1156" s="285">
        <f t="shared" si="248"/>
        <v>1.5</v>
      </c>
      <c r="X1156" s="289" t="e">
        <f t="shared" si="249"/>
        <v>#VALUE!</v>
      </c>
      <c r="Y1156" s="288" t="e">
        <f t="shared" si="250"/>
        <v>#VALUE!</v>
      </c>
      <c r="Z1156" s="256">
        <f t="shared" si="251"/>
        <v>181.74993027852094</v>
      </c>
      <c r="AA1156" s="289" t="e">
        <f t="shared" si="252"/>
        <v>#VALUE!</v>
      </c>
      <c r="AB1156" s="288" t="e">
        <f t="shared" si="253"/>
        <v>#VALUE!</v>
      </c>
    </row>
    <row r="1157" spans="13:28" ht="12" hidden="1" customHeight="1">
      <c r="M1157" s="266"/>
      <c r="N1157" s="288" t="str">
        <f t="shared" si="254"/>
        <v/>
      </c>
      <c r="O1157" s="285">
        <f t="shared" si="240"/>
        <v>150</v>
      </c>
      <c r="P1157" s="289">
        <f t="shared" si="241"/>
        <v>4000000</v>
      </c>
      <c r="Q1157" s="285">
        <f t="shared" si="242"/>
        <v>110</v>
      </c>
      <c r="R1157" s="285">
        <f t="shared" si="243"/>
        <v>85</v>
      </c>
      <c r="S1157" s="285">
        <f t="shared" si="244"/>
        <v>0.35</v>
      </c>
      <c r="T1157" s="285">
        <f t="shared" si="245"/>
        <v>3.2</v>
      </c>
      <c r="U1157" s="285">
        <f t="shared" si="246"/>
        <v>1</v>
      </c>
      <c r="V1157" s="285">
        <f t="shared" si="247"/>
        <v>4.5</v>
      </c>
      <c r="W1157" s="285">
        <f t="shared" si="248"/>
        <v>1.5</v>
      </c>
      <c r="X1157" s="289" t="e">
        <f t="shared" si="249"/>
        <v>#VALUE!</v>
      </c>
      <c r="Y1157" s="288" t="e">
        <f t="shared" si="250"/>
        <v>#VALUE!</v>
      </c>
      <c r="Z1157" s="256">
        <f t="shared" si="251"/>
        <v>181.74993027852094</v>
      </c>
      <c r="AA1157" s="289" t="e">
        <f t="shared" si="252"/>
        <v>#VALUE!</v>
      </c>
      <c r="AB1157" s="288" t="e">
        <f t="shared" si="253"/>
        <v>#VALUE!</v>
      </c>
    </row>
    <row r="1158" spans="13:28" ht="12" hidden="1" customHeight="1">
      <c r="M1158" s="266"/>
      <c r="N1158" s="288" t="str">
        <f t="shared" si="254"/>
        <v/>
      </c>
      <c r="O1158" s="285">
        <f t="shared" si="240"/>
        <v>150</v>
      </c>
      <c r="P1158" s="289">
        <f t="shared" si="241"/>
        <v>4000000</v>
      </c>
      <c r="Q1158" s="285">
        <f t="shared" si="242"/>
        <v>110</v>
      </c>
      <c r="R1158" s="285">
        <f t="shared" si="243"/>
        <v>85</v>
      </c>
      <c r="S1158" s="285">
        <f t="shared" si="244"/>
        <v>0.35</v>
      </c>
      <c r="T1158" s="285">
        <f t="shared" si="245"/>
        <v>3.2</v>
      </c>
      <c r="U1158" s="285">
        <f t="shared" si="246"/>
        <v>1</v>
      </c>
      <c r="V1158" s="285">
        <f t="shared" si="247"/>
        <v>4.5</v>
      </c>
      <c r="W1158" s="285">
        <f t="shared" si="248"/>
        <v>1.5</v>
      </c>
      <c r="X1158" s="289" t="e">
        <f t="shared" si="249"/>
        <v>#VALUE!</v>
      </c>
      <c r="Y1158" s="288" t="e">
        <f t="shared" si="250"/>
        <v>#VALUE!</v>
      </c>
      <c r="Z1158" s="256">
        <f t="shared" si="251"/>
        <v>181.74993027852094</v>
      </c>
      <c r="AA1158" s="289" t="e">
        <f t="shared" si="252"/>
        <v>#VALUE!</v>
      </c>
      <c r="AB1158" s="288" t="e">
        <f t="shared" si="253"/>
        <v>#VALUE!</v>
      </c>
    </row>
    <row r="1159" spans="13:28" ht="12" hidden="1" customHeight="1">
      <c r="M1159" s="266"/>
      <c r="N1159" s="288" t="str">
        <f t="shared" si="254"/>
        <v/>
      </c>
      <c r="O1159" s="285">
        <f t="shared" si="240"/>
        <v>150</v>
      </c>
      <c r="P1159" s="289">
        <f t="shared" si="241"/>
        <v>4000000</v>
      </c>
      <c r="Q1159" s="285">
        <f t="shared" si="242"/>
        <v>110</v>
      </c>
      <c r="R1159" s="285">
        <f t="shared" si="243"/>
        <v>85</v>
      </c>
      <c r="S1159" s="285">
        <f t="shared" si="244"/>
        <v>0.35</v>
      </c>
      <c r="T1159" s="285">
        <f t="shared" si="245"/>
        <v>3.2</v>
      </c>
      <c r="U1159" s="285">
        <f t="shared" si="246"/>
        <v>1</v>
      </c>
      <c r="V1159" s="285">
        <f t="shared" si="247"/>
        <v>4.5</v>
      </c>
      <c r="W1159" s="285">
        <f t="shared" si="248"/>
        <v>1.5</v>
      </c>
      <c r="X1159" s="289" t="e">
        <f t="shared" si="249"/>
        <v>#VALUE!</v>
      </c>
      <c r="Y1159" s="288" t="e">
        <f t="shared" si="250"/>
        <v>#VALUE!</v>
      </c>
      <c r="Z1159" s="256">
        <f t="shared" si="251"/>
        <v>181.74993027852094</v>
      </c>
      <c r="AA1159" s="289" t="e">
        <f t="shared" si="252"/>
        <v>#VALUE!</v>
      </c>
      <c r="AB1159" s="288" t="e">
        <f t="shared" si="253"/>
        <v>#VALUE!</v>
      </c>
    </row>
    <row r="1160" spans="13:28" ht="12" hidden="1" customHeight="1">
      <c r="M1160" s="266"/>
      <c r="N1160" s="288" t="str">
        <f t="shared" si="254"/>
        <v/>
      </c>
      <c r="O1160" s="285">
        <f t="shared" si="240"/>
        <v>150</v>
      </c>
      <c r="P1160" s="289">
        <f t="shared" si="241"/>
        <v>4000000</v>
      </c>
      <c r="Q1160" s="285">
        <f t="shared" si="242"/>
        <v>110</v>
      </c>
      <c r="R1160" s="285">
        <f t="shared" si="243"/>
        <v>85</v>
      </c>
      <c r="S1160" s="285">
        <f t="shared" si="244"/>
        <v>0.35</v>
      </c>
      <c r="T1160" s="285">
        <f t="shared" si="245"/>
        <v>3.2</v>
      </c>
      <c r="U1160" s="285">
        <f t="shared" si="246"/>
        <v>1</v>
      </c>
      <c r="V1160" s="285">
        <f t="shared" si="247"/>
        <v>4.5</v>
      </c>
      <c r="W1160" s="285">
        <f t="shared" si="248"/>
        <v>1.5</v>
      </c>
      <c r="X1160" s="289" t="e">
        <f t="shared" si="249"/>
        <v>#VALUE!</v>
      </c>
      <c r="Y1160" s="288" t="e">
        <f t="shared" si="250"/>
        <v>#VALUE!</v>
      </c>
      <c r="Z1160" s="256">
        <f t="shared" si="251"/>
        <v>181.74993027852094</v>
      </c>
      <c r="AA1160" s="289" t="e">
        <f t="shared" si="252"/>
        <v>#VALUE!</v>
      </c>
      <c r="AB1160" s="288" t="e">
        <f t="shared" si="253"/>
        <v>#VALUE!</v>
      </c>
    </row>
    <row r="1161" spans="13:28" ht="12" hidden="1" customHeight="1">
      <c r="M1161" s="266"/>
      <c r="N1161" s="288" t="str">
        <f t="shared" si="254"/>
        <v/>
      </c>
      <c r="O1161" s="285">
        <f t="shared" si="240"/>
        <v>150</v>
      </c>
      <c r="P1161" s="289">
        <f t="shared" si="241"/>
        <v>4000000</v>
      </c>
      <c r="Q1161" s="285">
        <f t="shared" si="242"/>
        <v>110</v>
      </c>
      <c r="R1161" s="285">
        <f t="shared" si="243"/>
        <v>85</v>
      </c>
      <c r="S1161" s="285">
        <f t="shared" si="244"/>
        <v>0.35</v>
      </c>
      <c r="T1161" s="285">
        <f t="shared" si="245"/>
        <v>3.2</v>
      </c>
      <c r="U1161" s="285">
        <f t="shared" si="246"/>
        <v>1</v>
      </c>
      <c r="V1161" s="285">
        <f t="shared" si="247"/>
        <v>4.5</v>
      </c>
      <c r="W1161" s="285">
        <f t="shared" si="248"/>
        <v>1.5</v>
      </c>
      <c r="X1161" s="289" t="e">
        <f t="shared" si="249"/>
        <v>#VALUE!</v>
      </c>
      <c r="Y1161" s="288" t="e">
        <f t="shared" si="250"/>
        <v>#VALUE!</v>
      </c>
      <c r="Z1161" s="256">
        <f t="shared" si="251"/>
        <v>181.74993027852094</v>
      </c>
      <c r="AA1161" s="289" t="e">
        <f t="shared" si="252"/>
        <v>#VALUE!</v>
      </c>
      <c r="AB1161" s="288" t="e">
        <f t="shared" si="253"/>
        <v>#VALUE!</v>
      </c>
    </row>
    <row r="1162" spans="13:28" ht="12" hidden="1" customHeight="1">
      <c r="M1162" s="266"/>
      <c r="N1162" s="288" t="str">
        <f t="shared" si="254"/>
        <v/>
      </c>
      <c r="O1162" s="285">
        <f t="shared" si="240"/>
        <v>150</v>
      </c>
      <c r="P1162" s="289">
        <f t="shared" si="241"/>
        <v>4000000</v>
      </c>
      <c r="Q1162" s="285">
        <f t="shared" si="242"/>
        <v>110</v>
      </c>
      <c r="R1162" s="285">
        <f t="shared" si="243"/>
        <v>85</v>
      </c>
      <c r="S1162" s="285">
        <f t="shared" si="244"/>
        <v>0.35</v>
      </c>
      <c r="T1162" s="285">
        <f t="shared" si="245"/>
        <v>3.2</v>
      </c>
      <c r="U1162" s="285">
        <f t="shared" si="246"/>
        <v>1</v>
      </c>
      <c r="V1162" s="285">
        <f t="shared" si="247"/>
        <v>4.5</v>
      </c>
      <c r="W1162" s="285">
        <f t="shared" si="248"/>
        <v>1.5</v>
      </c>
      <c r="X1162" s="289" t="e">
        <f t="shared" si="249"/>
        <v>#VALUE!</v>
      </c>
      <c r="Y1162" s="288" t="e">
        <f t="shared" si="250"/>
        <v>#VALUE!</v>
      </c>
      <c r="Z1162" s="256">
        <f t="shared" si="251"/>
        <v>181.74993027852094</v>
      </c>
      <c r="AA1162" s="289" t="e">
        <f t="shared" si="252"/>
        <v>#VALUE!</v>
      </c>
      <c r="AB1162" s="288" t="e">
        <f t="shared" si="253"/>
        <v>#VALUE!</v>
      </c>
    </row>
    <row r="1163" spans="13:28" ht="12" hidden="1" customHeight="1">
      <c r="M1163" s="266"/>
      <c r="N1163" s="288" t="str">
        <f t="shared" si="254"/>
        <v/>
      </c>
      <c r="O1163" s="285">
        <f t="shared" si="240"/>
        <v>150</v>
      </c>
      <c r="P1163" s="289">
        <f t="shared" si="241"/>
        <v>4000000</v>
      </c>
      <c r="Q1163" s="285">
        <f t="shared" si="242"/>
        <v>110</v>
      </c>
      <c r="R1163" s="285">
        <f t="shared" si="243"/>
        <v>85</v>
      </c>
      <c r="S1163" s="285">
        <f t="shared" si="244"/>
        <v>0.35</v>
      </c>
      <c r="T1163" s="285">
        <f t="shared" si="245"/>
        <v>3.2</v>
      </c>
      <c r="U1163" s="285">
        <f t="shared" si="246"/>
        <v>1</v>
      </c>
      <c r="V1163" s="285">
        <f t="shared" si="247"/>
        <v>4.5</v>
      </c>
      <c r="W1163" s="285">
        <f t="shared" si="248"/>
        <v>1.5</v>
      </c>
      <c r="X1163" s="289" t="e">
        <f t="shared" si="249"/>
        <v>#VALUE!</v>
      </c>
      <c r="Y1163" s="288" t="e">
        <f t="shared" si="250"/>
        <v>#VALUE!</v>
      </c>
      <c r="Z1163" s="256">
        <f t="shared" si="251"/>
        <v>181.74993027852094</v>
      </c>
      <c r="AA1163" s="289" t="e">
        <f t="shared" si="252"/>
        <v>#VALUE!</v>
      </c>
      <c r="AB1163" s="288" t="e">
        <f t="shared" si="253"/>
        <v>#VALUE!</v>
      </c>
    </row>
    <row r="1164" spans="13:28" ht="12" hidden="1" customHeight="1">
      <c r="M1164" s="266"/>
      <c r="N1164" s="288" t="str">
        <f t="shared" si="254"/>
        <v/>
      </c>
      <c r="O1164" s="285">
        <f t="shared" si="240"/>
        <v>150</v>
      </c>
      <c r="P1164" s="289">
        <f t="shared" si="241"/>
        <v>4000000</v>
      </c>
      <c r="Q1164" s="285">
        <f t="shared" si="242"/>
        <v>110</v>
      </c>
      <c r="R1164" s="285">
        <f t="shared" si="243"/>
        <v>85</v>
      </c>
      <c r="S1164" s="285">
        <f t="shared" si="244"/>
        <v>0.35</v>
      </c>
      <c r="T1164" s="285">
        <f t="shared" si="245"/>
        <v>3.2</v>
      </c>
      <c r="U1164" s="285">
        <f t="shared" si="246"/>
        <v>1</v>
      </c>
      <c r="V1164" s="285">
        <f t="shared" si="247"/>
        <v>4.5</v>
      </c>
      <c r="W1164" s="285">
        <f t="shared" si="248"/>
        <v>1.5</v>
      </c>
      <c r="X1164" s="289" t="e">
        <f t="shared" si="249"/>
        <v>#VALUE!</v>
      </c>
      <c r="Y1164" s="288" t="e">
        <f t="shared" si="250"/>
        <v>#VALUE!</v>
      </c>
      <c r="Z1164" s="256">
        <f t="shared" si="251"/>
        <v>181.74993027852094</v>
      </c>
      <c r="AA1164" s="289" t="e">
        <f t="shared" si="252"/>
        <v>#VALUE!</v>
      </c>
      <c r="AB1164" s="288" t="e">
        <f t="shared" si="253"/>
        <v>#VALUE!</v>
      </c>
    </row>
    <row r="1165" spans="13:28" ht="12" hidden="1" customHeight="1">
      <c r="M1165" s="266"/>
      <c r="N1165" s="288" t="str">
        <f t="shared" si="254"/>
        <v/>
      </c>
      <c r="O1165" s="285">
        <f t="shared" si="240"/>
        <v>150</v>
      </c>
      <c r="P1165" s="289">
        <f t="shared" si="241"/>
        <v>4000000</v>
      </c>
      <c r="Q1165" s="285">
        <f t="shared" si="242"/>
        <v>110</v>
      </c>
      <c r="R1165" s="285">
        <f t="shared" si="243"/>
        <v>85</v>
      </c>
      <c r="S1165" s="285">
        <f t="shared" si="244"/>
        <v>0.35</v>
      </c>
      <c r="T1165" s="285">
        <f t="shared" si="245"/>
        <v>3.2</v>
      </c>
      <c r="U1165" s="285">
        <f t="shared" si="246"/>
        <v>1</v>
      </c>
      <c r="V1165" s="285">
        <f t="shared" si="247"/>
        <v>4.5</v>
      </c>
      <c r="W1165" s="285">
        <f t="shared" si="248"/>
        <v>1.5</v>
      </c>
      <c r="X1165" s="289" t="e">
        <f t="shared" si="249"/>
        <v>#VALUE!</v>
      </c>
      <c r="Y1165" s="288" t="e">
        <f t="shared" si="250"/>
        <v>#VALUE!</v>
      </c>
      <c r="Z1165" s="256">
        <f t="shared" si="251"/>
        <v>181.74993027852094</v>
      </c>
      <c r="AA1165" s="289" t="e">
        <f t="shared" si="252"/>
        <v>#VALUE!</v>
      </c>
      <c r="AB1165" s="288" t="e">
        <f t="shared" si="253"/>
        <v>#VALUE!</v>
      </c>
    </row>
    <row r="1166" spans="13:28" ht="12" hidden="1" customHeight="1">
      <c r="M1166" s="266"/>
      <c r="N1166" s="288" t="str">
        <f t="shared" si="254"/>
        <v/>
      </c>
      <c r="O1166" s="285">
        <f t="shared" si="240"/>
        <v>150</v>
      </c>
      <c r="P1166" s="289">
        <f t="shared" si="241"/>
        <v>4000000</v>
      </c>
      <c r="Q1166" s="285">
        <f t="shared" si="242"/>
        <v>110</v>
      </c>
      <c r="R1166" s="285">
        <f t="shared" si="243"/>
        <v>85</v>
      </c>
      <c r="S1166" s="285">
        <f t="shared" si="244"/>
        <v>0.35</v>
      </c>
      <c r="T1166" s="285">
        <f t="shared" si="245"/>
        <v>3.2</v>
      </c>
      <c r="U1166" s="285">
        <f t="shared" si="246"/>
        <v>1</v>
      </c>
      <c r="V1166" s="285">
        <f t="shared" si="247"/>
        <v>4.5</v>
      </c>
      <c r="W1166" s="285">
        <f t="shared" si="248"/>
        <v>1.5</v>
      </c>
      <c r="X1166" s="289" t="e">
        <f t="shared" si="249"/>
        <v>#VALUE!</v>
      </c>
      <c r="Y1166" s="288" t="e">
        <f t="shared" si="250"/>
        <v>#VALUE!</v>
      </c>
      <c r="Z1166" s="256">
        <f t="shared" si="251"/>
        <v>181.74993027852094</v>
      </c>
      <c r="AA1166" s="289" t="e">
        <f t="shared" si="252"/>
        <v>#VALUE!</v>
      </c>
      <c r="AB1166" s="288" t="e">
        <f t="shared" si="253"/>
        <v>#VALUE!</v>
      </c>
    </row>
    <row r="1167" spans="13:28" ht="12" hidden="1" customHeight="1">
      <c r="M1167" s="266"/>
      <c r="N1167" s="288" t="str">
        <f t="shared" si="254"/>
        <v/>
      </c>
      <c r="O1167" s="285">
        <f t="shared" si="240"/>
        <v>150</v>
      </c>
      <c r="P1167" s="289">
        <f t="shared" si="241"/>
        <v>4000000</v>
      </c>
      <c r="Q1167" s="285">
        <f t="shared" si="242"/>
        <v>110</v>
      </c>
      <c r="R1167" s="285">
        <f t="shared" si="243"/>
        <v>85</v>
      </c>
      <c r="S1167" s="285">
        <f t="shared" si="244"/>
        <v>0.35</v>
      </c>
      <c r="T1167" s="285">
        <f t="shared" si="245"/>
        <v>3.2</v>
      </c>
      <c r="U1167" s="285">
        <f t="shared" si="246"/>
        <v>1</v>
      </c>
      <c r="V1167" s="285">
        <f t="shared" si="247"/>
        <v>4.5</v>
      </c>
      <c r="W1167" s="285">
        <f t="shared" si="248"/>
        <v>1.5</v>
      </c>
      <c r="X1167" s="289" t="e">
        <f t="shared" si="249"/>
        <v>#VALUE!</v>
      </c>
      <c r="Y1167" s="288" t="e">
        <f t="shared" si="250"/>
        <v>#VALUE!</v>
      </c>
      <c r="Z1167" s="256">
        <f t="shared" si="251"/>
        <v>181.74993027852094</v>
      </c>
      <c r="AA1167" s="289" t="e">
        <f t="shared" si="252"/>
        <v>#VALUE!</v>
      </c>
      <c r="AB1167" s="288" t="e">
        <f t="shared" si="253"/>
        <v>#VALUE!</v>
      </c>
    </row>
    <row r="1168" spans="13:28" ht="12" hidden="1" customHeight="1">
      <c r="M1168" s="266"/>
      <c r="N1168" s="288" t="str">
        <f t="shared" si="254"/>
        <v/>
      </c>
      <c r="O1168" s="285">
        <f t="shared" si="240"/>
        <v>150</v>
      </c>
      <c r="P1168" s="289">
        <f t="shared" si="241"/>
        <v>4000000</v>
      </c>
      <c r="Q1168" s="285">
        <f t="shared" si="242"/>
        <v>110</v>
      </c>
      <c r="R1168" s="285">
        <f t="shared" si="243"/>
        <v>85</v>
      </c>
      <c r="S1168" s="285">
        <f t="shared" si="244"/>
        <v>0.35</v>
      </c>
      <c r="T1168" s="285">
        <f t="shared" si="245"/>
        <v>3.2</v>
      </c>
      <c r="U1168" s="285">
        <f t="shared" si="246"/>
        <v>1</v>
      </c>
      <c r="V1168" s="285">
        <f t="shared" si="247"/>
        <v>4.5</v>
      </c>
      <c r="W1168" s="285">
        <f t="shared" si="248"/>
        <v>1.5</v>
      </c>
      <c r="X1168" s="289" t="e">
        <f t="shared" si="249"/>
        <v>#VALUE!</v>
      </c>
      <c r="Y1168" s="288" t="e">
        <f t="shared" si="250"/>
        <v>#VALUE!</v>
      </c>
      <c r="Z1168" s="256">
        <f t="shared" si="251"/>
        <v>181.74993027852094</v>
      </c>
      <c r="AA1168" s="289" t="e">
        <f t="shared" si="252"/>
        <v>#VALUE!</v>
      </c>
      <c r="AB1168" s="288" t="e">
        <f t="shared" si="253"/>
        <v>#VALUE!</v>
      </c>
    </row>
    <row r="1169" spans="13:28" ht="12" hidden="1" customHeight="1">
      <c r="M1169" s="266"/>
      <c r="N1169" s="288" t="str">
        <f t="shared" si="254"/>
        <v/>
      </c>
      <c r="O1169" s="285">
        <f t="shared" si="240"/>
        <v>150</v>
      </c>
      <c r="P1169" s="289">
        <f t="shared" si="241"/>
        <v>4000000</v>
      </c>
      <c r="Q1169" s="285">
        <f t="shared" si="242"/>
        <v>110</v>
      </c>
      <c r="R1169" s="285">
        <f t="shared" si="243"/>
        <v>85</v>
      </c>
      <c r="S1169" s="285">
        <f t="shared" si="244"/>
        <v>0.35</v>
      </c>
      <c r="T1169" s="285">
        <f t="shared" si="245"/>
        <v>3.2</v>
      </c>
      <c r="U1169" s="285">
        <f t="shared" si="246"/>
        <v>1</v>
      </c>
      <c r="V1169" s="285">
        <f t="shared" si="247"/>
        <v>4.5</v>
      </c>
      <c r="W1169" s="285">
        <f t="shared" si="248"/>
        <v>1.5</v>
      </c>
      <c r="X1169" s="289" t="e">
        <f t="shared" si="249"/>
        <v>#VALUE!</v>
      </c>
      <c r="Y1169" s="288" t="e">
        <f t="shared" si="250"/>
        <v>#VALUE!</v>
      </c>
      <c r="Z1169" s="256">
        <f t="shared" si="251"/>
        <v>181.74993027852094</v>
      </c>
      <c r="AA1169" s="289" t="e">
        <f t="shared" si="252"/>
        <v>#VALUE!</v>
      </c>
      <c r="AB1169" s="288" t="e">
        <f t="shared" si="253"/>
        <v>#VALUE!</v>
      </c>
    </row>
    <row r="1170" spans="13:28" ht="12" hidden="1" customHeight="1">
      <c r="M1170" s="266"/>
      <c r="N1170" s="288" t="str">
        <f t="shared" si="254"/>
        <v/>
      </c>
      <c r="O1170" s="285">
        <f t="shared" si="240"/>
        <v>150</v>
      </c>
      <c r="P1170" s="289">
        <f t="shared" si="241"/>
        <v>4000000</v>
      </c>
      <c r="Q1170" s="285">
        <f t="shared" si="242"/>
        <v>110</v>
      </c>
      <c r="R1170" s="285">
        <f t="shared" si="243"/>
        <v>85</v>
      </c>
      <c r="S1170" s="285">
        <f t="shared" si="244"/>
        <v>0.35</v>
      </c>
      <c r="T1170" s="285">
        <f t="shared" si="245"/>
        <v>3.2</v>
      </c>
      <c r="U1170" s="285">
        <f t="shared" si="246"/>
        <v>1</v>
      </c>
      <c r="V1170" s="285">
        <f t="shared" si="247"/>
        <v>4.5</v>
      </c>
      <c r="W1170" s="285">
        <f t="shared" si="248"/>
        <v>1.5</v>
      </c>
      <c r="X1170" s="289" t="e">
        <f t="shared" si="249"/>
        <v>#VALUE!</v>
      </c>
      <c r="Y1170" s="288" t="e">
        <f t="shared" si="250"/>
        <v>#VALUE!</v>
      </c>
      <c r="Z1170" s="256">
        <f t="shared" si="251"/>
        <v>181.74993027852094</v>
      </c>
      <c r="AA1170" s="289" t="e">
        <f t="shared" si="252"/>
        <v>#VALUE!</v>
      </c>
      <c r="AB1170" s="288" t="e">
        <f t="shared" si="253"/>
        <v>#VALUE!</v>
      </c>
    </row>
    <row r="1171" spans="13:28" ht="12" hidden="1" customHeight="1">
      <c r="M1171" s="266"/>
      <c r="N1171" s="288" t="str">
        <f t="shared" si="254"/>
        <v/>
      </c>
      <c r="O1171" s="285">
        <f t="shared" si="240"/>
        <v>150</v>
      </c>
      <c r="P1171" s="289">
        <f t="shared" si="241"/>
        <v>4000000</v>
      </c>
      <c r="Q1171" s="285">
        <f t="shared" si="242"/>
        <v>110</v>
      </c>
      <c r="R1171" s="285">
        <f t="shared" si="243"/>
        <v>85</v>
      </c>
      <c r="S1171" s="285">
        <f t="shared" si="244"/>
        <v>0.35</v>
      </c>
      <c r="T1171" s="285">
        <f t="shared" si="245"/>
        <v>3.2</v>
      </c>
      <c r="U1171" s="285">
        <f t="shared" si="246"/>
        <v>1</v>
      </c>
      <c r="V1171" s="285">
        <f t="shared" si="247"/>
        <v>4.5</v>
      </c>
      <c r="W1171" s="285">
        <f t="shared" si="248"/>
        <v>1.5</v>
      </c>
      <c r="X1171" s="289" t="e">
        <f t="shared" si="249"/>
        <v>#VALUE!</v>
      </c>
      <c r="Y1171" s="288" t="e">
        <f t="shared" si="250"/>
        <v>#VALUE!</v>
      </c>
      <c r="Z1171" s="256">
        <f t="shared" si="251"/>
        <v>181.74993027852094</v>
      </c>
      <c r="AA1171" s="289" t="e">
        <f t="shared" si="252"/>
        <v>#VALUE!</v>
      </c>
      <c r="AB1171" s="288" t="e">
        <f t="shared" si="253"/>
        <v>#VALUE!</v>
      </c>
    </row>
    <row r="1172" spans="13:28" ht="12" hidden="1" customHeight="1">
      <c r="M1172" s="266"/>
      <c r="N1172" s="288" t="str">
        <f t="shared" si="254"/>
        <v/>
      </c>
      <c r="O1172" s="285">
        <f t="shared" si="240"/>
        <v>150</v>
      </c>
      <c r="P1172" s="289">
        <f t="shared" si="241"/>
        <v>4000000</v>
      </c>
      <c r="Q1172" s="285">
        <f t="shared" si="242"/>
        <v>110</v>
      </c>
      <c r="R1172" s="285">
        <f t="shared" si="243"/>
        <v>85</v>
      </c>
      <c r="S1172" s="285">
        <f t="shared" si="244"/>
        <v>0.35</v>
      </c>
      <c r="T1172" s="285">
        <f t="shared" si="245"/>
        <v>3.2</v>
      </c>
      <c r="U1172" s="285">
        <f t="shared" si="246"/>
        <v>1</v>
      </c>
      <c r="V1172" s="285">
        <f t="shared" si="247"/>
        <v>4.5</v>
      </c>
      <c r="W1172" s="285">
        <f t="shared" si="248"/>
        <v>1.5</v>
      </c>
      <c r="X1172" s="289" t="e">
        <f t="shared" si="249"/>
        <v>#VALUE!</v>
      </c>
      <c r="Y1172" s="288" t="e">
        <f t="shared" si="250"/>
        <v>#VALUE!</v>
      </c>
      <c r="Z1172" s="256">
        <f t="shared" si="251"/>
        <v>181.74993027852094</v>
      </c>
      <c r="AA1172" s="289" t="e">
        <f t="shared" si="252"/>
        <v>#VALUE!</v>
      </c>
      <c r="AB1172" s="288" t="e">
        <f t="shared" si="253"/>
        <v>#VALUE!</v>
      </c>
    </row>
    <row r="1173" spans="13:28" ht="12" hidden="1" customHeight="1">
      <c r="M1173" s="266"/>
      <c r="N1173" s="288" t="str">
        <f t="shared" si="254"/>
        <v/>
      </c>
      <c r="O1173" s="285">
        <f t="shared" si="240"/>
        <v>150</v>
      </c>
      <c r="P1173" s="289">
        <f t="shared" si="241"/>
        <v>4000000</v>
      </c>
      <c r="Q1173" s="285">
        <f t="shared" si="242"/>
        <v>110</v>
      </c>
      <c r="R1173" s="285">
        <f t="shared" si="243"/>
        <v>85</v>
      </c>
      <c r="S1173" s="285">
        <f t="shared" si="244"/>
        <v>0.35</v>
      </c>
      <c r="T1173" s="285">
        <f t="shared" si="245"/>
        <v>3.2</v>
      </c>
      <c r="U1173" s="285">
        <f t="shared" si="246"/>
        <v>1</v>
      </c>
      <c r="V1173" s="285">
        <f t="shared" si="247"/>
        <v>4.5</v>
      </c>
      <c r="W1173" s="285">
        <f t="shared" si="248"/>
        <v>1.5</v>
      </c>
      <c r="X1173" s="289" t="e">
        <f t="shared" si="249"/>
        <v>#VALUE!</v>
      </c>
      <c r="Y1173" s="288" t="e">
        <f t="shared" si="250"/>
        <v>#VALUE!</v>
      </c>
      <c r="Z1173" s="256">
        <f t="shared" si="251"/>
        <v>181.74993027852094</v>
      </c>
      <c r="AA1173" s="289" t="e">
        <f t="shared" si="252"/>
        <v>#VALUE!</v>
      </c>
      <c r="AB1173" s="288" t="e">
        <f t="shared" si="253"/>
        <v>#VALUE!</v>
      </c>
    </row>
    <row r="1174" spans="13:28" ht="12" hidden="1" customHeight="1">
      <c r="M1174" s="266"/>
      <c r="N1174" s="288" t="str">
        <f t="shared" si="254"/>
        <v/>
      </c>
      <c r="O1174" s="285">
        <f t="shared" si="240"/>
        <v>150</v>
      </c>
      <c r="P1174" s="289">
        <f t="shared" si="241"/>
        <v>4000000</v>
      </c>
      <c r="Q1174" s="285">
        <f t="shared" si="242"/>
        <v>110</v>
      </c>
      <c r="R1174" s="285">
        <f t="shared" si="243"/>
        <v>85</v>
      </c>
      <c r="S1174" s="285">
        <f t="shared" si="244"/>
        <v>0.35</v>
      </c>
      <c r="T1174" s="285">
        <f t="shared" si="245"/>
        <v>3.2</v>
      </c>
      <c r="U1174" s="285">
        <f t="shared" si="246"/>
        <v>1</v>
      </c>
      <c r="V1174" s="285">
        <f t="shared" si="247"/>
        <v>4.5</v>
      </c>
      <c r="W1174" s="285">
        <f t="shared" si="248"/>
        <v>1.5</v>
      </c>
      <c r="X1174" s="289" t="e">
        <f t="shared" si="249"/>
        <v>#VALUE!</v>
      </c>
      <c r="Y1174" s="288" t="e">
        <f t="shared" si="250"/>
        <v>#VALUE!</v>
      </c>
      <c r="Z1174" s="256">
        <f t="shared" si="251"/>
        <v>181.74993027852094</v>
      </c>
      <c r="AA1174" s="289" t="e">
        <f t="shared" si="252"/>
        <v>#VALUE!</v>
      </c>
      <c r="AB1174" s="288" t="e">
        <f t="shared" si="253"/>
        <v>#VALUE!</v>
      </c>
    </row>
    <row r="1175" spans="13:28" ht="12" hidden="1" customHeight="1">
      <c r="M1175" s="266"/>
      <c r="N1175" s="288" t="str">
        <f t="shared" si="254"/>
        <v/>
      </c>
      <c r="O1175" s="285">
        <f t="shared" si="240"/>
        <v>150</v>
      </c>
      <c r="P1175" s="289">
        <f t="shared" si="241"/>
        <v>4000000</v>
      </c>
      <c r="Q1175" s="285">
        <f t="shared" si="242"/>
        <v>110</v>
      </c>
      <c r="R1175" s="285">
        <f t="shared" si="243"/>
        <v>85</v>
      </c>
      <c r="S1175" s="285">
        <f t="shared" si="244"/>
        <v>0.35</v>
      </c>
      <c r="T1175" s="285">
        <f t="shared" si="245"/>
        <v>3.2</v>
      </c>
      <c r="U1175" s="285">
        <f t="shared" si="246"/>
        <v>1</v>
      </c>
      <c r="V1175" s="285">
        <f t="shared" si="247"/>
        <v>4.5</v>
      </c>
      <c r="W1175" s="285">
        <f t="shared" si="248"/>
        <v>1.5</v>
      </c>
      <c r="X1175" s="289" t="e">
        <f t="shared" si="249"/>
        <v>#VALUE!</v>
      </c>
      <c r="Y1175" s="288" t="e">
        <f t="shared" si="250"/>
        <v>#VALUE!</v>
      </c>
      <c r="Z1175" s="256">
        <f t="shared" si="251"/>
        <v>181.74993027852094</v>
      </c>
      <c r="AA1175" s="289" t="e">
        <f t="shared" si="252"/>
        <v>#VALUE!</v>
      </c>
      <c r="AB1175" s="288" t="e">
        <f t="shared" si="253"/>
        <v>#VALUE!</v>
      </c>
    </row>
    <row r="1176" spans="13:28" ht="12" hidden="1" customHeight="1">
      <c r="M1176" s="266"/>
      <c r="N1176" s="288" t="str">
        <f t="shared" si="254"/>
        <v/>
      </c>
      <c r="O1176" s="285">
        <f t="shared" si="240"/>
        <v>150</v>
      </c>
      <c r="P1176" s="289">
        <f t="shared" si="241"/>
        <v>4000000</v>
      </c>
      <c r="Q1176" s="285">
        <f t="shared" si="242"/>
        <v>110</v>
      </c>
      <c r="R1176" s="285">
        <f t="shared" si="243"/>
        <v>85</v>
      </c>
      <c r="S1176" s="285">
        <f t="shared" si="244"/>
        <v>0.35</v>
      </c>
      <c r="T1176" s="285">
        <f t="shared" si="245"/>
        <v>3.2</v>
      </c>
      <c r="U1176" s="285">
        <f t="shared" si="246"/>
        <v>1</v>
      </c>
      <c r="V1176" s="285">
        <f t="shared" si="247"/>
        <v>4.5</v>
      </c>
      <c r="W1176" s="285">
        <f t="shared" si="248"/>
        <v>1.5</v>
      </c>
      <c r="X1176" s="289" t="e">
        <f t="shared" si="249"/>
        <v>#VALUE!</v>
      </c>
      <c r="Y1176" s="288" t="e">
        <f t="shared" si="250"/>
        <v>#VALUE!</v>
      </c>
      <c r="Z1176" s="256">
        <f t="shared" si="251"/>
        <v>181.74993027852094</v>
      </c>
      <c r="AA1176" s="289" t="e">
        <f t="shared" si="252"/>
        <v>#VALUE!</v>
      </c>
      <c r="AB1176" s="288" t="e">
        <f t="shared" si="253"/>
        <v>#VALUE!</v>
      </c>
    </row>
    <row r="1177" spans="13:28" ht="12" hidden="1" customHeight="1">
      <c r="M1177" s="266"/>
      <c r="N1177" s="288" t="str">
        <f t="shared" si="254"/>
        <v/>
      </c>
      <c r="O1177" s="285">
        <f t="shared" si="240"/>
        <v>150</v>
      </c>
      <c r="P1177" s="289">
        <f t="shared" si="241"/>
        <v>4000000</v>
      </c>
      <c r="Q1177" s="285">
        <f t="shared" si="242"/>
        <v>110</v>
      </c>
      <c r="R1177" s="285">
        <f t="shared" si="243"/>
        <v>85</v>
      </c>
      <c r="S1177" s="285">
        <f t="shared" si="244"/>
        <v>0.35</v>
      </c>
      <c r="T1177" s="285">
        <f t="shared" si="245"/>
        <v>3.2</v>
      </c>
      <c r="U1177" s="285">
        <f t="shared" si="246"/>
        <v>1</v>
      </c>
      <c r="V1177" s="285">
        <f t="shared" si="247"/>
        <v>4.5</v>
      </c>
      <c r="W1177" s="285">
        <f t="shared" si="248"/>
        <v>1.5</v>
      </c>
      <c r="X1177" s="289" t="e">
        <f t="shared" si="249"/>
        <v>#VALUE!</v>
      </c>
      <c r="Y1177" s="288" t="e">
        <f t="shared" si="250"/>
        <v>#VALUE!</v>
      </c>
      <c r="Z1177" s="256">
        <f t="shared" si="251"/>
        <v>181.74993027852094</v>
      </c>
      <c r="AA1177" s="289" t="e">
        <f t="shared" si="252"/>
        <v>#VALUE!</v>
      </c>
      <c r="AB1177" s="288" t="e">
        <f t="shared" si="253"/>
        <v>#VALUE!</v>
      </c>
    </row>
    <row r="1178" spans="13:28" ht="12" hidden="1" customHeight="1">
      <c r="M1178" s="266"/>
      <c r="N1178" s="288" t="str">
        <f t="shared" si="254"/>
        <v/>
      </c>
      <c r="O1178" s="285">
        <f t="shared" si="240"/>
        <v>150</v>
      </c>
      <c r="P1178" s="289">
        <f t="shared" si="241"/>
        <v>4000000</v>
      </c>
      <c r="Q1178" s="285">
        <f t="shared" si="242"/>
        <v>110</v>
      </c>
      <c r="R1178" s="285">
        <f t="shared" si="243"/>
        <v>85</v>
      </c>
      <c r="S1178" s="285">
        <f t="shared" si="244"/>
        <v>0.35</v>
      </c>
      <c r="T1178" s="285">
        <f t="shared" si="245"/>
        <v>3.2</v>
      </c>
      <c r="U1178" s="285">
        <f t="shared" si="246"/>
        <v>1</v>
      </c>
      <c r="V1178" s="285">
        <f t="shared" si="247"/>
        <v>4.5</v>
      </c>
      <c r="W1178" s="285">
        <f t="shared" si="248"/>
        <v>1.5</v>
      </c>
      <c r="X1178" s="289" t="e">
        <f t="shared" si="249"/>
        <v>#VALUE!</v>
      </c>
      <c r="Y1178" s="288" t="e">
        <f t="shared" si="250"/>
        <v>#VALUE!</v>
      </c>
      <c r="Z1178" s="256">
        <f t="shared" si="251"/>
        <v>181.74993027852094</v>
      </c>
      <c r="AA1178" s="289" t="e">
        <f t="shared" si="252"/>
        <v>#VALUE!</v>
      </c>
      <c r="AB1178" s="288" t="e">
        <f t="shared" si="253"/>
        <v>#VALUE!</v>
      </c>
    </row>
    <row r="1179" spans="13:28" ht="12" hidden="1" customHeight="1">
      <c r="M1179" s="266"/>
      <c r="N1179" s="288" t="str">
        <f t="shared" si="254"/>
        <v/>
      </c>
      <c r="O1179" s="285">
        <f t="shared" si="240"/>
        <v>150</v>
      </c>
      <c r="P1179" s="289">
        <f t="shared" si="241"/>
        <v>4000000</v>
      </c>
      <c r="Q1179" s="285">
        <f t="shared" si="242"/>
        <v>110</v>
      </c>
      <c r="R1179" s="285">
        <f t="shared" si="243"/>
        <v>85</v>
      </c>
      <c r="S1179" s="285">
        <f t="shared" si="244"/>
        <v>0.35</v>
      </c>
      <c r="T1179" s="285">
        <f t="shared" si="245"/>
        <v>3.2</v>
      </c>
      <c r="U1179" s="285">
        <f t="shared" si="246"/>
        <v>1</v>
      </c>
      <c r="V1179" s="285">
        <f t="shared" si="247"/>
        <v>4.5</v>
      </c>
      <c r="W1179" s="285">
        <f t="shared" si="248"/>
        <v>1.5</v>
      </c>
      <c r="X1179" s="289" t="e">
        <f t="shared" si="249"/>
        <v>#VALUE!</v>
      </c>
      <c r="Y1179" s="288" t="e">
        <f t="shared" si="250"/>
        <v>#VALUE!</v>
      </c>
      <c r="Z1179" s="256">
        <f t="shared" si="251"/>
        <v>181.74993027852094</v>
      </c>
      <c r="AA1179" s="289" t="e">
        <f t="shared" si="252"/>
        <v>#VALUE!</v>
      </c>
      <c r="AB1179" s="288" t="e">
        <f t="shared" si="253"/>
        <v>#VALUE!</v>
      </c>
    </row>
    <row r="1180" spans="13:28" ht="12" hidden="1" customHeight="1">
      <c r="M1180" s="266"/>
      <c r="N1180" s="288" t="str">
        <f t="shared" si="254"/>
        <v/>
      </c>
      <c r="O1180" s="285">
        <f t="shared" si="240"/>
        <v>150</v>
      </c>
      <c r="P1180" s="289">
        <f t="shared" si="241"/>
        <v>4000000</v>
      </c>
      <c r="Q1180" s="285">
        <f t="shared" si="242"/>
        <v>110</v>
      </c>
      <c r="R1180" s="285">
        <f t="shared" si="243"/>
        <v>85</v>
      </c>
      <c r="S1180" s="285">
        <f t="shared" si="244"/>
        <v>0.35</v>
      </c>
      <c r="T1180" s="285">
        <f t="shared" si="245"/>
        <v>3.2</v>
      </c>
      <c r="U1180" s="285">
        <f t="shared" si="246"/>
        <v>1</v>
      </c>
      <c r="V1180" s="285">
        <f t="shared" si="247"/>
        <v>4.5</v>
      </c>
      <c r="W1180" s="285">
        <f t="shared" si="248"/>
        <v>1.5</v>
      </c>
      <c r="X1180" s="289" t="e">
        <f t="shared" si="249"/>
        <v>#VALUE!</v>
      </c>
      <c r="Y1180" s="288" t="e">
        <f t="shared" si="250"/>
        <v>#VALUE!</v>
      </c>
      <c r="Z1180" s="256">
        <f t="shared" si="251"/>
        <v>181.74993027852094</v>
      </c>
      <c r="AA1180" s="289" t="e">
        <f t="shared" si="252"/>
        <v>#VALUE!</v>
      </c>
      <c r="AB1180" s="288" t="e">
        <f t="shared" si="253"/>
        <v>#VALUE!</v>
      </c>
    </row>
    <row r="1181" spans="13:28" ht="12" hidden="1" customHeight="1">
      <c r="M1181" s="266"/>
      <c r="N1181" s="288" t="str">
        <f t="shared" si="254"/>
        <v/>
      </c>
      <c r="O1181" s="285">
        <f t="shared" si="240"/>
        <v>150</v>
      </c>
      <c r="P1181" s="289">
        <f t="shared" si="241"/>
        <v>4000000</v>
      </c>
      <c r="Q1181" s="285">
        <f t="shared" si="242"/>
        <v>110</v>
      </c>
      <c r="R1181" s="285">
        <f t="shared" si="243"/>
        <v>85</v>
      </c>
      <c r="S1181" s="285">
        <f t="shared" si="244"/>
        <v>0.35</v>
      </c>
      <c r="T1181" s="285">
        <f t="shared" si="245"/>
        <v>3.2</v>
      </c>
      <c r="U1181" s="285">
        <f t="shared" si="246"/>
        <v>1</v>
      </c>
      <c r="V1181" s="285">
        <f t="shared" si="247"/>
        <v>4.5</v>
      </c>
      <c r="W1181" s="285">
        <f t="shared" si="248"/>
        <v>1.5</v>
      </c>
      <c r="X1181" s="289" t="e">
        <f t="shared" si="249"/>
        <v>#VALUE!</v>
      </c>
      <c r="Y1181" s="288" t="e">
        <f t="shared" si="250"/>
        <v>#VALUE!</v>
      </c>
      <c r="Z1181" s="256">
        <f t="shared" si="251"/>
        <v>181.74993027852094</v>
      </c>
      <c r="AA1181" s="289" t="e">
        <f t="shared" si="252"/>
        <v>#VALUE!</v>
      </c>
      <c r="AB1181" s="288" t="e">
        <f t="shared" si="253"/>
        <v>#VALUE!</v>
      </c>
    </row>
    <row r="1182" spans="13:28" ht="12" hidden="1" customHeight="1">
      <c r="M1182" s="266"/>
      <c r="N1182" s="288" t="str">
        <f t="shared" si="254"/>
        <v/>
      </c>
      <c r="O1182" s="285">
        <f t="shared" ref="O1182:O1194" si="255">PCC_MR</f>
        <v>150</v>
      </c>
      <c r="P1182" s="289">
        <f t="shared" ref="P1182:P1194" si="256">PCC_ME</f>
        <v>4000000</v>
      </c>
      <c r="Q1182" s="285">
        <f t="shared" ref="Q1182:Q1194" si="257">K_MODULE</f>
        <v>110</v>
      </c>
      <c r="R1182" s="285">
        <f t="shared" ref="R1182:R1194" si="258">R_</f>
        <v>85</v>
      </c>
      <c r="S1182" s="285">
        <f t="shared" ref="S1182:S1194" si="259">So</f>
        <v>0.35</v>
      </c>
      <c r="T1182" s="285">
        <f t="shared" ref="T1182:T1194" si="260">J_</f>
        <v>3.2</v>
      </c>
      <c r="U1182" s="285">
        <f t="shared" ref="U1182:U1194" si="261">Cd_</f>
        <v>1</v>
      </c>
      <c r="V1182" s="285">
        <f t="shared" ref="V1182:V1194" si="262">Pi</f>
        <v>4.5</v>
      </c>
      <c r="W1182" s="285">
        <f t="shared" ref="W1182:W1194" si="263">Pt</f>
        <v>1.5</v>
      </c>
      <c r="X1182" s="289" t="e">
        <f t="shared" ref="X1182:X1194" si="264">10^(-NORMSINV(R1182/100)*S1182+7.35*LOG10(N1182+1)-0.06+((LOG10((V1182-W1182)/3))/(1+((1.625*10^7)/((N1182+1)^8.46))))+((4.22-0.32*W1182)*LOG10((O1182*U1182*((N1182^0.75)-1.132))/(215.63*T1182*((N1182^0.75)-18.42*(Q1182/P1182)^0.25)))))</f>
        <v>#VALUE!</v>
      </c>
      <c r="Y1182" s="288" t="e">
        <f t="shared" ref="Y1182:Y1194" si="265">+X1182/ESALS</f>
        <v>#VALUE!</v>
      </c>
      <c r="Z1182" s="256">
        <f t="shared" ref="Z1182:Z1194" si="266">PCC_IMR</f>
        <v>181.74993027852094</v>
      </c>
      <c r="AA1182" s="289" t="e">
        <f t="shared" ref="AA1182:AA1194" si="267">10^(-NORMSINV(R1182/100)*S1182+7.35*LOG10(N1182+1)-0.06+((LOG10((V1182-W1182)/3))/(1+((1.625*10^7)/((N1182+1)^8.46))))+((4.22-0.32*W1182)*LOG10((Z1182*U1182*((N1182^0.75)-1.132))/(215.63*T1182*((N1182^0.75)-18.42*(Q1182/P1182)^0.25)))))</f>
        <v>#VALUE!</v>
      </c>
      <c r="AB1182" s="288" t="e">
        <f t="shared" ref="AB1182:AB1194" si="268">+AA1182/ESALS</f>
        <v>#VALUE!</v>
      </c>
    </row>
    <row r="1183" spans="13:28" ht="12" hidden="1" customHeight="1">
      <c r="M1183" s="266"/>
      <c r="N1183" s="288" t="str">
        <f t="shared" ref="N1183:N1194" si="269">IF(N1182 = "", "", IF(AND(0.995*ESALS&lt;=X1182,X1182&lt;=1.005*ESALS),"",(N1182+D_Step)))</f>
        <v/>
      </c>
      <c r="O1183" s="285">
        <f t="shared" si="255"/>
        <v>150</v>
      </c>
      <c r="P1183" s="289">
        <f t="shared" si="256"/>
        <v>4000000</v>
      </c>
      <c r="Q1183" s="285">
        <f t="shared" si="257"/>
        <v>110</v>
      </c>
      <c r="R1183" s="285">
        <f t="shared" si="258"/>
        <v>85</v>
      </c>
      <c r="S1183" s="285">
        <f t="shared" si="259"/>
        <v>0.35</v>
      </c>
      <c r="T1183" s="285">
        <f t="shared" si="260"/>
        <v>3.2</v>
      </c>
      <c r="U1183" s="285">
        <f t="shared" si="261"/>
        <v>1</v>
      </c>
      <c r="V1183" s="285">
        <f t="shared" si="262"/>
        <v>4.5</v>
      </c>
      <c r="W1183" s="285">
        <f t="shared" si="263"/>
        <v>1.5</v>
      </c>
      <c r="X1183" s="289" t="e">
        <f t="shared" si="264"/>
        <v>#VALUE!</v>
      </c>
      <c r="Y1183" s="288" t="e">
        <f t="shared" si="265"/>
        <v>#VALUE!</v>
      </c>
      <c r="Z1183" s="256">
        <f t="shared" si="266"/>
        <v>181.74993027852094</v>
      </c>
      <c r="AA1183" s="289" t="e">
        <f t="shared" si="267"/>
        <v>#VALUE!</v>
      </c>
      <c r="AB1183" s="288" t="e">
        <f t="shared" si="268"/>
        <v>#VALUE!</v>
      </c>
    </row>
    <row r="1184" spans="13:28" ht="12" hidden="1" customHeight="1">
      <c r="M1184" s="266"/>
      <c r="N1184" s="288" t="str">
        <f t="shared" si="269"/>
        <v/>
      </c>
      <c r="O1184" s="285">
        <f t="shared" si="255"/>
        <v>150</v>
      </c>
      <c r="P1184" s="289">
        <f t="shared" si="256"/>
        <v>4000000</v>
      </c>
      <c r="Q1184" s="285">
        <f t="shared" si="257"/>
        <v>110</v>
      </c>
      <c r="R1184" s="285">
        <f t="shared" si="258"/>
        <v>85</v>
      </c>
      <c r="S1184" s="285">
        <f t="shared" si="259"/>
        <v>0.35</v>
      </c>
      <c r="T1184" s="285">
        <f t="shared" si="260"/>
        <v>3.2</v>
      </c>
      <c r="U1184" s="285">
        <f t="shared" si="261"/>
        <v>1</v>
      </c>
      <c r="V1184" s="285">
        <f t="shared" si="262"/>
        <v>4.5</v>
      </c>
      <c r="W1184" s="285">
        <f t="shared" si="263"/>
        <v>1.5</v>
      </c>
      <c r="X1184" s="289" t="e">
        <f t="shared" si="264"/>
        <v>#VALUE!</v>
      </c>
      <c r="Y1184" s="288" t="e">
        <f t="shared" si="265"/>
        <v>#VALUE!</v>
      </c>
      <c r="Z1184" s="256">
        <f t="shared" si="266"/>
        <v>181.74993027852094</v>
      </c>
      <c r="AA1184" s="289" t="e">
        <f t="shared" si="267"/>
        <v>#VALUE!</v>
      </c>
      <c r="AB1184" s="288" t="e">
        <f t="shared" si="268"/>
        <v>#VALUE!</v>
      </c>
    </row>
    <row r="1185" spans="13:28" ht="12" hidden="1" customHeight="1">
      <c r="M1185" s="266"/>
      <c r="N1185" s="288" t="str">
        <f t="shared" si="269"/>
        <v/>
      </c>
      <c r="O1185" s="285">
        <f t="shared" si="255"/>
        <v>150</v>
      </c>
      <c r="P1185" s="289">
        <f t="shared" si="256"/>
        <v>4000000</v>
      </c>
      <c r="Q1185" s="285">
        <f t="shared" si="257"/>
        <v>110</v>
      </c>
      <c r="R1185" s="285">
        <f t="shared" si="258"/>
        <v>85</v>
      </c>
      <c r="S1185" s="285">
        <f t="shared" si="259"/>
        <v>0.35</v>
      </c>
      <c r="T1185" s="285">
        <f t="shared" si="260"/>
        <v>3.2</v>
      </c>
      <c r="U1185" s="285">
        <f t="shared" si="261"/>
        <v>1</v>
      </c>
      <c r="V1185" s="285">
        <f t="shared" si="262"/>
        <v>4.5</v>
      </c>
      <c r="W1185" s="285">
        <f t="shared" si="263"/>
        <v>1.5</v>
      </c>
      <c r="X1185" s="289" t="e">
        <f t="shared" si="264"/>
        <v>#VALUE!</v>
      </c>
      <c r="Y1185" s="288" t="e">
        <f t="shared" si="265"/>
        <v>#VALUE!</v>
      </c>
      <c r="Z1185" s="256">
        <f t="shared" si="266"/>
        <v>181.74993027852094</v>
      </c>
      <c r="AA1185" s="289" t="e">
        <f t="shared" si="267"/>
        <v>#VALUE!</v>
      </c>
      <c r="AB1185" s="288" t="e">
        <f t="shared" si="268"/>
        <v>#VALUE!</v>
      </c>
    </row>
    <row r="1186" spans="13:28" ht="12" hidden="1" customHeight="1">
      <c r="M1186" s="266"/>
      <c r="N1186" s="288" t="str">
        <f t="shared" si="269"/>
        <v/>
      </c>
      <c r="O1186" s="285">
        <f t="shared" si="255"/>
        <v>150</v>
      </c>
      <c r="P1186" s="289">
        <f t="shared" si="256"/>
        <v>4000000</v>
      </c>
      <c r="Q1186" s="285">
        <f t="shared" si="257"/>
        <v>110</v>
      </c>
      <c r="R1186" s="285">
        <f t="shared" si="258"/>
        <v>85</v>
      </c>
      <c r="S1186" s="285">
        <f t="shared" si="259"/>
        <v>0.35</v>
      </c>
      <c r="T1186" s="285">
        <f t="shared" si="260"/>
        <v>3.2</v>
      </c>
      <c r="U1186" s="285">
        <f t="shared" si="261"/>
        <v>1</v>
      </c>
      <c r="V1186" s="285">
        <f t="shared" si="262"/>
        <v>4.5</v>
      </c>
      <c r="W1186" s="285">
        <f t="shared" si="263"/>
        <v>1.5</v>
      </c>
      <c r="X1186" s="289" t="e">
        <f t="shared" si="264"/>
        <v>#VALUE!</v>
      </c>
      <c r="Y1186" s="288" t="e">
        <f t="shared" si="265"/>
        <v>#VALUE!</v>
      </c>
      <c r="Z1186" s="256">
        <f t="shared" si="266"/>
        <v>181.74993027852094</v>
      </c>
      <c r="AA1186" s="289" t="e">
        <f t="shared" si="267"/>
        <v>#VALUE!</v>
      </c>
      <c r="AB1186" s="288" t="e">
        <f t="shared" si="268"/>
        <v>#VALUE!</v>
      </c>
    </row>
    <row r="1187" spans="13:28" ht="12" hidden="1" customHeight="1">
      <c r="M1187" s="266"/>
      <c r="N1187" s="288" t="str">
        <f t="shared" si="269"/>
        <v/>
      </c>
      <c r="O1187" s="285">
        <f t="shared" si="255"/>
        <v>150</v>
      </c>
      <c r="P1187" s="289">
        <f t="shared" si="256"/>
        <v>4000000</v>
      </c>
      <c r="Q1187" s="285">
        <f t="shared" si="257"/>
        <v>110</v>
      </c>
      <c r="R1187" s="285">
        <f t="shared" si="258"/>
        <v>85</v>
      </c>
      <c r="S1187" s="285">
        <f t="shared" si="259"/>
        <v>0.35</v>
      </c>
      <c r="T1187" s="285">
        <f t="shared" si="260"/>
        <v>3.2</v>
      </c>
      <c r="U1187" s="285">
        <f t="shared" si="261"/>
        <v>1</v>
      </c>
      <c r="V1187" s="285">
        <f t="shared" si="262"/>
        <v>4.5</v>
      </c>
      <c r="W1187" s="285">
        <f t="shared" si="263"/>
        <v>1.5</v>
      </c>
      <c r="X1187" s="289" t="e">
        <f t="shared" si="264"/>
        <v>#VALUE!</v>
      </c>
      <c r="Y1187" s="288" t="e">
        <f t="shared" si="265"/>
        <v>#VALUE!</v>
      </c>
      <c r="Z1187" s="256">
        <f t="shared" si="266"/>
        <v>181.74993027852094</v>
      </c>
      <c r="AA1187" s="289" t="e">
        <f t="shared" si="267"/>
        <v>#VALUE!</v>
      </c>
      <c r="AB1187" s="288" t="e">
        <f t="shared" si="268"/>
        <v>#VALUE!</v>
      </c>
    </row>
    <row r="1188" spans="13:28" ht="12" hidden="1" customHeight="1">
      <c r="M1188" s="266"/>
      <c r="N1188" s="288" t="str">
        <f t="shared" si="269"/>
        <v/>
      </c>
      <c r="O1188" s="285">
        <f t="shared" si="255"/>
        <v>150</v>
      </c>
      <c r="P1188" s="289">
        <f t="shared" si="256"/>
        <v>4000000</v>
      </c>
      <c r="Q1188" s="285">
        <f t="shared" si="257"/>
        <v>110</v>
      </c>
      <c r="R1188" s="285">
        <f t="shared" si="258"/>
        <v>85</v>
      </c>
      <c r="S1188" s="285">
        <f t="shared" si="259"/>
        <v>0.35</v>
      </c>
      <c r="T1188" s="285">
        <f t="shared" si="260"/>
        <v>3.2</v>
      </c>
      <c r="U1188" s="285">
        <f t="shared" si="261"/>
        <v>1</v>
      </c>
      <c r="V1188" s="285">
        <f t="shared" si="262"/>
        <v>4.5</v>
      </c>
      <c r="W1188" s="285">
        <f t="shared" si="263"/>
        <v>1.5</v>
      </c>
      <c r="X1188" s="289" t="e">
        <f t="shared" si="264"/>
        <v>#VALUE!</v>
      </c>
      <c r="Y1188" s="288" t="e">
        <f t="shared" si="265"/>
        <v>#VALUE!</v>
      </c>
      <c r="Z1188" s="256">
        <f t="shared" si="266"/>
        <v>181.74993027852094</v>
      </c>
      <c r="AA1188" s="289" t="e">
        <f t="shared" si="267"/>
        <v>#VALUE!</v>
      </c>
      <c r="AB1188" s="288" t="e">
        <f t="shared" si="268"/>
        <v>#VALUE!</v>
      </c>
    </row>
    <row r="1189" spans="13:28" ht="12" hidden="1" customHeight="1">
      <c r="M1189" s="266"/>
      <c r="N1189" s="288" t="str">
        <f t="shared" si="269"/>
        <v/>
      </c>
      <c r="O1189" s="285">
        <f t="shared" si="255"/>
        <v>150</v>
      </c>
      <c r="P1189" s="289">
        <f t="shared" si="256"/>
        <v>4000000</v>
      </c>
      <c r="Q1189" s="285">
        <f t="shared" si="257"/>
        <v>110</v>
      </c>
      <c r="R1189" s="285">
        <f t="shared" si="258"/>
        <v>85</v>
      </c>
      <c r="S1189" s="285">
        <f t="shared" si="259"/>
        <v>0.35</v>
      </c>
      <c r="T1189" s="285">
        <f t="shared" si="260"/>
        <v>3.2</v>
      </c>
      <c r="U1189" s="285">
        <f t="shared" si="261"/>
        <v>1</v>
      </c>
      <c r="V1189" s="285">
        <f t="shared" si="262"/>
        <v>4.5</v>
      </c>
      <c r="W1189" s="285">
        <f t="shared" si="263"/>
        <v>1.5</v>
      </c>
      <c r="X1189" s="289" t="e">
        <f t="shared" si="264"/>
        <v>#VALUE!</v>
      </c>
      <c r="Y1189" s="288" t="e">
        <f t="shared" si="265"/>
        <v>#VALUE!</v>
      </c>
      <c r="Z1189" s="256">
        <f t="shared" si="266"/>
        <v>181.74993027852094</v>
      </c>
      <c r="AA1189" s="289" t="e">
        <f t="shared" si="267"/>
        <v>#VALUE!</v>
      </c>
      <c r="AB1189" s="288" t="e">
        <f t="shared" si="268"/>
        <v>#VALUE!</v>
      </c>
    </row>
    <row r="1190" spans="13:28" ht="12" hidden="1" customHeight="1">
      <c r="M1190" s="266"/>
      <c r="N1190" s="288" t="str">
        <f t="shared" si="269"/>
        <v/>
      </c>
      <c r="O1190" s="285">
        <f t="shared" si="255"/>
        <v>150</v>
      </c>
      <c r="P1190" s="289">
        <f t="shared" si="256"/>
        <v>4000000</v>
      </c>
      <c r="Q1190" s="285">
        <f t="shared" si="257"/>
        <v>110</v>
      </c>
      <c r="R1190" s="285">
        <f t="shared" si="258"/>
        <v>85</v>
      </c>
      <c r="S1190" s="285">
        <f t="shared" si="259"/>
        <v>0.35</v>
      </c>
      <c r="T1190" s="285">
        <f t="shared" si="260"/>
        <v>3.2</v>
      </c>
      <c r="U1190" s="285">
        <f t="shared" si="261"/>
        <v>1</v>
      </c>
      <c r="V1190" s="285">
        <f t="shared" si="262"/>
        <v>4.5</v>
      </c>
      <c r="W1190" s="285">
        <f t="shared" si="263"/>
        <v>1.5</v>
      </c>
      <c r="X1190" s="289" t="e">
        <f t="shared" si="264"/>
        <v>#VALUE!</v>
      </c>
      <c r="Y1190" s="288" t="e">
        <f t="shared" si="265"/>
        <v>#VALUE!</v>
      </c>
      <c r="Z1190" s="256">
        <f t="shared" si="266"/>
        <v>181.74993027852094</v>
      </c>
      <c r="AA1190" s="289" t="e">
        <f t="shared" si="267"/>
        <v>#VALUE!</v>
      </c>
      <c r="AB1190" s="288" t="e">
        <f t="shared" si="268"/>
        <v>#VALUE!</v>
      </c>
    </row>
    <row r="1191" spans="13:28" ht="12" hidden="1" customHeight="1">
      <c r="M1191" s="266"/>
      <c r="N1191" s="288" t="str">
        <f t="shared" si="269"/>
        <v/>
      </c>
      <c r="O1191" s="285">
        <f t="shared" si="255"/>
        <v>150</v>
      </c>
      <c r="P1191" s="289">
        <f t="shared" si="256"/>
        <v>4000000</v>
      </c>
      <c r="Q1191" s="285">
        <f t="shared" si="257"/>
        <v>110</v>
      </c>
      <c r="R1191" s="285">
        <f t="shared" si="258"/>
        <v>85</v>
      </c>
      <c r="S1191" s="285">
        <f t="shared" si="259"/>
        <v>0.35</v>
      </c>
      <c r="T1191" s="285">
        <f t="shared" si="260"/>
        <v>3.2</v>
      </c>
      <c r="U1191" s="285">
        <f t="shared" si="261"/>
        <v>1</v>
      </c>
      <c r="V1191" s="285">
        <f t="shared" si="262"/>
        <v>4.5</v>
      </c>
      <c r="W1191" s="285">
        <f t="shared" si="263"/>
        <v>1.5</v>
      </c>
      <c r="X1191" s="289" t="e">
        <f t="shared" si="264"/>
        <v>#VALUE!</v>
      </c>
      <c r="Y1191" s="288" t="e">
        <f t="shared" si="265"/>
        <v>#VALUE!</v>
      </c>
      <c r="Z1191" s="256">
        <f t="shared" si="266"/>
        <v>181.74993027852094</v>
      </c>
      <c r="AA1191" s="289" t="e">
        <f t="shared" si="267"/>
        <v>#VALUE!</v>
      </c>
      <c r="AB1191" s="288" t="e">
        <f t="shared" si="268"/>
        <v>#VALUE!</v>
      </c>
    </row>
    <row r="1192" spans="13:28" ht="12" hidden="1" customHeight="1">
      <c r="M1192" s="266"/>
      <c r="N1192" s="288" t="str">
        <f t="shared" si="269"/>
        <v/>
      </c>
      <c r="O1192" s="285">
        <f t="shared" si="255"/>
        <v>150</v>
      </c>
      <c r="P1192" s="289">
        <f t="shared" si="256"/>
        <v>4000000</v>
      </c>
      <c r="Q1192" s="285">
        <f t="shared" si="257"/>
        <v>110</v>
      </c>
      <c r="R1192" s="285">
        <f t="shared" si="258"/>
        <v>85</v>
      </c>
      <c r="S1192" s="285">
        <f t="shared" si="259"/>
        <v>0.35</v>
      </c>
      <c r="T1192" s="285">
        <f t="shared" si="260"/>
        <v>3.2</v>
      </c>
      <c r="U1192" s="285">
        <f t="shared" si="261"/>
        <v>1</v>
      </c>
      <c r="V1192" s="285">
        <f t="shared" si="262"/>
        <v>4.5</v>
      </c>
      <c r="W1192" s="285">
        <f t="shared" si="263"/>
        <v>1.5</v>
      </c>
      <c r="X1192" s="289" t="e">
        <f t="shared" si="264"/>
        <v>#VALUE!</v>
      </c>
      <c r="Y1192" s="288" t="e">
        <f t="shared" si="265"/>
        <v>#VALUE!</v>
      </c>
      <c r="Z1192" s="256">
        <f t="shared" si="266"/>
        <v>181.74993027852094</v>
      </c>
      <c r="AA1192" s="289" t="e">
        <f t="shared" si="267"/>
        <v>#VALUE!</v>
      </c>
      <c r="AB1192" s="288" t="e">
        <f t="shared" si="268"/>
        <v>#VALUE!</v>
      </c>
    </row>
    <row r="1193" spans="13:28" ht="12" hidden="1" customHeight="1">
      <c r="M1193" s="266"/>
      <c r="N1193" s="288" t="str">
        <f t="shared" si="269"/>
        <v/>
      </c>
      <c r="O1193" s="285">
        <f t="shared" si="255"/>
        <v>150</v>
      </c>
      <c r="P1193" s="289">
        <f t="shared" si="256"/>
        <v>4000000</v>
      </c>
      <c r="Q1193" s="285">
        <f t="shared" si="257"/>
        <v>110</v>
      </c>
      <c r="R1193" s="285">
        <f t="shared" si="258"/>
        <v>85</v>
      </c>
      <c r="S1193" s="285">
        <f t="shared" si="259"/>
        <v>0.35</v>
      </c>
      <c r="T1193" s="285">
        <f t="shared" si="260"/>
        <v>3.2</v>
      </c>
      <c r="U1193" s="285">
        <f t="shared" si="261"/>
        <v>1</v>
      </c>
      <c r="V1193" s="285">
        <f t="shared" si="262"/>
        <v>4.5</v>
      </c>
      <c r="W1193" s="285">
        <f t="shared" si="263"/>
        <v>1.5</v>
      </c>
      <c r="X1193" s="289" t="e">
        <f t="shared" si="264"/>
        <v>#VALUE!</v>
      </c>
      <c r="Y1193" s="288" t="e">
        <f t="shared" si="265"/>
        <v>#VALUE!</v>
      </c>
      <c r="Z1193" s="256">
        <f t="shared" si="266"/>
        <v>181.74993027852094</v>
      </c>
      <c r="AA1193" s="289" t="e">
        <f t="shared" si="267"/>
        <v>#VALUE!</v>
      </c>
      <c r="AB1193" s="288" t="e">
        <f t="shared" si="268"/>
        <v>#VALUE!</v>
      </c>
    </row>
    <row r="1194" spans="13:28" ht="12" hidden="1" customHeight="1">
      <c r="M1194" s="266"/>
      <c r="N1194" s="288" t="str">
        <f t="shared" si="269"/>
        <v/>
      </c>
      <c r="O1194" s="285">
        <f t="shared" si="255"/>
        <v>150</v>
      </c>
      <c r="P1194" s="289">
        <f t="shared" si="256"/>
        <v>4000000</v>
      </c>
      <c r="Q1194" s="285">
        <f t="shared" si="257"/>
        <v>110</v>
      </c>
      <c r="R1194" s="285">
        <f t="shared" si="258"/>
        <v>85</v>
      </c>
      <c r="S1194" s="285">
        <f t="shared" si="259"/>
        <v>0.35</v>
      </c>
      <c r="T1194" s="285">
        <f t="shared" si="260"/>
        <v>3.2</v>
      </c>
      <c r="U1194" s="285">
        <f t="shared" si="261"/>
        <v>1</v>
      </c>
      <c r="V1194" s="285">
        <f t="shared" si="262"/>
        <v>4.5</v>
      </c>
      <c r="W1194" s="285">
        <f t="shared" si="263"/>
        <v>1.5</v>
      </c>
      <c r="X1194" s="289" t="e">
        <f t="shared" si="264"/>
        <v>#VALUE!</v>
      </c>
      <c r="Y1194" s="288" t="e">
        <f t="shared" si="265"/>
        <v>#VALUE!</v>
      </c>
      <c r="Z1194" s="256">
        <f t="shared" si="266"/>
        <v>181.74993027852094</v>
      </c>
      <c r="AA1194" s="289" t="e">
        <f t="shared" si="267"/>
        <v>#VALUE!</v>
      </c>
      <c r="AB1194" s="288" t="e">
        <f t="shared" si="268"/>
        <v>#VALUE!</v>
      </c>
    </row>
    <row r="1195" spans="13:28" ht="12" hidden="1" customHeight="1"/>
  </sheetData>
  <sheetProtection algorithmName="SHA-512" hashValue="ib2WrbGomR+Pj1w+yzQqQybURnJfK0YsKdWDnFpyZspPdPB++ICvcjswGI30H6c6DT2jIO5beFp3AA78MOpJjg==" saltValue="AXA/zv7kHH4H4sFmL5gArQ==" spinCount="100000" sheet="1" objects="1" scenarios="1" selectLockedCells="1"/>
  <mergeCells count="37">
    <mergeCell ref="A1:H7"/>
    <mergeCell ref="E15:G15"/>
    <mergeCell ref="D12:J12"/>
    <mergeCell ref="A14:I14"/>
    <mergeCell ref="B18:E19"/>
    <mergeCell ref="G18:I19"/>
    <mergeCell ref="G48:I49"/>
    <mergeCell ref="G23:I24"/>
    <mergeCell ref="B28:E29"/>
    <mergeCell ref="G28:I29"/>
    <mergeCell ref="A72:H72"/>
    <mergeCell ref="G68:I69"/>
    <mergeCell ref="B53:E54"/>
    <mergeCell ref="G53:I54"/>
    <mergeCell ref="B58:E59"/>
    <mergeCell ref="G58:I59"/>
    <mergeCell ref="B41:E41"/>
    <mergeCell ref="G41:I41"/>
    <mergeCell ref="B43:E44"/>
    <mergeCell ref="G43:I44"/>
    <mergeCell ref="B48:E49"/>
    <mergeCell ref="B23:E24"/>
    <mergeCell ref="A75:F76"/>
    <mergeCell ref="A79:F80"/>
    <mergeCell ref="G75:I76"/>
    <mergeCell ref="B63:E64"/>
    <mergeCell ref="G63:I64"/>
    <mergeCell ref="B68:E69"/>
    <mergeCell ref="G79:I80"/>
    <mergeCell ref="J38:J39"/>
    <mergeCell ref="B38:E39"/>
    <mergeCell ref="G38:I39"/>
    <mergeCell ref="A37:I37"/>
    <mergeCell ref="B31:E31"/>
    <mergeCell ref="G31:I31"/>
    <mergeCell ref="B33:E34"/>
    <mergeCell ref="G33:I34"/>
  </mergeCells>
  <dataValidations count="9">
    <dataValidation type="decimal" allowBlank="1" showInputMessage="1" showErrorMessage="1" error="La dosificación recomendada está entre 3 y 5 kg/m3 para aplicaciones en pavimentos rígidos." sqref="G30:I30" xr:uid="{00000000-0002-0000-0A00-000000000000}">
      <formula1>3</formula1>
      <formula2>5</formula2>
    </dataValidation>
    <dataValidation type="decimal" operator="greaterThan" allowBlank="1" showInputMessage="1" showErrorMessage="1" sqref="G38:I40 E15 H15:H16 D16:G16" xr:uid="{00000000-0002-0000-0A00-000001000000}">
      <formula1>0</formula1>
    </dataValidation>
    <dataValidation type="decimal" allowBlank="1" showInputMessage="1" showErrorMessage="1" error="La dosificación recomendada está entre 3 y 5 kg/m3 para aplicaciones en pavimentos rígidos." sqref="G28:I29" xr:uid="{00000000-0002-0000-0A00-000002000000}">
      <formula1>2.4</formula1>
      <formula2>5</formula2>
    </dataValidation>
    <dataValidation type="decimal" allowBlank="1" showInputMessage="1" showErrorMessage="1" error="La desviación estándar para pavimentos rígidos (capítulo 4, I-62 AASHTO 93) está entre 0.3 y 0.4" sqref="G48:I49" xr:uid="{00000000-0002-0000-0A00-000003000000}">
      <formula1>0.3</formula1>
      <formula2>0.4</formula2>
    </dataValidation>
    <dataValidation type="decimal" allowBlank="1" showInputMessage="1" showErrorMessage="1" error="La confiabilidad está entre 50 y 99%" sqref="G43:I44" xr:uid="{00000000-0002-0000-0A00-000004000000}">
      <formula1>50</formula1>
      <formula2>99</formula2>
    </dataValidation>
    <dataValidation type="decimal" allowBlank="1" showInputMessage="1" showErrorMessage="1" error="Valor mínimo 2.8 (dovelas en junta y berma)_x000a__x000a_Valor máximo 4.4 (sin dovelas y sin berma)" sqref="G53:I54" xr:uid="{00000000-0002-0000-0A00-000005000000}">
      <formula1>2.8</formula1>
      <formula2>4.4</formula2>
    </dataValidation>
    <dataValidation type="decimal" allowBlank="1" showInputMessage="1" showErrorMessage="1" sqref="G58:I59" xr:uid="{00000000-0002-0000-0A00-000006000000}">
      <formula1>0.7</formula1>
      <formula2>1.2</formula2>
    </dataValidation>
    <dataValidation type="decimal" allowBlank="1" showInputMessage="1" showErrorMessage="1" error="El mínimo admisible es 1.6" sqref="G63:I64" xr:uid="{00000000-0002-0000-0A00-000007000000}">
      <formula1>1.6</formula1>
      <formula2>4.5</formula2>
    </dataValidation>
    <dataValidation type="decimal" allowBlank="1" showInputMessage="1" showErrorMessage="1" error="El mínimo es 1.5." sqref="G68:I69" xr:uid="{00000000-0002-0000-0A00-000008000000}">
      <formula1>1.5</formula1>
      <formula2>3</formula2>
    </dataValidation>
  </dataValidations>
  <printOptions horizontalCentered="1"/>
  <pageMargins left="0.70866141732283472" right="0.70866141732283472" top="0.74803149606299213" bottom="0.74803149606299213" header="0.31496062992125984" footer="0.31496062992125984"/>
  <pageSetup scale="49" orientation="portrait" horizontalDpi="4294967293" verticalDpi="4294967293"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enu_Select">
                <anchor moveWithCells="1" sizeWithCells="1">
                  <from>
                    <xdr:col>4</xdr:col>
                    <xdr:colOff>590550</xdr:colOff>
                    <xdr:row>7</xdr:row>
                    <xdr:rowOff>152400</xdr:rowOff>
                  </from>
                  <to>
                    <xdr:col>6</xdr:col>
                    <xdr:colOff>361950</xdr:colOff>
                    <xdr:row>9</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92D050"/>
  </sheetPr>
  <dimension ref="A1:S126"/>
  <sheetViews>
    <sheetView showGridLines="0" showRowColHeaders="0" view="pageBreakPreview" topLeftCell="A28" zoomScaleNormal="75" zoomScaleSheetLayoutView="100" workbookViewId="0">
      <selection activeCell="C33" sqref="C33:L33"/>
    </sheetView>
  </sheetViews>
  <sheetFormatPr baseColWidth="10" defaultColWidth="0" defaultRowHeight="0" customHeight="1" zeroHeight="1"/>
  <cols>
    <col min="1" max="1" width="20.7109375" style="2" customWidth="1"/>
    <col min="2" max="3" width="25" style="2" customWidth="1"/>
    <col min="4" max="4" width="14.7109375" style="2" customWidth="1"/>
    <col min="5" max="5" width="13" style="2" customWidth="1"/>
    <col min="6" max="6" width="7.140625" style="2" customWidth="1"/>
    <col min="7" max="8" width="10.7109375" style="2" customWidth="1"/>
    <col min="9" max="9" width="8.5703125" style="2" customWidth="1"/>
    <col min="10" max="10" width="4.7109375" style="2" customWidth="1"/>
    <col min="11" max="12" width="10.7109375" style="2" customWidth="1"/>
    <col min="13" max="13" width="7.140625" style="2" hidden="1" customWidth="1"/>
    <col min="14" max="14" width="39.85546875" style="2" hidden="1" customWidth="1"/>
    <col min="15" max="15" width="13.140625" style="2" hidden="1" customWidth="1"/>
    <col min="16" max="16" width="11" style="2" hidden="1" customWidth="1"/>
    <col min="17" max="17" width="15.28515625" style="2" hidden="1" customWidth="1"/>
    <col min="18" max="18" width="12" style="2" hidden="1" customWidth="1"/>
    <col min="19" max="19" width="13" style="2" hidden="1" customWidth="1"/>
    <col min="20" max="16384" width="9.140625" style="2" hidden="1"/>
  </cols>
  <sheetData>
    <row r="1" spans="1:13" ht="16.149999999999999" customHeight="1">
      <c r="A1" s="1"/>
      <c r="B1" s="1"/>
      <c r="C1" s="1"/>
      <c r="D1" s="1"/>
      <c r="E1" s="1"/>
      <c r="F1" s="1"/>
      <c r="G1" s="1"/>
      <c r="H1" s="1"/>
      <c r="I1" s="1"/>
      <c r="J1" s="1"/>
      <c r="K1" s="1"/>
      <c r="L1" s="1"/>
    </row>
    <row r="2" spans="1:13" ht="16.149999999999999" customHeight="1">
      <c r="A2" s="373" t="s">
        <v>584</v>
      </c>
      <c r="B2" s="373"/>
      <c r="C2" s="373"/>
      <c r="D2" s="373"/>
      <c r="E2" s="373"/>
      <c r="F2" s="373"/>
      <c r="G2" s="373"/>
      <c r="H2" s="373"/>
      <c r="I2" s="3"/>
      <c r="J2" s="3"/>
      <c r="K2" s="4"/>
      <c r="L2" s="1"/>
    </row>
    <row r="3" spans="1:13" ht="16.149999999999999" customHeight="1">
      <c r="A3" s="373"/>
      <c r="B3" s="373"/>
      <c r="C3" s="373"/>
      <c r="D3" s="373"/>
      <c r="E3" s="373"/>
      <c r="F3" s="373"/>
      <c r="G3" s="373"/>
      <c r="H3" s="373"/>
      <c r="I3" s="3"/>
      <c r="J3" s="3"/>
      <c r="K3" s="4"/>
      <c r="L3" s="1"/>
    </row>
    <row r="4" spans="1:13" ht="16.149999999999999" customHeight="1">
      <c r="A4" s="373"/>
      <c r="B4" s="373"/>
      <c r="C4" s="373"/>
      <c r="D4" s="373"/>
      <c r="E4" s="373"/>
      <c r="F4" s="373"/>
      <c r="G4" s="373"/>
      <c r="H4" s="373"/>
      <c r="I4" s="3"/>
      <c r="J4" s="3"/>
      <c r="K4" s="4"/>
      <c r="L4" s="1"/>
    </row>
    <row r="5" spans="1:13" ht="16.149999999999999" customHeight="1">
      <c r="A5" s="373"/>
      <c r="B5" s="373"/>
      <c r="C5" s="373"/>
      <c r="D5" s="373"/>
      <c r="E5" s="373"/>
      <c r="F5" s="373"/>
      <c r="G5" s="373"/>
      <c r="H5" s="373"/>
      <c r="I5" s="3"/>
      <c r="J5" s="3"/>
      <c r="K5" s="4"/>
      <c r="L5" s="1"/>
    </row>
    <row r="6" spans="1:13" ht="16.149999999999999" customHeight="1">
      <c r="A6" s="373"/>
      <c r="B6" s="373"/>
      <c r="C6" s="373"/>
      <c r="D6" s="373"/>
      <c r="E6" s="373"/>
      <c r="F6" s="373"/>
      <c r="G6" s="373"/>
      <c r="H6" s="373"/>
      <c r="I6" s="3"/>
      <c r="J6" s="3"/>
      <c r="K6" s="4"/>
      <c r="L6" s="5"/>
      <c r="M6" s="6"/>
    </row>
    <row r="7" spans="1:13" ht="16.149999999999999" customHeight="1">
      <c r="A7" s="373"/>
      <c r="B7" s="373"/>
      <c r="C7" s="373"/>
      <c r="D7" s="373"/>
      <c r="E7" s="373"/>
      <c r="F7" s="373"/>
      <c r="G7" s="373"/>
      <c r="H7" s="373"/>
      <c r="I7" s="3"/>
      <c r="J7" s="3"/>
      <c r="K7" s="4"/>
      <c r="L7" s="5"/>
      <c r="M7" s="6"/>
    </row>
    <row r="8" spans="1:13" ht="16.149999999999999" customHeight="1">
      <c r="A8" s="373"/>
      <c r="B8" s="373"/>
      <c r="C8" s="373"/>
      <c r="D8" s="373"/>
      <c r="E8" s="373"/>
      <c r="F8" s="373"/>
      <c r="G8" s="373"/>
      <c r="H8" s="373"/>
      <c r="I8" s="3"/>
      <c r="J8" s="3"/>
      <c r="K8" s="4"/>
      <c r="L8" s="5"/>
      <c r="M8" s="6"/>
    </row>
    <row r="9" spans="1:13" ht="16.149999999999999" customHeight="1">
      <c r="A9" s="373"/>
      <c r="B9" s="373"/>
      <c r="C9" s="373"/>
      <c r="D9" s="373"/>
      <c r="E9" s="373"/>
      <c r="F9" s="373"/>
      <c r="G9" s="373"/>
      <c r="H9" s="373"/>
      <c r="I9" s="3"/>
      <c r="J9" s="3"/>
      <c r="K9" s="4"/>
      <c r="L9" s="5"/>
      <c r="M9" s="6"/>
    </row>
    <row r="10" spans="1:13" ht="16.149999999999999" customHeight="1">
      <c r="A10" s="1"/>
      <c r="B10" s="1"/>
      <c r="C10" s="1"/>
      <c r="D10" s="1"/>
      <c r="E10" s="1"/>
      <c r="F10" s="1"/>
      <c r="G10" s="1"/>
      <c r="H10" s="1"/>
      <c r="I10" s="1"/>
      <c r="J10" s="1"/>
      <c r="K10" s="1"/>
      <c r="L10" s="1"/>
    </row>
    <row r="11" spans="1:13" ht="16.149999999999999" customHeight="1">
      <c r="A11" s="7"/>
      <c r="B11" s="7"/>
      <c r="C11" s="7"/>
      <c r="D11" s="7"/>
      <c r="E11" s="7"/>
      <c r="F11" s="7"/>
      <c r="G11" s="7"/>
      <c r="H11" s="7"/>
      <c r="I11" s="7"/>
      <c r="J11" s="7"/>
      <c r="K11" s="7"/>
      <c r="L11" s="7"/>
    </row>
    <row r="12" spans="1:13" ht="16.149999999999999" customHeight="1">
      <c r="A12" s="7"/>
      <c r="B12" s="7"/>
      <c r="C12" s="7"/>
      <c r="D12" s="7"/>
      <c r="E12" s="7"/>
      <c r="F12" s="7"/>
      <c r="G12" s="7"/>
      <c r="H12" s="7"/>
      <c r="I12" s="7"/>
      <c r="J12" s="7"/>
      <c r="K12" s="7"/>
      <c r="L12" s="7"/>
    </row>
    <row r="13" spans="1:13" ht="16.149999999999999" customHeight="1">
      <c r="A13" s="7"/>
      <c r="B13" s="7"/>
      <c r="C13" s="7"/>
      <c r="D13" s="7"/>
      <c r="E13" s="7"/>
      <c r="F13" s="7"/>
      <c r="G13" s="7"/>
      <c r="H13" s="7"/>
      <c r="I13" s="7"/>
      <c r="J13" s="7"/>
      <c r="K13" s="7"/>
      <c r="L13" s="7"/>
    </row>
    <row r="14" spans="1:13" ht="16.149999999999999" customHeight="1">
      <c r="A14" s="7"/>
      <c r="B14" s="7"/>
      <c r="C14" s="7"/>
      <c r="D14" s="7"/>
      <c r="E14" s="7"/>
      <c r="F14" s="7"/>
      <c r="G14" s="7"/>
      <c r="H14" s="7"/>
      <c r="I14" s="7"/>
      <c r="J14" s="7"/>
      <c r="K14" s="7"/>
      <c r="L14" s="7"/>
    </row>
    <row r="15" spans="1:13" ht="16.149999999999999" customHeight="1">
      <c r="A15" s="7"/>
      <c r="B15" s="7"/>
      <c r="C15" s="7"/>
      <c r="D15" s="7"/>
      <c r="E15" s="7"/>
      <c r="F15" s="7"/>
      <c r="G15" s="7"/>
      <c r="H15" s="7"/>
      <c r="I15" s="7"/>
      <c r="J15" s="7"/>
      <c r="K15" s="7"/>
      <c r="L15" s="7"/>
    </row>
    <row r="16" spans="1:13" ht="16.149999999999999" customHeight="1">
      <c r="A16" s="7"/>
      <c r="B16" s="7"/>
      <c r="C16" s="7"/>
      <c r="D16" s="7"/>
      <c r="E16" s="7"/>
      <c r="F16" s="7"/>
      <c r="G16" s="7"/>
      <c r="H16" s="7"/>
      <c r="I16" s="7"/>
      <c r="J16" s="7"/>
      <c r="K16" s="7"/>
      <c r="L16" s="7"/>
    </row>
    <row r="17" spans="1:12" ht="16.149999999999999" customHeight="1">
      <c r="A17" s="7"/>
      <c r="B17" s="7"/>
      <c r="C17" s="7"/>
      <c r="D17" s="7"/>
      <c r="E17" s="7"/>
      <c r="F17" s="7"/>
      <c r="G17" s="7"/>
      <c r="H17" s="7"/>
      <c r="I17" s="7"/>
      <c r="J17" s="7"/>
      <c r="K17" s="7"/>
      <c r="L17" s="7"/>
    </row>
    <row r="18" spans="1:12" ht="16.149999999999999" customHeight="1">
      <c r="A18" s="7"/>
      <c r="B18" s="7"/>
      <c r="C18" s="7"/>
      <c r="D18" s="7"/>
      <c r="E18" s="7"/>
      <c r="F18" s="7"/>
      <c r="G18" s="7"/>
      <c r="H18" s="7"/>
      <c r="I18" s="7"/>
      <c r="J18" s="7"/>
      <c r="K18" s="7"/>
      <c r="L18" s="7"/>
    </row>
    <row r="19" spans="1:12" ht="16.149999999999999" customHeight="1">
      <c r="A19" s="7"/>
      <c r="B19" s="7"/>
      <c r="C19" s="7"/>
      <c r="D19" s="7"/>
      <c r="E19" s="7"/>
      <c r="F19" s="7"/>
      <c r="G19" s="7"/>
      <c r="H19" s="7"/>
      <c r="I19" s="7"/>
      <c r="J19" s="7"/>
      <c r="K19" s="7"/>
      <c r="L19" s="7"/>
    </row>
    <row r="20" spans="1:12" ht="15.75" customHeight="1">
      <c r="A20" s="7"/>
      <c r="B20" s="7"/>
      <c r="C20" s="7"/>
      <c r="D20" s="7"/>
      <c r="E20" s="7"/>
      <c r="F20" s="7"/>
      <c r="G20" s="7"/>
      <c r="H20" s="7"/>
      <c r="I20" s="7"/>
      <c r="J20" s="7"/>
      <c r="K20" s="7"/>
      <c r="L20" s="7"/>
    </row>
    <row r="21" spans="1:12" ht="15.75" customHeight="1">
      <c r="A21" s="7"/>
      <c r="B21" s="7"/>
      <c r="C21" s="7"/>
      <c r="D21" s="7"/>
      <c r="E21" s="7"/>
      <c r="F21" s="7"/>
      <c r="G21" s="7"/>
      <c r="H21" s="7"/>
      <c r="I21" s="7"/>
      <c r="J21" s="7"/>
      <c r="K21" s="7"/>
      <c r="L21" s="7"/>
    </row>
    <row r="22" spans="1:12" ht="15.75" customHeight="1">
      <c r="A22" s="7"/>
      <c r="B22" s="7"/>
      <c r="C22" s="7"/>
      <c r="D22" s="7"/>
      <c r="E22" s="7"/>
      <c r="F22" s="7"/>
      <c r="G22" s="7"/>
      <c r="H22" s="7"/>
      <c r="I22" s="7"/>
      <c r="J22" s="7"/>
      <c r="K22" s="7"/>
      <c r="L22" s="7"/>
    </row>
    <row r="23" spans="1:12" ht="15.75" customHeight="1">
      <c r="A23" s="7"/>
      <c r="B23" s="7"/>
      <c r="C23" s="7"/>
      <c r="D23" s="7"/>
      <c r="E23" s="7"/>
      <c r="F23" s="7"/>
      <c r="G23" s="7"/>
      <c r="H23" s="7"/>
      <c r="I23" s="7"/>
      <c r="J23" s="7"/>
      <c r="K23" s="7"/>
      <c r="L23" s="7"/>
    </row>
    <row r="24" spans="1:12" ht="15.75" customHeight="1">
      <c r="A24" s="7"/>
      <c r="B24" s="7"/>
      <c r="C24" s="7"/>
      <c r="D24" s="7"/>
      <c r="E24" s="7"/>
      <c r="F24" s="7"/>
      <c r="G24" s="7"/>
      <c r="H24" s="7"/>
      <c r="I24" s="7"/>
      <c r="J24" s="7"/>
      <c r="K24" s="7"/>
      <c r="L24" s="7"/>
    </row>
    <row r="25" spans="1:12" ht="15.75" customHeight="1">
      <c r="A25" s="7"/>
      <c r="B25" s="7"/>
      <c r="C25" s="7"/>
      <c r="D25" s="7"/>
      <c r="E25" s="7"/>
      <c r="F25" s="7"/>
      <c r="G25" s="7"/>
      <c r="H25" s="7"/>
      <c r="I25" s="7"/>
      <c r="J25" s="7"/>
      <c r="K25" s="7"/>
      <c r="L25" s="7"/>
    </row>
    <row r="26" spans="1:12" ht="15.75" customHeight="1">
      <c r="A26" s="7"/>
      <c r="B26" s="7"/>
      <c r="C26" s="7"/>
      <c r="D26" s="7"/>
      <c r="E26" s="7"/>
      <c r="F26" s="7"/>
      <c r="G26" s="7"/>
      <c r="H26" s="7"/>
      <c r="I26" s="7"/>
      <c r="J26" s="7"/>
      <c r="K26" s="7"/>
      <c r="L26" s="7"/>
    </row>
    <row r="27" spans="1:12" ht="15.75" customHeight="1">
      <c r="A27" s="7"/>
      <c r="B27" s="7"/>
      <c r="C27" s="7"/>
      <c r="D27" s="7"/>
      <c r="E27" s="7"/>
      <c r="F27" s="7"/>
      <c r="G27" s="7"/>
      <c r="H27" s="7"/>
      <c r="I27" s="7"/>
      <c r="J27" s="7"/>
      <c r="K27" s="7"/>
      <c r="L27" s="7"/>
    </row>
    <row r="28" spans="1:12" ht="15.75" customHeight="1">
      <c r="A28" s="7"/>
      <c r="B28" s="7"/>
      <c r="C28" s="7"/>
      <c r="D28" s="7"/>
      <c r="E28" s="7"/>
      <c r="F28" s="7"/>
      <c r="G28" s="7"/>
      <c r="H28" s="7"/>
      <c r="I28" s="7"/>
      <c r="J28" s="7"/>
      <c r="K28" s="7"/>
      <c r="L28" s="7"/>
    </row>
    <row r="29" spans="1:12" ht="15.75" customHeight="1">
      <c r="A29" s="7"/>
      <c r="B29" s="7"/>
      <c r="C29" s="7"/>
      <c r="D29" s="7"/>
      <c r="E29" s="7"/>
      <c r="F29" s="7"/>
      <c r="G29" s="7"/>
      <c r="H29" s="7"/>
      <c r="I29" s="7"/>
      <c r="J29" s="7"/>
      <c r="K29" s="7"/>
      <c r="L29" s="7"/>
    </row>
    <row r="30" spans="1:12" ht="15.75" customHeight="1">
      <c r="A30" s="7"/>
      <c r="B30" s="7"/>
      <c r="C30" s="7"/>
      <c r="D30" s="7"/>
      <c r="E30" s="7"/>
      <c r="F30" s="7"/>
      <c r="G30" s="7"/>
      <c r="H30" s="7"/>
      <c r="I30" s="7"/>
      <c r="J30" s="7"/>
      <c r="K30" s="7"/>
      <c r="L30" s="7"/>
    </row>
    <row r="31" spans="1:12" ht="15.75" customHeight="1">
      <c r="A31" s="7"/>
      <c r="B31" s="7"/>
      <c r="C31" s="7"/>
      <c r="D31" s="7"/>
      <c r="E31" s="7"/>
      <c r="F31" s="7"/>
      <c r="G31" s="7"/>
      <c r="H31" s="7"/>
      <c r="I31" s="7"/>
      <c r="J31" s="7"/>
      <c r="K31" s="7"/>
      <c r="L31" s="7"/>
    </row>
    <row r="32" spans="1:12" ht="15.75" customHeight="1">
      <c r="A32" s="7"/>
      <c r="B32" s="7"/>
      <c r="C32" s="7"/>
      <c r="D32" s="7"/>
      <c r="E32" s="7"/>
      <c r="F32" s="7"/>
      <c r="G32" s="7"/>
      <c r="H32" s="7"/>
      <c r="I32" s="7"/>
      <c r="J32" s="7"/>
      <c r="K32" s="7"/>
      <c r="L32" s="7"/>
    </row>
    <row r="33" spans="1:18" ht="16.149999999999999" customHeight="1">
      <c r="A33" s="374" t="s">
        <v>0</v>
      </c>
      <c r="B33" s="374"/>
      <c r="C33" s="397"/>
      <c r="D33" s="397"/>
      <c r="E33" s="397"/>
      <c r="F33" s="397"/>
      <c r="G33" s="397"/>
      <c r="H33" s="397"/>
      <c r="I33" s="397"/>
      <c r="J33" s="397"/>
      <c r="K33" s="397"/>
      <c r="L33" s="397"/>
    </row>
    <row r="34" spans="1:18" ht="16.149999999999999" customHeight="1">
      <c r="A34" s="374" t="s">
        <v>1</v>
      </c>
      <c r="B34" s="374"/>
      <c r="C34" s="379" t="s">
        <v>77</v>
      </c>
      <c r="D34" s="379"/>
      <c r="E34" s="379"/>
      <c r="F34" s="379"/>
      <c r="G34" s="379"/>
      <c r="H34" s="379"/>
      <c r="I34" s="379"/>
      <c r="J34" s="379"/>
      <c r="K34" s="379"/>
      <c r="L34" s="379"/>
    </row>
    <row r="35" spans="1:18" ht="16.149999999999999" customHeight="1">
      <c r="A35" s="374"/>
      <c r="B35" s="374"/>
      <c r="C35" s="548"/>
      <c r="D35" s="548"/>
      <c r="E35" s="548"/>
      <c r="F35" s="548"/>
      <c r="G35" s="548"/>
      <c r="H35" s="548"/>
      <c r="I35" s="548"/>
      <c r="J35" s="548"/>
      <c r="K35" s="548"/>
      <c r="L35" s="548"/>
    </row>
    <row r="36" spans="1:18" ht="9.9499999999999993" customHeight="1">
      <c r="A36" s="7"/>
      <c r="B36" s="7"/>
      <c r="C36" s="7"/>
      <c r="D36" s="8"/>
      <c r="E36" s="7"/>
      <c r="F36" s="9"/>
      <c r="G36" s="9"/>
      <c r="H36" s="9"/>
      <c r="I36" s="9"/>
      <c r="J36" s="9"/>
      <c r="K36" s="9"/>
      <c r="L36" s="9"/>
    </row>
    <row r="37" spans="1:18" ht="16.149999999999999" customHeight="1">
      <c r="A37" s="7"/>
      <c r="B37" s="7"/>
      <c r="C37" s="7"/>
      <c r="D37" s="7"/>
      <c r="E37" s="7"/>
      <c r="F37" s="7"/>
      <c r="G37" s="7"/>
      <c r="H37" s="7"/>
      <c r="I37" s="7"/>
      <c r="J37" s="7"/>
      <c r="K37" s="7"/>
      <c r="L37" s="7"/>
    </row>
    <row r="38" spans="1:18" ht="16.149999999999999" customHeight="1">
      <c r="A38" s="10" t="s">
        <v>4</v>
      </c>
      <c r="B38" s="7"/>
      <c r="C38" s="7"/>
      <c r="D38" s="31">
        <f ca="1">VLOOKUP(C34,OFFSET(Mallas_U_SI,,,,5),5,0)</f>
        <v>6.5</v>
      </c>
      <c r="E38" s="11" t="s">
        <v>5</v>
      </c>
      <c r="F38" s="7"/>
      <c r="G38" s="11" t="s">
        <v>6</v>
      </c>
      <c r="H38" s="12"/>
      <c r="K38" s="35">
        <v>1000</v>
      </c>
      <c r="L38" s="11" t="s">
        <v>5</v>
      </c>
    </row>
    <row r="39" spans="1:18" ht="16.149999999999999" customHeight="1">
      <c r="A39" s="10" t="s">
        <v>7</v>
      </c>
      <c r="B39" s="7"/>
      <c r="C39" s="7"/>
      <c r="D39" s="32">
        <f ca="1">VLOOKUP(C34,OFFSET(Mallas_U_SI,,,,2),2,0)</f>
        <v>150</v>
      </c>
      <c r="E39" s="11" t="s">
        <v>5</v>
      </c>
      <c r="F39" s="7"/>
      <c r="G39" s="11" t="s">
        <v>8</v>
      </c>
      <c r="H39" s="12"/>
      <c r="K39" s="36">
        <f ca="1">PI()*(D38^2/4)/D39*K38</f>
        <v>221.22048269028127</v>
      </c>
      <c r="L39" s="11" t="s">
        <v>9</v>
      </c>
      <c r="Q39" s="189"/>
    </row>
    <row r="40" spans="1:18" ht="18.75" customHeight="1">
      <c r="A40" s="10" t="s">
        <v>580</v>
      </c>
      <c r="B40" s="7"/>
      <c r="C40" s="7"/>
      <c r="D40" s="33">
        <v>100</v>
      </c>
      <c r="E40" s="11" t="s">
        <v>5</v>
      </c>
      <c r="F40" s="7"/>
      <c r="G40" s="11" t="s">
        <v>11</v>
      </c>
      <c r="H40" s="12"/>
      <c r="K40" s="36">
        <f ca="1">IF(D40&lt;&gt;"",K39/D40/K38*100,"")</f>
        <v>0.2212204826902813</v>
      </c>
      <c r="L40" s="11" t="s">
        <v>12</v>
      </c>
      <c r="Q40" s="189"/>
    </row>
    <row r="41" spans="1:18" ht="23.25" customHeight="1">
      <c r="A41" s="10" t="s">
        <v>13</v>
      </c>
      <c r="B41" s="7"/>
      <c r="C41" s="7"/>
      <c r="D41" s="34">
        <v>21</v>
      </c>
      <c r="E41" s="11" t="s">
        <v>14</v>
      </c>
      <c r="F41" s="7"/>
      <c r="G41" s="7"/>
      <c r="H41" s="7"/>
      <c r="I41" s="7"/>
      <c r="J41" s="7"/>
      <c r="K41" s="7"/>
      <c r="L41" s="7"/>
      <c r="Q41" s="189"/>
    </row>
    <row r="42" spans="1:18" ht="21.75" customHeight="1">
      <c r="A42" s="10" t="s">
        <v>15</v>
      </c>
      <c r="B42" s="7"/>
      <c r="C42" s="7"/>
      <c r="D42" s="34">
        <v>400</v>
      </c>
      <c r="E42" s="11" t="s">
        <v>14</v>
      </c>
      <c r="F42" s="7"/>
      <c r="G42" s="548"/>
      <c r="H42" s="548"/>
      <c r="I42" s="548"/>
      <c r="J42" s="548"/>
      <c r="K42" s="548"/>
      <c r="L42" s="7"/>
    </row>
    <row r="43" spans="1:18" ht="16.149999999999999" customHeight="1">
      <c r="A43" s="13"/>
      <c r="B43" s="7"/>
      <c r="C43" s="7"/>
      <c r="D43" s="7"/>
      <c r="E43" s="7"/>
      <c r="F43" s="7"/>
      <c r="G43" s="548"/>
      <c r="H43" s="548"/>
      <c r="I43" s="548"/>
      <c r="J43" s="548"/>
      <c r="K43" s="548"/>
      <c r="L43" s="7"/>
    </row>
    <row r="44" spans="1:18" ht="16.149999999999999" customHeight="1">
      <c r="A44" s="13"/>
      <c r="B44" s="7"/>
      <c r="C44" s="7"/>
      <c r="D44" s="7"/>
      <c r="E44" s="7"/>
      <c r="F44" s="7"/>
      <c r="G44" s="548"/>
      <c r="H44" s="548"/>
      <c r="I44" s="548"/>
      <c r="J44" s="548"/>
      <c r="K44" s="548"/>
      <c r="L44" s="7"/>
    </row>
    <row r="45" spans="1:18" ht="16.149999999999999" customHeight="1">
      <c r="A45" s="548"/>
      <c r="B45" s="548"/>
      <c r="C45" s="548"/>
      <c r="D45" s="380"/>
      <c r="E45" s="380"/>
      <c r="F45" s="380"/>
      <c r="G45" s="42"/>
    </row>
    <row r="46" spans="1:18" ht="16.149999999999999" hidden="1" customHeight="1">
      <c r="A46" s="380" t="s">
        <v>581</v>
      </c>
      <c r="B46" s="380"/>
      <c r="C46" s="400"/>
      <c r="D46" s="50">
        <f ca="1">IF(AND(D40&lt;&gt;"",D41&lt;&gt;"",D42&lt;&gt;""),0.9*K39*D42*(D40/2-(K39*D42/(0.85*D41*K38))),"")</f>
        <v>3587170.689406137</v>
      </c>
      <c r="E46" s="11" t="s">
        <v>582</v>
      </c>
      <c r="F46" s="7"/>
      <c r="N46" s="14"/>
    </row>
    <row r="47" spans="1:18" ht="16.149999999999999" customHeight="1">
      <c r="A47" s="380" t="s">
        <v>581</v>
      </c>
      <c r="B47" s="380"/>
      <c r="C47" s="400"/>
      <c r="D47" s="32">
        <f ca="1">D46/1000000</f>
        <v>3.587170689406137</v>
      </c>
      <c r="E47" s="11" t="s">
        <v>94</v>
      </c>
      <c r="F47" s="7"/>
      <c r="N47" s="14"/>
    </row>
    <row r="48" spans="1:18" ht="16.149999999999999" customHeight="1">
      <c r="A48" s="548"/>
      <c r="B48" s="548"/>
      <c r="C48" s="548"/>
      <c r="D48" s="185"/>
      <c r="E48" s="11"/>
      <c r="F48" s="7"/>
      <c r="M48" s="15"/>
      <c r="N48" s="15"/>
      <c r="O48" s="15"/>
      <c r="P48" s="15"/>
      <c r="Q48" s="15"/>
      <c r="R48" s="15"/>
    </row>
    <row r="49" spans="1:19" ht="32.25" customHeight="1">
      <c r="A49" s="374" t="s">
        <v>583</v>
      </c>
      <c r="B49" s="374"/>
      <c r="C49" s="375"/>
      <c r="D49" s="32">
        <f ca="1">IF(D46&lt;&gt;"",6*D46/(K38*D40^2),"")</f>
        <v>2.1523024136436821</v>
      </c>
      <c r="E49" s="11" t="s">
        <v>14</v>
      </c>
      <c r="F49" s="16"/>
      <c r="I49" s="393" t="s">
        <v>20</v>
      </c>
      <c r="J49" s="393"/>
      <c r="K49" s="393"/>
      <c r="L49" s="393"/>
      <c r="M49" s="15"/>
      <c r="N49" s="17"/>
      <c r="O49" s="15"/>
      <c r="P49" s="15"/>
      <c r="Q49" s="15"/>
      <c r="R49" s="15"/>
    </row>
    <row r="50" spans="1:19" ht="16.149999999999999" customHeight="1" thickBot="1">
      <c r="A50" s="7"/>
      <c r="B50" s="7"/>
      <c r="C50" s="7"/>
      <c r="D50" s="7"/>
      <c r="E50" s="7"/>
      <c r="F50" s="7"/>
      <c r="G50" s="7"/>
      <c r="H50" s="7"/>
      <c r="I50" s="393"/>
      <c r="J50" s="393"/>
      <c r="K50" s="393"/>
      <c r="L50" s="393"/>
      <c r="M50" s="15"/>
      <c r="N50" s="15"/>
      <c r="O50" s="15"/>
      <c r="P50" s="15"/>
      <c r="Q50" s="15"/>
      <c r="R50" s="15"/>
    </row>
    <row r="51" spans="1:19" ht="22.5" customHeight="1" thickBot="1">
      <c r="A51" s="394" t="s">
        <v>21</v>
      </c>
      <c r="B51" s="394"/>
      <c r="C51" s="394"/>
      <c r="D51" s="394"/>
      <c r="E51" s="395"/>
      <c r="F51" s="18">
        <v>12.534636614158011</v>
      </c>
      <c r="G51" s="19" t="s">
        <v>22</v>
      </c>
      <c r="H51" s="20" t="s">
        <v>23</v>
      </c>
      <c r="I51" s="393"/>
      <c r="J51" s="393"/>
      <c r="K51" s="393"/>
      <c r="L51" s="393"/>
      <c r="M51" s="15"/>
      <c r="N51" s="15"/>
      <c r="O51" s="15"/>
      <c r="P51" s="15"/>
      <c r="Q51" s="15"/>
      <c r="R51" s="15"/>
    </row>
    <row r="52" spans="1:19" ht="16.149999999999999" customHeight="1">
      <c r="A52" s="396"/>
      <c r="B52" s="396"/>
      <c r="C52" s="396"/>
      <c r="D52" s="396"/>
      <c r="E52" s="396"/>
      <c r="F52" s="396"/>
      <c r="G52" s="396"/>
      <c r="H52" s="7"/>
      <c r="I52" s="393"/>
      <c r="J52" s="393"/>
      <c r="K52" s="393"/>
      <c r="L52" s="393"/>
      <c r="M52" s="15"/>
      <c r="N52" s="15"/>
      <c r="O52" s="15"/>
      <c r="P52" s="15"/>
      <c r="Q52" s="15"/>
      <c r="R52" s="15"/>
    </row>
    <row r="53" spans="1:19" ht="16.149999999999999" customHeight="1">
      <c r="A53" s="7"/>
      <c r="B53" s="7"/>
      <c r="C53" s="7"/>
      <c r="D53" s="7"/>
      <c r="E53" s="7"/>
      <c r="F53" s="7"/>
      <c r="G53" s="7"/>
      <c r="H53" s="7"/>
      <c r="I53" s="7"/>
      <c r="J53" s="7"/>
      <c r="K53" s="7"/>
      <c r="L53" s="7"/>
      <c r="M53" s="15"/>
    </row>
    <row r="54" spans="1:19" ht="16.149999999999999" customHeight="1">
      <c r="A54" s="21"/>
      <c r="B54" s="7"/>
      <c r="C54" s="7"/>
      <c r="D54" s="7"/>
      <c r="E54" s="7"/>
      <c r="F54" s="7"/>
      <c r="G54" s="7"/>
      <c r="H54" s="7"/>
      <c r="I54" s="7"/>
      <c r="J54" s="7"/>
      <c r="K54" s="7"/>
      <c r="L54" s="7"/>
    </row>
    <row r="55" spans="1:19" ht="16.149999999999999" hidden="1" customHeight="1"/>
    <row r="56" spans="1:19" ht="16.149999999999999" hidden="1" customHeight="1"/>
    <row r="57" spans="1:19" ht="32.25" hidden="1" customHeight="1">
      <c r="N57" s="23" t="s">
        <v>24</v>
      </c>
      <c r="O57" s="23" t="s">
        <v>25</v>
      </c>
      <c r="P57" s="23" t="s">
        <v>26</v>
      </c>
      <c r="Q57" s="23" t="s">
        <v>27</v>
      </c>
      <c r="R57" s="24" t="s">
        <v>28</v>
      </c>
      <c r="S57" s="24" t="s">
        <v>29</v>
      </c>
    </row>
    <row r="58" spans="1:19" ht="16.149999999999999" hidden="1" customHeight="1">
      <c r="N58" s="25" t="s">
        <v>30</v>
      </c>
      <c r="O58" s="26">
        <v>50</v>
      </c>
      <c r="P58" s="27">
        <v>25.8</v>
      </c>
      <c r="Q58" s="27">
        <v>25.8</v>
      </c>
      <c r="R58" s="27">
        <f t="shared" ref="R58:R89" si="0">SQRT(4*P58/PI())</f>
        <v>5.7314553347441519</v>
      </c>
      <c r="S58" s="27">
        <f t="shared" ref="S58:S89" si="1">SQRT(4*Q58/PI())</f>
        <v>5.7314553347441519</v>
      </c>
    </row>
    <row r="59" spans="1:19" ht="16.149999999999999" hidden="1" customHeight="1">
      <c r="N59" s="25" t="s">
        <v>31</v>
      </c>
      <c r="O59" s="26">
        <v>50</v>
      </c>
      <c r="P59" s="27">
        <v>18.7</v>
      </c>
      <c r="Q59" s="27">
        <v>18.7</v>
      </c>
      <c r="R59" s="27">
        <f t="shared" si="0"/>
        <v>4.8795060699365402</v>
      </c>
      <c r="S59" s="27">
        <f t="shared" si="1"/>
        <v>4.8795060699365402</v>
      </c>
    </row>
    <row r="60" spans="1:19" ht="16.149999999999999" hidden="1" customHeight="1">
      <c r="N60" s="25" t="s">
        <v>32</v>
      </c>
      <c r="O60" s="26">
        <v>50</v>
      </c>
      <c r="P60" s="27">
        <v>13.3</v>
      </c>
      <c r="Q60" s="27">
        <v>13.3</v>
      </c>
      <c r="R60" s="27">
        <f t="shared" si="0"/>
        <v>4.1151046092387089</v>
      </c>
      <c r="S60" s="27">
        <f t="shared" si="1"/>
        <v>4.1151046092387089</v>
      </c>
    </row>
    <row r="61" spans="1:19" ht="16.149999999999999" hidden="1" customHeight="1">
      <c r="N61" s="25" t="s">
        <v>33</v>
      </c>
      <c r="O61" s="26">
        <v>50</v>
      </c>
      <c r="P61" s="27">
        <v>9.1</v>
      </c>
      <c r="Q61" s="27">
        <v>9.1</v>
      </c>
      <c r="R61" s="27">
        <f t="shared" si="0"/>
        <v>3.4038918691829769</v>
      </c>
      <c r="S61" s="27">
        <f t="shared" si="1"/>
        <v>3.4038918691829769</v>
      </c>
    </row>
    <row r="62" spans="1:19" ht="16.149999999999999" hidden="1" customHeight="1">
      <c r="N62" s="25" t="s">
        <v>34</v>
      </c>
      <c r="O62" s="26">
        <v>50</v>
      </c>
      <c r="P62" s="27">
        <v>5.6</v>
      </c>
      <c r="Q62" s="27">
        <v>5.6</v>
      </c>
      <c r="R62" s="27">
        <f t="shared" si="0"/>
        <v>2.6702324712498182</v>
      </c>
      <c r="S62" s="27">
        <f t="shared" si="1"/>
        <v>2.6702324712498182</v>
      </c>
    </row>
    <row r="63" spans="1:19" ht="16.149999999999999" hidden="1" customHeight="1">
      <c r="N63" s="25" t="s">
        <v>35</v>
      </c>
      <c r="O63" s="26">
        <v>50</v>
      </c>
      <c r="P63" s="27">
        <v>3.2</v>
      </c>
      <c r="Q63" s="27">
        <v>3.2</v>
      </c>
      <c r="R63" s="27">
        <f t="shared" si="0"/>
        <v>2.018506017616128</v>
      </c>
      <c r="S63" s="27">
        <f t="shared" si="1"/>
        <v>2.018506017616128</v>
      </c>
    </row>
    <row r="64" spans="1:19" ht="16.149999999999999" hidden="1" customHeight="1">
      <c r="N64" s="25" t="s">
        <v>36</v>
      </c>
      <c r="O64" s="26">
        <v>50</v>
      </c>
      <c r="P64" s="27">
        <v>2</v>
      </c>
      <c r="Q64" s="27">
        <v>2</v>
      </c>
      <c r="R64" s="27">
        <f t="shared" si="0"/>
        <v>1.5957691216057308</v>
      </c>
      <c r="S64" s="27">
        <f t="shared" si="1"/>
        <v>1.5957691216057308</v>
      </c>
    </row>
    <row r="65" spans="14:19" ht="16.149999999999999" hidden="1" customHeight="1">
      <c r="N65" s="25" t="s">
        <v>37</v>
      </c>
      <c r="O65" s="26">
        <v>76</v>
      </c>
      <c r="P65" s="27">
        <v>13.3</v>
      </c>
      <c r="Q65" s="27">
        <v>13.3</v>
      </c>
      <c r="R65" s="27">
        <f t="shared" si="0"/>
        <v>4.1151046092387089</v>
      </c>
      <c r="S65" s="27">
        <f t="shared" si="1"/>
        <v>4.1151046092387089</v>
      </c>
    </row>
    <row r="66" spans="14:19" ht="16.149999999999999" hidden="1" customHeight="1">
      <c r="N66" s="25" t="s">
        <v>38</v>
      </c>
      <c r="O66" s="26">
        <v>76</v>
      </c>
      <c r="P66" s="27">
        <v>9.1</v>
      </c>
      <c r="Q66" s="27">
        <v>9.1</v>
      </c>
      <c r="R66" s="27">
        <f t="shared" si="0"/>
        <v>3.4038918691829769</v>
      </c>
      <c r="S66" s="27">
        <f t="shared" si="1"/>
        <v>3.4038918691829769</v>
      </c>
    </row>
    <row r="67" spans="14:19" ht="16.149999999999999" hidden="1" customHeight="1">
      <c r="N67" s="25" t="s">
        <v>39</v>
      </c>
      <c r="O67" s="26">
        <v>76</v>
      </c>
      <c r="P67" s="27">
        <v>5.6</v>
      </c>
      <c r="Q67" s="27">
        <v>5.6</v>
      </c>
      <c r="R67" s="27">
        <f t="shared" si="0"/>
        <v>2.6702324712498182</v>
      </c>
      <c r="S67" s="27">
        <f t="shared" si="1"/>
        <v>2.6702324712498182</v>
      </c>
    </row>
    <row r="68" spans="14:19" ht="16.149999999999999" hidden="1" customHeight="1">
      <c r="N68" s="25" t="s">
        <v>40</v>
      </c>
      <c r="O68" s="26">
        <v>76</v>
      </c>
      <c r="P68" s="27">
        <v>3.2</v>
      </c>
      <c r="Q68" s="27">
        <v>3.2</v>
      </c>
      <c r="R68" s="27">
        <f t="shared" si="0"/>
        <v>2.018506017616128</v>
      </c>
      <c r="S68" s="27">
        <f t="shared" si="1"/>
        <v>2.018506017616128</v>
      </c>
    </row>
    <row r="69" spans="14:19" ht="16.149999999999999" hidden="1" customHeight="1">
      <c r="N69" s="25" t="s">
        <v>41</v>
      </c>
      <c r="O69" s="26">
        <v>102</v>
      </c>
      <c r="P69" s="27">
        <v>25.8</v>
      </c>
      <c r="Q69" s="27">
        <v>25.8</v>
      </c>
      <c r="R69" s="27">
        <f t="shared" si="0"/>
        <v>5.7314553347441519</v>
      </c>
      <c r="S69" s="27">
        <f t="shared" si="1"/>
        <v>5.7314553347441519</v>
      </c>
    </row>
    <row r="70" spans="14:19" ht="16.149999999999999" hidden="1" customHeight="1">
      <c r="N70" s="25" t="s">
        <v>42</v>
      </c>
      <c r="O70" s="26">
        <v>102</v>
      </c>
      <c r="P70" s="27">
        <v>18.7</v>
      </c>
      <c r="Q70" s="27">
        <v>18.7</v>
      </c>
      <c r="R70" s="27">
        <f t="shared" si="0"/>
        <v>4.8795060699365402</v>
      </c>
      <c r="S70" s="27">
        <f t="shared" si="1"/>
        <v>4.8795060699365402</v>
      </c>
    </row>
    <row r="71" spans="14:19" ht="16.149999999999999" hidden="1" customHeight="1">
      <c r="N71" s="25" t="s">
        <v>43</v>
      </c>
      <c r="O71" s="26">
        <v>102</v>
      </c>
      <c r="P71" s="27">
        <v>13.3</v>
      </c>
      <c r="Q71" s="27">
        <v>13.3</v>
      </c>
      <c r="R71" s="27">
        <f t="shared" si="0"/>
        <v>4.1151046092387089</v>
      </c>
      <c r="S71" s="27">
        <f t="shared" si="1"/>
        <v>4.1151046092387089</v>
      </c>
    </row>
    <row r="72" spans="14:19" ht="16.149999999999999" hidden="1" customHeight="1">
      <c r="N72" s="25" t="s">
        <v>44</v>
      </c>
      <c r="O72" s="26">
        <v>102</v>
      </c>
      <c r="P72" s="27">
        <v>11.1</v>
      </c>
      <c r="Q72" s="27">
        <v>11.1</v>
      </c>
      <c r="R72" s="27">
        <f t="shared" si="0"/>
        <v>3.7593827879800039</v>
      </c>
      <c r="S72" s="27">
        <f t="shared" si="1"/>
        <v>3.7593827879800039</v>
      </c>
    </row>
    <row r="73" spans="14:19" ht="16.149999999999999" hidden="1" customHeight="1">
      <c r="N73" s="25" t="s">
        <v>45</v>
      </c>
      <c r="O73" s="26">
        <v>102</v>
      </c>
      <c r="P73" s="27">
        <v>9.1</v>
      </c>
      <c r="Q73" s="27">
        <v>9.1</v>
      </c>
      <c r="R73" s="27">
        <f t="shared" si="0"/>
        <v>3.4038918691829769</v>
      </c>
      <c r="S73" s="27">
        <f t="shared" si="1"/>
        <v>3.4038918691829769</v>
      </c>
    </row>
    <row r="74" spans="14:19" ht="16.149999999999999" hidden="1" customHeight="1">
      <c r="N74" s="25" t="s">
        <v>46</v>
      </c>
      <c r="O74" s="26">
        <v>102</v>
      </c>
      <c r="P74" s="27">
        <v>5.6</v>
      </c>
      <c r="Q74" s="27">
        <v>5.6</v>
      </c>
      <c r="R74" s="27">
        <f t="shared" si="0"/>
        <v>2.6702324712498182</v>
      </c>
      <c r="S74" s="27">
        <f t="shared" si="1"/>
        <v>2.6702324712498182</v>
      </c>
    </row>
    <row r="75" spans="14:19" ht="16.149999999999999" hidden="1" customHeight="1">
      <c r="N75" s="25" t="s">
        <v>47</v>
      </c>
      <c r="O75" s="26">
        <v>102</v>
      </c>
      <c r="P75" s="27">
        <v>4.2</v>
      </c>
      <c r="Q75" s="27">
        <v>4.2</v>
      </c>
      <c r="R75" s="27">
        <f t="shared" si="0"/>
        <v>2.3124891541124435</v>
      </c>
      <c r="S75" s="27">
        <f t="shared" si="1"/>
        <v>2.3124891541124435</v>
      </c>
    </row>
    <row r="76" spans="14:19" ht="16.149999999999999" hidden="1" customHeight="1">
      <c r="N76" s="25" t="s">
        <v>48</v>
      </c>
      <c r="O76" s="26">
        <v>102</v>
      </c>
      <c r="P76" s="27">
        <v>3.2</v>
      </c>
      <c r="Q76" s="27">
        <v>3.2</v>
      </c>
      <c r="R76" s="27">
        <f t="shared" si="0"/>
        <v>2.018506017616128</v>
      </c>
      <c r="S76" s="27">
        <f t="shared" si="1"/>
        <v>2.018506017616128</v>
      </c>
    </row>
    <row r="77" spans="14:19" ht="16.149999999999999" hidden="1" customHeight="1">
      <c r="N77" s="25" t="s">
        <v>49</v>
      </c>
      <c r="O77" s="26">
        <v>152</v>
      </c>
      <c r="P77" s="27">
        <v>47.6</v>
      </c>
      <c r="Q77" s="27">
        <v>47.6</v>
      </c>
      <c r="R77" s="27">
        <f t="shared" si="0"/>
        <v>7.7849985439557887</v>
      </c>
      <c r="S77" s="27">
        <f t="shared" si="1"/>
        <v>7.7849985439557887</v>
      </c>
    </row>
    <row r="78" spans="14:19" ht="16.149999999999999" hidden="1" customHeight="1">
      <c r="N78" s="25" t="s">
        <v>50</v>
      </c>
      <c r="O78" s="26">
        <v>152</v>
      </c>
      <c r="P78" s="27">
        <v>40.6</v>
      </c>
      <c r="Q78" s="27">
        <v>40.6</v>
      </c>
      <c r="R78" s="27">
        <f t="shared" si="0"/>
        <v>7.1898209655211591</v>
      </c>
      <c r="S78" s="27">
        <f t="shared" si="1"/>
        <v>7.1898209655211591</v>
      </c>
    </row>
    <row r="79" spans="14:19" ht="16.149999999999999" hidden="1" customHeight="1">
      <c r="N79" s="25" t="s">
        <v>51</v>
      </c>
      <c r="O79" s="26">
        <v>152</v>
      </c>
      <c r="P79" s="27">
        <v>34.9</v>
      </c>
      <c r="Q79" s="27">
        <v>34.9</v>
      </c>
      <c r="R79" s="27">
        <f t="shared" si="0"/>
        <v>6.6660378120182591</v>
      </c>
      <c r="S79" s="27">
        <f t="shared" si="1"/>
        <v>6.6660378120182591</v>
      </c>
    </row>
    <row r="80" spans="14:19" ht="16.149999999999999" hidden="1" customHeight="1">
      <c r="N80" s="25" t="s">
        <v>52</v>
      </c>
      <c r="O80" s="26">
        <v>152</v>
      </c>
      <c r="P80" s="27">
        <v>30.1</v>
      </c>
      <c r="Q80" s="27">
        <v>30.1</v>
      </c>
      <c r="R80" s="27">
        <f t="shared" si="0"/>
        <v>6.1906793081638787</v>
      </c>
      <c r="S80" s="27">
        <f t="shared" si="1"/>
        <v>6.1906793081638787</v>
      </c>
    </row>
    <row r="81" spans="14:19" ht="16.149999999999999" hidden="1" customHeight="1">
      <c r="N81" s="25" t="s">
        <v>53</v>
      </c>
      <c r="O81" s="26">
        <v>152</v>
      </c>
      <c r="P81" s="27">
        <v>25.8</v>
      </c>
      <c r="Q81" s="27">
        <v>25.8</v>
      </c>
      <c r="R81" s="27">
        <f t="shared" si="0"/>
        <v>5.7314553347441519</v>
      </c>
      <c r="S81" s="27">
        <f t="shared" si="1"/>
        <v>5.7314553347441519</v>
      </c>
    </row>
    <row r="82" spans="14:19" ht="16.149999999999999" hidden="1" customHeight="1">
      <c r="N82" s="25" t="s">
        <v>54</v>
      </c>
      <c r="O82" s="26">
        <v>152</v>
      </c>
      <c r="P82" s="27">
        <v>25.8</v>
      </c>
      <c r="Q82" s="27">
        <v>18.7</v>
      </c>
      <c r="R82" s="27">
        <f t="shared" si="0"/>
        <v>5.7314553347441519</v>
      </c>
      <c r="S82" s="27">
        <f t="shared" si="1"/>
        <v>4.8795060699365402</v>
      </c>
    </row>
    <row r="83" spans="14:19" ht="16.149999999999999" hidden="1" customHeight="1">
      <c r="N83" s="25" t="s">
        <v>55</v>
      </c>
      <c r="O83" s="26">
        <v>152</v>
      </c>
      <c r="P83" s="27">
        <v>21.7</v>
      </c>
      <c r="Q83" s="27">
        <v>21.7</v>
      </c>
      <c r="R83" s="27">
        <f t="shared" si="0"/>
        <v>5.2563578760157714</v>
      </c>
      <c r="S83" s="27">
        <f t="shared" si="1"/>
        <v>5.2563578760157714</v>
      </c>
    </row>
    <row r="84" spans="14:19" ht="16.149999999999999" hidden="1" customHeight="1">
      <c r="N84" s="25" t="s">
        <v>56</v>
      </c>
      <c r="O84" s="26">
        <v>152</v>
      </c>
      <c r="P84" s="27">
        <v>18.7</v>
      </c>
      <c r="Q84" s="27">
        <v>18.7</v>
      </c>
      <c r="R84" s="27">
        <f t="shared" si="0"/>
        <v>4.8795060699365402</v>
      </c>
      <c r="S84" s="27">
        <f t="shared" si="1"/>
        <v>4.8795060699365402</v>
      </c>
    </row>
    <row r="85" spans="14:19" ht="16.149999999999999" hidden="1" customHeight="1">
      <c r="N85" s="25" t="s">
        <v>57</v>
      </c>
      <c r="O85" s="26">
        <v>152</v>
      </c>
      <c r="P85" s="27">
        <v>15.9</v>
      </c>
      <c r="Q85" s="27">
        <v>15.9</v>
      </c>
      <c r="R85" s="27">
        <f t="shared" si="0"/>
        <v>4.4993898209967416</v>
      </c>
      <c r="S85" s="27">
        <f t="shared" si="1"/>
        <v>4.4993898209967416</v>
      </c>
    </row>
    <row r="86" spans="14:19" ht="16.149999999999999" hidden="1" customHeight="1">
      <c r="N86" s="25" t="s">
        <v>58</v>
      </c>
      <c r="O86" s="26">
        <v>152</v>
      </c>
      <c r="P86" s="27">
        <v>13.3</v>
      </c>
      <c r="Q86" s="27">
        <v>13.3</v>
      </c>
      <c r="R86" s="27">
        <f t="shared" si="0"/>
        <v>4.1151046092387089</v>
      </c>
      <c r="S86" s="27">
        <f t="shared" si="1"/>
        <v>4.1151046092387089</v>
      </c>
    </row>
    <row r="87" spans="14:19" ht="16.149999999999999" hidden="1" customHeight="1">
      <c r="N87" s="25" t="s">
        <v>59</v>
      </c>
      <c r="O87" s="26">
        <v>152</v>
      </c>
      <c r="P87" s="27">
        <v>11.1</v>
      </c>
      <c r="Q87" s="27">
        <v>11.1</v>
      </c>
      <c r="R87" s="27">
        <f t="shared" si="0"/>
        <v>3.7593827879800039</v>
      </c>
      <c r="S87" s="27">
        <f t="shared" si="1"/>
        <v>3.7593827879800039</v>
      </c>
    </row>
    <row r="88" spans="14:19" ht="16.149999999999999" hidden="1" customHeight="1">
      <c r="N88" s="25" t="s">
        <v>60</v>
      </c>
      <c r="O88" s="26">
        <v>152</v>
      </c>
      <c r="P88" s="27">
        <v>9.1</v>
      </c>
      <c r="Q88" s="27">
        <v>9.1</v>
      </c>
      <c r="R88" s="27">
        <f t="shared" si="0"/>
        <v>3.4038918691829769</v>
      </c>
      <c r="S88" s="27">
        <f t="shared" si="1"/>
        <v>3.4038918691829769</v>
      </c>
    </row>
    <row r="89" spans="14:19" ht="16.149999999999999" hidden="1" customHeight="1">
      <c r="N89" s="25" t="s">
        <v>61</v>
      </c>
      <c r="O89" s="26">
        <v>305</v>
      </c>
      <c r="P89" s="27">
        <v>34.9</v>
      </c>
      <c r="Q89" s="27">
        <v>34.9</v>
      </c>
      <c r="R89" s="27">
        <f t="shared" si="0"/>
        <v>6.6660378120182591</v>
      </c>
      <c r="S89" s="27">
        <f t="shared" si="1"/>
        <v>6.6660378120182591</v>
      </c>
    </row>
    <row r="90" spans="14:19" ht="16.149999999999999" hidden="1" customHeight="1">
      <c r="N90" s="28" t="s">
        <v>62</v>
      </c>
      <c r="O90" s="26">
        <v>150</v>
      </c>
      <c r="P90" s="27">
        <f t="shared" ref="P90:P109" si="2">PI()*R90^2/4</f>
        <v>12.566370614359172</v>
      </c>
      <c r="Q90" s="27">
        <f t="shared" ref="Q90:Q109" si="3">PI()*S90^2/4</f>
        <v>12.566370614359172</v>
      </c>
      <c r="R90" s="27">
        <v>4</v>
      </c>
      <c r="S90" s="27">
        <v>4</v>
      </c>
    </row>
    <row r="91" spans="14:19" ht="16.149999999999999" hidden="1" customHeight="1">
      <c r="N91" s="28" t="s">
        <v>63</v>
      </c>
      <c r="O91" s="26">
        <v>150</v>
      </c>
      <c r="P91" s="27">
        <f t="shared" si="2"/>
        <v>15.904312808798327</v>
      </c>
      <c r="Q91" s="27">
        <f t="shared" si="3"/>
        <v>12.566370614359172</v>
      </c>
      <c r="R91" s="27">
        <v>4.5</v>
      </c>
      <c r="S91" s="27">
        <v>4</v>
      </c>
    </row>
    <row r="92" spans="14:19" ht="16.149999999999999" hidden="1" customHeight="1">
      <c r="N92" s="28" t="s">
        <v>64</v>
      </c>
      <c r="O92" s="26">
        <v>150</v>
      </c>
      <c r="P92" s="27">
        <f t="shared" si="2"/>
        <v>19.634954084936208</v>
      </c>
      <c r="Q92" s="27">
        <f t="shared" si="3"/>
        <v>12.566370614359172</v>
      </c>
      <c r="R92" s="27">
        <v>5</v>
      </c>
      <c r="S92" s="27">
        <v>4</v>
      </c>
    </row>
    <row r="93" spans="14:19" ht="16.149999999999999" hidden="1" customHeight="1">
      <c r="N93" s="28" t="s">
        <v>65</v>
      </c>
      <c r="O93" s="26">
        <v>150</v>
      </c>
      <c r="P93" s="27">
        <f t="shared" si="2"/>
        <v>23.758294442772812</v>
      </c>
      <c r="Q93" s="27">
        <f t="shared" si="3"/>
        <v>12.566370614359172</v>
      </c>
      <c r="R93" s="27">
        <v>5.5</v>
      </c>
      <c r="S93" s="27">
        <v>4</v>
      </c>
    </row>
    <row r="94" spans="14:19" ht="16.149999999999999" hidden="1" customHeight="1">
      <c r="N94" s="28" t="s">
        <v>66</v>
      </c>
      <c r="O94" s="26">
        <v>150</v>
      </c>
      <c r="P94" s="27">
        <f t="shared" si="2"/>
        <v>33.183072403542191</v>
      </c>
      <c r="Q94" s="27">
        <f t="shared" si="3"/>
        <v>12.566370614359172</v>
      </c>
      <c r="R94" s="27">
        <v>6.5</v>
      </c>
      <c r="S94" s="27">
        <v>4</v>
      </c>
    </row>
    <row r="95" spans="14:19" ht="16.149999999999999" hidden="1" customHeight="1">
      <c r="N95" s="28" t="s">
        <v>67</v>
      </c>
      <c r="O95" s="26">
        <v>150</v>
      </c>
      <c r="P95" s="27">
        <f t="shared" si="2"/>
        <v>38.484510006474963</v>
      </c>
      <c r="Q95" s="27">
        <f t="shared" si="3"/>
        <v>19.634954084936208</v>
      </c>
      <c r="R95" s="27">
        <v>7</v>
      </c>
      <c r="S95" s="27">
        <v>5</v>
      </c>
    </row>
    <row r="96" spans="14:19" ht="16.149999999999999" hidden="1" customHeight="1">
      <c r="N96" s="28" t="s">
        <v>68</v>
      </c>
      <c r="O96" s="26">
        <v>150</v>
      </c>
      <c r="P96" s="27">
        <f t="shared" si="2"/>
        <v>50.26548245743669</v>
      </c>
      <c r="Q96" s="27">
        <f t="shared" si="3"/>
        <v>19.634954084936208</v>
      </c>
      <c r="R96" s="27">
        <v>8</v>
      </c>
      <c r="S96" s="27">
        <v>5</v>
      </c>
    </row>
    <row r="97" spans="14:19" ht="16.149999999999999" hidden="1" customHeight="1">
      <c r="N97" s="28" t="s">
        <v>69</v>
      </c>
      <c r="O97" s="26">
        <v>150</v>
      </c>
      <c r="P97" s="27">
        <f t="shared" si="2"/>
        <v>56.745017305465637</v>
      </c>
      <c r="Q97" s="27">
        <f t="shared" si="3"/>
        <v>19.634954084936208</v>
      </c>
      <c r="R97" s="27">
        <v>8.5</v>
      </c>
      <c r="S97" s="27">
        <v>5</v>
      </c>
    </row>
    <row r="98" spans="14:19" ht="16.149999999999999" hidden="1" customHeight="1">
      <c r="N98" s="28" t="s">
        <v>70</v>
      </c>
      <c r="O98" s="26">
        <v>250</v>
      </c>
      <c r="P98" s="27">
        <f t="shared" si="2"/>
        <v>12.566370614359172</v>
      </c>
      <c r="Q98" s="27">
        <f t="shared" si="3"/>
        <v>12.566370614359172</v>
      </c>
      <c r="R98" s="27">
        <v>4</v>
      </c>
      <c r="S98" s="27">
        <v>4</v>
      </c>
    </row>
    <row r="99" spans="14:19" ht="16.149999999999999" hidden="1" customHeight="1">
      <c r="N99" s="28" t="s">
        <v>71</v>
      </c>
      <c r="O99" s="26">
        <v>200</v>
      </c>
      <c r="P99" s="27">
        <f t="shared" si="2"/>
        <v>12.566370614359172</v>
      </c>
      <c r="Q99" s="27">
        <f t="shared" si="3"/>
        <v>12.566370614359172</v>
      </c>
      <c r="R99" s="27">
        <v>4</v>
      </c>
      <c r="S99" s="27">
        <v>4</v>
      </c>
    </row>
    <row r="100" spans="14:19" ht="16.149999999999999" hidden="1" customHeight="1">
      <c r="N100" s="28" t="s">
        <v>72</v>
      </c>
      <c r="O100" s="26">
        <v>150</v>
      </c>
      <c r="P100" s="27">
        <f t="shared" si="2"/>
        <v>12.566370614359172</v>
      </c>
      <c r="Q100" s="27">
        <f t="shared" si="3"/>
        <v>12.566370614359172</v>
      </c>
      <c r="R100" s="27">
        <v>4</v>
      </c>
      <c r="S100" s="27">
        <v>4</v>
      </c>
    </row>
    <row r="101" spans="14:19" ht="16.149999999999999" hidden="1" customHeight="1">
      <c r="N101" s="28" t="s">
        <v>73</v>
      </c>
      <c r="O101" s="26">
        <v>150</v>
      </c>
      <c r="P101" s="27">
        <f t="shared" si="2"/>
        <v>15.904312808798327</v>
      </c>
      <c r="Q101" s="27">
        <f t="shared" si="3"/>
        <v>15.904312808798327</v>
      </c>
      <c r="R101" s="27">
        <v>4.5</v>
      </c>
      <c r="S101" s="27">
        <v>4.5</v>
      </c>
    </row>
    <row r="102" spans="14:19" ht="16.149999999999999" hidden="1" customHeight="1">
      <c r="N102" s="28" t="s">
        <v>74</v>
      </c>
      <c r="O102" s="26">
        <v>150</v>
      </c>
      <c r="P102" s="27">
        <f t="shared" si="2"/>
        <v>19.634954084936208</v>
      </c>
      <c r="Q102" s="27">
        <f t="shared" si="3"/>
        <v>19.634954084936208</v>
      </c>
      <c r="R102" s="27">
        <v>5</v>
      </c>
      <c r="S102" s="27">
        <v>5</v>
      </c>
    </row>
    <row r="103" spans="14:19" ht="16.149999999999999" hidden="1" customHeight="1">
      <c r="N103" s="28" t="s">
        <v>75</v>
      </c>
      <c r="O103" s="26">
        <v>150</v>
      </c>
      <c r="P103" s="27">
        <f t="shared" si="2"/>
        <v>23.758294442772812</v>
      </c>
      <c r="Q103" s="27">
        <f t="shared" si="3"/>
        <v>23.758294442772812</v>
      </c>
      <c r="R103" s="27">
        <v>5.5</v>
      </c>
      <c r="S103" s="27">
        <v>5.5</v>
      </c>
    </row>
    <row r="104" spans="14:19" ht="16.149999999999999" hidden="1" customHeight="1">
      <c r="N104" s="28" t="s">
        <v>76</v>
      </c>
      <c r="O104" s="26">
        <v>150</v>
      </c>
      <c r="P104" s="27">
        <f t="shared" si="2"/>
        <v>28.274333882308138</v>
      </c>
      <c r="Q104" s="27">
        <f t="shared" si="3"/>
        <v>28.274333882308138</v>
      </c>
      <c r="R104" s="27">
        <v>6</v>
      </c>
      <c r="S104" s="27">
        <v>6</v>
      </c>
    </row>
    <row r="105" spans="14:19" ht="16.149999999999999" hidden="1" customHeight="1">
      <c r="N105" s="28" t="s">
        <v>77</v>
      </c>
      <c r="O105" s="26">
        <v>150</v>
      </c>
      <c r="P105" s="27">
        <f t="shared" si="2"/>
        <v>33.183072403542191</v>
      </c>
      <c r="Q105" s="27">
        <f t="shared" si="3"/>
        <v>33.183072403542191</v>
      </c>
      <c r="R105" s="27">
        <v>6.5</v>
      </c>
      <c r="S105" s="27">
        <v>6.5</v>
      </c>
    </row>
    <row r="106" spans="14:19" ht="16.149999999999999" hidden="1" customHeight="1">
      <c r="N106" s="28" t="s">
        <v>78</v>
      </c>
      <c r="O106" s="26">
        <v>150</v>
      </c>
      <c r="P106" s="27">
        <f t="shared" si="2"/>
        <v>38.484510006474963</v>
      </c>
      <c r="Q106" s="27">
        <f t="shared" si="3"/>
        <v>38.484510006474963</v>
      </c>
      <c r="R106" s="27">
        <v>7</v>
      </c>
      <c r="S106" s="27">
        <v>7</v>
      </c>
    </row>
    <row r="107" spans="14:19" ht="16.149999999999999" hidden="1" customHeight="1">
      <c r="N107" s="28" t="s">
        <v>79</v>
      </c>
      <c r="O107" s="26">
        <v>150</v>
      </c>
      <c r="P107" s="27">
        <f t="shared" si="2"/>
        <v>44.178646691106465</v>
      </c>
      <c r="Q107" s="27">
        <f t="shared" si="3"/>
        <v>44.178646691106465</v>
      </c>
      <c r="R107" s="27">
        <v>7.5</v>
      </c>
      <c r="S107" s="27">
        <v>7.5</v>
      </c>
    </row>
    <row r="108" spans="14:19" ht="16.149999999999999" hidden="1" customHeight="1">
      <c r="N108" s="28" t="s">
        <v>80</v>
      </c>
      <c r="O108" s="26">
        <v>150</v>
      </c>
      <c r="P108" s="27">
        <f t="shared" si="2"/>
        <v>50.26548245743669</v>
      </c>
      <c r="Q108" s="27">
        <f t="shared" si="3"/>
        <v>50.26548245743669</v>
      </c>
      <c r="R108" s="27">
        <v>8</v>
      </c>
      <c r="S108" s="27">
        <v>8</v>
      </c>
    </row>
    <row r="109" spans="14:19" ht="16.149999999999999" hidden="1" customHeight="1">
      <c r="N109" s="28" t="s">
        <v>81</v>
      </c>
      <c r="O109" s="26">
        <v>150</v>
      </c>
      <c r="P109" s="27">
        <f t="shared" si="2"/>
        <v>56.745017305465637</v>
      </c>
      <c r="Q109" s="27">
        <f t="shared" si="3"/>
        <v>56.745017305465637</v>
      </c>
      <c r="R109" s="27">
        <v>8.5</v>
      </c>
      <c r="S109" s="27">
        <v>8.5</v>
      </c>
    </row>
    <row r="110" spans="14:19" ht="16.149999999999999" hidden="1" customHeight="1"/>
    <row r="111" spans="14:19" ht="16.149999999999999" hidden="1" customHeight="1"/>
    <row r="112" spans="14:19" ht="16.149999999999999" hidden="1" customHeight="1"/>
    <row r="113" spans="4:9" ht="16.149999999999999" hidden="1" customHeight="1">
      <c r="D113" s="22"/>
    </row>
    <row r="114" spans="4:9" ht="16.149999999999999" hidden="1" customHeight="1"/>
    <row r="115" spans="4:9" ht="16.149999999999999" hidden="1" customHeight="1"/>
    <row r="116" spans="4:9" ht="16.149999999999999" hidden="1" customHeight="1"/>
    <row r="117" spans="4:9" ht="16.149999999999999" hidden="1" customHeight="1"/>
    <row r="118" spans="4:9" ht="16.149999999999999" hidden="1" customHeight="1">
      <c r="I118" s="22"/>
    </row>
    <row r="119" spans="4:9" ht="16.149999999999999" hidden="1" customHeight="1"/>
    <row r="120" spans="4:9" ht="16.149999999999999" hidden="1" customHeight="1"/>
    <row r="121" spans="4:9" ht="16.149999999999999" hidden="1" customHeight="1"/>
    <row r="122" spans="4:9" ht="16.149999999999999" hidden="1" customHeight="1"/>
    <row r="123" spans="4:9" ht="16.149999999999999" hidden="1" customHeight="1"/>
    <row r="124" spans="4:9" ht="16.149999999999999" hidden="1" customHeight="1"/>
    <row r="125" spans="4:9" ht="16.149999999999999" hidden="1" customHeight="1"/>
    <row r="126" spans="4:9" ht="16.149999999999999" hidden="1" customHeight="1"/>
  </sheetData>
  <sheetProtection algorithmName="SHA-512" hashValue="GVnvl6MqB1lnJb4PCqAd5Hrpqurt4EejJm9nx7dXVaN/hzt8Tyc2dyG6HoWEfvpPzhgvZo59gT2jFEIgyVCOHg==" saltValue="Z7/qlm2Vb7LegMZzJ7BHRw==" spinCount="100000" sheet="1" objects="1" scenarios="1" selectLockedCells="1"/>
  <mergeCells count="18">
    <mergeCell ref="A49:C49"/>
    <mergeCell ref="I49:L52"/>
    <mergeCell ref="A51:E51"/>
    <mergeCell ref="A52:G52"/>
    <mergeCell ref="G42:J44"/>
    <mergeCell ref="K42:K44"/>
    <mergeCell ref="A45:C45"/>
    <mergeCell ref="D45:F45"/>
    <mergeCell ref="A46:C46"/>
    <mergeCell ref="A48:C48"/>
    <mergeCell ref="A47:C47"/>
    <mergeCell ref="A35:B35"/>
    <mergeCell ref="C35:L35"/>
    <mergeCell ref="A2:H9"/>
    <mergeCell ref="A33:B33"/>
    <mergeCell ref="C33:L33"/>
    <mergeCell ref="A34:B34"/>
    <mergeCell ref="C34:L34"/>
  </mergeCells>
  <conditionalFormatting sqref="K42">
    <cfRule type="containsText" dxfId="1" priority="1" operator="containsText" text="O.K.">
      <formula>NOT(ISERROR(SEARCH("O.K.",K42)))</formula>
    </cfRule>
    <cfRule type="containsText" dxfId="0" priority="2" operator="containsText" text="CAMBIAR TIPO DE MALLA">
      <formula>NOT(ISERROR(SEARCH("CAMBIAR TIPO DE MALLA",K42)))</formula>
    </cfRule>
  </conditionalFormatting>
  <dataValidations count="1">
    <dataValidation type="list" allowBlank="1" showInputMessage="1" showErrorMessage="1" sqref="C34:L34" xr:uid="{00000000-0002-0000-0B00-000000000000}">
      <formula1>Mallas_U_SI</formula1>
    </dataValidation>
  </dataValidations>
  <pageMargins left="0.70866141732283472" right="0.70866141732283472" top="0.74803149606299213" bottom="0.74803149606299213" header="0.31496062992125984" footer="0.31496062992125984"/>
  <pageSetup scale="55" orientation="portrait"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Menu_Select">
                <anchor moveWithCells="1" sizeWithCells="1">
                  <from>
                    <xdr:col>2</xdr:col>
                    <xdr:colOff>1181100</xdr:colOff>
                    <xdr:row>11</xdr:row>
                    <xdr:rowOff>19050</xdr:rowOff>
                  </from>
                  <to>
                    <xdr:col>4</xdr:col>
                    <xdr:colOff>361950</xdr:colOff>
                    <xdr:row>13</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DEACD-9B9A-420F-B757-FD78A67005BD}">
  <sheetPr codeName="Sheet10">
    <tabColor rgb="FF92D050"/>
  </sheetPr>
  <dimension ref="A1:S102"/>
  <sheetViews>
    <sheetView showGridLines="0" showRowColHeaders="0" zoomScale="75" zoomScaleNormal="75" zoomScaleSheetLayoutView="100" workbookViewId="0">
      <selection activeCell="C20" sqref="C20:C21"/>
    </sheetView>
  </sheetViews>
  <sheetFormatPr baseColWidth="10" defaultColWidth="0" defaultRowHeight="0" customHeight="1" zeroHeight="1"/>
  <cols>
    <col min="1" max="1" width="20.7109375" style="2" customWidth="1"/>
    <col min="2" max="3" width="25" style="2" customWidth="1"/>
    <col min="4" max="4" width="14.7109375" style="2" customWidth="1"/>
    <col min="5" max="5" width="9.42578125" style="2" customWidth="1"/>
    <col min="6" max="6" width="7.140625" style="2" customWidth="1"/>
    <col min="7" max="8" width="10.7109375" style="2" customWidth="1"/>
    <col min="9" max="9" width="8.5703125" style="2" customWidth="1"/>
    <col min="10" max="10" width="4.7109375" style="2" customWidth="1"/>
    <col min="11" max="12" width="10.7109375" style="2" customWidth="1"/>
    <col min="13" max="13" width="7.140625" style="2" hidden="1" customWidth="1"/>
    <col min="14" max="14" width="39.85546875" style="2" hidden="1" customWidth="1"/>
    <col min="15" max="15" width="13.140625" style="2" hidden="1" customWidth="1"/>
    <col min="16" max="16" width="11" style="2" hidden="1" customWidth="1"/>
    <col min="17" max="17" width="15.28515625" style="2" hidden="1" customWidth="1"/>
    <col min="18" max="18" width="12" style="2" hidden="1" customWidth="1"/>
    <col min="19" max="19" width="13" style="2" hidden="1" customWidth="1"/>
    <col min="20" max="16384" width="9.140625" style="2" hidden="1"/>
  </cols>
  <sheetData>
    <row r="1" spans="1:13" ht="16.149999999999999" customHeight="1">
      <c r="A1" s="1"/>
      <c r="B1" s="1"/>
      <c r="C1" s="1"/>
      <c r="D1" s="1"/>
      <c r="E1" s="1"/>
      <c r="F1" s="1"/>
      <c r="G1" s="1"/>
      <c r="H1" s="1"/>
      <c r="I1" s="1"/>
      <c r="J1" s="1"/>
      <c r="K1" s="1"/>
      <c r="L1" s="1"/>
    </row>
    <row r="2" spans="1:13" ht="16.149999999999999" customHeight="1">
      <c r="A2" s="373" t="s">
        <v>706</v>
      </c>
      <c r="B2" s="373"/>
      <c r="C2" s="373"/>
      <c r="D2" s="373"/>
      <c r="E2" s="373"/>
      <c r="F2" s="373"/>
      <c r="G2" s="373"/>
      <c r="H2" s="373"/>
      <c r="I2" s="3"/>
      <c r="J2" s="3"/>
      <c r="K2" s="4"/>
      <c r="L2" s="1"/>
    </row>
    <row r="3" spans="1:13" ht="16.149999999999999" customHeight="1">
      <c r="A3" s="373"/>
      <c r="B3" s="373"/>
      <c r="C3" s="373"/>
      <c r="D3" s="373"/>
      <c r="E3" s="373"/>
      <c r="F3" s="373"/>
      <c r="G3" s="373"/>
      <c r="H3" s="373"/>
      <c r="I3" s="3"/>
      <c r="J3" s="3"/>
      <c r="K3" s="4"/>
      <c r="L3" s="1"/>
    </row>
    <row r="4" spans="1:13" ht="16.149999999999999" customHeight="1">
      <c r="A4" s="373"/>
      <c r="B4" s="373"/>
      <c r="C4" s="373"/>
      <c r="D4" s="373"/>
      <c r="E4" s="373"/>
      <c r="F4" s="373"/>
      <c r="G4" s="373"/>
      <c r="H4" s="373"/>
      <c r="I4" s="3"/>
      <c r="J4" s="3"/>
      <c r="K4" s="4"/>
      <c r="L4" s="1"/>
    </row>
    <row r="5" spans="1:13" ht="16.149999999999999" customHeight="1">
      <c r="A5" s="373"/>
      <c r="B5" s="373"/>
      <c r="C5" s="373"/>
      <c r="D5" s="373"/>
      <c r="E5" s="373"/>
      <c r="F5" s="373"/>
      <c r="G5" s="373"/>
      <c r="H5" s="373"/>
      <c r="I5" s="3"/>
      <c r="J5" s="3"/>
      <c r="K5" s="4"/>
      <c r="L5" s="1"/>
    </row>
    <row r="6" spans="1:13" ht="16.149999999999999" customHeight="1">
      <c r="A6" s="373"/>
      <c r="B6" s="373"/>
      <c r="C6" s="373"/>
      <c r="D6" s="373"/>
      <c r="E6" s="373"/>
      <c r="F6" s="373"/>
      <c r="G6" s="373"/>
      <c r="H6" s="373"/>
      <c r="I6" s="3"/>
      <c r="J6" s="3"/>
      <c r="K6" s="4"/>
      <c r="L6" s="5"/>
      <c r="M6" s="6"/>
    </row>
    <row r="7" spans="1:13" ht="16.149999999999999" customHeight="1">
      <c r="A7" s="373"/>
      <c r="B7" s="373"/>
      <c r="C7" s="373"/>
      <c r="D7" s="373"/>
      <c r="E7" s="373"/>
      <c r="F7" s="373"/>
      <c r="G7" s="373"/>
      <c r="H7" s="373"/>
      <c r="I7" s="3"/>
      <c r="J7" s="3"/>
      <c r="K7" s="4"/>
      <c r="L7" s="5"/>
      <c r="M7" s="6"/>
    </row>
    <row r="8" spans="1:13" ht="16.149999999999999" customHeight="1">
      <c r="A8" s="373"/>
      <c r="B8" s="373"/>
      <c r="C8" s="373"/>
      <c r="D8" s="373"/>
      <c r="E8" s="373"/>
      <c r="F8" s="373"/>
      <c r="G8" s="373"/>
      <c r="H8" s="373"/>
      <c r="I8" s="3"/>
      <c r="J8" s="3"/>
      <c r="K8" s="4"/>
      <c r="L8" s="5"/>
      <c r="M8" s="6"/>
    </row>
    <row r="9" spans="1:13" ht="16.149999999999999" customHeight="1">
      <c r="A9" s="373"/>
      <c r="B9" s="373"/>
      <c r="C9" s="373"/>
      <c r="D9" s="373"/>
      <c r="E9" s="373"/>
      <c r="F9" s="373"/>
      <c r="G9" s="373"/>
      <c r="H9" s="373"/>
      <c r="I9" s="3"/>
      <c r="J9" s="3"/>
      <c r="K9" s="4"/>
      <c r="L9" s="5"/>
      <c r="M9" s="6"/>
    </row>
    <row r="10" spans="1:13" ht="16.149999999999999" customHeight="1">
      <c r="A10" s="1"/>
      <c r="B10" s="1"/>
      <c r="C10" s="1"/>
      <c r="D10" s="1"/>
      <c r="E10" s="1"/>
      <c r="F10" s="1"/>
      <c r="G10" s="1"/>
      <c r="H10" s="1"/>
      <c r="I10" s="1"/>
      <c r="J10" s="1"/>
      <c r="K10" s="1"/>
      <c r="L10" s="1"/>
    </row>
    <row r="11" spans="1:13" ht="16.149999999999999" customHeight="1">
      <c r="A11" s="7"/>
      <c r="B11" s="7"/>
      <c r="C11" s="7"/>
      <c r="D11" s="7"/>
      <c r="E11" s="7"/>
      <c r="F11" s="7"/>
      <c r="G11" s="7"/>
      <c r="H11" s="7"/>
      <c r="I11" s="7"/>
      <c r="J11" s="7"/>
      <c r="K11" s="7"/>
      <c r="L11" s="7"/>
    </row>
    <row r="12" spans="1:13" ht="16.149999999999999" customHeight="1">
      <c r="A12" s="7"/>
      <c r="B12" s="7"/>
      <c r="C12" s="7"/>
      <c r="D12" s="7"/>
      <c r="E12" s="7"/>
      <c r="F12" s="7"/>
      <c r="G12" s="7"/>
      <c r="H12" s="7"/>
      <c r="I12" s="7"/>
      <c r="J12" s="7"/>
      <c r="K12" s="7"/>
      <c r="L12" s="7"/>
    </row>
    <row r="13" spans="1:13" ht="16.149999999999999" customHeight="1">
      <c r="A13" s="7"/>
      <c r="B13" s="7"/>
      <c r="C13" s="7"/>
      <c r="D13" s="7"/>
      <c r="E13" s="7"/>
      <c r="F13" s="7"/>
      <c r="G13" s="7"/>
      <c r="H13" s="7"/>
      <c r="I13" s="7"/>
      <c r="J13" s="7"/>
      <c r="K13" s="7"/>
      <c r="L13" s="7"/>
    </row>
    <row r="14" spans="1:13" ht="16.149999999999999" customHeight="1">
      <c r="A14" s="7"/>
      <c r="B14" s="7"/>
      <c r="C14" s="7"/>
      <c r="D14" s="7"/>
      <c r="E14" s="7"/>
      <c r="F14" s="7"/>
      <c r="G14" s="7"/>
      <c r="H14" s="7"/>
      <c r="I14" s="7"/>
      <c r="J14" s="7"/>
      <c r="K14" s="7"/>
      <c r="L14" s="7"/>
    </row>
    <row r="15" spans="1:13" ht="16.149999999999999" customHeight="1">
      <c r="A15" s="7"/>
      <c r="B15" s="7"/>
      <c r="C15" s="7"/>
      <c r="D15" s="7"/>
      <c r="E15" s="7"/>
      <c r="F15" s="7"/>
      <c r="G15" s="7"/>
      <c r="H15" s="7"/>
      <c r="I15" s="7"/>
      <c r="J15" s="7"/>
      <c r="K15" s="7"/>
      <c r="L15" s="7"/>
    </row>
    <row r="16" spans="1:13" ht="16.149999999999999" customHeight="1">
      <c r="A16" s="393" t="s">
        <v>708</v>
      </c>
      <c r="B16" s="393"/>
      <c r="C16" s="549">
        <v>28</v>
      </c>
      <c r="D16" s="396" t="s">
        <v>14</v>
      </c>
      <c r="F16" s="393" t="s">
        <v>707</v>
      </c>
      <c r="G16" s="393"/>
      <c r="H16" s="393"/>
      <c r="I16" s="393"/>
      <c r="J16" s="393"/>
      <c r="K16" s="552"/>
      <c r="L16" s="553">
        <v>65</v>
      </c>
    </row>
    <row r="17" spans="1:18" ht="16.149999999999999" customHeight="1">
      <c r="A17" s="393"/>
      <c r="B17" s="393"/>
      <c r="C17" s="549"/>
      <c r="D17" s="396"/>
      <c r="F17" s="393"/>
      <c r="G17" s="393"/>
      <c r="H17" s="393"/>
      <c r="I17" s="393"/>
      <c r="J17" s="393"/>
      <c r="K17" s="552"/>
      <c r="L17" s="554"/>
    </row>
    <row r="18" spans="1:18" ht="16.149999999999999" customHeight="1">
      <c r="A18" s="362"/>
      <c r="B18" s="362"/>
      <c r="C18" s="364"/>
      <c r="D18" s="363"/>
      <c r="F18" s="362"/>
      <c r="G18" s="362"/>
      <c r="H18" s="362"/>
      <c r="I18" s="362"/>
      <c r="J18" s="362"/>
      <c r="K18" s="362"/>
      <c r="L18" s="364"/>
    </row>
    <row r="19" spans="1:18" ht="16.149999999999999" customHeight="1">
      <c r="A19" s="7"/>
      <c r="B19" s="7"/>
      <c r="C19" s="7"/>
      <c r="D19" s="7"/>
      <c r="E19" s="7"/>
      <c r="F19" s="7"/>
      <c r="G19" s="7"/>
      <c r="H19" s="7"/>
      <c r="I19" s="7"/>
      <c r="J19" s="7"/>
      <c r="K19" s="7"/>
      <c r="L19" s="7"/>
    </row>
    <row r="20" spans="1:18" ht="16.149999999999999" customHeight="1">
      <c r="A20" s="393" t="s">
        <v>709</v>
      </c>
      <c r="B20" s="393"/>
      <c r="C20" s="549">
        <v>20</v>
      </c>
      <c r="D20" s="396" t="s">
        <v>710</v>
      </c>
      <c r="E20" s="7"/>
      <c r="F20" s="7"/>
      <c r="G20" s="7"/>
      <c r="H20" s="7"/>
      <c r="I20" s="7"/>
      <c r="J20" s="7"/>
      <c r="K20" s="7"/>
      <c r="L20" s="7"/>
    </row>
    <row r="21" spans="1:18" ht="15.75" customHeight="1">
      <c r="A21" s="393"/>
      <c r="B21" s="393"/>
      <c r="C21" s="549"/>
      <c r="D21" s="396"/>
      <c r="E21" s="7"/>
      <c r="F21" s="7"/>
      <c r="G21" s="7"/>
      <c r="H21" s="7"/>
      <c r="I21" s="7"/>
      <c r="J21" s="7"/>
      <c r="K21" s="7"/>
      <c r="L21" s="7"/>
    </row>
    <row r="22" spans="1:18" ht="15.75" customHeight="1">
      <c r="A22" s="7"/>
      <c r="B22" s="7"/>
      <c r="C22" s="7"/>
      <c r="D22" s="7"/>
      <c r="E22" s="7"/>
      <c r="F22" s="7"/>
      <c r="G22" s="7"/>
      <c r="H22" s="7"/>
      <c r="I22" s="7"/>
      <c r="J22" s="7"/>
      <c r="K22" s="7"/>
      <c r="L22" s="7"/>
    </row>
    <row r="23" spans="1:18" ht="15.75" customHeight="1">
      <c r="A23" s="7"/>
      <c r="B23" s="7"/>
      <c r="C23" s="7"/>
      <c r="D23" s="7"/>
      <c r="E23" s="7"/>
      <c r="F23" s="7"/>
      <c r="G23" s="7"/>
      <c r="H23" s="7"/>
      <c r="I23" s="7"/>
      <c r="J23" s="7"/>
      <c r="K23" s="7"/>
      <c r="L23" s="7"/>
    </row>
    <row r="24" spans="1:18" ht="16.149999999999999" customHeight="1">
      <c r="A24" s="548"/>
      <c r="B24" s="548"/>
      <c r="C24" s="548"/>
      <c r="D24" s="380"/>
      <c r="E24" s="380"/>
      <c r="F24" s="380"/>
      <c r="G24" s="42"/>
    </row>
    <row r="25" spans="1:18" ht="16.149999999999999" hidden="1" customHeight="1">
      <c r="A25" s="380" t="s">
        <v>581</v>
      </c>
      <c r="B25" s="380"/>
      <c r="C25" s="400"/>
      <c r="D25" s="50" t="e">
        <f>IF(AND(#REF!&lt;&gt;"",#REF!&lt;&gt;"",#REF!&lt;&gt;""),0.9*#REF!*#REF!*(#REF!/2-(#REF!*#REF!/(0.85*#REF!*#REF!))),"")</f>
        <v>#REF!</v>
      </c>
      <c r="E25" s="11" t="s">
        <v>582</v>
      </c>
      <c r="F25" s="7"/>
      <c r="N25" s="14"/>
    </row>
    <row r="26" spans="1:18" ht="16.149999999999999" customHeight="1" thickBot="1">
      <c r="A26" s="7"/>
      <c r="B26" s="7"/>
      <c r="C26" s="7"/>
      <c r="D26" s="7"/>
      <c r="E26" s="7"/>
      <c r="F26" s="7"/>
      <c r="G26" s="7"/>
      <c r="H26" s="7"/>
      <c r="I26" s="352"/>
      <c r="J26" s="352"/>
      <c r="K26" s="352"/>
      <c r="L26" s="352"/>
      <c r="M26" s="15"/>
      <c r="N26" s="15"/>
      <c r="O26" s="15"/>
      <c r="P26" s="15"/>
      <c r="Q26" s="15"/>
      <c r="R26" s="15"/>
    </row>
    <row r="27" spans="1:18" ht="22.5" customHeight="1" thickBot="1">
      <c r="A27" s="394" t="s">
        <v>711</v>
      </c>
      <c r="B27" s="394"/>
      <c r="C27" s="394"/>
      <c r="D27" s="394"/>
      <c r="E27" s="395"/>
      <c r="F27" s="550">
        <v>6.1608859304900179</v>
      </c>
      <c r="G27" s="551"/>
      <c r="H27" s="19" t="s">
        <v>22</v>
      </c>
      <c r="I27" s="352"/>
      <c r="J27" s="352"/>
      <c r="K27" s="352"/>
      <c r="L27" s="352"/>
      <c r="M27" s="15"/>
      <c r="N27" s="15"/>
      <c r="O27" s="15"/>
      <c r="P27" s="15"/>
      <c r="Q27" s="15"/>
      <c r="R27" s="15"/>
    </row>
    <row r="28" spans="1:18" ht="16.149999999999999" customHeight="1">
      <c r="A28" s="396"/>
      <c r="B28" s="396"/>
      <c r="C28" s="396"/>
      <c r="D28" s="396"/>
      <c r="E28" s="396"/>
      <c r="F28" s="396"/>
      <c r="G28" s="396"/>
      <c r="H28" s="7"/>
      <c r="I28" s="352"/>
      <c r="J28" s="352"/>
      <c r="K28" s="352"/>
      <c r="L28" s="352"/>
      <c r="M28" s="15"/>
      <c r="N28" s="15"/>
      <c r="O28" s="15"/>
      <c r="P28" s="15"/>
      <c r="Q28" s="15"/>
      <c r="R28" s="15"/>
    </row>
    <row r="29" spans="1:18" ht="16.149999999999999" customHeight="1">
      <c r="A29" s="7"/>
      <c r="B29" s="7"/>
      <c r="C29" s="7"/>
      <c r="D29" s="7"/>
      <c r="E29" s="7"/>
      <c r="F29" s="7"/>
      <c r="G29" s="7"/>
      <c r="H29" s="7"/>
      <c r="I29" s="7"/>
      <c r="J29" s="7"/>
      <c r="K29" s="7"/>
      <c r="L29" s="7"/>
      <c r="M29" s="15"/>
    </row>
    <row r="30" spans="1:18" ht="16.149999999999999" customHeight="1">
      <c r="A30" s="21"/>
      <c r="B30" s="7"/>
      <c r="C30" s="7"/>
      <c r="D30" s="7"/>
      <c r="E30" s="7"/>
      <c r="F30" s="7"/>
      <c r="G30" s="7"/>
      <c r="H30" s="7"/>
      <c r="I30" s="7"/>
      <c r="J30" s="7"/>
      <c r="K30" s="7"/>
      <c r="L30" s="7"/>
    </row>
    <row r="31" spans="1:18" ht="16.149999999999999" customHeight="1"/>
    <row r="32" spans="1:18" ht="16.149999999999999" customHeight="1"/>
    <row r="33" spans="14:19" ht="32.25" hidden="1" customHeight="1">
      <c r="N33" s="364"/>
      <c r="O33" s="364"/>
      <c r="P33" s="364"/>
      <c r="Q33" s="364"/>
      <c r="R33" s="364"/>
      <c r="S33" s="364"/>
    </row>
    <row r="34" spans="14:19" ht="16.149999999999999" hidden="1" customHeight="1">
      <c r="N34" s="364"/>
      <c r="O34" s="364"/>
      <c r="P34" s="364"/>
      <c r="Q34" s="364"/>
      <c r="R34" s="364"/>
      <c r="S34" s="364"/>
    </row>
    <row r="35" spans="14:19" ht="16.149999999999999" hidden="1" customHeight="1" thickBot="1">
      <c r="N35" s="364"/>
      <c r="O35" s="364"/>
      <c r="P35" s="364"/>
      <c r="Q35" s="364"/>
      <c r="R35" s="364"/>
      <c r="S35" s="364"/>
    </row>
    <row r="36" spans="14:19" ht="16.149999999999999" hidden="1" customHeight="1" thickBot="1">
      <c r="N36" s="365" t="s">
        <v>712</v>
      </c>
      <c r="O36" s="366">
        <v>0.26916302162722644</v>
      </c>
      <c r="P36" s="364"/>
      <c r="Q36" s="364"/>
      <c r="R36" s="364"/>
      <c r="S36" s="364"/>
    </row>
    <row r="37" spans="14:19" ht="16.149999999999999" hidden="1" customHeight="1">
      <c r="N37" s="364"/>
      <c r="O37" s="364"/>
      <c r="P37" s="364"/>
      <c r="Q37" s="364"/>
      <c r="R37" s="364"/>
      <c r="S37" s="364"/>
    </row>
    <row r="38" spans="14:19" ht="16.149999999999999" hidden="1" customHeight="1">
      <c r="N38" s="364"/>
      <c r="O38" s="364"/>
      <c r="P38" s="364"/>
      <c r="Q38" s="364"/>
      <c r="R38" s="364"/>
      <c r="S38" s="364"/>
    </row>
    <row r="39" spans="14:19" ht="16.149999999999999" hidden="1" customHeight="1">
      <c r="N39" s="364"/>
      <c r="O39" s="364"/>
      <c r="P39" s="364"/>
      <c r="Q39" s="364"/>
      <c r="R39" s="364"/>
      <c r="S39" s="364"/>
    </row>
    <row r="40" spans="14:19" ht="16.149999999999999" hidden="1" customHeight="1">
      <c r="N40" s="364"/>
      <c r="O40" s="364"/>
      <c r="P40" s="364"/>
      <c r="Q40" s="364"/>
      <c r="R40" s="364"/>
      <c r="S40" s="364"/>
    </row>
    <row r="41" spans="14:19" ht="16.149999999999999" hidden="1" customHeight="1">
      <c r="N41" s="364"/>
      <c r="O41" s="364"/>
      <c r="P41" s="364"/>
      <c r="Q41" s="364"/>
      <c r="R41" s="364"/>
      <c r="S41" s="364"/>
    </row>
    <row r="42" spans="14:19" ht="16.149999999999999" hidden="1" customHeight="1">
      <c r="N42" s="364"/>
      <c r="O42" s="364"/>
      <c r="P42" s="364"/>
      <c r="Q42" s="364"/>
      <c r="R42" s="364"/>
      <c r="S42" s="364"/>
    </row>
    <row r="43" spans="14:19" ht="16.149999999999999" hidden="1" customHeight="1">
      <c r="N43" s="364"/>
      <c r="O43" s="364"/>
      <c r="P43" s="364"/>
      <c r="Q43" s="364"/>
      <c r="R43" s="364"/>
      <c r="S43" s="364"/>
    </row>
    <row r="44" spans="14:19" ht="16.149999999999999" hidden="1" customHeight="1">
      <c r="N44" s="364"/>
      <c r="O44" s="364"/>
      <c r="P44" s="364"/>
      <c r="Q44" s="364"/>
      <c r="R44" s="364"/>
      <c r="S44" s="364"/>
    </row>
    <row r="45" spans="14:19" ht="16.149999999999999" hidden="1" customHeight="1">
      <c r="N45" s="364"/>
      <c r="O45" s="364"/>
      <c r="P45" s="364"/>
      <c r="Q45" s="364"/>
      <c r="R45" s="364"/>
      <c r="S45" s="364"/>
    </row>
    <row r="46" spans="14:19" ht="16.149999999999999" hidden="1" customHeight="1">
      <c r="N46" s="364"/>
      <c r="O46" s="364"/>
      <c r="P46" s="364"/>
      <c r="Q46" s="364"/>
      <c r="R46" s="364"/>
      <c r="S46" s="364"/>
    </row>
    <row r="47" spans="14:19" ht="16.149999999999999" hidden="1" customHeight="1">
      <c r="N47" s="364"/>
      <c r="O47" s="364"/>
      <c r="P47" s="364"/>
      <c r="Q47" s="364"/>
      <c r="R47" s="364"/>
      <c r="S47" s="364"/>
    </row>
    <row r="48" spans="14:19" ht="16.149999999999999" hidden="1" customHeight="1">
      <c r="N48" s="364"/>
      <c r="O48" s="364"/>
      <c r="P48" s="364"/>
      <c r="Q48" s="364"/>
      <c r="R48" s="364"/>
      <c r="S48" s="364"/>
    </row>
    <row r="49" spans="14:19" ht="16.149999999999999" hidden="1" customHeight="1">
      <c r="N49" s="364"/>
      <c r="O49" s="364"/>
      <c r="P49" s="364"/>
      <c r="Q49" s="364"/>
      <c r="R49" s="364"/>
      <c r="S49" s="364"/>
    </row>
    <row r="50" spans="14:19" ht="16.149999999999999" hidden="1" customHeight="1">
      <c r="N50" s="364"/>
      <c r="O50" s="364"/>
      <c r="P50" s="364"/>
      <c r="Q50" s="364"/>
      <c r="R50" s="364"/>
      <c r="S50" s="364"/>
    </row>
    <row r="51" spans="14:19" ht="16.149999999999999" hidden="1" customHeight="1">
      <c r="N51" s="364"/>
      <c r="O51" s="364"/>
      <c r="P51" s="364"/>
      <c r="Q51" s="364"/>
      <c r="R51" s="364"/>
      <c r="S51" s="364"/>
    </row>
    <row r="52" spans="14:19" ht="16.149999999999999" hidden="1" customHeight="1">
      <c r="N52" s="364"/>
      <c r="O52" s="364"/>
      <c r="P52" s="364"/>
      <c r="Q52" s="364"/>
      <c r="R52" s="364"/>
      <c r="S52" s="364"/>
    </row>
    <row r="53" spans="14:19" ht="16.149999999999999" hidden="1" customHeight="1">
      <c r="N53" s="364"/>
      <c r="O53" s="364"/>
      <c r="P53" s="364"/>
      <c r="Q53" s="364"/>
      <c r="R53" s="364"/>
      <c r="S53" s="364"/>
    </row>
    <row r="54" spans="14:19" ht="16.149999999999999" hidden="1" customHeight="1">
      <c r="N54" s="364"/>
      <c r="O54" s="364"/>
      <c r="P54" s="364"/>
      <c r="Q54" s="364"/>
      <c r="R54" s="364"/>
      <c r="S54" s="364"/>
    </row>
    <row r="55" spans="14:19" ht="16.149999999999999" hidden="1" customHeight="1">
      <c r="N55" s="364"/>
      <c r="O55" s="364"/>
      <c r="P55" s="364"/>
      <c r="Q55" s="364"/>
      <c r="R55" s="364"/>
      <c r="S55" s="364"/>
    </row>
    <row r="56" spans="14:19" ht="16.149999999999999" hidden="1" customHeight="1">
      <c r="N56" s="364"/>
      <c r="O56" s="364"/>
      <c r="P56" s="364"/>
      <c r="Q56" s="364"/>
      <c r="R56" s="364"/>
      <c r="S56" s="364"/>
    </row>
    <row r="57" spans="14:19" ht="16.149999999999999" hidden="1" customHeight="1">
      <c r="N57" s="364"/>
      <c r="O57" s="364"/>
      <c r="P57" s="364"/>
      <c r="Q57" s="364"/>
      <c r="R57" s="364"/>
      <c r="S57" s="364"/>
    </row>
    <row r="58" spans="14:19" ht="16.149999999999999" hidden="1" customHeight="1">
      <c r="N58" s="364"/>
      <c r="O58" s="364"/>
      <c r="P58" s="364"/>
      <c r="Q58" s="364"/>
      <c r="R58" s="364"/>
      <c r="S58" s="364"/>
    </row>
    <row r="59" spans="14:19" ht="16.149999999999999" hidden="1" customHeight="1">
      <c r="N59" s="364"/>
      <c r="O59" s="364"/>
      <c r="P59" s="364"/>
      <c r="Q59" s="364"/>
      <c r="R59" s="364"/>
      <c r="S59" s="364"/>
    </row>
    <row r="60" spans="14:19" ht="16.149999999999999" hidden="1" customHeight="1">
      <c r="N60" s="364"/>
      <c r="O60" s="364"/>
      <c r="P60" s="364"/>
      <c r="Q60" s="364"/>
      <c r="R60" s="364"/>
      <c r="S60" s="364"/>
    </row>
    <row r="61" spans="14:19" ht="16.149999999999999" hidden="1" customHeight="1">
      <c r="N61" s="364"/>
      <c r="O61" s="364"/>
      <c r="P61" s="364"/>
      <c r="Q61" s="364"/>
      <c r="R61" s="364"/>
      <c r="S61" s="364"/>
    </row>
    <row r="62" spans="14:19" ht="16.149999999999999" hidden="1" customHeight="1">
      <c r="N62" s="364"/>
      <c r="O62" s="364"/>
      <c r="P62" s="364"/>
      <c r="Q62" s="364"/>
      <c r="R62" s="364"/>
      <c r="S62" s="364"/>
    </row>
    <row r="63" spans="14:19" ht="16.149999999999999" hidden="1" customHeight="1">
      <c r="N63" s="364"/>
      <c r="O63" s="364"/>
      <c r="P63" s="364"/>
      <c r="Q63" s="364"/>
      <c r="R63" s="364"/>
      <c r="S63" s="364"/>
    </row>
    <row r="64" spans="14:19" ht="16.149999999999999" hidden="1" customHeight="1">
      <c r="N64" s="364"/>
      <c r="O64" s="364"/>
      <c r="P64" s="364"/>
      <c r="Q64" s="364"/>
      <c r="R64" s="364"/>
      <c r="S64" s="364"/>
    </row>
    <row r="65" spans="14:19" ht="16.149999999999999" hidden="1" customHeight="1">
      <c r="N65" s="364"/>
      <c r="O65" s="364"/>
      <c r="P65" s="364"/>
      <c r="Q65" s="364"/>
      <c r="R65" s="364"/>
      <c r="S65" s="364"/>
    </row>
    <row r="66" spans="14:19" ht="16.149999999999999" hidden="1" customHeight="1">
      <c r="N66" s="364"/>
      <c r="O66" s="364"/>
      <c r="P66" s="364"/>
      <c r="Q66" s="364"/>
      <c r="R66" s="364"/>
      <c r="S66" s="364"/>
    </row>
    <row r="67" spans="14:19" ht="16.149999999999999" hidden="1" customHeight="1">
      <c r="N67" s="364"/>
      <c r="O67" s="364"/>
      <c r="P67" s="364"/>
      <c r="Q67" s="364"/>
      <c r="R67" s="364"/>
      <c r="S67" s="364"/>
    </row>
    <row r="68" spans="14:19" ht="16.149999999999999" hidden="1" customHeight="1">
      <c r="N68" s="364"/>
      <c r="O68" s="364"/>
      <c r="P68" s="364"/>
      <c r="Q68" s="364"/>
      <c r="R68" s="364"/>
      <c r="S68" s="364"/>
    </row>
    <row r="69" spans="14:19" ht="16.149999999999999" hidden="1" customHeight="1">
      <c r="N69" s="364"/>
      <c r="O69" s="364"/>
      <c r="P69" s="364"/>
      <c r="Q69" s="364"/>
      <c r="R69" s="364"/>
      <c r="S69" s="364"/>
    </row>
    <row r="70" spans="14:19" ht="16.149999999999999" hidden="1" customHeight="1">
      <c r="N70" s="364"/>
      <c r="O70" s="364"/>
      <c r="P70" s="364"/>
      <c r="Q70" s="364"/>
      <c r="R70" s="364"/>
      <c r="S70" s="364"/>
    </row>
    <row r="71" spans="14:19" ht="16.149999999999999" hidden="1" customHeight="1">
      <c r="N71" s="364"/>
      <c r="O71" s="364"/>
      <c r="P71" s="364"/>
      <c r="Q71" s="364"/>
      <c r="R71" s="364"/>
      <c r="S71" s="364"/>
    </row>
    <row r="72" spans="14:19" ht="16.149999999999999" hidden="1" customHeight="1">
      <c r="N72" s="364"/>
      <c r="O72" s="364"/>
      <c r="P72" s="364"/>
      <c r="Q72" s="364"/>
      <c r="R72" s="364"/>
      <c r="S72" s="364"/>
    </row>
    <row r="73" spans="14:19" ht="16.149999999999999" hidden="1" customHeight="1">
      <c r="N73" s="364"/>
      <c r="O73" s="364"/>
      <c r="P73" s="364"/>
      <c r="Q73" s="364"/>
      <c r="R73" s="364"/>
      <c r="S73" s="364"/>
    </row>
    <row r="74" spans="14:19" ht="16.149999999999999" hidden="1" customHeight="1">
      <c r="N74" s="364"/>
      <c r="O74" s="364"/>
      <c r="P74" s="364"/>
      <c r="Q74" s="364"/>
      <c r="R74" s="364"/>
      <c r="S74" s="364"/>
    </row>
    <row r="75" spans="14:19" ht="16.149999999999999" hidden="1" customHeight="1">
      <c r="N75" s="364"/>
      <c r="O75" s="364"/>
      <c r="P75" s="364"/>
      <c r="Q75" s="364"/>
      <c r="R75" s="364"/>
      <c r="S75" s="364"/>
    </row>
    <row r="76" spans="14:19" ht="16.149999999999999" hidden="1" customHeight="1">
      <c r="N76" s="364"/>
      <c r="O76" s="364"/>
      <c r="P76" s="364"/>
      <c r="Q76" s="364"/>
      <c r="R76" s="364"/>
      <c r="S76" s="364"/>
    </row>
    <row r="77" spans="14:19" ht="16.149999999999999" hidden="1" customHeight="1">
      <c r="N77" s="364"/>
      <c r="O77" s="364"/>
      <c r="P77" s="364"/>
      <c r="Q77" s="364"/>
      <c r="R77" s="364"/>
      <c r="S77" s="364"/>
    </row>
    <row r="78" spans="14:19" ht="16.149999999999999" hidden="1" customHeight="1">
      <c r="N78" s="364"/>
      <c r="O78" s="364"/>
      <c r="P78" s="364"/>
      <c r="Q78" s="364"/>
      <c r="R78" s="364"/>
      <c r="S78" s="364"/>
    </row>
    <row r="79" spans="14:19" ht="16.149999999999999" hidden="1" customHeight="1">
      <c r="N79" s="364"/>
      <c r="O79" s="364"/>
      <c r="P79" s="364"/>
      <c r="Q79" s="364"/>
      <c r="R79" s="364"/>
      <c r="S79" s="364"/>
    </row>
    <row r="80" spans="14:19" ht="16.149999999999999" hidden="1" customHeight="1">
      <c r="N80" s="364"/>
      <c r="O80" s="364"/>
      <c r="P80" s="364"/>
      <c r="Q80" s="364"/>
      <c r="R80" s="364"/>
      <c r="S80" s="364"/>
    </row>
    <row r="81" spans="4:19" ht="16.149999999999999" hidden="1" customHeight="1">
      <c r="N81" s="364"/>
      <c r="O81" s="364"/>
      <c r="P81" s="364"/>
      <c r="Q81" s="364"/>
      <c r="R81" s="364"/>
      <c r="S81" s="364"/>
    </row>
    <row r="82" spans="4:19" ht="16.149999999999999" hidden="1" customHeight="1">
      <c r="N82" s="364"/>
      <c r="O82" s="364"/>
      <c r="P82" s="364"/>
      <c r="Q82" s="364"/>
      <c r="R82" s="364"/>
      <c r="S82" s="364"/>
    </row>
    <row r="83" spans="4:19" ht="16.149999999999999" hidden="1" customHeight="1">
      <c r="N83" s="364"/>
      <c r="O83" s="364"/>
      <c r="P83" s="364"/>
      <c r="Q83" s="364"/>
      <c r="R83" s="364"/>
      <c r="S83" s="364"/>
    </row>
    <row r="84" spans="4:19" ht="16.149999999999999" hidden="1" customHeight="1">
      <c r="N84" s="364"/>
      <c r="O84" s="364"/>
      <c r="P84" s="364"/>
      <c r="Q84" s="364"/>
      <c r="R84" s="364"/>
      <c r="S84" s="364"/>
    </row>
    <row r="85" spans="4:19" ht="16.149999999999999" hidden="1" customHeight="1">
      <c r="N85" s="364"/>
      <c r="O85" s="364"/>
      <c r="P85" s="364"/>
      <c r="Q85" s="364"/>
      <c r="R85" s="364"/>
      <c r="S85" s="364"/>
    </row>
    <row r="86" spans="4:19" ht="16.149999999999999" hidden="1" customHeight="1"/>
    <row r="87" spans="4:19" ht="16.149999999999999" hidden="1" customHeight="1"/>
    <row r="88" spans="4:19" ht="16.149999999999999" hidden="1" customHeight="1"/>
    <row r="89" spans="4:19" ht="16.149999999999999" hidden="1" customHeight="1">
      <c r="D89" s="22"/>
    </row>
    <row r="90" spans="4:19" ht="16.149999999999999" hidden="1" customHeight="1"/>
    <row r="91" spans="4:19" ht="16.149999999999999" hidden="1" customHeight="1"/>
    <row r="92" spans="4:19" ht="16.149999999999999" hidden="1" customHeight="1"/>
    <row r="93" spans="4:19" ht="16.149999999999999" hidden="1" customHeight="1"/>
    <row r="94" spans="4:19" ht="16.149999999999999" hidden="1" customHeight="1">
      <c r="I94" s="22"/>
    </row>
    <row r="95" spans="4:19" ht="16.149999999999999" hidden="1" customHeight="1"/>
    <row r="96" spans="4:19" ht="16.149999999999999" hidden="1" customHeight="1"/>
    <row r="97" ht="16.149999999999999" hidden="1" customHeight="1"/>
    <row r="98" ht="16.149999999999999" hidden="1" customHeight="1"/>
    <row r="99" ht="16.149999999999999" hidden="1" customHeight="1"/>
    <row r="100" ht="16.149999999999999" hidden="1" customHeight="1"/>
    <row r="101" ht="16.149999999999999" hidden="1" customHeight="1"/>
    <row r="102" ht="16.149999999999999" hidden="1" customHeight="1"/>
  </sheetData>
  <sheetProtection algorithmName="SHA-512" hashValue="nxaN32uiU3vsyRoD/kMLqX1wLL7ZQB0ajJDdX/j9N7T/lCfIlKMzZyhURz6YeFWN8FO/EfR7KrHmVInn+k167w==" saltValue="4y96FnNyQyAsrL6W9Sct+g==" spinCount="100000" sheet="1" objects="1" scenarios="1" selectLockedCells="1"/>
  <mergeCells count="15">
    <mergeCell ref="L16:L17"/>
    <mergeCell ref="A20:B21"/>
    <mergeCell ref="C20:C21"/>
    <mergeCell ref="A2:H9"/>
    <mergeCell ref="A27:E27"/>
    <mergeCell ref="A28:G28"/>
    <mergeCell ref="C16:C17"/>
    <mergeCell ref="D16:D17"/>
    <mergeCell ref="A16:B17"/>
    <mergeCell ref="A24:C24"/>
    <mergeCell ref="D24:F24"/>
    <mergeCell ref="A25:C25"/>
    <mergeCell ref="F27:G27"/>
    <mergeCell ref="D20:D21"/>
    <mergeCell ref="F16:K17"/>
  </mergeCells>
  <dataValidations count="3">
    <dataValidation type="decimal" operator="greaterThanOrEqual" allowBlank="1" showInputMessage="1" showErrorMessage="1" errorTitle="Resistencia a Compresión Mínima" error="La resitencia mínima debe ser superior a 7 MPa." sqref="C16:C17" xr:uid="{552D178C-5904-47AC-8410-CD2FE5AED8D2}">
      <formula1>7</formula1>
    </dataValidation>
    <dataValidation type="decimal" operator="greaterThanOrEqual" allowBlank="1" showInputMessage="1" showErrorMessage="1" errorTitle="Dosificación Mínima de Fibra " error="La dosificación deber ser igual o superior a 9 kg/m3." sqref="C20:C21" xr:uid="{473291E1-109F-4639-B89F-B61B843357D7}">
      <formula1>9</formula1>
    </dataValidation>
    <dataValidation type="decimal" operator="greaterThanOrEqual" allowBlank="1" showInputMessage="1" showErrorMessage="1" errorTitle="Relación de aspecto de Fibra" error="El valor mínimo considerado para la relación de aspecto es 35" sqref="L16:L17" xr:uid="{E9EA06A8-9855-4C64-AA23-48E071B22E8D}">
      <formula1>35</formula1>
    </dataValidation>
  </dataValidations>
  <pageMargins left="0.70866141732283472" right="0.70866141732283472" top="0.74803149606299213" bottom="0.74803149606299213" header="0.31496062992125984" footer="0.31496062992125984"/>
  <pageSetup scale="55" orientation="portrait" r:id="rId1"/>
  <headerFooter>
    <oddFooter>&amp;CLA MARCA FIBRAPLAS CONCRETE® SON DE USO EXCLUSIVO DE LA EMPRESA ECOPLAS S.A.S.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3">
              <controlPr defaultSize="0" print="0" autoFill="0" autoPict="0" macro="[0]!Menu_Select">
                <anchor moveWithCells="1" sizeWithCells="1">
                  <from>
                    <xdr:col>2</xdr:col>
                    <xdr:colOff>1181100</xdr:colOff>
                    <xdr:row>11</xdr:row>
                    <xdr:rowOff>19050</xdr:rowOff>
                  </from>
                  <to>
                    <xdr:col>4</xdr:col>
                    <xdr:colOff>361950</xdr:colOff>
                    <xdr:row>13</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tabColor theme="1"/>
  </sheetPr>
  <dimension ref="A1:P96"/>
  <sheetViews>
    <sheetView showGridLines="0" showRowColHeaders="0" tabSelected="1" view="pageBreakPreview" zoomScale="120" zoomScaleNormal="120" zoomScaleSheetLayoutView="120" workbookViewId="0">
      <selection activeCell="A81" sqref="A81"/>
    </sheetView>
  </sheetViews>
  <sheetFormatPr baseColWidth="10" defaultColWidth="0" defaultRowHeight="26.25" customHeight="1" zeroHeight="1"/>
  <cols>
    <col min="1" max="1" width="11.42578125" style="335" customWidth="1"/>
    <col min="2" max="2" width="13" style="335" customWidth="1"/>
    <col min="3" max="6" width="11.42578125" style="335" customWidth="1"/>
    <col min="7" max="7" width="15.7109375" style="335" customWidth="1"/>
    <col min="8" max="8" width="5.28515625" style="335" customWidth="1"/>
    <col min="9" max="10" width="11.42578125" style="336" customWidth="1"/>
    <col min="11" max="11" width="19.42578125" style="336" customWidth="1"/>
    <col min="12" max="16384" width="11.42578125" style="336" hidden="1"/>
  </cols>
  <sheetData>
    <row r="1" spans="1:16" s="191" customFormat="1" ht="15" customHeight="1">
      <c r="A1" s="192"/>
      <c r="B1" s="192"/>
      <c r="C1" s="370" t="s">
        <v>628</v>
      </c>
      <c r="D1" s="370"/>
      <c r="E1" s="370"/>
      <c r="F1" s="370"/>
      <c r="G1" s="370"/>
      <c r="H1" s="370"/>
      <c r="I1" s="370"/>
      <c r="J1" s="370"/>
      <c r="K1" s="370"/>
      <c r="P1" s="290"/>
    </row>
    <row r="2" spans="1:16" s="191" customFormat="1" ht="15" customHeight="1">
      <c r="A2" s="192"/>
      <c r="B2" s="192"/>
      <c r="C2" s="370"/>
      <c r="D2" s="370"/>
      <c r="E2" s="370"/>
      <c r="F2" s="370"/>
      <c r="G2" s="370"/>
      <c r="H2" s="370"/>
      <c r="I2" s="370"/>
      <c r="J2" s="370"/>
      <c r="K2" s="370"/>
      <c r="P2" s="290"/>
    </row>
    <row r="3" spans="1:16" s="191" customFormat="1" ht="15" customHeight="1">
      <c r="A3" s="192"/>
      <c r="B3" s="192"/>
      <c r="C3" s="370"/>
      <c r="D3" s="370"/>
      <c r="E3" s="370"/>
      <c r="F3" s="370"/>
      <c r="G3" s="370"/>
      <c r="H3" s="370"/>
      <c r="I3" s="370"/>
      <c r="J3" s="370"/>
      <c r="K3" s="370"/>
      <c r="P3" s="290"/>
    </row>
    <row r="4" spans="1:16" s="191" customFormat="1" ht="15" customHeight="1">
      <c r="A4" s="192"/>
      <c r="B4" s="192"/>
      <c r="C4" s="370"/>
      <c r="D4" s="370"/>
      <c r="E4" s="370"/>
      <c r="F4" s="370"/>
      <c r="G4" s="370"/>
      <c r="H4" s="370"/>
      <c r="I4" s="370"/>
      <c r="J4" s="370"/>
      <c r="K4" s="370"/>
      <c r="P4" s="290"/>
    </row>
    <row r="5" spans="1:16" s="191" customFormat="1" ht="15" customHeight="1">
      <c r="A5" s="192"/>
      <c r="B5" s="192"/>
      <c r="C5" s="370"/>
      <c r="D5" s="370"/>
      <c r="E5" s="370"/>
      <c r="F5" s="370"/>
      <c r="G5" s="370"/>
      <c r="H5" s="370"/>
      <c r="I5" s="370"/>
      <c r="J5" s="370"/>
      <c r="K5" s="370"/>
      <c r="M5" s="331"/>
      <c r="N5" s="331"/>
      <c r="P5" s="290"/>
    </row>
    <row r="6" spans="1:16" s="191" customFormat="1" ht="15" customHeight="1">
      <c r="A6" s="192"/>
      <c r="B6" s="192"/>
      <c r="C6" s="370"/>
      <c r="D6" s="370"/>
      <c r="E6" s="370"/>
      <c r="F6" s="370"/>
      <c r="G6" s="370"/>
      <c r="H6" s="370"/>
      <c r="I6" s="370"/>
      <c r="J6" s="370"/>
      <c r="K6" s="370"/>
    </row>
    <row r="7" spans="1:16" s="191" customFormat="1" ht="15" customHeight="1">
      <c r="A7" s="192"/>
      <c r="B7" s="192"/>
      <c r="C7" s="370"/>
      <c r="D7" s="370"/>
      <c r="E7" s="370"/>
      <c r="F7" s="370"/>
      <c r="G7" s="370"/>
      <c r="H7" s="370"/>
      <c r="I7" s="370"/>
      <c r="J7" s="370"/>
      <c r="K7" s="370"/>
    </row>
    <row r="8" spans="1:16" s="191" customFormat="1" ht="15" customHeight="1">
      <c r="A8" s="192"/>
      <c r="B8" s="192"/>
      <c r="C8" s="370"/>
      <c r="D8" s="370"/>
      <c r="E8" s="370"/>
      <c r="F8" s="370"/>
      <c r="G8" s="370"/>
      <c r="H8" s="370"/>
      <c r="I8" s="370"/>
      <c r="J8" s="370"/>
      <c r="K8" s="370"/>
    </row>
    <row r="9" spans="1:16" s="191" customFormat="1" ht="15" customHeight="1">
      <c r="A9" s="557" t="s">
        <v>631</v>
      </c>
      <c r="B9" s="557"/>
      <c r="C9" s="557"/>
      <c r="D9" s="557"/>
      <c r="E9" s="557"/>
      <c r="F9" s="557"/>
      <c r="G9" s="557"/>
      <c r="H9" s="557"/>
      <c r="I9" s="557"/>
      <c r="J9" s="557"/>
      <c r="K9" s="557"/>
    </row>
    <row r="10" spans="1:16" s="191" customFormat="1" ht="15" customHeight="1">
      <c r="A10" s="557"/>
      <c r="B10" s="557"/>
      <c r="C10" s="557"/>
      <c r="D10" s="557"/>
      <c r="E10" s="557"/>
      <c r="F10" s="557"/>
      <c r="G10" s="557"/>
      <c r="H10" s="557"/>
      <c r="I10" s="557"/>
      <c r="J10" s="557"/>
      <c r="K10" s="557"/>
    </row>
    <row r="11" spans="1:16" s="191" customFormat="1" ht="15" customHeight="1">
      <c r="A11" s="557"/>
      <c r="B11" s="557"/>
      <c r="C11" s="557"/>
      <c r="D11" s="557"/>
      <c r="E11" s="557"/>
      <c r="F11" s="557"/>
      <c r="G11" s="557"/>
      <c r="H11" s="557"/>
      <c r="I11" s="557"/>
      <c r="J11" s="557"/>
      <c r="K11" s="557"/>
    </row>
    <row r="12" spans="1:16" s="332" customFormat="1" ht="15" customHeight="1">
      <c r="A12" s="555" t="s">
        <v>632</v>
      </c>
      <c r="B12" s="556"/>
      <c r="C12" s="556"/>
      <c r="D12" s="556"/>
      <c r="E12" s="556"/>
      <c r="F12" s="556"/>
      <c r="G12" s="556"/>
      <c r="H12" s="556"/>
      <c r="I12" s="556"/>
      <c r="J12" s="556"/>
      <c r="K12" s="556"/>
    </row>
    <row r="13" spans="1:16" s="332" customFormat="1" ht="8.25" customHeight="1">
      <c r="A13" s="556"/>
      <c r="B13" s="556"/>
      <c r="C13" s="556"/>
      <c r="D13" s="556"/>
      <c r="E13" s="556"/>
      <c r="F13" s="556"/>
      <c r="G13" s="556"/>
      <c r="H13" s="556"/>
      <c r="I13" s="556"/>
      <c r="J13" s="556"/>
      <c r="K13" s="556"/>
    </row>
    <row r="14" spans="1:16" s="332" customFormat="1" ht="15" customHeight="1">
      <c r="A14" s="556" t="s">
        <v>630</v>
      </c>
      <c r="B14" s="556"/>
      <c r="C14" s="556"/>
      <c r="D14" s="556"/>
      <c r="E14" s="556"/>
      <c r="F14" s="556"/>
      <c r="G14" s="556"/>
      <c r="H14" s="556"/>
      <c r="I14" s="556"/>
      <c r="J14" s="556"/>
      <c r="K14" s="556"/>
    </row>
    <row r="15" spans="1:16" s="332" customFormat="1" ht="8.25" customHeight="1">
      <c r="A15" s="556"/>
      <c r="B15" s="556"/>
      <c r="C15" s="556"/>
      <c r="D15" s="556"/>
      <c r="E15" s="556"/>
      <c r="F15" s="556"/>
      <c r="G15" s="556"/>
      <c r="H15" s="556"/>
      <c r="I15" s="556"/>
      <c r="J15" s="556"/>
      <c r="K15" s="556"/>
    </row>
    <row r="16" spans="1:16" s="332" customFormat="1" ht="8.25" customHeight="1">
      <c r="A16" s="343"/>
      <c r="B16" s="343"/>
      <c r="C16" s="343"/>
      <c r="D16" s="343"/>
      <c r="E16" s="343"/>
      <c r="F16" s="343"/>
      <c r="G16" s="343"/>
      <c r="H16" s="343"/>
      <c r="I16" s="343"/>
      <c r="J16" s="343"/>
      <c r="K16" s="343"/>
    </row>
    <row r="17" spans="1:11" s="332" customFormat="1" ht="8.25" customHeight="1">
      <c r="A17" s="343"/>
      <c r="B17" s="343"/>
      <c r="C17" s="343"/>
      <c r="D17" s="343"/>
      <c r="E17" s="343"/>
      <c r="F17" s="343"/>
      <c r="G17" s="343"/>
      <c r="H17" s="343"/>
      <c r="I17" s="343"/>
      <c r="J17" s="343"/>
      <c r="K17" s="343"/>
    </row>
    <row r="18" spans="1:11" s="332" customFormat="1" ht="8.25" customHeight="1">
      <c r="A18" s="343"/>
      <c r="B18" s="343"/>
      <c r="C18" s="343"/>
      <c r="D18" s="343"/>
      <c r="E18" s="343"/>
      <c r="F18" s="343"/>
      <c r="G18" s="343"/>
      <c r="H18" s="343"/>
      <c r="I18" s="343"/>
      <c r="J18" s="343"/>
      <c r="K18" s="343"/>
    </row>
    <row r="19" spans="1:11" s="191" customFormat="1" ht="15" customHeight="1">
      <c r="A19" s="344"/>
      <c r="B19" s="344"/>
      <c r="C19" s="344"/>
      <c r="D19" s="344"/>
      <c r="E19" s="344"/>
      <c r="F19" s="344"/>
      <c r="G19" s="344"/>
      <c r="H19" s="344"/>
      <c r="I19" s="344"/>
      <c r="J19" s="344"/>
      <c r="K19" s="344"/>
    </row>
    <row r="20" spans="1:11" s="191" customFormat="1" ht="15" customHeight="1">
      <c r="A20" s="344"/>
      <c r="B20" s="344"/>
      <c r="C20" s="344"/>
      <c r="D20" s="344"/>
      <c r="E20" s="344"/>
      <c r="F20" s="344"/>
      <c r="G20" s="344"/>
      <c r="H20" s="344"/>
      <c r="I20" s="344"/>
      <c r="J20" s="344"/>
      <c r="K20" s="344"/>
    </row>
    <row r="21" spans="1:11" s="191" customFormat="1" ht="15">
      <c r="A21" s="190"/>
      <c r="B21" s="190"/>
      <c r="C21" s="190"/>
      <c r="D21" s="190"/>
      <c r="E21" s="190"/>
      <c r="F21" s="190"/>
      <c r="G21" s="190"/>
      <c r="H21" s="190"/>
      <c r="I21"/>
      <c r="J21"/>
      <c r="K21"/>
    </row>
    <row r="22" spans="1:11" s="191" customFormat="1" ht="23.25">
      <c r="A22" s="338"/>
      <c r="B22" s="338"/>
      <c r="C22" s="338"/>
      <c r="D22" s="338"/>
      <c r="E22" s="338"/>
      <c r="F22" s="338"/>
      <c r="G22" s="338"/>
      <c r="H22" s="338"/>
      <c r="I22"/>
      <c r="J22"/>
      <c r="K22"/>
    </row>
    <row r="23" spans="1:11" s="332" customFormat="1" ht="15" customHeight="1">
      <c r="A23" s="329"/>
      <c r="B23" s="329"/>
      <c r="C23" s="329"/>
      <c r="D23" s="329"/>
      <c r="E23" s="329"/>
      <c r="F23" s="329"/>
      <c r="G23" s="329"/>
      <c r="H23" s="329"/>
      <c r="I23"/>
      <c r="J23"/>
      <c r="K23"/>
    </row>
    <row r="24" spans="1:11" s="332" customFormat="1" ht="15" customHeight="1">
      <c r="A24" s="329"/>
      <c r="B24" s="329"/>
      <c r="C24" s="329"/>
      <c r="D24" s="329"/>
      <c r="E24" s="329"/>
      <c r="F24" s="329"/>
      <c r="G24" s="329"/>
      <c r="H24" s="329"/>
      <c r="I24"/>
      <c r="J24"/>
      <c r="K24"/>
    </row>
    <row r="25" spans="1:11" s="332" customFormat="1" ht="15" customHeight="1">
      <c r="A25" s="329"/>
      <c r="B25" s="329"/>
      <c r="C25" s="329"/>
      <c r="D25" s="329"/>
      <c r="E25" s="329"/>
      <c r="F25" s="329"/>
      <c r="G25" s="329"/>
      <c r="H25" s="329"/>
      <c r="I25"/>
      <c r="J25"/>
      <c r="K25"/>
    </row>
    <row r="26" spans="1:11" s="332" customFormat="1" ht="15" customHeight="1">
      <c r="A26" s="329"/>
      <c r="B26" s="329"/>
      <c r="C26" s="329"/>
      <c r="D26" s="329"/>
      <c r="E26" s="329"/>
      <c r="F26" s="329"/>
      <c r="G26" s="329"/>
      <c r="H26" s="329"/>
      <c r="I26"/>
      <c r="J26"/>
      <c r="K26"/>
    </row>
    <row r="27" spans="1:11" s="332" customFormat="1" ht="15" customHeight="1">
      <c r="A27" s="329"/>
      <c r="B27" s="329"/>
      <c r="C27" s="329"/>
      <c r="D27" s="329"/>
      <c r="E27" s="329"/>
      <c r="F27" s="329"/>
      <c r="G27" s="329"/>
      <c r="H27" s="329"/>
      <c r="I27"/>
      <c r="J27"/>
      <c r="K27"/>
    </row>
    <row r="28" spans="1:11" s="332" customFormat="1" ht="15" customHeight="1">
      <c r="A28" s="329"/>
      <c r="B28" s="329"/>
      <c r="C28" s="329"/>
      <c r="D28" s="329"/>
      <c r="E28" s="329"/>
      <c r="F28" s="329"/>
      <c r="G28" s="329"/>
      <c r="H28" s="329"/>
      <c r="I28"/>
      <c r="J28"/>
      <c r="K28"/>
    </row>
    <row r="29" spans="1:11" s="332" customFormat="1" ht="15" customHeight="1">
      <c r="A29" s="329"/>
      <c r="B29" s="329"/>
      <c r="C29" s="329"/>
      <c r="D29" s="329"/>
      <c r="E29"/>
      <c r="F29" s="329"/>
      <c r="G29" s="329"/>
      <c r="H29" s="329"/>
      <c r="I29"/>
      <c r="J29"/>
      <c r="K29"/>
    </row>
    <row r="30" spans="1:11" s="332" customFormat="1" ht="15" customHeight="1">
      <c r="A30" s="562" t="s">
        <v>629</v>
      </c>
      <c r="B30" s="562"/>
      <c r="C30" s="562"/>
      <c r="D30" s="562"/>
      <c r="E30"/>
      <c r="F30" s="329"/>
      <c r="G30" s="329"/>
      <c r="H30" s="329"/>
      <c r="I30"/>
      <c r="J30"/>
      <c r="K30"/>
    </row>
    <row r="31" spans="1:11" s="332" customFormat="1" ht="15" customHeight="1">
      <c r="A31" s="562"/>
      <c r="B31" s="562"/>
      <c r="C31" s="562"/>
      <c r="D31" s="562"/>
      <c r="E31" s="329"/>
      <c r="F31" s="329"/>
      <c r="G31" s="329"/>
      <c r="H31" s="329"/>
      <c r="I31"/>
      <c r="J31"/>
      <c r="K31"/>
    </row>
    <row r="32" spans="1:11" customFormat="1" ht="15" customHeight="1"/>
    <row r="33" spans="1:11" customFormat="1" ht="15" customHeight="1">
      <c r="E33" s="560"/>
      <c r="F33" s="560"/>
      <c r="G33" s="560"/>
      <c r="H33" s="560"/>
    </row>
    <row r="34" spans="1:11" s="332" customFormat="1" ht="15" customHeight="1">
      <c r="A34" s="329"/>
      <c r="B34" s="329"/>
      <c r="C34" s="329"/>
      <c r="D34" s="329"/>
      <c r="E34" s="329"/>
      <c r="F34" s="329"/>
      <c r="G34" s="329"/>
      <c r="H34" s="329"/>
      <c r="I34"/>
      <c r="J34"/>
      <c r="K34"/>
    </row>
    <row r="35" spans="1:11" ht="26.25" customHeight="1">
      <c r="A35" s="555" t="s">
        <v>637</v>
      </c>
      <c r="B35" s="556"/>
      <c r="C35" s="556"/>
      <c r="D35" s="556"/>
      <c r="E35" s="556"/>
      <c r="F35" s="556"/>
      <c r="G35" s="556"/>
      <c r="H35" s="556"/>
      <c r="I35" s="556"/>
      <c r="J35" s="556"/>
      <c r="K35" s="556"/>
    </row>
    <row r="36" spans="1:11" ht="26.25" customHeight="1">
      <c r="A36" s="556"/>
      <c r="B36" s="556"/>
      <c r="C36" s="556"/>
      <c r="D36" s="556"/>
      <c r="E36" s="556"/>
      <c r="F36" s="556"/>
      <c r="G36" s="556"/>
      <c r="H36" s="556"/>
      <c r="I36" s="556"/>
      <c r="J36" s="556"/>
      <c r="K36" s="556"/>
    </row>
    <row r="37" spans="1:11" customFormat="1" ht="26.25" customHeight="1"/>
    <row r="38" spans="1:11" customFormat="1" ht="26.25" customHeight="1"/>
    <row r="39" spans="1:11" s="332" customFormat="1" ht="15" customHeight="1">
      <c r="A39" s="329"/>
      <c r="B39" s="329"/>
      <c r="C39" s="339"/>
      <c r="D39" s="339"/>
      <c r="E39" s="339"/>
      <c r="F39" s="339"/>
      <c r="G39" s="339"/>
      <c r="H39" s="329"/>
      <c r="I39"/>
      <c r="J39"/>
      <c r="K39"/>
    </row>
    <row r="40" spans="1:11" s="332" customFormat="1" ht="15" customHeight="1">
      <c r="A40" s="329"/>
      <c r="B40" s="329"/>
      <c r="C40" s="339"/>
      <c r="D40" s="339"/>
      <c r="E40" s="339"/>
      <c r="F40" s="339"/>
      <c r="G40" s="339"/>
      <c r="H40" s="329"/>
      <c r="I40"/>
      <c r="J40"/>
      <c r="K40"/>
    </row>
    <row r="41" spans="1:11" s="332" customFormat="1" ht="15" customHeight="1">
      <c r="A41" s="329"/>
      <c r="B41" s="329"/>
      <c r="C41" s="340"/>
      <c r="D41" s="340"/>
      <c r="E41" s="341"/>
      <c r="F41" s="340"/>
      <c r="G41" s="340"/>
      <c r="H41" s="329"/>
      <c r="I41"/>
      <c r="J41"/>
      <c r="K41"/>
    </row>
    <row r="42" spans="1:11" s="332" customFormat="1" ht="15" customHeight="1">
      <c r="A42" s="329"/>
      <c r="B42" s="329"/>
      <c r="C42" s="329"/>
      <c r="D42" s="329"/>
      <c r="E42" s="329"/>
      <c r="F42" s="329"/>
      <c r="G42" s="329"/>
      <c r="H42" s="329"/>
      <c r="I42"/>
      <c r="J42"/>
      <c r="K42"/>
    </row>
    <row r="43" spans="1:11" s="332" customFormat="1" ht="15">
      <c r="A43" s="296"/>
      <c r="B43" s="296"/>
      <c r="C43" s="296"/>
      <c r="D43" s="296"/>
      <c r="E43" s="296"/>
      <c r="F43" s="296"/>
      <c r="G43" s="296"/>
      <c r="H43" s="296"/>
      <c r="I43"/>
      <c r="J43"/>
      <c r="K43"/>
    </row>
    <row r="44" spans="1:11" s="191" customFormat="1" ht="15">
      <c r="A44" s="558"/>
      <c r="B44" s="558"/>
      <c r="C44" s="558"/>
      <c r="D44" s="558"/>
      <c r="E44" s="558"/>
      <c r="F44" s="558"/>
      <c r="G44" s="558"/>
      <c r="H44" s="558"/>
      <c r="I44"/>
      <c r="J44"/>
      <c r="K44"/>
    </row>
    <row r="45" spans="1:11" s="191" customFormat="1" ht="15">
      <c r="A45" s="296"/>
      <c r="B45" s="296"/>
      <c r="C45" s="296"/>
      <c r="D45" s="296"/>
      <c r="E45" s="296"/>
      <c r="F45" s="296"/>
      <c r="G45" s="296"/>
      <c r="H45" s="296"/>
      <c r="I45"/>
      <c r="J45"/>
      <c r="K45"/>
    </row>
    <row r="46" spans="1:11" s="191" customFormat="1" ht="15">
      <c r="A46"/>
      <c r="B46"/>
      <c r="C46"/>
      <c r="D46"/>
      <c r="E46"/>
      <c r="F46"/>
      <c r="G46"/>
      <c r="H46"/>
      <c r="I46"/>
      <c r="J46"/>
      <c r="K46"/>
    </row>
    <row r="47" spans="1:11" s="191" customFormat="1" ht="15.75">
      <c r="A47" s="561" t="s">
        <v>590</v>
      </c>
      <c r="B47" s="561"/>
      <c r="C47" s="561"/>
      <c r="D47" s="561"/>
      <c r="E47" s="337"/>
      <c r="F47" s="337"/>
      <c r="G47" s="337"/>
      <c r="H47" s="337"/>
      <c r="I47"/>
      <c r="J47"/>
      <c r="K47"/>
    </row>
    <row r="48" spans="1:11" s="191" customFormat="1" ht="15.75">
      <c r="A48" s="330"/>
      <c r="B48" s="330"/>
      <c r="C48" s="330"/>
      <c r="D48" s="330"/>
      <c r="E48" s="330"/>
      <c r="F48" s="330"/>
      <c r="G48" s="330"/>
      <c r="H48" s="330"/>
      <c r="I48"/>
      <c r="J48"/>
      <c r="K48"/>
    </row>
    <row r="49" spans="1:11" s="191" customFormat="1" ht="15.75">
      <c r="A49" s="330"/>
      <c r="B49" s="330"/>
      <c r="C49" s="330"/>
      <c r="D49" s="330"/>
      <c r="E49" s="330"/>
      <c r="F49" s="330"/>
      <c r="G49" s="330"/>
      <c r="H49" s="330"/>
      <c r="I49"/>
      <c r="J49"/>
      <c r="K49"/>
    </row>
    <row r="50" spans="1:11" s="191" customFormat="1" ht="15.75" customHeight="1">
      <c r="A50" s="557" t="s">
        <v>634</v>
      </c>
      <c r="B50" s="557"/>
      <c r="C50" s="557"/>
      <c r="D50" s="557"/>
      <c r="E50" s="557"/>
      <c r="F50" s="557"/>
      <c r="G50" s="557"/>
      <c r="H50" s="557"/>
      <c r="I50" s="557"/>
      <c r="J50" s="557"/>
      <c r="K50" s="557"/>
    </row>
    <row r="51" spans="1:11" s="191" customFormat="1" ht="15.75" customHeight="1">
      <c r="A51" s="557"/>
      <c r="B51" s="557"/>
      <c r="C51" s="557"/>
      <c r="D51" s="557"/>
      <c r="E51" s="557"/>
      <c r="F51" s="557"/>
      <c r="G51" s="557"/>
      <c r="H51" s="557"/>
      <c r="I51" s="557"/>
      <c r="J51" s="557"/>
      <c r="K51" s="557"/>
    </row>
    <row r="52" spans="1:11" s="191" customFormat="1" ht="15.75" customHeight="1">
      <c r="A52" s="557"/>
      <c r="B52" s="557"/>
      <c r="C52" s="557"/>
      <c r="D52" s="557"/>
      <c r="E52" s="557"/>
      <c r="F52" s="557"/>
      <c r="G52" s="557"/>
      <c r="H52" s="557"/>
      <c r="I52" s="557"/>
      <c r="J52" s="557"/>
      <c r="K52" s="557"/>
    </row>
    <row r="53" spans="1:11" s="191" customFormat="1" ht="15.75" customHeight="1">
      <c r="A53" s="343"/>
      <c r="B53" s="343"/>
      <c r="C53" s="343"/>
      <c r="D53" s="343"/>
      <c r="E53" s="343"/>
      <c r="F53" s="343"/>
      <c r="G53" s="343"/>
      <c r="H53" s="343"/>
      <c r="I53" s="343"/>
      <c r="J53" s="343"/>
      <c r="K53" s="343"/>
    </row>
    <row r="54" spans="1:11" s="191" customFormat="1" ht="15.75" customHeight="1">
      <c r="A54" s="343"/>
      <c r="B54" s="343"/>
      <c r="C54" s="343"/>
      <c r="D54" s="343"/>
      <c r="E54" s="343"/>
      <c r="F54" s="343"/>
      <c r="G54" s="343"/>
      <c r="H54" s="343"/>
      <c r="I54" s="343"/>
      <c r="J54" s="343"/>
      <c r="K54" s="343"/>
    </row>
    <row r="55" spans="1:11" s="191" customFormat="1" ht="15.75" customHeight="1">
      <c r="A55" s="343"/>
      <c r="B55" s="343"/>
      <c r="C55" s="343"/>
      <c r="D55" s="343"/>
      <c r="E55" s="343"/>
      <c r="F55" s="343"/>
      <c r="G55" s="343"/>
      <c r="H55" s="343"/>
      <c r="I55" s="343"/>
      <c r="J55" s="343"/>
      <c r="K55" s="343"/>
    </row>
    <row r="56" spans="1:11" s="191" customFormat="1" ht="15.75" customHeight="1">
      <c r="A56" s="343"/>
      <c r="B56" s="343"/>
      <c r="C56" s="343"/>
      <c r="D56" s="343"/>
      <c r="E56" s="343"/>
      <c r="F56" s="343"/>
      <c r="G56" s="343"/>
      <c r="H56" s="343"/>
      <c r="I56" s="343"/>
      <c r="J56" s="343"/>
      <c r="K56" s="343"/>
    </row>
    <row r="57" spans="1:11" s="191" customFormat="1" ht="15.75" customHeight="1">
      <c r="A57" s="343"/>
      <c r="B57" s="343"/>
      <c r="C57" s="343"/>
      <c r="D57" s="343"/>
      <c r="E57" s="343"/>
      <c r="F57" s="343"/>
      <c r="G57" s="343"/>
      <c r="H57" s="343"/>
      <c r="I57" s="343"/>
      <c r="J57" s="343"/>
      <c r="K57" s="343"/>
    </row>
    <row r="58" spans="1:11" s="191" customFormat="1" ht="15.75" customHeight="1">
      <c r="A58" s="343"/>
      <c r="B58" s="343"/>
      <c r="C58" s="343"/>
      <c r="D58" s="343"/>
      <c r="E58" s="343"/>
      <c r="F58" s="343"/>
      <c r="G58" s="343"/>
      <c r="H58" s="343"/>
      <c r="I58" s="343"/>
      <c r="J58" s="343"/>
      <c r="K58" s="343"/>
    </row>
    <row r="59" spans="1:11" s="191" customFormat="1" ht="15.75" customHeight="1">
      <c r="A59" s="343"/>
      <c r="B59" s="343"/>
      <c r="C59" s="343"/>
      <c r="D59" s="343"/>
      <c r="E59" s="343"/>
      <c r="F59" s="343"/>
      <c r="G59" s="343"/>
      <c r="H59" s="343"/>
      <c r="I59" s="343"/>
      <c r="J59" s="343"/>
      <c r="K59" s="343"/>
    </row>
    <row r="60" spans="1:11" s="191" customFormat="1" ht="15.75" customHeight="1">
      <c r="A60" s="343"/>
      <c r="B60" s="343"/>
      <c r="C60" s="343"/>
      <c r="D60" s="343"/>
      <c r="E60" s="343"/>
      <c r="F60" s="343"/>
      <c r="G60" s="343"/>
      <c r="H60" s="343"/>
      <c r="I60" s="343"/>
      <c r="J60" s="343"/>
      <c r="K60" s="343"/>
    </row>
    <row r="61" spans="1:11" s="191" customFormat="1" ht="15.75" customHeight="1">
      <c r="A61" s="343"/>
      <c r="B61" s="343"/>
      <c r="C61" s="343"/>
      <c r="D61" s="343"/>
      <c r="E61" s="343"/>
      <c r="F61" s="343"/>
      <c r="G61" s="343"/>
      <c r="H61" s="343"/>
      <c r="I61" s="343"/>
      <c r="J61" s="343"/>
      <c r="K61" s="343"/>
    </row>
    <row r="62" spans="1:11" s="191" customFormat="1" ht="15.75" customHeight="1">
      <c r="A62" s="343"/>
      <c r="B62" s="343"/>
      <c r="C62" s="343"/>
      <c r="D62" s="343"/>
      <c r="E62" s="343"/>
      <c r="F62" s="343"/>
      <c r="G62" s="343"/>
      <c r="H62" s="343"/>
      <c r="I62" s="343"/>
      <c r="J62" s="343"/>
      <c r="K62" s="343"/>
    </row>
    <row r="63" spans="1:11" s="191" customFormat="1" ht="15.75" customHeight="1">
      <c r="A63" s="343"/>
      <c r="B63" s="343"/>
      <c r="C63" s="343"/>
      <c r="D63" s="343"/>
      <c r="E63" s="343"/>
      <c r="F63" s="343"/>
      <c r="G63" s="343"/>
      <c r="H63" s="343"/>
      <c r="I63" s="343"/>
      <c r="J63" s="343"/>
      <c r="K63" s="343"/>
    </row>
    <row r="64" spans="1:11" s="191" customFormat="1" ht="15.75" customHeight="1">
      <c r="A64" s="561" t="s">
        <v>635</v>
      </c>
      <c r="B64" s="561"/>
      <c r="C64" s="561"/>
      <c r="D64" s="561"/>
      <c r="E64" s="343"/>
      <c r="F64" s="343"/>
      <c r="G64" s="561" t="s">
        <v>636</v>
      </c>
      <c r="H64" s="561"/>
      <c r="I64" s="561"/>
      <c r="J64" s="561"/>
      <c r="K64" s="343"/>
    </row>
    <row r="65" spans="1:11" s="191" customFormat="1" ht="15.75" customHeight="1">
      <c r="A65" s="343"/>
      <c r="B65" s="343"/>
      <c r="C65" s="343"/>
      <c r="D65" s="343"/>
      <c r="E65" s="343"/>
      <c r="F65" s="343"/>
      <c r="G65" s="343"/>
      <c r="H65" s="343"/>
      <c r="I65" s="343"/>
      <c r="J65" s="343"/>
      <c r="K65" s="343"/>
    </row>
    <row r="66" spans="1:11" s="191" customFormat="1" ht="15.75" customHeight="1">
      <c r="A66" s="343"/>
      <c r="B66" s="343"/>
      <c r="C66" s="343"/>
      <c r="D66" s="343"/>
      <c r="E66" s="343"/>
      <c r="F66" s="343"/>
      <c r="G66" s="343"/>
      <c r="H66" s="343"/>
      <c r="I66" s="343"/>
      <c r="J66" s="343"/>
      <c r="K66" s="343"/>
    </row>
    <row r="67" spans="1:11" s="191" customFormat="1" ht="15.75" customHeight="1">
      <c r="A67" s="343"/>
      <c r="B67" s="343"/>
      <c r="C67" s="343"/>
      <c r="D67" s="343"/>
      <c r="E67" s="343"/>
      <c r="F67" s="343"/>
      <c r="G67" s="343"/>
      <c r="H67" s="343"/>
      <c r="I67" s="343"/>
      <c r="J67" s="343"/>
      <c r="K67" s="343"/>
    </row>
    <row r="68" spans="1:11" s="191" customFormat="1" ht="15.75" customHeight="1">
      <c r="A68" s="343"/>
      <c r="B68" s="343"/>
      <c r="C68" s="343"/>
      <c r="D68" s="343"/>
      <c r="E68" s="343"/>
      <c r="F68" s="343"/>
      <c r="G68" s="343"/>
      <c r="H68" s="343"/>
      <c r="I68" s="343"/>
      <c r="J68" s="343"/>
      <c r="K68" s="343"/>
    </row>
    <row r="69" spans="1:11" s="191" customFormat="1" ht="15.75" customHeight="1">
      <c r="A69" s="343"/>
      <c r="B69" s="343"/>
      <c r="C69" s="343"/>
      <c r="D69" s="343"/>
      <c r="E69" s="343"/>
      <c r="F69" s="343"/>
      <c r="G69" s="343"/>
      <c r="H69" s="343"/>
      <c r="I69" s="343"/>
      <c r="J69" s="343"/>
      <c r="K69" s="343"/>
    </row>
    <row r="70" spans="1:11" s="191" customFormat="1" ht="15.75" customHeight="1">
      <c r="A70" s="343"/>
      <c r="B70" s="343"/>
      <c r="C70" s="343"/>
      <c r="D70" s="343"/>
      <c r="E70" s="343"/>
      <c r="F70" s="343"/>
      <c r="G70" s="343"/>
      <c r="H70" s="343"/>
      <c r="I70" s="343"/>
      <c r="J70" s="343"/>
      <c r="K70" s="343"/>
    </row>
    <row r="71" spans="1:11" s="191" customFormat="1" ht="15.75" customHeight="1">
      <c r="A71" s="343"/>
      <c r="B71" s="343"/>
      <c r="C71" s="343"/>
      <c r="D71" s="343"/>
      <c r="E71" s="343"/>
      <c r="F71" s="343"/>
      <c r="G71" s="343"/>
      <c r="H71" s="343"/>
      <c r="I71" s="343"/>
      <c r="J71" s="343"/>
      <c r="K71" s="343"/>
    </row>
    <row r="72" spans="1:11" s="191" customFormat="1" ht="15.75" customHeight="1">
      <c r="A72" s="343"/>
      <c r="B72" s="343"/>
      <c r="C72" s="343"/>
      <c r="D72" s="343"/>
      <c r="E72" s="343"/>
      <c r="F72" s="343"/>
      <c r="G72" s="343"/>
      <c r="H72" s="343"/>
      <c r="I72" s="343"/>
      <c r="J72" s="343"/>
      <c r="K72" s="343"/>
    </row>
    <row r="73" spans="1:11" s="191" customFormat="1" ht="15.75" customHeight="1">
      <c r="A73" s="343"/>
      <c r="B73" s="343"/>
      <c r="C73" s="343"/>
      <c r="D73" s="343"/>
      <c r="E73" s="343"/>
      <c r="F73" s="343"/>
      <c r="G73" s="343"/>
      <c r="H73" s="343"/>
      <c r="I73" s="343"/>
      <c r="J73" s="343"/>
      <c r="K73" s="343"/>
    </row>
    <row r="74" spans="1:11" s="191" customFormat="1" ht="15.75" customHeight="1">
      <c r="A74" s="343"/>
      <c r="B74" s="343"/>
      <c r="C74" s="343"/>
      <c r="D74" s="343"/>
      <c r="E74" s="343"/>
      <c r="F74" s="343"/>
      <c r="G74" s="343"/>
      <c r="H74" s="343"/>
      <c r="I74" s="343"/>
      <c r="J74" s="343"/>
      <c r="K74" s="343"/>
    </row>
    <row r="75" spans="1:11" s="191" customFormat="1" ht="15.75">
      <c r="A75" s="330"/>
      <c r="B75" s="330"/>
      <c r="C75" s="330"/>
      <c r="D75" s="330"/>
      <c r="E75" s="330"/>
      <c r="F75" s="330"/>
      <c r="G75" s="330"/>
      <c r="H75" s="330"/>
      <c r="I75"/>
      <c r="J75"/>
      <c r="K75"/>
    </row>
    <row r="76" spans="1:11" s="191" customFormat="1" ht="17.25" customHeight="1">
      <c r="A76" s="190"/>
      <c r="B76" s="559"/>
      <c r="C76" s="559"/>
      <c r="D76" s="559"/>
      <c r="E76" s="559"/>
      <c r="F76" s="559"/>
      <c r="G76" s="190"/>
      <c r="H76" s="190"/>
      <c r="I76"/>
      <c r="J76"/>
      <c r="K76"/>
    </row>
    <row r="77" spans="1:11" s="191" customFormat="1" ht="15.75" customHeight="1">
      <c r="A77" s="561" t="s">
        <v>633</v>
      </c>
      <c r="B77" s="561"/>
      <c r="C77" s="561"/>
      <c r="D77" s="561"/>
      <c r="E77" s="190"/>
      <c r="F77" s="190"/>
      <c r="G77" s="190"/>
      <c r="H77" s="190"/>
      <c r="I77"/>
      <c r="J77"/>
      <c r="K77"/>
    </row>
    <row r="78" spans="1:11" s="191" customFormat="1" ht="15.75" customHeight="1">
      <c r="A78" s="190"/>
      <c r="B78" s="190"/>
      <c r="C78" s="190"/>
      <c r="D78" s="334"/>
      <c r="E78" s="190"/>
      <c r="F78" s="190"/>
      <c r="G78" s="190"/>
      <c r="H78" s="190"/>
      <c r="I78"/>
      <c r="J78"/>
      <c r="K78"/>
    </row>
    <row r="79" spans="1:11" s="191" customFormat="1" ht="15" customHeight="1">
      <c r="A79" s="190"/>
      <c r="B79" s="190"/>
      <c r="C79" s="190"/>
      <c r="D79" s="190"/>
      <c r="E79" s="190"/>
      <c r="F79" s="190"/>
      <c r="G79" s="190"/>
      <c r="H79" s="190"/>
      <c r="I79"/>
      <c r="J79"/>
      <c r="K79"/>
    </row>
    <row r="80" spans="1:11" s="191" customFormat="1" ht="31.5" customHeight="1">
      <c r="A80" s="563" t="s">
        <v>705</v>
      </c>
      <c r="B80" s="563"/>
      <c r="C80" s="563"/>
      <c r="D80" s="563"/>
      <c r="E80" s="563"/>
      <c r="F80" s="563"/>
      <c r="G80" s="563"/>
      <c r="H80" s="563"/>
      <c r="I80" s="563"/>
      <c r="J80" s="563"/>
      <c r="K80" s="563"/>
    </row>
    <row r="81" spans="1:11" s="191" customFormat="1" ht="15" customHeight="1">
      <c r="A81" s="190"/>
      <c r="B81" s="190"/>
      <c r="C81" s="190"/>
      <c r="D81" s="190"/>
      <c r="E81" s="190"/>
      <c r="F81" s="190"/>
      <c r="G81" s="190"/>
      <c r="H81" s="190"/>
      <c r="I81"/>
      <c r="J81"/>
      <c r="K81"/>
    </row>
    <row r="82" spans="1:11" s="191" customFormat="1" ht="15" customHeight="1">
      <c r="A82" s="190"/>
      <c r="B82" s="190"/>
      <c r="C82" s="190"/>
      <c r="D82" s="190"/>
      <c r="E82" s="190"/>
      <c r="F82" s="190"/>
      <c r="G82" s="190"/>
      <c r="H82" s="190"/>
      <c r="I82"/>
      <c r="J82"/>
      <c r="K82"/>
    </row>
    <row r="83" spans="1:11" s="191" customFormat="1" ht="21" customHeight="1">
      <c r="A83" s="190"/>
      <c r="B83" s="190"/>
      <c r="C83" s="190"/>
      <c r="D83" s="190"/>
      <c r="E83" s="190"/>
      <c r="F83" s="190"/>
      <c r="G83" s="190"/>
      <c r="H83" s="190"/>
      <c r="I83"/>
      <c r="J83"/>
      <c r="K83"/>
    </row>
    <row r="84" spans="1:11" s="191" customFormat="1" ht="31.5" customHeight="1">
      <c r="A84" s="342"/>
      <c r="B84" s="342"/>
      <c r="C84" s="342"/>
      <c r="D84" s="342"/>
      <c r="E84" s="342"/>
      <c r="F84" s="342"/>
      <c r="G84" s="342"/>
      <c r="H84" s="342"/>
      <c r="I84"/>
      <c r="J84"/>
      <c r="K84"/>
    </row>
    <row r="85" spans="1:11" s="191" customFormat="1" ht="15" customHeight="1">
      <c r="A85" s="564" t="s">
        <v>698</v>
      </c>
      <c r="B85" s="564"/>
      <c r="C85" s="564"/>
      <c r="D85" s="564"/>
      <c r="E85" s="564"/>
      <c r="F85" s="564"/>
      <c r="G85" s="564"/>
      <c r="H85" s="564"/>
      <c r="I85" s="564"/>
      <c r="J85" s="564"/>
      <c r="K85" s="564"/>
    </row>
    <row r="86" spans="1:11" s="191" customFormat="1" ht="15">
      <c r="A86" s="333"/>
      <c r="B86" s="333"/>
      <c r="C86" s="333"/>
      <c r="D86" s="333"/>
      <c r="E86" s="333"/>
      <c r="F86" s="333"/>
      <c r="G86" s="333"/>
      <c r="H86" s="333"/>
      <c r="I86"/>
      <c r="J86"/>
      <c r="K86"/>
    </row>
    <row r="87" spans="1:11" customFormat="1" ht="15" hidden="1" customHeight="1"/>
    <row r="88" spans="1:11" customFormat="1" ht="15" hidden="1" customHeight="1"/>
    <row r="89" spans="1:11" customFormat="1" ht="26.25" hidden="1" customHeight="1"/>
    <row r="90" spans="1:11" customFormat="1" ht="26.25" hidden="1" customHeight="1"/>
    <row r="91" spans="1:11" customFormat="1" ht="26.25" hidden="1" customHeight="1"/>
    <row r="92" spans="1:11" customFormat="1" ht="26.25" hidden="1" customHeight="1"/>
    <row r="93" spans="1:11" customFormat="1" ht="26.25" hidden="1" customHeight="1"/>
    <row r="94" spans="1:11" customFormat="1" ht="26.25" hidden="1" customHeight="1"/>
    <row r="95" spans="1:11" customFormat="1" ht="26.25" hidden="1" customHeight="1"/>
    <row r="96" spans="1:11" customFormat="1" ht="26.25" hidden="1" customHeight="1"/>
  </sheetData>
  <sheetProtection algorithmName="SHA-512" hashValue="aLB5OzO3QxNTcsmzDEG/AMpwbNY+EjW7F6w6qEqZna1lUodI2Hp7x4L0amAVZ+ywXEdcDVFjjq2awvKCZ3d87Q==" saltValue="SH4WLEiDo07Yi0CWudhLBw==" spinCount="100000" sheet="1" objects="1" scenarios="1" selectLockedCells="1"/>
  <mergeCells count="16">
    <mergeCell ref="A80:K80"/>
    <mergeCell ref="A85:K85"/>
    <mergeCell ref="A35:K36"/>
    <mergeCell ref="A64:D64"/>
    <mergeCell ref="G64:J64"/>
    <mergeCell ref="A77:D77"/>
    <mergeCell ref="A50:K52"/>
    <mergeCell ref="C1:K8"/>
    <mergeCell ref="A12:K13"/>
    <mergeCell ref="A9:K11"/>
    <mergeCell ref="A44:H44"/>
    <mergeCell ref="B76:F76"/>
    <mergeCell ref="E33:H33"/>
    <mergeCell ref="A47:D47"/>
    <mergeCell ref="A30:D31"/>
    <mergeCell ref="A14:K15"/>
  </mergeCells>
  <pageMargins left="0.70866141732283472" right="0.70866141732283472" top="0.74803149606299213" bottom="0.74803149606299213" header="0.31496062992125984" footer="0.31496062992125984"/>
  <pageSetup scale="4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6628" r:id="rId4" name="Button 4">
              <controlPr defaultSize="0" print="0" autoFill="0" autoPict="0" macro="[0]!ThisWorkbook.registration">
                <anchor moveWithCells="1" sizeWithCells="1">
                  <from>
                    <xdr:col>3</xdr:col>
                    <xdr:colOff>533400</xdr:colOff>
                    <xdr:row>80</xdr:row>
                    <xdr:rowOff>95250</xdr:rowOff>
                  </from>
                  <to>
                    <xdr:col>7</xdr:col>
                    <xdr:colOff>295275</xdr:colOff>
                    <xdr:row>82</xdr:row>
                    <xdr:rowOff>114300</xdr:rowOff>
                  </to>
                </anchor>
              </controlPr>
            </control>
          </mc:Choice>
        </mc:AlternateContent>
        <mc:AlternateContent xmlns:mc="http://schemas.openxmlformats.org/markup-compatibility/2006">
          <mc:Choice Requires="x14">
            <control shapeId="26629" r:id="rId5" name="Button 5">
              <controlPr defaultSize="0" print="0" autoFill="0" autoPict="0" macro="[0]!TC2_Select">
                <anchor moveWithCells="1" sizeWithCells="1">
                  <from>
                    <xdr:col>4</xdr:col>
                    <xdr:colOff>409575</xdr:colOff>
                    <xdr:row>82</xdr:row>
                    <xdr:rowOff>238125</xdr:rowOff>
                  </from>
                  <to>
                    <xdr:col>6</xdr:col>
                    <xdr:colOff>762000</xdr:colOff>
                    <xdr:row>83</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tabColor theme="1"/>
  </sheetPr>
  <dimension ref="A1:P46"/>
  <sheetViews>
    <sheetView showGridLines="0" showRowColHeaders="0" topLeftCell="A22" zoomScale="120" zoomScaleNormal="120" zoomScaleSheetLayoutView="120" workbookViewId="0">
      <selection activeCell="A30" sqref="A30"/>
    </sheetView>
  </sheetViews>
  <sheetFormatPr baseColWidth="10" defaultColWidth="0" defaultRowHeight="0" customHeight="1" zeroHeight="1"/>
  <cols>
    <col min="1" max="1" width="11.42578125" style="564" customWidth="1"/>
    <col min="2" max="2" width="13" style="564" customWidth="1"/>
    <col min="3" max="6" width="11.42578125" style="564" customWidth="1"/>
    <col min="7" max="7" width="12.85546875" style="564" customWidth="1"/>
    <col min="8" max="8" width="5.28515625" style="564" customWidth="1"/>
    <col min="9" max="16384" width="11.42578125" style="191" hidden="1"/>
  </cols>
  <sheetData>
    <row r="1" spans="1:16" ht="15" customHeight="1">
      <c r="A1" s="192"/>
      <c r="B1" s="192"/>
      <c r="C1" s="565" t="s">
        <v>587</v>
      </c>
      <c r="D1" s="565"/>
      <c r="E1" s="565"/>
      <c r="F1" s="565"/>
      <c r="G1" s="565"/>
      <c r="H1" s="192"/>
      <c r="P1" s="290"/>
    </row>
    <row r="2" spans="1:16" ht="15" customHeight="1">
      <c r="A2" s="192"/>
      <c r="B2" s="192"/>
      <c r="C2" s="565"/>
      <c r="D2" s="565"/>
      <c r="E2" s="565"/>
      <c r="F2" s="565"/>
      <c r="G2" s="565"/>
      <c r="H2" s="192"/>
      <c r="P2" s="290"/>
    </row>
    <row r="3" spans="1:16" ht="15" customHeight="1">
      <c r="A3" s="192"/>
      <c r="B3" s="192"/>
      <c r="C3" s="565"/>
      <c r="D3" s="565"/>
      <c r="E3" s="565"/>
      <c r="F3" s="565"/>
      <c r="G3" s="565"/>
      <c r="H3" s="192"/>
      <c r="P3" s="290"/>
    </row>
    <row r="4" spans="1:16" ht="15" customHeight="1">
      <c r="A4" s="192"/>
      <c r="B4" s="192"/>
      <c r="C4" s="565"/>
      <c r="D4" s="565"/>
      <c r="E4" s="565"/>
      <c r="F4" s="565"/>
      <c r="G4" s="565"/>
      <c r="H4" s="192"/>
      <c r="P4" s="290"/>
    </row>
    <row r="5" spans="1:16" ht="15" customHeight="1">
      <c r="A5" s="192"/>
      <c r="B5" s="192"/>
      <c r="C5" s="565"/>
      <c r="D5" s="565"/>
      <c r="E5" s="565"/>
      <c r="F5" s="565"/>
      <c r="G5" s="565"/>
      <c r="H5" s="192"/>
      <c r="M5" s="2"/>
      <c r="N5" s="2"/>
      <c r="P5" s="290"/>
    </row>
    <row r="6" spans="1:16" ht="15" customHeight="1">
      <c r="A6" s="192"/>
      <c r="B6" s="192"/>
      <c r="C6" s="565"/>
      <c r="D6" s="565"/>
      <c r="E6" s="565"/>
      <c r="F6" s="565"/>
      <c r="G6" s="565"/>
      <c r="H6" s="192"/>
    </row>
    <row r="7" spans="1:16" ht="15" customHeight="1">
      <c r="A7" s="192"/>
      <c r="B7" s="192"/>
      <c r="C7" s="565"/>
      <c r="D7" s="565"/>
      <c r="E7" s="565"/>
      <c r="F7" s="565"/>
      <c r="G7" s="565"/>
      <c r="H7" s="192"/>
    </row>
    <row r="8" spans="1:16" ht="15" customHeight="1">
      <c r="A8" s="192"/>
      <c r="B8" s="192"/>
      <c r="C8" s="565"/>
      <c r="D8" s="565"/>
      <c r="E8" s="565"/>
      <c r="F8" s="565"/>
      <c r="G8" s="565"/>
      <c r="H8" s="192"/>
    </row>
    <row r="9" spans="1:16" ht="15">
      <c r="A9" s="190"/>
      <c r="B9" s="190"/>
      <c r="C9" s="190"/>
      <c r="D9" s="190"/>
      <c r="E9" s="190"/>
      <c r="F9" s="190"/>
      <c r="G9" s="190"/>
      <c r="H9" s="190"/>
    </row>
    <row r="10" spans="1:16" ht="23.25">
      <c r="A10" s="566" t="s">
        <v>627</v>
      </c>
      <c r="B10" s="566"/>
      <c r="C10" s="566"/>
      <c r="D10" s="566"/>
      <c r="E10" s="566"/>
      <c r="F10" s="566"/>
      <c r="G10" s="566"/>
      <c r="H10" s="566"/>
    </row>
    <row r="11" spans="1:16" s="296" customFormat="1" ht="15" customHeight="1">
      <c r="A11" s="567" t="s">
        <v>704</v>
      </c>
      <c r="B11" s="567"/>
      <c r="C11" s="567"/>
      <c r="D11" s="567"/>
      <c r="E11" s="567"/>
      <c r="F11" s="567"/>
      <c r="G11" s="567"/>
      <c r="H11" s="567"/>
    </row>
    <row r="12" spans="1:16" s="296" customFormat="1" ht="15">
      <c r="A12" s="567"/>
      <c r="B12" s="567"/>
      <c r="C12" s="567"/>
      <c r="D12" s="567"/>
      <c r="E12" s="567"/>
      <c r="F12" s="567"/>
      <c r="G12" s="567"/>
      <c r="H12" s="567"/>
    </row>
    <row r="13" spans="1:16" s="296" customFormat="1" ht="15">
      <c r="A13" s="567"/>
      <c r="B13" s="567"/>
      <c r="C13" s="567"/>
      <c r="D13" s="567"/>
      <c r="E13" s="567"/>
      <c r="F13" s="567"/>
      <c r="G13" s="567"/>
      <c r="H13" s="567"/>
    </row>
    <row r="14" spans="1:16" s="296" customFormat="1" ht="15">
      <c r="A14" s="567"/>
      <c r="B14" s="567"/>
      <c r="C14" s="567"/>
      <c r="D14" s="567"/>
      <c r="E14" s="567"/>
      <c r="F14" s="567"/>
      <c r="G14" s="567"/>
      <c r="H14" s="567"/>
    </row>
    <row r="15" spans="1:16" s="296" customFormat="1" ht="15" customHeight="1">
      <c r="A15" s="567"/>
      <c r="B15" s="567"/>
      <c r="C15" s="567"/>
      <c r="D15" s="567"/>
      <c r="E15" s="567"/>
      <c r="F15" s="567"/>
      <c r="G15" s="567"/>
      <c r="H15" s="567"/>
    </row>
    <row r="16" spans="1:16" s="296" customFormat="1" ht="15">
      <c r="A16" s="567"/>
      <c r="B16" s="567"/>
      <c r="C16" s="567"/>
      <c r="D16" s="567"/>
      <c r="E16" s="567"/>
      <c r="F16" s="567"/>
      <c r="G16" s="567"/>
      <c r="H16" s="567"/>
    </row>
    <row r="17" spans="1:8" s="296" customFormat="1" ht="15">
      <c r="A17" s="567"/>
      <c r="B17" s="567"/>
      <c r="C17" s="567"/>
      <c r="D17" s="567"/>
      <c r="E17" s="567"/>
      <c r="F17" s="567"/>
      <c r="G17" s="567"/>
      <c r="H17" s="567"/>
    </row>
    <row r="18" spans="1:8" s="296" customFormat="1" ht="15" customHeight="1">
      <c r="A18" s="567"/>
      <c r="B18" s="567"/>
      <c r="C18" s="567"/>
      <c r="D18" s="567"/>
      <c r="E18" s="567"/>
      <c r="F18" s="567"/>
      <c r="G18" s="567"/>
      <c r="H18" s="567"/>
    </row>
    <row r="19" spans="1:8" s="296" customFormat="1" ht="15" customHeight="1">
      <c r="A19" s="567"/>
      <c r="B19" s="567"/>
      <c r="C19" s="567"/>
      <c r="D19" s="567"/>
      <c r="E19" s="567"/>
      <c r="F19" s="567"/>
      <c r="G19" s="567"/>
      <c r="H19" s="567"/>
    </row>
    <row r="20" spans="1:8" s="296" customFormat="1" ht="15">
      <c r="A20" s="567"/>
      <c r="B20" s="567"/>
      <c r="C20" s="567"/>
      <c r="D20" s="567"/>
      <c r="E20" s="567"/>
      <c r="F20" s="567"/>
      <c r="G20" s="567"/>
      <c r="H20" s="567"/>
    </row>
    <row r="21" spans="1:8" s="296" customFormat="1" ht="15">
      <c r="A21" s="567"/>
      <c r="B21" s="567"/>
      <c r="C21" s="567"/>
      <c r="D21" s="567"/>
      <c r="E21" s="567"/>
      <c r="F21" s="567"/>
      <c r="G21" s="567"/>
      <c r="H21" s="567"/>
    </row>
    <row r="22" spans="1:8" s="296" customFormat="1" ht="15" customHeight="1">
      <c r="A22" s="567"/>
      <c r="B22" s="567"/>
      <c r="C22" s="567"/>
      <c r="D22" s="567"/>
      <c r="E22" s="567"/>
      <c r="F22" s="567"/>
      <c r="G22" s="567"/>
      <c r="H22" s="567"/>
    </row>
    <row r="23" spans="1:8" s="296" customFormat="1" ht="15">
      <c r="A23" s="567"/>
      <c r="B23" s="567"/>
      <c r="C23" s="567"/>
      <c r="D23" s="567"/>
      <c r="E23" s="567"/>
      <c r="F23" s="567"/>
      <c r="G23" s="567"/>
      <c r="H23" s="567"/>
    </row>
    <row r="24" spans="1:8" s="296" customFormat="1" ht="15">
      <c r="A24" s="567"/>
      <c r="B24" s="567"/>
      <c r="C24" s="567"/>
      <c r="D24" s="567"/>
      <c r="E24" s="567"/>
      <c r="F24" s="567"/>
      <c r="G24" s="567"/>
      <c r="H24" s="567"/>
    </row>
    <row r="25" spans="1:8" s="296" customFormat="1" ht="15">
      <c r="A25" s="567"/>
      <c r="B25" s="567"/>
      <c r="C25" s="567"/>
      <c r="D25" s="567"/>
      <c r="E25" s="567"/>
      <c r="F25" s="567"/>
      <c r="G25" s="567"/>
      <c r="H25" s="567"/>
    </row>
    <row r="26" spans="1:8" s="296" customFormat="1" ht="15">
      <c r="A26" s="567"/>
      <c r="B26" s="567"/>
      <c r="C26" s="567"/>
      <c r="D26" s="567"/>
      <c r="E26" s="567"/>
      <c r="F26" s="567"/>
      <c r="G26" s="567"/>
      <c r="H26" s="567"/>
    </row>
    <row r="27" spans="1:8" s="296" customFormat="1" ht="15">
      <c r="A27" s="567"/>
      <c r="B27" s="567"/>
      <c r="C27" s="567"/>
      <c r="D27" s="567"/>
      <c r="E27" s="567"/>
      <c r="F27" s="567"/>
      <c r="G27" s="567"/>
      <c r="H27" s="567"/>
    </row>
    <row r="28" spans="1:8" s="296" customFormat="1" ht="15">
      <c r="A28" s="567"/>
      <c r="B28" s="567"/>
      <c r="C28" s="567"/>
      <c r="D28" s="567"/>
      <c r="E28" s="567"/>
      <c r="F28" s="567"/>
      <c r="G28" s="567"/>
      <c r="H28" s="567"/>
    </row>
    <row r="29" spans="1:8" s="296" customFormat="1" ht="15">
      <c r="A29" s="567"/>
      <c r="B29" s="567"/>
      <c r="C29" s="567"/>
      <c r="D29" s="567"/>
      <c r="E29" s="567"/>
      <c r="F29" s="567"/>
      <c r="G29" s="567"/>
      <c r="H29" s="567"/>
    </row>
    <row r="30" spans="1:8" s="296" customFormat="1" ht="15"/>
    <row r="31" spans="1:8" ht="15">
      <c r="A31" s="558"/>
      <c r="B31" s="558"/>
      <c r="C31" s="558"/>
      <c r="D31" s="558"/>
      <c r="E31" s="558"/>
      <c r="F31" s="558"/>
      <c r="G31" s="558"/>
      <c r="H31" s="558"/>
    </row>
    <row r="32" spans="1:8" ht="15">
      <c r="A32" s="296"/>
      <c r="B32" s="296"/>
      <c r="C32" s="296"/>
      <c r="D32" s="296"/>
      <c r="E32" s="296"/>
      <c r="F32" s="296"/>
      <c r="G32" s="296"/>
      <c r="H32" s="296"/>
    </row>
    <row r="33" spans="1:8" ht="15">
      <c r="A33" s="296"/>
      <c r="B33" s="190"/>
      <c r="C33" s="190"/>
      <c r="D33" s="190"/>
      <c r="E33" s="190"/>
      <c r="F33" s="190"/>
      <c r="G33" s="190"/>
      <c r="H33" s="296"/>
    </row>
    <row r="34" spans="1:8" ht="17.25" customHeight="1">
      <c r="A34" s="190"/>
      <c r="B34" s="559"/>
      <c r="C34" s="559"/>
      <c r="D34" s="559"/>
      <c r="E34" s="559"/>
      <c r="F34" s="559"/>
      <c r="G34" s="190"/>
      <c r="H34" s="190"/>
    </row>
    <row r="35" spans="1:8" ht="15">
      <c r="A35" s="190"/>
      <c r="B35" s="190"/>
      <c r="C35" s="190"/>
      <c r="D35" s="190"/>
      <c r="E35" s="190"/>
      <c r="F35" s="190"/>
      <c r="G35" s="190"/>
      <c r="H35" s="190"/>
    </row>
    <row r="36" spans="1:8" ht="15">
      <c r="A36" s="190"/>
      <c r="B36" s="190"/>
      <c r="C36" s="190"/>
      <c r="D36" s="190"/>
      <c r="E36" s="190"/>
      <c r="F36" s="190"/>
      <c r="G36" s="190"/>
      <c r="H36" s="190"/>
    </row>
    <row r="37" spans="1:8" ht="15">
      <c r="A37" s="190"/>
      <c r="B37" s="190"/>
      <c r="C37" s="190"/>
      <c r="D37" s="190"/>
      <c r="E37" s="190"/>
      <c r="F37" s="190"/>
      <c r="G37" s="190"/>
      <c r="H37" s="190"/>
    </row>
    <row r="38" spans="1:8" ht="15">
      <c r="A38" s="190"/>
      <c r="B38" s="190"/>
      <c r="C38" s="190"/>
      <c r="D38" s="190"/>
      <c r="E38" s="190"/>
      <c r="F38" s="190"/>
      <c r="G38" s="190"/>
      <c r="H38" s="190"/>
    </row>
    <row r="39" spans="1:8" ht="15">
      <c r="A39" s="190"/>
      <c r="B39" s="190"/>
      <c r="C39" s="190"/>
      <c r="D39" s="190"/>
      <c r="E39" s="190"/>
      <c r="F39" s="190"/>
      <c r="G39" s="190"/>
      <c r="H39" s="190"/>
    </row>
    <row r="40" spans="1:8" ht="15">
      <c r="A40" s="190"/>
      <c r="B40" s="190"/>
      <c r="C40" s="190"/>
      <c r="D40" s="190"/>
      <c r="E40" s="190"/>
      <c r="F40" s="190"/>
      <c r="G40" s="190"/>
      <c r="H40" s="190"/>
    </row>
    <row r="41" spans="1:8" ht="15">
      <c r="A41" s="190"/>
      <c r="B41" s="190"/>
      <c r="C41" s="190"/>
      <c r="D41" s="190"/>
      <c r="E41" s="190"/>
      <c r="F41" s="190"/>
      <c r="G41" s="190"/>
      <c r="H41" s="190"/>
    </row>
    <row r="42" spans="1:8" ht="15">
      <c r="A42" s="564" t="s">
        <v>698</v>
      </c>
    </row>
    <row r="43" spans="1:8" ht="15"/>
    <row r="44" spans="1:8" ht="15" hidden="1" customHeight="1"/>
    <row r="45" spans="1:8" ht="15" hidden="1" customHeight="1"/>
    <row r="46" spans="1:8" ht="15" hidden="1" customHeight="1"/>
  </sheetData>
  <sheetProtection algorithmName="SHA-512" hashValue="HZ9oj3BbimTUcdVWyhLUr6h54ItrxbvJ0sQMuo2jY7RCVJ4DfqRVOxFR4JFwbYAg8+pl8CntzJldIUQR45x11Q==" saltValue="HOUmfiC0tW8CrMtYTbzOMg==" spinCount="100000" sheet="1" objects="1" scenarios="1" selectLockedCells="1"/>
  <mergeCells count="6">
    <mergeCell ref="A42:H1048576"/>
    <mergeCell ref="C1:G8"/>
    <mergeCell ref="A10:H10"/>
    <mergeCell ref="A11:H29"/>
    <mergeCell ref="A31:H31"/>
    <mergeCell ref="B34:F34"/>
  </mergeCells>
  <pageMargins left="0.70866141732283472" right="0.70866141732283472" top="0.74803149606299213" bottom="0.74803149606299213" header="0.31496062992125984" footer="0.31496062992125984"/>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enu_Select">
                <anchor moveWithCells="1" sizeWithCells="1">
                  <from>
                    <xdr:col>2</xdr:col>
                    <xdr:colOff>438150</xdr:colOff>
                    <xdr:row>31</xdr:row>
                    <xdr:rowOff>85725</xdr:rowOff>
                  </from>
                  <to>
                    <xdr:col>4</xdr:col>
                    <xdr:colOff>666750</xdr:colOff>
                    <xdr:row>34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tabColor theme="1"/>
  </sheetPr>
  <dimension ref="A1:P46"/>
  <sheetViews>
    <sheetView showGridLines="0" showRowColHeaders="0" topLeftCell="A13" zoomScale="120" zoomScaleNormal="120" zoomScaleSheetLayoutView="120" workbookViewId="0">
      <selection activeCell="A11" sqref="A11:H29"/>
    </sheetView>
  </sheetViews>
  <sheetFormatPr baseColWidth="10" defaultColWidth="0" defaultRowHeight="0" customHeight="1" zeroHeight="1"/>
  <cols>
    <col min="1" max="1" width="11.42578125" style="564" customWidth="1"/>
    <col min="2" max="2" width="13" style="564" customWidth="1"/>
    <col min="3" max="6" width="11.42578125" style="564" customWidth="1"/>
    <col min="7" max="7" width="12.85546875" style="564" customWidth="1"/>
    <col min="8" max="8" width="5.28515625" style="564" customWidth="1"/>
    <col min="9" max="16384" width="11.42578125" style="191" hidden="1"/>
  </cols>
  <sheetData>
    <row r="1" spans="1:16" ht="15" customHeight="1">
      <c r="A1" s="192"/>
      <c r="B1" s="192"/>
      <c r="C1" s="565" t="s">
        <v>628</v>
      </c>
      <c r="D1" s="565"/>
      <c r="E1" s="565"/>
      <c r="F1" s="565"/>
      <c r="G1" s="565"/>
      <c r="H1" s="192"/>
      <c r="P1" s="290"/>
    </row>
    <row r="2" spans="1:16" ht="15" customHeight="1">
      <c r="A2" s="192"/>
      <c r="B2" s="192"/>
      <c r="C2" s="565"/>
      <c r="D2" s="565"/>
      <c r="E2" s="565"/>
      <c r="F2" s="565"/>
      <c r="G2" s="565"/>
      <c r="H2" s="192"/>
      <c r="P2" s="290"/>
    </row>
    <row r="3" spans="1:16" ht="15" customHeight="1">
      <c r="A3" s="192"/>
      <c r="B3" s="192"/>
      <c r="C3" s="565"/>
      <c r="D3" s="565"/>
      <c r="E3" s="565"/>
      <c r="F3" s="565"/>
      <c r="G3" s="565"/>
      <c r="H3" s="192"/>
      <c r="P3" s="290"/>
    </row>
    <row r="4" spans="1:16" ht="15" customHeight="1">
      <c r="A4" s="192"/>
      <c r="B4" s="192"/>
      <c r="C4" s="565"/>
      <c r="D4" s="565"/>
      <c r="E4" s="565"/>
      <c r="F4" s="565"/>
      <c r="G4" s="565"/>
      <c r="H4" s="192"/>
      <c r="P4" s="290"/>
    </row>
    <row r="5" spans="1:16" ht="15" customHeight="1">
      <c r="A5" s="192"/>
      <c r="B5" s="192"/>
      <c r="C5" s="565"/>
      <c r="D5" s="565"/>
      <c r="E5" s="565"/>
      <c r="F5" s="565"/>
      <c r="G5" s="565"/>
      <c r="H5" s="192"/>
      <c r="M5" s="2"/>
      <c r="N5" s="2"/>
      <c r="P5" s="290"/>
    </row>
    <row r="6" spans="1:16" ht="15" customHeight="1">
      <c r="A6" s="192"/>
      <c r="B6" s="192"/>
      <c r="C6" s="565"/>
      <c r="D6" s="565"/>
      <c r="E6" s="565"/>
      <c r="F6" s="565"/>
      <c r="G6" s="565"/>
      <c r="H6" s="192"/>
    </row>
    <row r="7" spans="1:16" ht="15" customHeight="1">
      <c r="A7" s="192"/>
      <c r="B7" s="192"/>
      <c r="C7" s="565"/>
      <c r="D7" s="565"/>
      <c r="E7" s="565"/>
      <c r="F7" s="565"/>
      <c r="G7" s="565"/>
      <c r="H7" s="192"/>
    </row>
    <row r="8" spans="1:16" ht="15" customHeight="1">
      <c r="A8" s="192"/>
      <c r="B8" s="192"/>
      <c r="C8" s="565"/>
      <c r="D8" s="565"/>
      <c r="E8" s="565"/>
      <c r="F8" s="565"/>
      <c r="G8" s="565"/>
      <c r="H8" s="192"/>
    </row>
    <row r="9" spans="1:16" ht="15">
      <c r="A9" s="190"/>
      <c r="B9" s="190"/>
      <c r="C9" s="190"/>
      <c r="D9" s="190"/>
      <c r="E9" s="190"/>
      <c r="F9" s="190"/>
      <c r="G9" s="190"/>
      <c r="H9" s="190"/>
    </row>
    <row r="10" spans="1:16" ht="23.25">
      <c r="A10" s="566" t="s">
        <v>627</v>
      </c>
      <c r="B10" s="566"/>
      <c r="C10" s="566"/>
      <c r="D10" s="566"/>
      <c r="E10" s="566"/>
      <c r="F10" s="566"/>
      <c r="G10" s="566"/>
      <c r="H10" s="566"/>
    </row>
    <row r="11" spans="1:16" s="296" customFormat="1" ht="15" customHeight="1">
      <c r="A11" s="567" t="s">
        <v>703</v>
      </c>
      <c r="B11" s="567"/>
      <c r="C11" s="567"/>
      <c r="D11" s="567"/>
      <c r="E11" s="567"/>
      <c r="F11" s="567"/>
      <c r="G11" s="567"/>
      <c r="H11" s="567"/>
    </row>
    <row r="12" spans="1:16" s="296" customFormat="1" ht="15">
      <c r="A12" s="567"/>
      <c r="B12" s="567"/>
      <c r="C12" s="567"/>
      <c r="D12" s="567"/>
      <c r="E12" s="567"/>
      <c r="F12" s="567"/>
      <c r="G12" s="567"/>
      <c r="H12" s="567"/>
    </row>
    <row r="13" spans="1:16" s="296" customFormat="1" ht="15">
      <c r="A13" s="567"/>
      <c r="B13" s="567"/>
      <c r="C13" s="567"/>
      <c r="D13" s="567"/>
      <c r="E13" s="567"/>
      <c r="F13" s="567"/>
      <c r="G13" s="567"/>
      <c r="H13" s="567"/>
    </row>
    <row r="14" spans="1:16" s="296" customFormat="1" ht="15">
      <c r="A14" s="567"/>
      <c r="B14" s="567"/>
      <c r="C14" s="567"/>
      <c r="D14" s="567"/>
      <c r="E14" s="567"/>
      <c r="F14" s="567"/>
      <c r="G14" s="567"/>
      <c r="H14" s="567"/>
    </row>
    <row r="15" spans="1:16" s="296" customFormat="1" ht="15" customHeight="1">
      <c r="A15" s="567"/>
      <c r="B15" s="567"/>
      <c r="C15" s="567"/>
      <c r="D15" s="567"/>
      <c r="E15" s="567"/>
      <c r="F15" s="567"/>
      <c r="G15" s="567"/>
      <c r="H15" s="567"/>
    </row>
    <row r="16" spans="1:16" s="296" customFormat="1" ht="15">
      <c r="A16" s="567"/>
      <c r="B16" s="567"/>
      <c r="C16" s="567"/>
      <c r="D16" s="567"/>
      <c r="E16" s="567"/>
      <c r="F16" s="567"/>
      <c r="G16" s="567"/>
      <c r="H16" s="567"/>
    </row>
    <row r="17" spans="1:8" s="296" customFormat="1" ht="15">
      <c r="A17" s="567"/>
      <c r="B17" s="567"/>
      <c r="C17" s="567"/>
      <c r="D17" s="567"/>
      <c r="E17" s="567"/>
      <c r="F17" s="567"/>
      <c r="G17" s="567"/>
      <c r="H17" s="567"/>
    </row>
    <row r="18" spans="1:8" s="296" customFormat="1" ht="15" customHeight="1">
      <c r="A18" s="567"/>
      <c r="B18" s="567"/>
      <c r="C18" s="567"/>
      <c r="D18" s="567"/>
      <c r="E18" s="567"/>
      <c r="F18" s="567"/>
      <c r="G18" s="567"/>
      <c r="H18" s="567"/>
    </row>
    <row r="19" spans="1:8" s="296" customFormat="1" ht="15" customHeight="1">
      <c r="A19" s="567"/>
      <c r="B19" s="567"/>
      <c r="C19" s="567"/>
      <c r="D19" s="567"/>
      <c r="E19" s="567"/>
      <c r="F19" s="567"/>
      <c r="G19" s="567"/>
      <c r="H19" s="567"/>
    </row>
    <row r="20" spans="1:8" s="296" customFormat="1" ht="15">
      <c r="A20" s="567"/>
      <c r="B20" s="567"/>
      <c r="C20" s="567"/>
      <c r="D20" s="567"/>
      <c r="E20" s="567"/>
      <c r="F20" s="567"/>
      <c r="G20" s="567"/>
      <c r="H20" s="567"/>
    </row>
    <row r="21" spans="1:8" s="296" customFormat="1" ht="15">
      <c r="A21" s="567"/>
      <c r="B21" s="567"/>
      <c r="C21" s="567"/>
      <c r="D21" s="567"/>
      <c r="E21" s="567"/>
      <c r="F21" s="567"/>
      <c r="G21" s="567"/>
      <c r="H21" s="567"/>
    </row>
    <row r="22" spans="1:8" s="296" customFormat="1" ht="15" customHeight="1">
      <c r="A22" s="567"/>
      <c r="B22" s="567"/>
      <c r="C22" s="567"/>
      <c r="D22" s="567"/>
      <c r="E22" s="567"/>
      <c r="F22" s="567"/>
      <c r="G22" s="567"/>
      <c r="H22" s="567"/>
    </row>
    <row r="23" spans="1:8" s="296" customFormat="1" ht="15">
      <c r="A23" s="567"/>
      <c r="B23" s="567"/>
      <c r="C23" s="567"/>
      <c r="D23" s="567"/>
      <c r="E23" s="567"/>
      <c r="F23" s="567"/>
      <c r="G23" s="567"/>
      <c r="H23" s="567"/>
    </row>
    <row r="24" spans="1:8" s="296" customFormat="1" ht="15">
      <c r="A24" s="567"/>
      <c r="B24" s="567"/>
      <c r="C24" s="567"/>
      <c r="D24" s="567"/>
      <c r="E24" s="567"/>
      <c r="F24" s="567"/>
      <c r="G24" s="567"/>
      <c r="H24" s="567"/>
    </row>
    <row r="25" spans="1:8" s="296" customFormat="1" ht="15">
      <c r="A25" s="567"/>
      <c r="B25" s="567"/>
      <c r="C25" s="567"/>
      <c r="D25" s="567"/>
      <c r="E25" s="567"/>
      <c r="F25" s="567"/>
      <c r="G25" s="567"/>
      <c r="H25" s="567"/>
    </row>
    <row r="26" spans="1:8" s="296" customFormat="1" ht="15">
      <c r="A26" s="567"/>
      <c r="B26" s="567"/>
      <c r="C26" s="567"/>
      <c r="D26" s="567"/>
      <c r="E26" s="567"/>
      <c r="F26" s="567"/>
      <c r="G26" s="567"/>
      <c r="H26" s="567"/>
    </row>
    <row r="27" spans="1:8" s="296" customFormat="1" ht="15">
      <c r="A27" s="567"/>
      <c r="B27" s="567"/>
      <c r="C27" s="567"/>
      <c r="D27" s="567"/>
      <c r="E27" s="567"/>
      <c r="F27" s="567"/>
      <c r="G27" s="567"/>
      <c r="H27" s="567"/>
    </row>
    <row r="28" spans="1:8" s="296" customFormat="1" ht="15">
      <c r="A28" s="567"/>
      <c r="B28" s="567"/>
      <c r="C28" s="567"/>
      <c r="D28" s="567"/>
      <c r="E28" s="567"/>
      <c r="F28" s="567"/>
      <c r="G28" s="567"/>
      <c r="H28" s="567"/>
    </row>
    <row r="29" spans="1:8" s="296" customFormat="1" ht="15">
      <c r="A29" s="567"/>
      <c r="B29" s="567"/>
      <c r="C29" s="567"/>
      <c r="D29" s="567"/>
      <c r="E29" s="567"/>
      <c r="F29" s="567"/>
      <c r="G29" s="567"/>
      <c r="H29" s="567"/>
    </row>
    <row r="30" spans="1:8" s="296" customFormat="1" ht="15"/>
    <row r="31" spans="1:8" ht="15">
      <c r="A31" s="558"/>
      <c r="B31" s="558"/>
      <c r="C31" s="558"/>
      <c r="D31" s="558"/>
      <c r="E31" s="558"/>
      <c r="F31" s="558"/>
      <c r="G31" s="558"/>
      <c r="H31" s="558"/>
    </row>
    <row r="32" spans="1:8" ht="15">
      <c r="A32" s="296"/>
      <c r="B32" s="296"/>
      <c r="C32" s="296"/>
      <c r="D32" s="296"/>
      <c r="E32" s="296"/>
      <c r="F32" s="296"/>
      <c r="G32" s="296"/>
      <c r="H32" s="296"/>
    </row>
    <row r="33" spans="1:8" ht="15">
      <c r="A33" s="296"/>
      <c r="B33" s="190"/>
      <c r="C33" s="190"/>
      <c r="D33" s="190"/>
      <c r="E33" s="190"/>
      <c r="F33" s="190"/>
      <c r="G33" s="190"/>
      <c r="H33" s="296"/>
    </row>
    <row r="34" spans="1:8" ht="17.25" customHeight="1">
      <c r="A34" s="190"/>
      <c r="B34" s="559"/>
      <c r="C34" s="559"/>
      <c r="D34" s="559"/>
      <c r="E34" s="559"/>
      <c r="F34" s="559"/>
      <c r="G34" s="190"/>
      <c r="H34" s="190"/>
    </row>
    <row r="35" spans="1:8" ht="15">
      <c r="A35" s="190"/>
      <c r="B35" s="190"/>
      <c r="C35" s="190"/>
      <c r="D35" s="190"/>
      <c r="E35" s="190"/>
      <c r="F35" s="190"/>
      <c r="G35" s="190"/>
      <c r="H35" s="190"/>
    </row>
    <row r="36" spans="1:8" ht="15">
      <c r="A36" s="190"/>
      <c r="B36" s="190"/>
      <c r="C36" s="190"/>
      <c r="D36" s="190"/>
      <c r="E36" s="190"/>
      <c r="F36" s="190"/>
      <c r="G36" s="190"/>
      <c r="H36" s="190"/>
    </row>
    <row r="37" spans="1:8" ht="15">
      <c r="A37" s="190"/>
      <c r="B37" s="190"/>
      <c r="C37" s="190"/>
      <c r="D37" s="190"/>
      <c r="E37" s="190"/>
      <c r="F37" s="190"/>
      <c r="G37" s="190"/>
      <c r="H37" s="190"/>
    </row>
    <row r="38" spans="1:8" ht="15">
      <c r="A38" s="190"/>
      <c r="B38" s="190"/>
      <c r="C38" s="190"/>
      <c r="D38" s="190"/>
      <c r="E38" s="190"/>
      <c r="F38" s="190"/>
      <c r="G38" s="190"/>
      <c r="H38" s="190"/>
    </row>
    <row r="39" spans="1:8" ht="15">
      <c r="A39" s="190"/>
      <c r="B39" s="190"/>
      <c r="C39" s="190"/>
      <c r="D39" s="190"/>
      <c r="E39" s="190"/>
      <c r="F39" s="190"/>
      <c r="G39" s="190"/>
      <c r="H39" s="190"/>
    </row>
    <row r="40" spans="1:8" ht="15">
      <c r="A40" s="190"/>
      <c r="B40" s="190"/>
      <c r="C40" s="190"/>
      <c r="D40" s="190"/>
      <c r="E40" s="190"/>
      <c r="F40" s="190"/>
      <c r="G40" s="190"/>
      <c r="H40" s="190"/>
    </row>
    <row r="41" spans="1:8" ht="15">
      <c r="A41" s="190"/>
      <c r="B41" s="190"/>
      <c r="C41" s="190"/>
      <c r="D41" s="190"/>
      <c r="E41" s="190"/>
      <c r="F41" s="190"/>
      <c r="G41" s="190"/>
      <c r="H41" s="190"/>
    </row>
    <row r="42" spans="1:8" ht="15">
      <c r="A42" s="564" t="s">
        <v>698</v>
      </c>
    </row>
    <row r="43" spans="1:8" ht="15"/>
    <row r="44" spans="1:8" ht="15" hidden="1" customHeight="1"/>
    <row r="45" spans="1:8" ht="15" hidden="1" customHeight="1"/>
    <row r="46" spans="1:8" ht="15" hidden="1" customHeight="1"/>
  </sheetData>
  <sheetProtection algorithmName="SHA-512" hashValue="K1j/rNikmRxMSufi4PSc5p0dTweaf6doiW4Jc6RUT5wIGCzI8OZiSArmrhv//58SL0TV/2cBTVZEMzMUO9D+ig==" saltValue="juwJJR812aw5Od8UjgPTSw==" spinCount="100000" sheet="1" objects="1" scenarios="1" selectLockedCells="1"/>
  <mergeCells count="6">
    <mergeCell ref="A42:H1048576"/>
    <mergeCell ref="C1:G8"/>
    <mergeCell ref="A10:H10"/>
    <mergeCell ref="A11:H29"/>
    <mergeCell ref="A31:H31"/>
    <mergeCell ref="B34:F34"/>
  </mergeCells>
  <pageMargins left="0.70866141732283472" right="0.70866141732283472" top="0.74803149606299213" bottom="0.74803149606299213" header="0.31496062992125984" footer="0.31496062992125984"/>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inicio_select">
                <anchor moveWithCells="1" sizeWithCells="1">
                  <from>
                    <xdr:col>2</xdr:col>
                    <xdr:colOff>438150</xdr:colOff>
                    <xdr:row>31</xdr:row>
                    <xdr:rowOff>85725</xdr:rowOff>
                  </from>
                  <to>
                    <xdr:col>4</xdr:col>
                    <xdr:colOff>666750</xdr:colOff>
                    <xdr:row>34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411</vt:i4>
      </vt:variant>
    </vt:vector>
  </HeadingPairs>
  <TitlesOfParts>
    <vt:vector size="427" baseType="lpstr">
      <vt:lpstr>MENU</vt:lpstr>
      <vt:lpstr>Mallas Electrosoldadas</vt:lpstr>
      <vt:lpstr>Barras de Refuerzo</vt:lpstr>
      <vt:lpstr>Muros</vt:lpstr>
      <vt:lpstr>Steel Deck</vt:lpstr>
      <vt:lpstr>Estanteria Individual</vt:lpstr>
      <vt:lpstr>Montacargas Dual</vt:lpstr>
      <vt:lpstr>Estanterias Contiguas</vt:lpstr>
      <vt:lpstr>Montacargas</vt:lpstr>
      <vt:lpstr>PCA 1984</vt:lpstr>
      <vt:lpstr>AASHTO 1993</vt:lpstr>
      <vt:lpstr>Lanzado y Prefabricado</vt:lpstr>
      <vt:lpstr>Conversión dosificación</vt:lpstr>
      <vt:lpstr>INICIO</vt:lpstr>
      <vt:lpstr>T &amp; C</vt:lpstr>
      <vt:lpstr>T &amp; C (2)</vt:lpstr>
      <vt:lpstr>'Estanteria Individual'!a</vt:lpstr>
      <vt:lpstr>'Estanterias Contiguas'!a</vt:lpstr>
      <vt:lpstr>Montacargas!a</vt:lpstr>
      <vt:lpstr>'Montacargas Dual'!a</vt:lpstr>
      <vt:lpstr>'Estanteria Individual'!a_l</vt:lpstr>
      <vt:lpstr>'Estanterias Contiguas'!a_l</vt:lpstr>
      <vt:lpstr>Montacargas!a_l</vt:lpstr>
      <vt:lpstr>'Montacargas Dual'!a_l</vt:lpstr>
      <vt:lpstr>'Estanteria Individual'!AA_1</vt:lpstr>
      <vt:lpstr>'Estanterias Contiguas'!AA_1</vt:lpstr>
      <vt:lpstr>'Montacargas Dual'!AA_1</vt:lpstr>
      <vt:lpstr>'Estanterias Contiguas'!Acomb</vt:lpstr>
      <vt:lpstr>'Montacargas Dual'!Acomb</vt:lpstr>
      <vt:lpstr>'Estanterias Contiguas'!aequiv</vt:lpstr>
      <vt:lpstr>'Montacargas Dual'!aequiv</vt:lpstr>
      <vt:lpstr>'Barras de Refuerzo'!Agregados</vt:lpstr>
      <vt:lpstr>'Mallas Electrosoldadas'!Agregados</vt:lpstr>
      <vt:lpstr>Muros!Agregados</vt:lpstr>
      <vt:lpstr>'Conversión dosificación'!Área_de_impresión</vt:lpstr>
      <vt:lpstr>'Estanteria Individual'!Área_de_impresión</vt:lpstr>
      <vt:lpstr>INICIO!Área_de_impresión</vt:lpstr>
      <vt:lpstr>'Montacargas Dual'!Área_de_impresión</vt:lpstr>
      <vt:lpstr>Muros!Área_de_impresión</vt:lpstr>
      <vt:lpstr>'Steel Deck'!Área_de_impresión</vt:lpstr>
      <vt:lpstr>'Barras de Refuerzo'!Barras</vt:lpstr>
      <vt:lpstr>Muros!Barras</vt:lpstr>
      <vt:lpstr>'Estanteria Individual'!BB_1</vt:lpstr>
      <vt:lpstr>'Estanterias Contiguas'!BB_1</vt:lpstr>
      <vt:lpstr>Montacargas!BB_1</vt:lpstr>
      <vt:lpstr>'Montacargas Dual'!BB_1</vt:lpstr>
      <vt:lpstr>'Montacargas Dual'!C_dual1</vt:lpstr>
      <vt:lpstr>'Montacargas Dual'!C_dual10</vt:lpstr>
      <vt:lpstr>'Montacargas Dual'!C_dual11</vt:lpstr>
      <vt:lpstr>'Montacargas Dual'!C_dual12</vt:lpstr>
      <vt:lpstr>'Montacargas Dual'!C_dual2</vt:lpstr>
      <vt:lpstr>'Montacargas Dual'!C_dual3</vt:lpstr>
      <vt:lpstr>'Montacargas Dual'!C_dual4</vt:lpstr>
      <vt:lpstr>'Montacargas Dual'!C_dual5</vt:lpstr>
      <vt:lpstr>'Montacargas Dual'!C_dual6</vt:lpstr>
      <vt:lpstr>'Montacargas Dual'!C_dual7</vt:lpstr>
      <vt:lpstr>'Montacargas Dual'!C_dual8</vt:lpstr>
      <vt:lpstr>'Montacargas Dual'!C_dual9</vt:lpstr>
      <vt:lpstr>'PCA 1984'!car_f_soporte</vt:lpstr>
      <vt:lpstr>'Montacargas Dual'!Caso_dual</vt:lpstr>
      <vt:lpstr>'PCA 1984'!Categoría_eje_carga</vt:lpstr>
      <vt:lpstr>'AASHTO 1993'!Cd_</vt:lpstr>
      <vt:lpstr>Muros!CE_sr</vt:lpstr>
      <vt:lpstr>'Estanteria Individual'!Celda_det_MR</vt:lpstr>
      <vt:lpstr>'PCA 1984'!cod_cond_ref</vt:lpstr>
      <vt:lpstr>'PCA 1984'!cod_modulo_rotura</vt:lpstr>
      <vt:lpstr>'Montacargas Dual'!cod_pu</vt:lpstr>
      <vt:lpstr>'PCA 1984'!cod_verif</vt:lpstr>
      <vt:lpstr>'PCA 1984'!cond_ref</vt:lpstr>
      <vt:lpstr>'PCA 1984'!cond_sbr</vt:lpstr>
      <vt:lpstr>'PCA 1984'!cond_soporte</vt:lpstr>
      <vt:lpstr>'PCA 1984'!Condicion_borde</vt:lpstr>
      <vt:lpstr>'PCA 1984'!Condicion_juntas</vt:lpstr>
      <vt:lpstr>'PCA 1984'!Condicion_Refuerzo</vt:lpstr>
      <vt:lpstr>'PCA 1984'!Condiciones_soporte</vt:lpstr>
      <vt:lpstr>'Estanteria Individual'!d</vt:lpstr>
      <vt:lpstr>'Estanterias Contiguas'!d</vt:lpstr>
      <vt:lpstr>Montacargas!d</vt:lpstr>
      <vt:lpstr>'Montacargas Dual'!d</vt:lpstr>
      <vt:lpstr>'AASHTO 1993'!D_DESIGNR_inches</vt:lpstr>
      <vt:lpstr>'Barras de Refuerzo'!D_fpc</vt:lpstr>
      <vt:lpstr>'Lanzado y Prefabricado'!D_fpc</vt:lpstr>
      <vt:lpstr>'Mallas Electrosoldadas'!D_fpc</vt:lpstr>
      <vt:lpstr>Muros!D_fpc</vt:lpstr>
      <vt:lpstr>'Steel Deck'!D_fpc</vt:lpstr>
      <vt:lpstr>'AASHTO 1993'!D_Step</vt:lpstr>
      <vt:lpstr>'AASHTO 1993'!DESIGN_D__inches</vt:lpstr>
      <vt:lpstr>'Estanteria Individual'!determinacion_MR</vt:lpstr>
      <vt:lpstr>'Estanteria Individual'!Dfb</vt:lpstr>
      <vt:lpstr>'Estanterias Contiguas'!Dfb</vt:lpstr>
      <vt:lpstr>Montacargas!Dfb</vt:lpstr>
      <vt:lpstr>'Montacargas Dual'!Dfb</vt:lpstr>
      <vt:lpstr>'AASHTO 1993'!DFPC</vt:lpstr>
      <vt:lpstr>'PCA 1984'!dosif_fibra</vt:lpstr>
      <vt:lpstr>'Conversión dosificación'!dosif_fm</vt:lpstr>
      <vt:lpstr>'Conversión dosificación'!dosif_fpc</vt:lpstr>
      <vt:lpstr>'Estanteria Individual'!Ecm</vt:lpstr>
      <vt:lpstr>'Estanterias Contiguas'!Ecm</vt:lpstr>
      <vt:lpstr>Montacargas!Ecm</vt:lpstr>
      <vt:lpstr>'Montacargas Dual'!Ecm</vt:lpstr>
      <vt:lpstr>'PCA 1984'!ejemplo_r</vt:lpstr>
      <vt:lpstr>'PCA 1984'!ENSAYO</vt:lpstr>
      <vt:lpstr>'AASHTO 1993'!ESALS</vt:lpstr>
      <vt:lpstr>'PCA 1984'!esb</vt:lpstr>
      <vt:lpstr>'PCA 1984'!espesor_pr</vt:lpstr>
      <vt:lpstr>'Lanzado y Prefabricado'!f_600</vt:lpstr>
      <vt:lpstr>'Conversión dosificación'!f_c</vt:lpstr>
      <vt:lpstr>'Montacargas Dual'!F_Carga</vt:lpstr>
      <vt:lpstr>'Estanteria Individual'!fcd</vt:lpstr>
      <vt:lpstr>'Estanterias Contiguas'!fcd</vt:lpstr>
      <vt:lpstr>Montacargas!fcd</vt:lpstr>
      <vt:lpstr>'Montacargas Dual'!fcd</vt:lpstr>
      <vt:lpstr>'Estanteria Individual'!fck</vt:lpstr>
      <vt:lpstr>'Estanterias Contiguas'!fck</vt:lpstr>
      <vt:lpstr>Montacargas!fck</vt:lpstr>
      <vt:lpstr>'Montacargas Dual'!fck</vt:lpstr>
      <vt:lpstr>'Estanteria Individual'!fcm</vt:lpstr>
      <vt:lpstr>'Estanterias Contiguas'!fcm</vt:lpstr>
      <vt:lpstr>Montacargas!fcm</vt:lpstr>
      <vt:lpstr>'Montacargas Dual'!fcm</vt:lpstr>
      <vt:lpstr>'Estanteria Individual'!fctk_0.05</vt:lpstr>
      <vt:lpstr>'Estanterias Contiguas'!fctk_0.05</vt:lpstr>
      <vt:lpstr>Montacargas!fctk_0.05</vt:lpstr>
      <vt:lpstr>'Montacargas Dual'!fctk_0.05</vt:lpstr>
      <vt:lpstr>'Estanteria Individual'!fctk_fl</vt:lpstr>
      <vt:lpstr>'Estanterias Contiguas'!fctk_fl</vt:lpstr>
      <vt:lpstr>Montacargas!fctk_fl</vt:lpstr>
      <vt:lpstr>'Montacargas Dual'!fctk_fl</vt:lpstr>
      <vt:lpstr>'Estanteria Individual'!fctm</vt:lpstr>
      <vt:lpstr>'Estanterias Contiguas'!fctm</vt:lpstr>
      <vt:lpstr>Montacargas!fctm</vt:lpstr>
      <vt:lpstr>'Montacargas Dual'!fctm</vt:lpstr>
      <vt:lpstr>'Estanteria Individual'!fcu</vt:lpstr>
      <vt:lpstr>'Estanterias Contiguas'!fcu</vt:lpstr>
      <vt:lpstr>Montacargas!fcu</vt:lpstr>
      <vt:lpstr>'Montacargas Dual'!fcu</vt:lpstr>
      <vt:lpstr>'Estanteria Individual'!fr</vt:lpstr>
      <vt:lpstr>'Estanterias Contiguas'!fr</vt:lpstr>
      <vt:lpstr>Montacargas!fr</vt:lpstr>
      <vt:lpstr>'Montacargas Dual'!fr</vt:lpstr>
      <vt:lpstr>'Estanteria Individual'!frlk</vt:lpstr>
      <vt:lpstr>'Estanterias Contiguas'!frlk</vt:lpstr>
      <vt:lpstr>'Montacargas Dual'!frlk</vt:lpstr>
      <vt:lpstr>'Estanteria Individual'!FS_Borde</vt:lpstr>
      <vt:lpstr>'Estanteria Individual'!FS_Esquina</vt:lpstr>
      <vt:lpstr>'Estanteria Individual'!FS_Global</vt:lpstr>
      <vt:lpstr>'Estanterias Contiguas'!FS_Global</vt:lpstr>
      <vt:lpstr>Montacargas!FS_Global</vt:lpstr>
      <vt:lpstr>'Montacargas Dual'!FS_Global</vt:lpstr>
      <vt:lpstr>'Estanteria Individual'!FS_Interno</vt:lpstr>
      <vt:lpstr>'Estanteria Individual'!FS_parcial</vt:lpstr>
      <vt:lpstr>'Estanterias Contiguas'!FS_parcial</vt:lpstr>
      <vt:lpstr>Montacargas!FS_parcial</vt:lpstr>
      <vt:lpstr>'Montacargas Dual'!FS_parcial</vt:lpstr>
      <vt:lpstr>'Estanteria Individual'!gc</vt:lpstr>
      <vt:lpstr>'Estanterias Contiguas'!gc</vt:lpstr>
      <vt:lpstr>Montacargas!gc</vt:lpstr>
      <vt:lpstr>'Montacargas Dual'!gc</vt:lpstr>
      <vt:lpstr>'Estanteria Individual'!gf1_</vt:lpstr>
      <vt:lpstr>'Estanterias Contiguas'!gf1_</vt:lpstr>
      <vt:lpstr>Montacargas!gf1_</vt:lpstr>
      <vt:lpstr>'Montacargas Dual'!gf1_</vt:lpstr>
      <vt:lpstr>'Estanteria Individual'!gf2_</vt:lpstr>
      <vt:lpstr>'Estanterias Contiguas'!gf2_</vt:lpstr>
      <vt:lpstr>Montacargas!gf2_</vt:lpstr>
      <vt:lpstr>'Montacargas Dual'!gf2_</vt:lpstr>
      <vt:lpstr>'Estanteria Individual'!gf3_</vt:lpstr>
      <vt:lpstr>'Estanterias Contiguas'!gf3_</vt:lpstr>
      <vt:lpstr>Montacargas!gf3_</vt:lpstr>
      <vt:lpstr>'Montacargas Dual'!gf3_</vt:lpstr>
      <vt:lpstr>'Estanteria Individual'!gs1_</vt:lpstr>
      <vt:lpstr>'Estanterias Contiguas'!gs1_</vt:lpstr>
      <vt:lpstr>Montacargas!gs1_</vt:lpstr>
      <vt:lpstr>'Montacargas Dual'!gs1_</vt:lpstr>
      <vt:lpstr>'Estanteria Individual'!gs2_</vt:lpstr>
      <vt:lpstr>'Estanterias Contiguas'!gs2_</vt:lpstr>
      <vt:lpstr>Montacargas!gs2_</vt:lpstr>
      <vt:lpstr>'Montacargas Dual'!gs2_</vt:lpstr>
      <vt:lpstr>'Estanteria Individual'!h</vt:lpstr>
      <vt:lpstr>'Estanterias Contiguas'!h</vt:lpstr>
      <vt:lpstr>Montacargas!h</vt:lpstr>
      <vt:lpstr>'Montacargas Dual'!h</vt:lpstr>
      <vt:lpstr>'AASHTO 1993'!J_</vt:lpstr>
      <vt:lpstr>'Estanteria Individual'!k</vt:lpstr>
      <vt:lpstr>'Estanterias Contiguas'!k</vt:lpstr>
      <vt:lpstr>Montacargas!k</vt:lpstr>
      <vt:lpstr>'Montacargas Dual'!k</vt:lpstr>
      <vt:lpstr>'AASHTO 1993'!K_MODULE</vt:lpstr>
      <vt:lpstr>'Estanteria Individual'!k1_</vt:lpstr>
      <vt:lpstr>'Estanterias Contiguas'!k1_</vt:lpstr>
      <vt:lpstr>Montacargas!k1_</vt:lpstr>
      <vt:lpstr>'Montacargas Dual'!k1_</vt:lpstr>
      <vt:lpstr>'Estanteria Individual'!k2_</vt:lpstr>
      <vt:lpstr>'Estanterias Contiguas'!k2_</vt:lpstr>
      <vt:lpstr>Montacargas!k2_</vt:lpstr>
      <vt:lpstr>'Montacargas Dual'!k2_</vt:lpstr>
      <vt:lpstr>'Estanteria Individual'!k3_</vt:lpstr>
      <vt:lpstr>'Estanterias Contiguas'!k3_</vt:lpstr>
      <vt:lpstr>Montacargas!k3_</vt:lpstr>
      <vt:lpstr>'Montacargas Dual'!k3_</vt:lpstr>
      <vt:lpstr>'Estanteria Individual'!l</vt:lpstr>
      <vt:lpstr>'Estanterias Contiguas'!l</vt:lpstr>
      <vt:lpstr>Montacargas!l</vt:lpstr>
      <vt:lpstr>'Montacargas Dual'!l</vt:lpstr>
      <vt:lpstr>'PCA 1984'!ln_vmsopi</vt:lpstr>
      <vt:lpstr>'Conversión dosificación'!Mallas_U_SI</vt:lpstr>
      <vt:lpstr>'Lanzado y Prefabricado'!Mallas_U_SI</vt:lpstr>
      <vt:lpstr>'Mallas Electrosoldadas'!Mallas_U_SI</vt:lpstr>
      <vt:lpstr>Muros!Mallas_U_SI</vt:lpstr>
      <vt:lpstr>'Steel Deck'!Mallas_U_SI</vt:lpstr>
      <vt:lpstr>'Estanteria Individual'!Mn</vt:lpstr>
      <vt:lpstr>'Estanterias Contiguas'!Mn</vt:lpstr>
      <vt:lpstr>Montacargas!Mn</vt:lpstr>
      <vt:lpstr>'Montacargas Dual'!Mn</vt:lpstr>
      <vt:lpstr>'PCA 1984'!mod_f_rotura</vt:lpstr>
      <vt:lpstr>'PCA 1984'!modulo_rotura</vt:lpstr>
      <vt:lpstr>'Estanteria Individual'!Mp</vt:lpstr>
      <vt:lpstr>'Estanterias Contiguas'!Mp</vt:lpstr>
      <vt:lpstr>Montacargas!Mp</vt:lpstr>
      <vt:lpstr>'Montacargas Dual'!Mp</vt:lpstr>
      <vt:lpstr>'Estanteria Individual'!n</vt:lpstr>
      <vt:lpstr>'Estanterias Contiguas'!n</vt:lpstr>
      <vt:lpstr>Montacargas!n</vt:lpstr>
      <vt:lpstr>'Montacargas Dual'!n</vt:lpstr>
      <vt:lpstr>'AASHTO 1993'!PCC_IMR</vt:lpstr>
      <vt:lpstr>'AASHTO 1993'!PCC_ME</vt:lpstr>
      <vt:lpstr>'AASHTO 1993'!PCC_MR</vt:lpstr>
      <vt:lpstr>'AASHTO 1993'!Pi</vt:lpstr>
      <vt:lpstr>'Estanteria Individual'!Pp_max1</vt:lpstr>
      <vt:lpstr>'Estanterias Contiguas'!Pp_max1</vt:lpstr>
      <vt:lpstr>Montacargas!Pp_max1</vt:lpstr>
      <vt:lpstr>'Montacargas Dual'!Pp_max1</vt:lpstr>
      <vt:lpstr>'Estanteria Individual'!Pp_max2</vt:lpstr>
      <vt:lpstr>'Estanterias Contiguas'!Pp_max2</vt:lpstr>
      <vt:lpstr>Montacargas!Pp_max2</vt:lpstr>
      <vt:lpstr>'Montacargas Dual'!Pp_max2</vt:lpstr>
      <vt:lpstr>'Estanteria Individual'!Pp_max3</vt:lpstr>
      <vt:lpstr>'Estanterias Contiguas'!Pp_max3</vt:lpstr>
      <vt:lpstr>Montacargas!Pp_max3</vt:lpstr>
      <vt:lpstr>'Montacargas Dual'!Pp_max3</vt:lpstr>
      <vt:lpstr>'Estanteria Individual'!Pp_max4</vt:lpstr>
      <vt:lpstr>'Estanterias Contiguas'!Pp_max4</vt:lpstr>
      <vt:lpstr>Montacargas!Pp_max4</vt:lpstr>
      <vt:lpstr>'Montacargas Dual'!Pp_max4</vt:lpstr>
      <vt:lpstr>'Estanteria Individual'!Pp_max5</vt:lpstr>
      <vt:lpstr>'Estanterias Contiguas'!Pp_max5</vt:lpstr>
      <vt:lpstr>Montacargas!Pp_max5</vt:lpstr>
      <vt:lpstr>'Montacargas Dual'!Pp_max5</vt:lpstr>
      <vt:lpstr>'Estanteria Individual'!Pp_max6</vt:lpstr>
      <vt:lpstr>'Estanterias Contiguas'!Pp_max6</vt:lpstr>
      <vt:lpstr>Montacargas!Pp_max6</vt:lpstr>
      <vt:lpstr>'Montacargas Dual'!Pp_max6</vt:lpstr>
      <vt:lpstr>'Estanteria Individual'!Pp_max7</vt:lpstr>
      <vt:lpstr>'Estanterias Contiguas'!Pp_max7</vt:lpstr>
      <vt:lpstr>Montacargas!Pp_max7</vt:lpstr>
      <vt:lpstr>'Montacargas Dual'!Pp_max7</vt:lpstr>
      <vt:lpstr>'Estanteria Individual'!Pp_max8</vt:lpstr>
      <vt:lpstr>'Estanterias Contiguas'!Pp_max8</vt:lpstr>
      <vt:lpstr>Montacargas!Pp_max8</vt:lpstr>
      <vt:lpstr>'Montacargas Dual'!Pp_max8</vt:lpstr>
      <vt:lpstr>'AASHTO 1993'!Print_Area</vt:lpstr>
      <vt:lpstr>'Barras de Refuerzo'!Print_Area</vt:lpstr>
      <vt:lpstr>'Conversión dosificación'!Print_Area</vt:lpstr>
      <vt:lpstr>'Estanteria Individual'!Print_Area</vt:lpstr>
      <vt:lpstr>'Estanterias Contiguas'!Print_Area</vt:lpstr>
      <vt:lpstr>INICIO!Print_Area</vt:lpstr>
      <vt:lpstr>'Lanzado y Prefabricado'!Print_Area</vt:lpstr>
      <vt:lpstr>'Mallas Electrosoldadas'!Print_Area</vt:lpstr>
      <vt:lpstr>MENU!Print_Area</vt:lpstr>
      <vt:lpstr>Montacargas!Print_Area</vt:lpstr>
      <vt:lpstr>'Montacargas Dual'!Print_Area</vt:lpstr>
      <vt:lpstr>Muros!Print_Area</vt:lpstr>
      <vt:lpstr>'PCA 1984'!Print_Area</vt:lpstr>
      <vt:lpstr>'Steel Deck'!Print_Area</vt:lpstr>
      <vt:lpstr>'T &amp; C'!Print_Area</vt:lpstr>
      <vt:lpstr>'T &amp; C (2)'!Print_Area</vt:lpstr>
      <vt:lpstr>'AASHTO 1993'!Print_Titles</vt:lpstr>
      <vt:lpstr>'Estanteria Individual'!Print_Titles</vt:lpstr>
      <vt:lpstr>'Estanterias Contiguas'!Print_Titles</vt:lpstr>
      <vt:lpstr>Montacargas!Print_Titles</vt:lpstr>
      <vt:lpstr>'Montacargas Dual'!Print_Titles</vt:lpstr>
      <vt:lpstr>'PCA 1984'!Print_Titles</vt:lpstr>
      <vt:lpstr>'AASHTO 1993'!Pt</vt:lpstr>
      <vt:lpstr>'Estanteria Individual'!Pu_1</vt:lpstr>
      <vt:lpstr>'Estanterias Contiguas'!Pu_1</vt:lpstr>
      <vt:lpstr>Montacargas!Pu_1</vt:lpstr>
      <vt:lpstr>'Montacargas Dual'!Pu_1</vt:lpstr>
      <vt:lpstr>'Estanteria Individual'!Pu_2</vt:lpstr>
      <vt:lpstr>'Estanterias Contiguas'!Pu_2</vt:lpstr>
      <vt:lpstr>Montacargas!Pu_2</vt:lpstr>
      <vt:lpstr>'Montacargas Dual'!Pu_2</vt:lpstr>
      <vt:lpstr>'Estanteria Individual'!Pu_3</vt:lpstr>
      <vt:lpstr>'Estanterias Contiguas'!Pu_3</vt:lpstr>
      <vt:lpstr>Montacargas!Pu_3</vt:lpstr>
      <vt:lpstr>'Montacargas Dual'!Pu_3</vt:lpstr>
      <vt:lpstr>'Estanteria Individual'!Pu_4</vt:lpstr>
      <vt:lpstr>'Estanterias Contiguas'!Pu_4</vt:lpstr>
      <vt:lpstr>Montacargas!Pu_4</vt:lpstr>
      <vt:lpstr>'Montacargas Dual'!Pu_4</vt:lpstr>
      <vt:lpstr>'Estanteria Individual'!Pu_5</vt:lpstr>
      <vt:lpstr>'Estanterias Contiguas'!Pu_5</vt:lpstr>
      <vt:lpstr>Montacargas!Pu_5</vt:lpstr>
      <vt:lpstr>'Montacargas Dual'!Pu_5</vt:lpstr>
      <vt:lpstr>'Estanteria Individual'!Pu_6</vt:lpstr>
      <vt:lpstr>'Estanterias Contiguas'!Pu_6</vt:lpstr>
      <vt:lpstr>Montacargas!Pu_6</vt:lpstr>
      <vt:lpstr>'Montacargas Dual'!Pu_6</vt:lpstr>
      <vt:lpstr>'Estanteria Individual'!Pu_7</vt:lpstr>
      <vt:lpstr>'Estanterias Contiguas'!Pu_7</vt:lpstr>
      <vt:lpstr>Montacargas!Pu_7</vt:lpstr>
      <vt:lpstr>'Montacargas Dual'!Pu_7</vt:lpstr>
      <vt:lpstr>'Estanteria Individual'!Pu_8</vt:lpstr>
      <vt:lpstr>'Estanterias Contiguas'!Pu_8</vt:lpstr>
      <vt:lpstr>Montacargas!Pu_8</vt:lpstr>
      <vt:lpstr>'Montacargas Dual'!Pu_8</vt:lpstr>
      <vt:lpstr>'Estanteria Individual'!Pu_9</vt:lpstr>
      <vt:lpstr>'Estanterias Contiguas'!Pu_9</vt:lpstr>
      <vt:lpstr>Montacargas!Pu_9</vt:lpstr>
      <vt:lpstr>'Montacargas Dual'!Pu_9</vt:lpstr>
      <vt:lpstr>'Estanteria Individual'!Q1_</vt:lpstr>
      <vt:lpstr>'Estanterias Contiguas'!Q1_</vt:lpstr>
      <vt:lpstr>Montacargas!Q1_</vt:lpstr>
      <vt:lpstr>'Montacargas Dual'!Q1_</vt:lpstr>
      <vt:lpstr>'Estanteria Individual'!Q1_ult</vt:lpstr>
      <vt:lpstr>'Estanterias Contiguas'!Q1_ult</vt:lpstr>
      <vt:lpstr>Montacargas!Q1_ult</vt:lpstr>
      <vt:lpstr>'Montacargas Dual'!Q1_ult</vt:lpstr>
      <vt:lpstr>'Estanteria Individual'!Q1_ult_ep</vt:lpstr>
      <vt:lpstr>'Estanterias Contiguas'!Q1_ult_ep</vt:lpstr>
      <vt:lpstr>Montacargas!Q1_ult_ep</vt:lpstr>
      <vt:lpstr>'Montacargas Dual'!Q1_ult_ep</vt:lpstr>
      <vt:lpstr>'Estanteria Individual'!Q1_ult_jb</vt:lpstr>
      <vt:lpstr>'Estanterias Contiguas'!Q1_ult_jb</vt:lpstr>
      <vt:lpstr>Montacargas!Q1_ult_jb</vt:lpstr>
      <vt:lpstr>'Montacargas Dual'!Q1_ult_jb</vt:lpstr>
      <vt:lpstr>'Montacargas Dual'!qq_1</vt:lpstr>
      <vt:lpstr>'AASHTO 1993'!R_</vt:lpstr>
      <vt:lpstr>'PCA 1984'!rango_actualizar</vt:lpstr>
      <vt:lpstr>'PCA 1984'!rango_de_diseño</vt:lpstr>
      <vt:lpstr>'Barras de Refuerzo'!Re_3</vt:lpstr>
      <vt:lpstr>'Estanteria Individual'!Re_3</vt:lpstr>
      <vt:lpstr>'Estanterias Contiguas'!Re_3</vt:lpstr>
      <vt:lpstr>'Mallas Electrosoldadas'!Re_3</vt:lpstr>
      <vt:lpstr>Montacargas!Re_3</vt:lpstr>
      <vt:lpstr>'Montacargas Dual'!Re_3</vt:lpstr>
      <vt:lpstr>'Steel Deck'!Re_3</vt:lpstr>
      <vt:lpstr>'Conversión dosificación'!Re_3_fm</vt:lpstr>
      <vt:lpstr>'Conversión dosificación'!rel_aspecto_fm</vt:lpstr>
      <vt:lpstr>'PCA 1984'!Sel_cond_soporte</vt:lpstr>
      <vt:lpstr>'PCA 1984'!sel_modulo_rotura</vt:lpstr>
      <vt:lpstr>'AASHTO 1993'!So</vt:lpstr>
      <vt:lpstr>'PCA 1984'!Soporte</vt:lpstr>
      <vt:lpstr>'PCA 1984'!TDPC</vt:lpstr>
      <vt:lpstr>'PCA 1984'!TDPCA</vt:lpstr>
      <vt:lpstr>'PCA 1984'!texto_cond1</vt:lpstr>
      <vt:lpstr>'PCA 1984'!texto_cond2</vt:lpstr>
      <vt:lpstr>'PCA 1984'!texto_cond3</vt:lpstr>
      <vt:lpstr>'PCA 1984'!texto_cond4</vt:lpstr>
      <vt:lpstr>'PCA 1984'!Tipo_de_Suelo</vt:lpstr>
      <vt:lpstr>Muros!Tipo_malla</vt:lpstr>
      <vt:lpstr>'Steel Deck'!Tipo_malla</vt:lpstr>
      <vt:lpstr>'PCA 1984'!Tipo_Soporte</vt:lpstr>
      <vt:lpstr>'Estanteria Individual'!u0_1</vt:lpstr>
      <vt:lpstr>'Estanterias Contiguas'!u0_1</vt:lpstr>
      <vt:lpstr>Montacargas!u0_1</vt:lpstr>
      <vt:lpstr>'Montacargas Dual'!u0_1</vt:lpstr>
      <vt:lpstr>'Estanteria Individual'!u0_2</vt:lpstr>
      <vt:lpstr>'Estanterias Contiguas'!u0_2</vt:lpstr>
      <vt:lpstr>Montacargas!u0_2</vt:lpstr>
      <vt:lpstr>'Montacargas Dual'!u0_2</vt:lpstr>
      <vt:lpstr>'Estanteria Individual'!u0_3</vt:lpstr>
      <vt:lpstr>'Estanterias Contiguas'!u0_3</vt:lpstr>
      <vt:lpstr>Montacargas!u0_3</vt:lpstr>
      <vt:lpstr>'Montacargas Dual'!u0_3</vt:lpstr>
      <vt:lpstr>'Estanteria Individual'!u0_4</vt:lpstr>
      <vt:lpstr>'Estanterias Contiguas'!u0_4</vt:lpstr>
      <vt:lpstr>Montacargas!u0_4</vt:lpstr>
      <vt:lpstr>'Montacargas Dual'!u0_4</vt:lpstr>
      <vt:lpstr>'Estanteria Individual'!u1_1</vt:lpstr>
      <vt:lpstr>'Estanterias Contiguas'!u1_1</vt:lpstr>
      <vt:lpstr>Montacargas!u1_1</vt:lpstr>
      <vt:lpstr>'Montacargas Dual'!u1_1</vt:lpstr>
      <vt:lpstr>'Estanteria Individual'!u1_2</vt:lpstr>
      <vt:lpstr>'Estanterias Contiguas'!u1_2</vt:lpstr>
      <vt:lpstr>Montacargas!u1_2</vt:lpstr>
      <vt:lpstr>'Montacargas Dual'!u1_2</vt:lpstr>
      <vt:lpstr>'Estanteria Individual'!u1_3</vt:lpstr>
      <vt:lpstr>'Estanterias Contiguas'!u1_3</vt:lpstr>
      <vt:lpstr>Montacargas!u1_3</vt:lpstr>
      <vt:lpstr>'Montacargas Dual'!u1_3</vt:lpstr>
      <vt:lpstr>'Estanteria Individual'!u1_4</vt:lpstr>
      <vt:lpstr>'Estanterias Contiguas'!u1_4</vt:lpstr>
      <vt:lpstr>Montacargas!u1_4</vt:lpstr>
      <vt:lpstr>'Montacargas Dual'!u1_4</vt:lpstr>
      <vt:lpstr>'PCA 1984'!Valores_de_k__pci</vt:lpstr>
      <vt:lpstr>'PCA 1984'!var_borde</vt:lpstr>
      <vt:lpstr>'PCA 1984'!var_categoria</vt:lpstr>
      <vt:lpstr>'PCA 1984'!var_codigo_verificacion</vt:lpstr>
      <vt:lpstr>'PCA 1984'!var_juntas</vt:lpstr>
      <vt:lpstr>'PCA 1984'!var_soporte</vt:lpstr>
      <vt:lpstr>'PCA 1984'!vm_sopi</vt:lpstr>
      <vt:lpstr>'Estanteria Individual'!vmax</vt:lpstr>
      <vt:lpstr>'Estanterias Contiguas'!vmax</vt:lpstr>
      <vt:lpstr>Montacargas!vmax</vt:lpstr>
      <vt:lpstr>'Montacargas Dual'!vmax</vt:lpstr>
      <vt:lpstr>'Estanteria Individual'!vp_1</vt:lpstr>
      <vt:lpstr>'Estanterias Contiguas'!vp_1</vt:lpstr>
      <vt:lpstr>Montacargas!vp_1</vt:lpstr>
      <vt:lpstr>'Montacargas Dual'!vp_1</vt:lpstr>
      <vt:lpstr>'Estanteria Individual'!vp_2</vt:lpstr>
      <vt:lpstr>'Estanterias Contiguas'!vp_2</vt:lpstr>
      <vt:lpstr>Montacargas!vp_2</vt:lpstr>
      <vt:lpstr>'Montacargas Dual'!vp_2</vt:lpstr>
      <vt:lpstr>'Estanteria Individual'!vp_3</vt:lpstr>
      <vt:lpstr>'Estanterias Contiguas'!vp_3</vt:lpstr>
      <vt:lpstr>Montacargas!vp_3</vt:lpstr>
      <vt:lpstr>'Montacargas Dual'!vp_3</vt:lpstr>
      <vt:lpstr>'Estanteria Individual'!vp_4</vt:lpstr>
      <vt:lpstr>'Estanterias Contiguas'!vp_4</vt:lpstr>
      <vt:lpstr>Montacargas!vp_4</vt:lpstr>
      <vt:lpstr>'Montacargas Dual'!vp_4</vt:lpstr>
      <vt:lpstr>'Estanteria Individual'!vRd_ct</vt:lpstr>
      <vt:lpstr>'Estanterias Contiguas'!vRd_ct</vt:lpstr>
      <vt:lpstr>Montacargas!vRd_ct</vt:lpstr>
      <vt:lpstr>'Montacargas Dual'!vRd_ct</vt:lpstr>
      <vt:lpstr>'Estanterias Contiguas'!Z</vt:lpstr>
      <vt:lpstr>'Montacargas Dual'!Z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Herramientas Diseño Concreto con Fibraplas Concrete</dc:title>
  <dc:creator>ECOPLAS</dc:creator>
  <cp:keywords>Versión 1.8</cp:keywords>
  <cp:lastModifiedBy>Fibras</cp:lastModifiedBy>
  <cp:lastPrinted>2021-09-15T21:23:24Z</cp:lastPrinted>
  <dcterms:created xsi:type="dcterms:W3CDTF">2016-05-24T19:12:40Z</dcterms:created>
  <dcterms:modified xsi:type="dcterms:W3CDTF">2021-09-21T16:08:17Z</dcterms:modified>
</cp:coreProperties>
</file>