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Objects="none" codeName="ThisWorkbook"/>
  <mc:AlternateContent xmlns:mc="http://schemas.openxmlformats.org/markup-compatibility/2006">
    <mc:Choice Requires="x15">
      <x15ac:absPath xmlns:x15ac="http://schemas.microsoft.com/office/spreadsheetml/2010/11/ac" url="C:\Users\User\Dropbox\AAA-Arkin\Meetinstrumenten\AAA_Scoring_Vragenlijsten\"/>
    </mc:Choice>
  </mc:AlternateContent>
  <xr:revisionPtr revIDLastSave="0" documentId="13_ncr:1_{F0950E67-193B-4B5F-A62A-36FE0AAE2D79}" xr6:coauthVersionLast="47" xr6:coauthVersionMax="47" xr10:uidLastSave="{00000000-0000-0000-0000-000000000000}"/>
  <bookViews>
    <workbookView xWindow="1200" yWindow="45" windowWidth="25995" windowHeight="15120" xr2:uid="{00000000-000D-0000-FFFF-FFFF00000000}"/>
  </bookViews>
  <sheets>
    <sheet name="All" sheetId="6" r:id="rId1"/>
    <sheet name="4DKL" sheetId="16" r:id="rId2"/>
    <sheet name="ACQ" sheetId="23" r:id="rId3"/>
    <sheet name="BDI-II" sheetId="15" r:id="rId4"/>
    <sheet name="BPI" sheetId="19" r:id="rId5"/>
    <sheet name="BSensQ" sheetId="24" r:id="rId6"/>
    <sheet name="BShapeQ" sheetId="26" r:id="rId7"/>
    <sheet name="BSI" sheetId="9" r:id="rId8"/>
    <sheet name="DASS-21" sheetId="12" r:id="rId9"/>
    <sheet name="DASS-42" sheetId="11" r:id="rId10"/>
    <sheet name="EDE-Q" sheetId="31" r:id="rId11"/>
    <sheet name="I.ROC" sheetId="28" r:id="rId12"/>
    <sheet name="IPO-16-NL" sheetId="27" r:id="rId13"/>
    <sheet name="IPO-83-NL" sheetId="22" r:id="rId14"/>
    <sheet name="MANSA" sheetId="18" r:id="rId15"/>
    <sheet name="OQ-45" sheetId="20" r:id="rId16"/>
    <sheet name="PCL-5" sheetId="8" r:id="rId17"/>
    <sheet name="POL" sheetId="17" r:id="rId18"/>
    <sheet name="SFS" sheetId="14" r:id="rId19"/>
    <sheet name="SIAS" sheetId="13" r:id="rId20"/>
    <sheet name="SIPP" sheetId="10" r:id="rId21"/>
  </sheets>
  <calcPr calcId="181029"/>
</workbook>
</file>

<file path=xl/calcChain.xml><?xml version="1.0" encoding="utf-8"?>
<calcChain xmlns="http://schemas.openxmlformats.org/spreadsheetml/2006/main">
  <c r="G8" i="31" l="1"/>
  <c r="G6" i="31"/>
  <c r="G5" i="31"/>
  <c r="G9" i="31"/>
  <c r="I5" i="31"/>
  <c r="I8" i="31"/>
  <c r="H9" i="31"/>
  <c r="I7" i="31"/>
  <c r="I6" i="31"/>
  <c r="H6" i="31"/>
  <c r="H5" i="31"/>
  <c r="C5" i="31"/>
  <c r="C6" i="31"/>
  <c r="C7" i="31"/>
  <c r="C8" i="31"/>
  <c r="C5" i="28"/>
  <c r="H5" i="28" s="1"/>
  <c r="C5" i="10"/>
  <c r="G5" i="10" s="1"/>
  <c r="C6" i="10"/>
  <c r="M6" i="10" s="1"/>
  <c r="C7" i="10"/>
  <c r="I7" i="10" s="1"/>
  <c r="C8" i="10"/>
  <c r="G8" i="10" s="1"/>
  <c r="C9" i="10"/>
  <c r="K9" i="10" s="1"/>
  <c r="C10" i="10"/>
  <c r="G10" i="10" s="1"/>
  <c r="C11" i="10"/>
  <c r="I11" i="10" s="1"/>
  <c r="C12" i="10"/>
  <c r="G12" i="10" s="1"/>
  <c r="L12" i="10"/>
  <c r="P12" i="10"/>
  <c r="W12" i="10"/>
  <c r="AA12" i="10"/>
  <c r="C13" i="10"/>
  <c r="G13" i="10" s="1"/>
  <c r="M13" i="10"/>
  <c r="U13" i="10"/>
  <c r="AA13" i="10"/>
  <c r="C14" i="10"/>
  <c r="M14" i="10" s="1"/>
  <c r="G14" i="10"/>
  <c r="L14" i="10"/>
  <c r="T14" i="10"/>
  <c r="U14" i="10"/>
  <c r="W14" i="10"/>
  <c r="C15" i="10"/>
  <c r="H15" i="10" s="1"/>
  <c r="C16" i="10"/>
  <c r="G16" i="10" s="1"/>
  <c r="H16" i="10"/>
  <c r="M16" i="10"/>
  <c r="T16" i="10"/>
  <c r="W16" i="10"/>
  <c r="AA16" i="10"/>
  <c r="C17" i="10"/>
  <c r="K17" i="10" s="1"/>
  <c r="I17" i="10"/>
  <c r="T17" i="10"/>
  <c r="C18" i="10"/>
  <c r="G18" i="10" s="1"/>
  <c r="C19" i="10"/>
  <c r="I19" i="10" s="1"/>
  <c r="H19" i="10"/>
  <c r="L19" i="10"/>
  <c r="M19" i="10"/>
  <c r="O19" i="10"/>
  <c r="P19" i="10"/>
  <c r="Q19" i="10"/>
  <c r="U19" i="10"/>
  <c r="X19" i="10"/>
  <c r="Y19" i="10"/>
  <c r="AA19" i="10"/>
  <c r="AB19" i="10"/>
  <c r="AC19" i="10"/>
  <c r="C20" i="10"/>
  <c r="H20" i="10" s="1"/>
  <c r="K15" i="9"/>
  <c r="K14" i="9"/>
  <c r="K13" i="9"/>
  <c r="K12" i="9"/>
  <c r="K11" i="9"/>
  <c r="K10" i="9"/>
  <c r="K9" i="9"/>
  <c r="K8" i="9"/>
  <c r="K7" i="9"/>
  <c r="K6" i="9"/>
  <c r="K5" i="9"/>
  <c r="G14" i="9"/>
  <c r="G12" i="9"/>
  <c r="G15" i="9"/>
  <c r="G13" i="9"/>
  <c r="G11" i="9"/>
  <c r="G10" i="9"/>
  <c r="G9" i="9"/>
  <c r="G8" i="9"/>
  <c r="G7" i="9"/>
  <c r="G6" i="9"/>
  <c r="G5" i="9"/>
  <c r="H5" i="9"/>
  <c r="C5" i="27"/>
  <c r="G5" i="27" s="1"/>
  <c r="C5" i="22"/>
  <c r="G5" i="22" s="1"/>
  <c r="C6" i="22"/>
  <c r="M6" i="22" s="1"/>
  <c r="C7" i="22"/>
  <c r="I7" i="22" s="1"/>
  <c r="C8" i="22"/>
  <c r="G8" i="22" s="1"/>
  <c r="C9" i="22"/>
  <c r="M9" i="22" s="1"/>
  <c r="C10" i="22"/>
  <c r="H10" i="22" s="1"/>
  <c r="C6" i="26"/>
  <c r="P6" i="26" s="1"/>
  <c r="C5" i="26"/>
  <c r="G5" i="26" s="1"/>
  <c r="C5" i="24"/>
  <c r="G5" i="24" s="1"/>
  <c r="C5" i="23"/>
  <c r="K5" i="23" s="1"/>
  <c r="M5" i="23"/>
  <c r="O5" i="23"/>
  <c r="P5" i="23"/>
  <c r="Q5" i="23"/>
  <c r="C6" i="23"/>
  <c r="M6" i="23" s="1"/>
  <c r="L6" i="23"/>
  <c r="C7" i="23"/>
  <c r="G7" i="23" s="1"/>
  <c r="P7" i="23"/>
  <c r="C5" i="20"/>
  <c r="G5" i="20" s="1"/>
  <c r="C6" i="20"/>
  <c r="O6" i="20" s="1"/>
  <c r="C7" i="20"/>
  <c r="L7" i="20" s="1"/>
  <c r="C8" i="20"/>
  <c r="I8" i="20" s="1"/>
  <c r="C5" i="19"/>
  <c r="G5" i="19" s="1"/>
  <c r="C5" i="18"/>
  <c r="G5" i="18" s="1"/>
  <c r="C5" i="17"/>
  <c r="G5" i="17" s="1"/>
  <c r="C6" i="17"/>
  <c r="G6" i="17" s="1"/>
  <c r="C7" i="17"/>
  <c r="O7" i="17" s="1"/>
  <c r="C8" i="17"/>
  <c r="L8" i="17" s="1"/>
  <c r="C9" i="17"/>
  <c r="G9" i="17" s="1"/>
  <c r="C10" i="17"/>
  <c r="M10" i="17" s="1"/>
  <c r="C5" i="16"/>
  <c r="H5" i="16" s="1"/>
  <c r="C6" i="16"/>
  <c r="G6" i="16" s="1"/>
  <c r="C7" i="16"/>
  <c r="M7" i="16" s="1"/>
  <c r="C8" i="16"/>
  <c r="O8" i="16" s="1"/>
  <c r="C5" i="15"/>
  <c r="G5" i="15" s="1"/>
  <c r="C6" i="15"/>
  <c r="G6" i="15" s="1"/>
  <c r="C7" i="15"/>
  <c r="O7" i="15" s="1"/>
  <c r="C8" i="15"/>
  <c r="L8" i="15" s="1"/>
  <c r="C5" i="14"/>
  <c r="G5" i="14" s="1"/>
  <c r="C6" i="14"/>
  <c r="O6" i="14" s="1"/>
  <c r="C7" i="14"/>
  <c r="L7" i="14" s="1"/>
  <c r="M7" i="14"/>
  <c r="C8" i="14"/>
  <c r="H8" i="14" s="1"/>
  <c r="Q8" i="14"/>
  <c r="C5" i="13"/>
  <c r="H5" i="13" s="1"/>
  <c r="G5" i="13"/>
  <c r="Q5" i="13"/>
  <c r="C6" i="13"/>
  <c r="G6" i="13" s="1"/>
  <c r="L6" i="13"/>
  <c r="M6" i="13"/>
  <c r="C7" i="13"/>
  <c r="O7" i="13" s="1"/>
  <c r="C5" i="11"/>
  <c r="G5" i="11" s="1"/>
  <c r="C6" i="11"/>
  <c r="O6" i="11" s="1"/>
  <c r="C7" i="11"/>
  <c r="L7" i="11" s="1"/>
  <c r="C8" i="11"/>
  <c r="H8" i="11" s="1"/>
  <c r="M8" i="12"/>
  <c r="C8" i="12"/>
  <c r="O8" i="12" s="1"/>
  <c r="C7" i="12"/>
  <c r="Q7" i="12" s="1"/>
  <c r="Q6" i="12"/>
  <c r="L6" i="12"/>
  <c r="K6" i="12"/>
  <c r="I6" i="12"/>
  <c r="H6" i="12"/>
  <c r="G6" i="12"/>
  <c r="C6" i="12"/>
  <c r="P6" i="12" s="1"/>
  <c r="O5" i="12"/>
  <c r="M5" i="12"/>
  <c r="L5" i="12"/>
  <c r="K5" i="12"/>
  <c r="I5" i="12"/>
  <c r="H5" i="12"/>
  <c r="C5" i="12"/>
  <c r="Q5" i="12" s="1"/>
  <c r="C5" i="8"/>
  <c r="H5" i="8" s="1"/>
  <c r="C6" i="8"/>
  <c r="G6" i="8" s="1"/>
  <c r="M6" i="8"/>
  <c r="O6" i="8"/>
  <c r="P6" i="8"/>
  <c r="C7" i="8"/>
  <c r="O7" i="8" s="1"/>
  <c r="K7" i="8"/>
  <c r="L7" i="8"/>
  <c r="M7" i="8"/>
  <c r="P7" i="8"/>
  <c r="C8" i="8"/>
  <c r="L8" i="8" s="1"/>
  <c r="H8" i="8"/>
  <c r="I8" i="8"/>
  <c r="K8" i="8"/>
  <c r="M8" i="8"/>
  <c r="P8" i="8"/>
  <c r="C9" i="8"/>
  <c r="H9" i="8" s="1"/>
  <c r="G9" i="8"/>
  <c r="P9" i="8"/>
  <c r="Q9" i="8"/>
  <c r="O6" i="9"/>
  <c r="L7" i="9"/>
  <c r="H8" i="9"/>
  <c r="P9" i="9"/>
  <c r="O10" i="9"/>
  <c r="L11" i="9"/>
  <c r="H12" i="9"/>
  <c r="O14" i="9"/>
  <c r="L15" i="9"/>
  <c r="C9" i="31" l="1"/>
  <c r="I9" i="31" s="1"/>
  <c r="H7" i="31"/>
  <c r="H8" i="31"/>
  <c r="G7" i="31"/>
  <c r="J5" i="28"/>
  <c r="I5" i="28"/>
  <c r="T5" i="10"/>
  <c r="S5" i="10"/>
  <c r="M20" i="10"/>
  <c r="Q20" i="10"/>
  <c r="S19" i="10"/>
  <c r="G19" i="10"/>
  <c r="Y16" i="10"/>
  <c r="L16" i="10"/>
  <c r="AB14" i="10"/>
  <c r="K14" i="10"/>
  <c r="P13" i="10"/>
  <c r="Y12" i="10"/>
  <c r="O12" i="10"/>
  <c r="X20" i="10"/>
  <c r="AB20" i="10"/>
  <c r="G20" i="10"/>
  <c r="AA20" i="10"/>
  <c r="P20" i="10"/>
  <c r="Y20" i="10"/>
  <c r="O20" i="10"/>
  <c r="X16" i="10"/>
  <c r="I16" i="10"/>
  <c r="AA14" i="10"/>
  <c r="I14" i="10"/>
  <c r="O13" i="10"/>
  <c r="X12" i="10"/>
  <c r="M12" i="10"/>
  <c r="K13" i="10"/>
  <c r="U12" i="10"/>
  <c r="K12" i="10"/>
  <c r="S16" i="10"/>
  <c r="T12" i="10"/>
  <c r="I12" i="10"/>
  <c r="W20" i="10"/>
  <c r="L20" i="10"/>
  <c r="U20" i="10"/>
  <c r="AB15" i="10"/>
  <c r="T20" i="10"/>
  <c r="P16" i="10"/>
  <c r="Q15" i="10"/>
  <c r="Q14" i="10"/>
  <c r="Y13" i="10"/>
  <c r="AC12" i="10"/>
  <c r="S12" i="10"/>
  <c r="H12" i="10"/>
  <c r="K20" i="10"/>
  <c r="I20" i="10"/>
  <c r="AC20" i="10"/>
  <c r="S20" i="10"/>
  <c r="W19" i="10"/>
  <c r="K19" i="10"/>
  <c r="AC16" i="10"/>
  <c r="O16" i="10"/>
  <c r="G15" i="10"/>
  <c r="P14" i="10"/>
  <c r="X13" i="10"/>
  <c r="AB12" i="10"/>
  <c r="Q12" i="10"/>
  <c r="Q11" i="10"/>
  <c r="AB11" i="10"/>
  <c r="P11" i="10"/>
  <c r="AC11" i="10"/>
  <c r="AA11" i="10"/>
  <c r="O11" i="10"/>
  <c r="Y11" i="10"/>
  <c r="M11" i="10"/>
  <c r="S11" i="10"/>
  <c r="X11" i="10"/>
  <c r="L11" i="10"/>
  <c r="W11" i="10"/>
  <c r="K11" i="10"/>
  <c r="G11" i="10"/>
  <c r="U11" i="10"/>
  <c r="H11" i="10"/>
  <c r="T9" i="10"/>
  <c r="I9" i="10"/>
  <c r="AA8" i="10"/>
  <c r="Y8" i="10"/>
  <c r="L8" i="10"/>
  <c r="M8" i="10"/>
  <c r="X8" i="10"/>
  <c r="I8" i="10"/>
  <c r="T8" i="10"/>
  <c r="S8" i="10"/>
  <c r="W8" i="10"/>
  <c r="P8" i="10"/>
  <c r="H8" i="10"/>
  <c r="AC8" i="10"/>
  <c r="O8" i="10"/>
  <c r="P7" i="10"/>
  <c r="M7" i="10"/>
  <c r="L7" i="10"/>
  <c r="AA7" i="10"/>
  <c r="H7" i="10"/>
  <c r="AC7" i="10"/>
  <c r="AB7" i="10"/>
  <c r="X7" i="10"/>
  <c r="G7" i="10"/>
  <c r="S7" i="10"/>
  <c r="W7" i="10"/>
  <c r="Q7" i="10"/>
  <c r="U6" i="10"/>
  <c r="Q6" i="10"/>
  <c r="P6" i="10"/>
  <c r="L6" i="10"/>
  <c r="K6" i="10"/>
  <c r="AB6" i="10"/>
  <c r="G6" i="10"/>
  <c r="AA6" i="10"/>
  <c r="W6" i="10"/>
  <c r="O5" i="10"/>
  <c r="AA5" i="10"/>
  <c r="Y5" i="10"/>
  <c r="K5" i="10"/>
  <c r="U5" i="10"/>
  <c r="P5" i="10"/>
  <c r="C23" i="10"/>
  <c r="O18" i="10"/>
  <c r="S9" i="10"/>
  <c r="H9" i="10"/>
  <c r="T6" i="10"/>
  <c r="I6" i="10"/>
  <c r="X5" i="10"/>
  <c r="M5" i="10"/>
  <c r="P18" i="10"/>
  <c r="Y18" i="10"/>
  <c r="AC17" i="10"/>
  <c r="S17" i="10"/>
  <c r="H17" i="10"/>
  <c r="AA15" i="10"/>
  <c r="P15" i="10"/>
  <c r="Y10" i="10"/>
  <c r="O10" i="10"/>
  <c r="AC9" i="10"/>
  <c r="T19" i="10"/>
  <c r="X18" i="10"/>
  <c r="M18" i="10"/>
  <c r="AB17" i="10"/>
  <c r="Q17" i="10"/>
  <c r="G17" i="10"/>
  <c r="U16" i="10"/>
  <c r="K16" i="10"/>
  <c r="Y15" i="10"/>
  <c r="O15" i="10"/>
  <c r="AC14" i="10"/>
  <c r="S14" i="10"/>
  <c r="H14" i="10"/>
  <c r="W13" i="10"/>
  <c r="L13" i="10"/>
  <c r="T11" i="10"/>
  <c r="X10" i="10"/>
  <c r="M10" i="10"/>
  <c r="AB9" i="10"/>
  <c r="Q9" i="10"/>
  <c r="G9" i="10"/>
  <c r="U8" i="10"/>
  <c r="K8" i="10"/>
  <c r="Y7" i="10"/>
  <c r="O7" i="10"/>
  <c r="AC6" i="10"/>
  <c r="S6" i="10"/>
  <c r="H6" i="10"/>
  <c r="W5" i="10"/>
  <c r="L5" i="10"/>
  <c r="P10" i="10"/>
  <c r="M15" i="10"/>
  <c r="L10" i="10"/>
  <c r="AA9" i="10"/>
  <c r="C22" i="10"/>
  <c r="U18" i="10"/>
  <c r="K18" i="10"/>
  <c r="Y17" i="10"/>
  <c r="O17" i="10"/>
  <c r="W15" i="10"/>
  <c r="L15" i="10"/>
  <c r="T13" i="10"/>
  <c r="I13" i="10"/>
  <c r="U10" i="10"/>
  <c r="K10" i="10"/>
  <c r="Y9" i="10"/>
  <c r="O9" i="10"/>
  <c r="I5" i="10"/>
  <c r="C25" i="10"/>
  <c r="L18" i="10"/>
  <c r="P17" i="10"/>
  <c r="X15" i="10"/>
  <c r="W10" i="10"/>
  <c r="P9" i="10"/>
  <c r="T18" i="10"/>
  <c r="I18" i="10"/>
  <c r="X17" i="10"/>
  <c r="M17" i="10"/>
  <c r="AB16" i="10"/>
  <c r="Q16" i="10"/>
  <c r="U15" i="10"/>
  <c r="K15" i="10"/>
  <c r="Y14" i="10"/>
  <c r="O14" i="10"/>
  <c r="AC13" i="10"/>
  <c r="S13" i="10"/>
  <c r="H13" i="10"/>
  <c r="T10" i="10"/>
  <c r="I10" i="10"/>
  <c r="X9" i="10"/>
  <c r="M9" i="10"/>
  <c r="AB8" i="10"/>
  <c r="Q8" i="10"/>
  <c r="U7" i="10"/>
  <c r="K7" i="10"/>
  <c r="Y6" i="10"/>
  <c r="O6" i="10"/>
  <c r="AC5" i="10"/>
  <c r="H5" i="10"/>
  <c r="W18" i="10"/>
  <c r="C24" i="10"/>
  <c r="AC18" i="10"/>
  <c r="S18" i="10"/>
  <c r="H18" i="10"/>
  <c r="W17" i="10"/>
  <c r="L17" i="10"/>
  <c r="T15" i="10"/>
  <c r="I15" i="10"/>
  <c r="X14" i="10"/>
  <c r="AB13" i="10"/>
  <c r="Q13" i="10"/>
  <c r="AC10" i="10"/>
  <c r="S10" i="10"/>
  <c r="H10" i="10"/>
  <c r="W9" i="10"/>
  <c r="L9" i="10"/>
  <c r="T7" i="10"/>
  <c r="X6" i="10"/>
  <c r="AB5" i="10"/>
  <c r="Q5" i="10"/>
  <c r="AA18" i="10"/>
  <c r="AA10" i="10"/>
  <c r="AA17" i="10"/>
  <c r="C21" i="10"/>
  <c r="AB18" i="10"/>
  <c r="Q18" i="10"/>
  <c r="U17" i="10"/>
  <c r="AC15" i="10"/>
  <c r="S15" i="10"/>
  <c r="AB10" i="10"/>
  <c r="Q10" i="10"/>
  <c r="U9" i="10"/>
  <c r="O5" i="27"/>
  <c r="X5" i="27"/>
  <c r="M5" i="27"/>
  <c r="AA5" i="27"/>
  <c r="Y5" i="27"/>
  <c r="W5" i="27"/>
  <c r="L5" i="27"/>
  <c r="U5" i="27"/>
  <c r="K5" i="27"/>
  <c r="T5" i="27"/>
  <c r="I5" i="27"/>
  <c r="P5" i="27"/>
  <c r="AC5" i="27"/>
  <c r="S5" i="27"/>
  <c r="H5" i="27"/>
  <c r="AB5" i="27"/>
  <c r="Q5" i="27"/>
  <c r="AC9" i="22"/>
  <c r="L9" i="22"/>
  <c r="K9" i="22"/>
  <c r="Y9" i="22"/>
  <c r="U9" i="22"/>
  <c r="AA9" i="22"/>
  <c r="W9" i="22"/>
  <c r="T9" i="22"/>
  <c r="P9" i="22"/>
  <c r="I9" i="22"/>
  <c r="O9" i="22"/>
  <c r="S8" i="22"/>
  <c r="P8" i="22"/>
  <c r="O8" i="22"/>
  <c r="M8" i="22"/>
  <c r="AC8" i="22"/>
  <c r="AA8" i="22"/>
  <c r="Y8" i="22"/>
  <c r="X8" i="22"/>
  <c r="AB7" i="22"/>
  <c r="S7" i="22"/>
  <c r="Q7" i="22"/>
  <c r="H7" i="22"/>
  <c r="G7" i="22"/>
  <c r="AC7" i="22"/>
  <c r="W6" i="22"/>
  <c r="U6" i="22"/>
  <c r="L6" i="22"/>
  <c r="K6" i="22"/>
  <c r="AA5" i="22"/>
  <c r="Y5" i="22"/>
  <c r="P5" i="22"/>
  <c r="O5" i="22"/>
  <c r="AA10" i="22"/>
  <c r="Y10" i="22"/>
  <c r="O10" i="22"/>
  <c r="T6" i="22"/>
  <c r="I6" i="22"/>
  <c r="X5" i="22"/>
  <c r="M5" i="22"/>
  <c r="S9" i="22"/>
  <c r="H9" i="22"/>
  <c r="W8" i="22"/>
  <c r="L8" i="22"/>
  <c r="AA7" i="22"/>
  <c r="P7" i="22"/>
  <c r="X10" i="22"/>
  <c r="M10" i="22"/>
  <c r="AB9" i="22"/>
  <c r="Q9" i="22"/>
  <c r="G9" i="22"/>
  <c r="U8" i="22"/>
  <c r="K8" i="22"/>
  <c r="Y7" i="22"/>
  <c r="O7" i="22"/>
  <c r="AC6" i="22"/>
  <c r="S6" i="22"/>
  <c r="H6" i="22"/>
  <c r="W5" i="22"/>
  <c r="L5" i="22"/>
  <c r="W10" i="22"/>
  <c r="L10" i="22"/>
  <c r="T8" i="22"/>
  <c r="I8" i="22"/>
  <c r="X7" i="22"/>
  <c r="M7" i="22"/>
  <c r="AB6" i="22"/>
  <c r="Q6" i="22"/>
  <c r="G6" i="22"/>
  <c r="U5" i="22"/>
  <c r="K5" i="22"/>
  <c r="T5" i="22"/>
  <c r="I5" i="22"/>
  <c r="Q10" i="22"/>
  <c r="P10" i="22"/>
  <c r="U10" i="22"/>
  <c r="K10" i="22"/>
  <c r="H8" i="22"/>
  <c r="W7" i="22"/>
  <c r="L7" i="22"/>
  <c r="AA6" i="22"/>
  <c r="P6" i="22"/>
  <c r="T10" i="22"/>
  <c r="I10" i="22"/>
  <c r="X9" i="22"/>
  <c r="AB8" i="22"/>
  <c r="Q8" i="22"/>
  <c r="U7" i="22"/>
  <c r="K7" i="22"/>
  <c r="Y6" i="22"/>
  <c r="O6" i="22"/>
  <c r="AC5" i="22"/>
  <c r="S5" i="22"/>
  <c r="H5" i="22"/>
  <c r="AB10" i="22"/>
  <c r="G10" i="22"/>
  <c r="AC10" i="22"/>
  <c r="S10" i="22"/>
  <c r="T7" i="22"/>
  <c r="X6" i="22"/>
  <c r="AB5" i="22"/>
  <c r="Q5" i="22"/>
  <c r="M6" i="26"/>
  <c r="K6" i="26"/>
  <c r="P5" i="26"/>
  <c r="O5" i="26"/>
  <c r="M5" i="26"/>
  <c r="L6" i="26"/>
  <c r="O6" i="26"/>
  <c r="I6" i="26"/>
  <c r="L5" i="26"/>
  <c r="H6" i="26"/>
  <c r="K5" i="26"/>
  <c r="Q6" i="26"/>
  <c r="G6" i="26"/>
  <c r="I5" i="26"/>
  <c r="H5" i="26"/>
  <c r="Q5" i="26"/>
  <c r="Q5" i="24"/>
  <c r="P5" i="24"/>
  <c r="L5" i="24"/>
  <c r="K5" i="24"/>
  <c r="O5" i="24"/>
  <c r="M5" i="24"/>
  <c r="I5" i="24"/>
  <c r="H5" i="24"/>
  <c r="O7" i="23"/>
  <c r="M7" i="23"/>
  <c r="L7" i="23"/>
  <c r="K7" i="23"/>
  <c r="I7" i="23"/>
  <c r="H7" i="23"/>
  <c r="Q7" i="23"/>
  <c r="K6" i="23"/>
  <c r="P6" i="23"/>
  <c r="L5" i="23"/>
  <c r="I5" i="23"/>
  <c r="H5" i="23"/>
  <c r="G5" i="23"/>
  <c r="H6" i="23"/>
  <c r="I6" i="23"/>
  <c r="Q6" i="23"/>
  <c r="G6" i="23"/>
  <c r="O6" i="23"/>
  <c r="P8" i="20"/>
  <c r="O8" i="20"/>
  <c r="H8" i="20"/>
  <c r="G8" i="20"/>
  <c r="Q8" i="20"/>
  <c r="K7" i="20"/>
  <c r="I7" i="20"/>
  <c r="Q7" i="20"/>
  <c r="G7" i="20"/>
  <c r="M6" i="20"/>
  <c r="L6" i="20"/>
  <c r="P5" i="20"/>
  <c r="O5" i="20"/>
  <c r="H7" i="20"/>
  <c r="K6" i="20"/>
  <c r="M5" i="20"/>
  <c r="H6" i="20"/>
  <c r="K5" i="20"/>
  <c r="I6" i="20"/>
  <c r="M8" i="20"/>
  <c r="P7" i="20"/>
  <c r="L8" i="20"/>
  <c r="O7" i="20"/>
  <c r="Q6" i="20"/>
  <c r="G6" i="20"/>
  <c r="I5" i="20"/>
  <c r="H5" i="20"/>
  <c r="L5" i="20"/>
  <c r="K8" i="20"/>
  <c r="M7" i="20"/>
  <c r="P6" i="20"/>
  <c r="Q5" i="20"/>
  <c r="P5" i="19"/>
  <c r="O5" i="19"/>
  <c r="M5" i="19"/>
  <c r="L5" i="19"/>
  <c r="K5" i="19"/>
  <c r="I5" i="19"/>
  <c r="H5" i="19"/>
  <c r="Q5" i="19"/>
  <c r="P5" i="18"/>
  <c r="L5" i="18"/>
  <c r="K5" i="18"/>
  <c r="O5" i="18"/>
  <c r="I5" i="18"/>
  <c r="H5" i="18"/>
  <c r="M5" i="18"/>
  <c r="Q5" i="18"/>
  <c r="G8" i="17"/>
  <c r="I8" i="17"/>
  <c r="K8" i="17"/>
  <c r="H8" i="17"/>
  <c r="Q8" i="17"/>
  <c r="M7" i="17"/>
  <c r="L7" i="17"/>
  <c r="K7" i="17"/>
  <c r="I7" i="17"/>
  <c r="M6" i="17"/>
  <c r="P6" i="17"/>
  <c r="O6" i="17"/>
  <c r="P5" i="17"/>
  <c r="Q5" i="17"/>
  <c r="H7" i="17"/>
  <c r="K6" i="17"/>
  <c r="M5" i="17"/>
  <c r="O5" i="17"/>
  <c r="M9" i="17"/>
  <c r="P8" i="17"/>
  <c r="I10" i="17"/>
  <c r="L9" i="17"/>
  <c r="O8" i="17"/>
  <c r="Q7" i="17"/>
  <c r="G7" i="17"/>
  <c r="I6" i="17"/>
  <c r="L5" i="17"/>
  <c r="Q9" i="17"/>
  <c r="L10" i="17"/>
  <c r="O9" i="17"/>
  <c r="H6" i="17"/>
  <c r="K5" i="17"/>
  <c r="P9" i="17"/>
  <c r="L6" i="17"/>
  <c r="K10" i="17"/>
  <c r="H10" i="17"/>
  <c r="K9" i="17"/>
  <c r="M8" i="17"/>
  <c r="P7" i="17"/>
  <c r="Q10" i="17"/>
  <c r="G10" i="17"/>
  <c r="I9" i="17"/>
  <c r="Q6" i="17"/>
  <c r="I5" i="17"/>
  <c r="H9" i="17"/>
  <c r="H5" i="17"/>
  <c r="O10" i="17"/>
  <c r="P10" i="17"/>
  <c r="H8" i="16"/>
  <c r="K8" i="16"/>
  <c r="G8" i="16"/>
  <c r="I8" i="16"/>
  <c r="Q8" i="16"/>
  <c r="P8" i="16"/>
  <c r="M8" i="16"/>
  <c r="L8" i="16"/>
  <c r="P7" i="16"/>
  <c r="L7" i="16"/>
  <c r="K7" i="16"/>
  <c r="I7" i="16"/>
  <c r="P6" i="16"/>
  <c r="O6" i="16"/>
  <c r="M6" i="16"/>
  <c r="L6" i="16"/>
  <c r="O5" i="16"/>
  <c r="H7" i="16"/>
  <c r="K6" i="16"/>
  <c r="M5" i="16"/>
  <c r="Q7" i="16"/>
  <c r="G7" i="16"/>
  <c r="I6" i="16"/>
  <c r="L5" i="16"/>
  <c r="Q5" i="16"/>
  <c r="H6" i="16"/>
  <c r="K5" i="16"/>
  <c r="O7" i="16"/>
  <c r="Q6" i="16"/>
  <c r="I5" i="16"/>
  <c r="G5" i="16"/>
  <c r="P5" i="16"/>
  <c r="P5" i="15"/>
  <c r="K7" i="15"/>
  <c r="P6" i="15"/>
  <c r="O6" i="15"/>
  <c r="I8" i="15"/>
  <c r="H8" i="15"/>
  <c r="G8" i="15"/>
  <c r="Q8" i="15"/>
  <c r="P7" i="15"/>
  <c r="M6" i="15"/>
  <c r="P8" i="15"/>
  <c r="M7" i="15"/>
  <c r="L6" i="15"/>
  <c r="M8" i="15"/>
  <c r="L7" i="15"/>
  <c r="K8" i="15"/>
  <c r="I7" i="15"/>
  <c r="O5" i="15"/>
  <c r="H7" i="15"/>
  <c r="K6" i="15"/>
  <c r="M5" i="15"/>
  <c r="O8" i="15"/>
  <c r="Q7" i="15"/>
  <c r="G7" i="15"/>
  <c r="I6" i="15"/>
  <c r="L5" i="15"/>
  <c r="H6" i="15"/>
  <c r="K5" i="15"/>
  <c r="Q6" i="15"/>
  <c r="I5" i="15"/>
  <c r="H5" i="15"/>
  <c r="Q5" i="15"/>
  <c r="G8" i="14"/>
  <c r="K7" i="14"/>
  <c r="I7" i="14"/>
  <c r="H7" i="14"/>
  <c r="G7" i="14"/>
  <c r="Q7" i="14"/>
  <c r="P7" i="14"/>
  <c r="P6" i="14"/>
  <c r="M6" i="14"/>
  <c r="L6" i="14"/>
  <c r="K6" i="14"/>
  <c r="I6" i="14"/>
  <c r="P5" i="14"/>
  <c r="O5" i="14"/>
  <c r="M5" i="14"/>
  <c r="L5" i="14"/>
  <c r="O8" i="14"/>
  <c r="M8" i="14"/>
  <c r="H6" i="14"/>
  <c r="K5" i="14"/>
  <c r="L8" i="14"/>
  <c r="O7" i="14"/>
  <c r="Q6" i="14"/>
  <c r="G6" i="14"/>
  <c r="I5" i="14"/>
  <c r="K8" i="14"/>
  <c r="H5" i="14"/>
  <c r="P8" i="14"/>
  <c r="I8" i="14"/>
  <c r="Q5" i="14"/>
  <c r="M7" i="13"/>
  <c r="O6" i="13"/>
  <c r="I6" i="13"/>
  <c r="P6" i="13"/>
  <c r="P7" i="13"/>
  <c r="L7" i="13"/>
  <c r="K7" i="13"/>
  <c r="I7" i="13"/>
  <c r="G7" i="13"/>
  <c r="Q7" i="13"/>
  <c r="P5" i="13"/>
  <c r="O5" i="13"/>
  <c r="L5" i="13"/>
  <c r="H7" i="13"/>
  <c r="K6" i="13"/>
  <c r="M5" i="13"/>
  <c r="H6" i="13"/>
  <c r="K5" i="13"/>
  <c r="Q6" i="13"/>
  <c r="I5" i="13"/>
  <c r="L6" i="11"/>
  <c r="M7" i="11"/>
  <c r="H7" i="11"/>
  <c r="K7" i="11"/>
  <c r="K6" i="11"/>
  <c r="I7" i="11"/>
  <c r="I6" i="11"/>
  <c r="G7" i="11"/>
  <c r="P5" i="11"/>
  <c r="O5" i="11"/>
  <c r="Q7" i="11"/>
  <c r="P6" i="11"/>
  <c r="M5" i="11"/>
  <c r="P7" i="11"/>
  <c r="M6" i="11"/>
  <c r="L5" i="11"/>
  <c r="P8" i="11"/>
  <c r="Q8" i="11"/>
  <c r="G8" i="11"/>
  <c r="M8" i="11"/>
  <c r="H6" i="11"/>
  <c r="K5" i="11"/>
  <c r="L8" i="11"/>
  <c r="O7" i="11"/>
  <c r="Q6" i="11"/>
  <c r="G6" i="11"/>
  <c r="I5" i="11"/>
  <c r="K8" i="11"/>
  <c r="H5" i="11"/>
  <c r="O8" i="11"/>
  <c r="I8" i="11"/>
  <c r="Q5" i="11"/>
  <c r="H7" i="12"/>
  <c r="Q8" i="12"/>
  <c r="P5" i="12"/>
  <c r="M6" i="12"/>
  <c r="K7" i="12"/>
  <c r="H8" i="12"/>
  <c r="G8" i="12"/>
  <c r="G5" i="12"/>
  <c r="O6" i="12"/>
  <c r="L7" i="12"/>
  <c r="I8" i="12"/>
  <c r="P7" i="12"/>
  <c r="P8" i="12"/>
  <c r="M7" i="12"/>
  <c r="K8" i="12"/>
  <c r="I7" i="12"/>
  <c r="O7" i="12"/>
  <c r="L8" i="12"/>
  <c r="G7" i="12"/>
  <c r="Q5" i="8"/>
  <c r="P5" i="8"/>
  <c r="G5" i="8"/>
  <c r="O9" i="8"/>
  <c r="Q8" i="8"/>
  <c r="G8" i="8"/>
  <c r="I7" i="8"/>
  <c r="L6" i="8"/>
  <c r="O5" i="8"/>
  <c r="M9" i="8"/>
  <c r="H7" i="8"/>
  <c r="K6" i="8"/>
  <c r="M5" i="8"/>
  <c r="L9" i="8"/>
  <c r="O8" i="8"/>
  <c r="Q7" i="8"/>
  <c r="G7" i="8"/>
  <c r="I6" i="8"/>
  <c r="L5" i="8"/>
  <c r="K9" i="8"/>
  <c r="H6" i="8"/>
  <c r="K5" i="8"/>
  <c r="I9" i="8"/>
  <c r="Q6" i="8"/>
  <c r="I5" i="8"/>
  <c r="H15" i="9"/>
  <c r="H11" i="9"/>
  <c r="H7" i="9"/>
  <c r="M14" i="9"/>
  <c r="M10" i="9"/>
  <c r="M6" i="9"/>
  <c r="I15" i="9"/>
  <c r="L14" i="9"/>
  <c r="O13" i="9"/>
  <c r="Q12" i="9"/>
  <c r="I11" i="9"/>
  <c r="L10" i="9"/>
  <c r="O9" i="9"/>
  <c r="Q8" i="9"/>
  <c r="I7" i="9"/>
  <c r="L6" i="9"/>
  <c r="M9" i="9"/>
  <c r="P8" i="9"/>
  <c r="Q15" i="9"/>
  <c r="I14" i="9"/>
  <c r="L13" i="9"/>
  <c r="O12" i="9"/>
  <c r="Q11" i="9"/>
  <c r="I10" i="9"/>
  <c r="L9" i="9"/>
  <c r="O8" i="9"/>
  <c r="Q7" i="9"/>
  <c r="I6" i="9"/>
  <c r="H14" i="9"/>
  <c r="M12" i="9"/>
  <c r="P11" i="9"/>
  <c r="H6" i="9"/>
  <c r="P13" i="9"/>
  <c r="M13" i="9"/>
  <c r="H10" i="9"/>
  <c r="M8" i="9"/>
  <c r="P7" i="9"/>
  <c r="O15" i="9"/>
  <c r="Q14" i="9"/>
  <c r="I13" i="9"/>
  <c r="L12" i="9"/>
  <c r="O11" i="9"/>
  <c r="Q10" i="9"/>
  <c r="I9" i="9"/>
  <c r="L8" i="9"/>
  <c r="O7" i="9"/>
  <c r="Q6" i="9"/>
  <c r="P15" i="9"/>
  <c r="M15" i="9"/>
  <c r="P14" i="9"/>
  <c r="H13" i="9"/>
  <c r="M11" i="9"/>
  <c r="P10" i="9"/>
  <c r="P12" i="9"/>
  <c r="H9" i="9"/>
  <c r="M7" i="9"/>
  <c r="P6" i="9"/>
  <c r="Q13" i="9"/>
  <c r="I12" i="9"/>
  <c r="Q9" i="9"/>
  <c r="I8" i="9"/>
  <c r="O24" i="10" l="1"/>
  <c r="Y24" i="10"/>
  <c r="I24" i="10"/>
  <c r="M24" i="10"/>
  <c r="P24" i="10"/>
  <c r="AA24" i="10"/>
  <c r="T24" i="10"/>
  <c r="G24" i="10"/>
  <c r="Q24" i="10"/>
  <c r="AB24" i="10"/>
  <c r="S24" i="10"/>
  <c r="X24" i="10"/>
  <c r="H24" i="10"/>
  <c r="AC24" i="10"/>
  <c r="K24" i="10"/>
  <c r="U24" i="10"/>
  <c r="L24" i="10"/>
  <c r="W24" i="10"/>
  <c r="P21" i="10"/>
  <c r="AA21" i="10"/>
  <c r="Y21" i="10"/>
  <c r="G21" i="10"/>
  <c r="Q21" i="10"/>
  <c r="AB21" i="10"/>
  <c r="K21" i="10"/>
  <c r="U21" i="10"/>
  <c r="H21" i="10"/>
  <c r="S21" i="10"/>
  <c r="AC21" i="10"/>
  <c r="I21" i="10"/>
  <c r="T21" i="10"/>
  <c r="L21" i="10"/>
  <c r="W21" i="10"/>
  <c r="X21" i="10"/>
  <c r="M21" i="10"/>
  <c r="O21" i="10"/>
  <c r="L22" i="10"/>
  <c r="W22" i="10"/>
  <c r="AB22" i="10"/>
  <c r="U22" i="10"/>
  <c r="M22" i="10"/>
  <c r="X22" i="10"/>
  <c r="Q22" i="10"/>
  <c r="O22" i="10"/>
  <c r="Y22" i="10"/>
  <c r="P22" i="10"/>
  <c r="G22" i="10"/>
  <c r="K22" i="10"/>
  <c r="AA22" i="10"/>
  <c r="H22" i="10"/>
  <c r="S22" i="10"/>
  <c r="AC22" i="10"/>
  <c r="T22" i="10"/>
  <c r="I22" i="10"/>
  <c r="K25" i="10"/>
  <c r="U25" i="10"/>
  <c r="P25" i="10"/>
  <c r="S25" i="10"/>
  <c r="L25" i="10"/>
  <c r="W25" i="10"/>
  <c r="AA25" i="10"/>
  <c r="H25" i="10"/>
  <c r="M25" i="10"/>
  <c r="X25" i="10"/>
  <c r="O25" i="10"/>
  <c r="Y25" i="10"/>
  <c r="AC25" i="10"/>
  <c r="G25" i="10"/>
  <c r="Q25" i="10"/>
  <c r="AB25" i="10"/>
  <c r="T25" i="10"/>
  <c r="I25" i="10"/>
  <c r="H23" i="10"/>
  <c r="S23" i="10"/>
  <c r="AC23" i="10"/>
  <c r="I23" i="10"/>
  <c r="T23" i="10"/>
  <c r="M23" i="10"/>
  <c r="Q23" i="10"/>
  <c r="K23" i="10"/>
  <c r="U23" i="10"/>
  <c r="L23" i="10"/>
  <c r="W23" i="10"/>
  <c r="X23" i="10"/>
  <c r="G23" i="10"/>
  <c r="O23" i="10"/>
  <c r="Y23" i="10"/>
  <c r="P23" i="10"/>
  <c r="AA23" i="10"/>
  <c r="AB23" i="10"/>
  <c r="P5" i="9"/>
  <c r="M5" i="9" l="1"/>
  <c r="Q5" i="9"/>
  <c r="O5" i="9"/>
  <c r="I5" i="9"/>
  <c r="L5" i="9"/>
</calcChain>
</file>

<file path=xl/sharedStrings.xml><?xml version="1.0" encoding="utf-8"?>
<sst xmlns="http://schemas.openxmlformats.org/spreadsheetml/2006/main" count="1469" uniqueCount="835">
  <si>
    <t>Posttraumatische Stressstoornis Checklist voor DSM-5</t>
  </si>
  <si>
    <t>Allen</t>
  </si>
  <si>
    <t>Mannen</t>
  </si>
  <si>
    <t>Vrouwen</t>
  </si>
  <si>
    <t>Totaal</t>
  </si>
  <si>
    <t>0-80</t>
  </si>
  <si>
    <t>Cluster B</t>
  </si>
  <si>
    <t>0-20</t>
  </si>
  <si>
    <t>Cluster C</t>
  </si>
  <si>
    <t>0-8</t>
  </si>
  <si>
    <t>Cluster D</t>
  </si>
  <si>
    <t>0-28</t>
  </si>
  <si>
    <t>Cluster E</t>
  </si>
  <si>
    <t>0-24</t>
  </si>
  <si>
    <t>Item:</t>
  </si>
  <si>
    <t>nr:</t>
  </si>
  <si>
    <t>Regelmatig terugkerende, onaangename en ongewenste herinneringen aan de stressvolle gebeurtenis?</t>
  </si>
  <si>
    <t>Regelmatig terugkerende, onaangename dromen over de stressvolle gebeurtenis?</t>
  </si>
  <si>
    <t>Opeens het gevoel hebben of u gedragen alsof de stressvolle gebeurtenis daadwerkelijk opnieuw plaatsvindt (alsof u terug bent in de tijd dat de gebeurtenis zich afspeelde, en het opnieuw beleeft)?</t>
  </si>
  <si>
    <t>Erg van streek raken wanneer iets u aan de stressvolle gebeurtenis herinnert?</t>
  </si>
  <si>
    <t>Een sterke lichamelijke reactie hebben wanneer iets u aan de stressvolle gebeurtenis herinnert (bijvoorbeeld: hartkloppingen, moeite met ademhalen, zweten)?</t>
  </si>
  <si>
    <t>Het vermijden van herinneringen, gedachten of gevoelens die verband houden met de stressvolle gebeurtenis?</t>
  </si>
  <si>
    <t>Het vermijden van dingen die herinneringen zouden kunnen oproepen aan de stressvolle gebeurtenis (bijvoorbeeld: bepaalde mensen, plekken, gespreksonderwerpen, activiteiten, voorwerpen of situaties)?</t>
  </si>
  <si>
    <t>Moeite hebben met het herinneren van belangrijke delen van de stressvolle gebeurtenis?</t>
  </si>
  <si>
    <t>Sterke, negatieve overtuigingen hebben met betrekking tot uzelf, anderen of de wereld (bijvoorbeeld gedachten hebben zoals: ik ben slecht, er is iets vreselijk mis met mij, niemand is te vertrouwen, de wereld is door en door gevaarlijk?</t>
  </si>
  <si>
    <t>De schuld geven aan uzelf of aan anderen voor de stressvolle gebeurtenis of de gevolgen daarvan?</t>
  </si>
  <si>
    <t>Sterke, negatieve gevoelens ervaren zoals angst, afschuw, boosheid, schuld of schaamte?</t>
  </si>
  <si>
    <t>Verminderde interesse hebben in activiteiten die u eerder graag deed?</t>
  </si>
  <si>
    <t>Afstand voelen tussen uzelf en andere mensen, of u vervreemd voelen van andere mensen?</t>
  </si>
  <si>
    <t>Moeite hebben om positieve gevoelens te ervaren (bijvoorbeeld: niet in staat zijn om u gelukkig te voelen of om gevoelens van liefde te hebben voor de mensen die u nabij zijn)?</t>
  </si>
  <si>
    <t>Prikkelbaarheid, woedeaanvallen, of u agressief gedragen?</t>
  </si>
  <si>
    <t>Teveel risico's nemen of dingen doen die u schade zouden kunnen toebrengen?</t>
  </si>
  <si>
    <t>“Superalert”, waakzaam of op uw hoede zijn?</t>
  </si>
  <si>
    <t>U nerveus voelen of snel schrikken?</t>
  </si>
  <si>
    <t>Moeite hebben met concentreren</t>
  </si>
  <si>
    <t>Moeite hebben met inslapen of doorslapen?</t>
  </si>
  <si>
    <t>Score:</t>
  </si>
  <si>
    <t>Schaal:</t>
  </si>
  <si>
    <t>Bereik:</t>
  </si>
  <si>
    <t>Ruwe score:</t>
  </si>
  <si>
    <t>T score:</t>
  </si>
  <si>
    <t>1.</t>
  </si>
  <si>
    <t>2.</t>
  </si>
  <si>
    <t>3.</t>
  </si>
  <si>
    <t>4.</t>
  </si>
  <si>
    <t>5.</t>
  </si>
  <si>
    <t>6.</t>
  </si>
  <si>
    <t>7.</t>
  </si>
  <si>
    <t>8.</t>
  </si>
  <si>
    <t>9.</t>
  </si>
  <si>
    <t>10.</t>
  </si>
  <si>
    <t>11.</t>
  </si>
  <si>
    <t>12.</t>
  </si>
  <si>
    <t>13.</t>
  </si>
  <si>
    <t>14.</t>
  </si>
  <si>
    <t>15.</t>
  </si>
  <si>
    <t>16.</t>
  </si>
  <si>
    <t>17.</t>
  </si>
  <si>
    <t>18.</t>
  </si>
  <si>
    <t>19.</t>
  </si>
  <si>
    <t>20.</t>
  </si>
  <si>
    <t>Bevolk.</t>
  </si>
  <si>
    <t>Klin.</t>
  </si>
  <si>
    <t>PCL-5</t>
  </si>
  <si>
    <t>Sug.:</t>
  </si>
  <si>
    <t>Brief Symptom Inventory</t>
  </si>
  <si>
    <t>BSI</t>
  </si>
  <si>
    <t>PR score:</t>
  </si>
  <si>
    <t>0-4</t>
  </si>
  <si>
    <t>Somatisch</t>
  </si>
  <si>
    <t>Cognitief</t>
  </si>
  <si>
    <t>Interpersoonlijk</t>
  </si>
  <si>
    <t>Depressie</t>
  </si>
  <si>
    <t>Angst</t>
  </si>
  <si>
    <t>Hostiliteit</t>
  </si>
  <si>
    <t>Fobisch</t>
  </si>
  <si>
    <t>Paranoide</t>
  </si>
  <si>
    <t>Psychotisch</t>
  </si>
  <si>
    <t>0-72</t>
  </si>
  <si>
    <t>BSI-18</t>
  </si>
  <si>
    <t>IPO-16-NL</t>
  </si>
  <si>
    <t>Totaal score</t>
  </si>
  <si>
    <t>Ik merk dat ik dingen doe, etc</t>
  </si>
  <si>
    <t>Ik begrijp en weet dingen die niemand anders kan begrijpen of weten.</t>
  </si>
  <si>
    <t>Mijn gedrag komt op anderen over als onvoorspelbaar en grillig.</t>
  </si>
  <si>
    <t>Ik merk dat ik dingen doe, die terwijl ik ze doe in orde lijken,etc</t>
  </si>
  <si>
    <t xml:space="preserve">Het is moeilijk voor mij om mensen te vertrouwen, </t>
  </si>
  <si>
    <t>Als anderen vinden dat ik ben geslaagd</t>
  </si>
  <si>
    <t>Na betrokken te zijn geraakt bij anderen,</t>
  </si>
  <si>
    <t>Men zegt dat ik me tegenstrijdig gedraag.</t>
  </si>
  <si>
    <t>Ik raak verwikkeld in relaties met mensen die ik niet echt mag</t>
  </si>
  <si>
    <t>Alleen zijn is moeilijk voor mij.</t>
  </si>
  <si>
    <t xml:space="preserve">Van bepaalde lichamelijke gevoelens die ik heb </t>
  </si>
  <si>
    <t>Ik kan niet zeggen of ik simpelweg wìl dat iets waar is,</t>
  </si>
  <si>
    <t>Ik ben bang dat mensen die belangrijk voor mij worden</t>
  </si>
  <si>
    <t xml:space="preserve">Ik heb het gevoel dat mijn smaak en mijn opvattingen niet echt </t>
  </si>
  <si>
    <t>Ik weet niet zeker of een stem die ik gehoord heb,</t>
  </si>
  <si>
    <t xml:space="preserve">Ik denk dat ik dingen zie </t>
  </si>
  <si>
    <t>SIPP-118</t>
  </si>
  <si>
    <t>Ik kan heel goed omgaan met teleurstellingen</t>
  </si>
  <si>
    <t>Soms zijn mijn gevoelens zo overweldigend dat ik geen controle over mijn reactie heb</t>
  </si>
  <si>
    <t>Wanneer iemand mij overstuur maakt, heb ik vaak zin diegene iets aan te doen</t>
  </si>
  <si>
    <t>Ik weet precies wie ik ben en wat ik waard ben</t>
  </si>
  <si>
    <t>Wanneer ik iets voel kan ik bijna altijd benoemen wat ik voel</t>
  </si>
  <si>
    <t>Ik vind het moeilijk om mezelf als een waardevol persoon te zien</t>
  </si>
  <si>
    <t>Ik voel me voortdurend onbegrepen door anderen</t>
  </si>
  <si>
    <t>Ik kan mensen gemakkelijk accepteren zoals ze zijn, ook al zijn ze anders</t>
  </si>
  <si>
    <t>Ik ben ervan overtuigd dat het leven de moeite waard is</t>
  </si>
  <si>
    <t>Over het algemeen beleef ik plezier aan mijn activiteiten</t>
  </si>
  <si>
    <t>Ik kan met mensen aan een gezamenlijk project werken ook al klikt het op persoonlijk vlak niet helemaal</t>
  </si>
  <si>
    <t>Ik ontmoet zelden iemand met wie ik mijn gedachten en gevoelens durf te delen</t>
  </si>
  <si>
    <t>Er zijn mensen in mijn leven waar ik me erg mee verbonden voel</t>
  </si>
  <si>
    <t>Ik doe dingen zelfs als ik weet dat ze door sommige mensen als onverantwoordelijk gezien kunnen worden</t>
  </si>
  <si>
    <t>Als ik met mensen heb ingestemd over de gang van zaken, dan houd ik me gewoonlijk aan mijn afspraken</t>
  </si>
  <si>
    <t>Meestal ben ik mijn gevoelens voldoende de baas</t>
  </si>
  <si>
    <t>Soms word ik zo boos dat ik zin heb om mensen om me heen te slaan of te schoppen</t>
  </si>
  <si>
    <t>Meestal begrijp ik waarom ik de dingen doe die ik doe</t>
  </si>
  <si>
    <t>Soms voel ik de behoefte om mezelf opzettelijk te verwonden of te straffen</t>
  </si>
  <si>
    <t>Ik ben ervan overtuigd dat anderen mij niet kunnen leren kennen zoals ik werkelijk ben</t>
  </si>
  <si>
    <t>Ik zie vaak geen reden om door te gaan met leven</t>
  </si>
  <si>
    <t>Ik besteed veel tijd aan dingen die gedaan moeten worden maar waar ik geen plezier aan beleef</t>
  </si>
  <si>
    <t>Ik werk liever alleen, zodat ik mij niet aan anderen hoef aan te passen</t>
  </si>
  <si>
    <t>Ik vind het moeilijk om genegenheid voor anderen te tonen</t>
  </si>
  <si>
    <t>Ik vind het moeilijk om aan iemand gehecht te raken</t>
  </si>
  <si>
    <t>Ik ben iemand die zich niet altijd aan de regels houdt, vooral als ze makkelijk te omzeilen zijn</t>
  </si>
  <si>
    <t>Ik geloof echt dat er altijd een uitweg is als er iets verkeerd gaat</t>
  </si>
  <si>
    <t>Het lukt me meestal om op een gepaste manier mijn gevoelens te uiten, zelfs wanneer ze heftig zijn</t>
  </si>
  <si>
    <t>Ik raak zelden zo geprikkeld dat ik mezelf niet meer in de hand heb</t>
  </si>
  <si>
    <t>Anderen schijnen mijn gedrag soms als agressief te ervaren</t>
  </si>
  <si>
    <t>Ik ben ervan overtuigd dat ik evenveel waard ben als anderen</t>
  </si>
  <si>
    <t>Meestal ben ik in staat mijn dagen zinvol te besteden</t>
  </si>
  <si>
    <t>Ik geniet van intiem contact met andere mensen</t>
  </si>
  <si>
    <t>Ik zie mezelf als een eenling</t>
  </si>
  <si>
    <t>Ik krijg dingen vaak niet voor elkaar omdat ik niet hard genoeg mijn best doe</t>
  </si>
  <si>
    <t>Soms ben ik niet zo betrouwbaar als ik misschien zou moeten zijn</t>
  </si>
  <si>
    <t>Ik heb de neiging om zeer gefrustreerd te raken bij tegenslagen</t>
  </si>
  <si>
    <t>Ik zeg vaak dingen waar ik naderhand spijt van heb</t>
  </si>
  <si>
    <t>Ik verlies soms op zo'n manier de controle over mezelf dat mensen bang van me worden</t>
  </si>
  <si>
    <t>Ik merk dat ik vaak dingen doe die niet bij me passen</t>
  </si>
  <si>
    <t>Uit gesprekken heb ik opgemaakt dat andere mensen mijn problemen behoorlijk goed kunnen begrijpen</t>
  </si>
  <si>
    <t>Ik reageer vaak afkeurend op andermans gedrag of overtuiging</t>
  </si>
  <si>
    <t>Ik probeer van dag tot dag te leven, omdat het stellen van lange-termijn doelen meestal zinloos blijkt</t>
  </si>
  <si>
    <t>Het is moeilijk voor me om echt van dingen te genieten</t>
  </si>
  <si>
    <t>Ik vind het moeilijk om met anderen samen te werken, tenzij ze zich naar mijn manier van werken schikken</t>
  </si>
  <si>
    <t>Zelfs bij goede vrienden laat ik niet veel van mezelf zien</t>
  </si>
  <si>
    <t>Ik heb de neiging om aan nieuwe dingen te beginnen en het dan op te geven</t>
  </si>
  <si>
    <t>Bij frustrerende taken geef ik te snel op</t>
  </si>
  <si>
    <t>Ik heb zulke heftige gevoelens dat ik er snel de controle over verlies</t>
  </si>
  <si>
    <t>Ik doe vaak iets voordat ik erover heb nagedacht</t>
  </si>
  <si>
    <t>Soms word ik zo kwaad dat ik andermans eigendommen beschadig</t>
  </si>
  <si>
    <t>Ik vraag mezelf vaak af wat voor iemand ik eigenlijk ben</t>
  </si>
  <si>
    <t>Ik ben mij vaak niet volledig bewust van mijn diepere gevoelens</t>
  </si>
  <si>
    <t>Kritiek van anderen maakt me erg onzeker over mezelf</t>
  </si>
  <si>
    <t>Ik voel me voortdurend onderschat</t>
  </si>
  <si>
    <t>Ik ervaar vaak problemen in de omgang met mensen die andere waarden dan ik hebben</t>
  </si>
  <si>
    <t>Ik heb vaak het gevoel dat het leven zinloos is</t>
  </si>
  <si>
    <t>Ik voel me beter wanneer ik mijn problemen met vrienden kan delen</t>
  </si>
  <si>
    <t>Ik schijn het verantwoordelijkheidsgevoel te missen dat nodig is om mijn verplichtingen na te komen</t>
  </si>
  <si>
    <t>Ik slaag er vaak niet in dingen te doen die ik moet doen</t>
  </si>
  <si>
    <t>Ik heb de neiging om tegen dingen te slaan of te schoppen, wanneer ik gehinderd word bij het bereiken van mijn doel</t>
  </si>
  <si>
    <t>Anderen hebben me gezegd dat ik meer mijn best moet doen om mijn gevoelens onder controle te houden</t>
  </si>
  <si>
    <t>Vaak kan ik mijn verlangens en behoeften niet weerstaan</t>
  </si>
  <si>
    <t>Anderen hebben opgemerkt dat ik me soms anders gedraag dan dat ik ben</t>
  </si>
  <si>
    <t>Ik heb vaak het gevoel minder waard te zijn dan anderen</t>
  </si>
  <si>
    <t>Ik geloof dat de meeste mensen niet graag met mij omgaan</t>
  </si>
  <si>
    <t>Mijn interesses veranderen voortdurend</t>
  </si>
  <si>
    <t>Soms lijkt het wel of alles in me blokkerend werkt bij het ervaren van plezier</t>
  </si>
  <si>
    <t>Ik vermijd het zoveel mogelijk om met anderen samen te werken</t>
  </si>
  <si>
    <t>Ik vind het moeilijk om me geliefd te voelen door mensen die dichtbij me staan</t>
  </si>
  <si>
    <t>Ik probeer meestal taken die me toebedeeld worden naar behoren uit te voeren</t>
  </si>
  <si>
    <t>Ik slaag er vaak niet in om mijn schulden op tijd af te lossen</t>
  </si>
  <si>
    <t>Wanneer de dingen verkeerd gaan, raak ik vaak ontmoedigd en zou ik het het liefst willen opgeven</t>
  </si>
  <si>
    <t>Ik kan het vaak niet helpen dat ik mijn gevoelens op ongepaste wijze uit</t>
  </si>
  <si>
    <t>Ik lijk vaker dingen te doen waar ik later spijt van krijg dan anderen</t>
  </si>
  <si>
    <t>Ik vind het moeilijk om mijn agressie naar anderen toe de baas te blijven</t>
  </si>
  <si>
    <t>Anderen vinden me wispelturig</t>
  </si>
  <si>
    <t>Ik snap vaak niet waarom ik dingen doe, ook als ik erg mijn best doe om het te begrijpen</t>
  </si>
  <si>
    <t>Ik ben trots op sommige dingen die ik in mijn leven heb bereikt</t>
  </si>
  <si>
    <t>Ik ben absoluut van mening dat iedereen recht heeft op een eigen mening</t>
  </si>
  <si>
    <t>Ik ben ervan overtuigd dat het leven te serieus is om ervan te genieten</t>
  </si>
  <si>
    <t>Ik kan mijn genegenheid voor anderen tonen zonder me al te ongemakkelijk te voelen</t>
  </si>
  <si>
    <t>Ik vind het moeilijk om te genieten van langdurige relaties of vriendschappen</t>
  </si>
  <si>
    <t>Sommige mensen hebben me bekritiseerd vanwege een gebrek aan verantwoordelijkheidsgevoel</t>
  </si>
  <si>
    <t>Wanneer ik heb beloofd om iets te doen, dan zal ik me altijd aan die belofte proberen te houden</t>
  </si>
  <si>
    <t>Ik reageer vaak overdreven op onbelangrijke problemen</t>
  </si>
  <si>
    <t>Soms vind ik het lastig om niet agressief tegen anderen te worden</t>
  </si>
  <si>
    <t>Hoe ik me voel of gedraag is vaak erg onvoorspelbaar</t>
  </si>
  <si>
    <t>Ik verzet me er vaak tegen om over mijn innerlijke drijfveren na te denken</t>
  </si>
  <si>
    <t>Ik denk vaak dat ik het verdien om slecht behandeld te worden</t>
  </si>
  <si>
    <t>Alleen speciale mensen lijken in staat mij te begrijpen</t>
  </si>
  <si>
    <t>Ik vind het moeilijk om mijn genegenheid naar anderen toe te tonen</t>
  </si>
  <si>
    <t>Ik heb geen hobby's waar ik echt plezier aan beleef</t>
  </si>
  <si>
    <t>Andere mensen schijnen het niet leuk te vinden om met mij te werken</t>
  </si>
  <si>
    <t>Een van mijn problemen is dat ik het moeilijk vind om echt te geloven dat anderen van me houden</t>
  </si>
  <si>
    <t>Jammer genoeg ben ik niet zo ijverig als dat ik zou willen zijn</t>
  </si>
  <si>
    <t>Anderen mensen hebben erover geklaagd dat ik niet volledig betrouwbaar ben</t>
  </si>
  <si>
    <t>Onbelangrijke ergernissen kunnen zeer frustrerend voor mij zijn</t>
  </si>
  <si>
    <t>Een van mijn problemen is dat ik niet goed kan omgaan met sterke gevoelens</t>
  </si>
  <si>
    <t>Ik handel vaak in een opwelling ook al weet ik dat ik er later spijt van krijg</t>
  </si>
  <si>
    <t>Sommige mensen vinden mij ongemanierd of beledigend</t>
  </si>
  <si>
    <t>Ik ben vaak in de war over wat voor persoon ik werkelijk ben</t>
  </si>
  <si>
    <t>Wanneer ik mezelf probeer te begrijpen, raak ik vaak nog meer in de war</t>
  </si>
  <si>
    <t>Ik heb over het algemeen een lage dunk van mezelf</t>
  </si>
  <si>
    <t>Ik raak vaak in een woordenstrijd verzeild met mensen thuis of op het werk</t>
  </si>
  <si>
    <t>Ik heb zelden met andere mensen samen gewerkt</t>
  </si>
  <si>
    <t>Ik ben in staat geweest om blijvende vriendschappen aan te gaan</t>
  </si>
  <si>
    <t>Hoewel ik het jammer vind om toe te geven, ben ik niet zo oprecht als ik zou moeten zijn</t>
  </si>
  <si>
    <t>Een van mijn problemen is dat ik geen goed inzicht heb in de betekenis van sommige ervaringen die ik als kind heb gehad</t>
  </si>
  <si>
    <t>Eén van mijn problemen is dat ik geen duidelijke doelen in mijn leven heb</t>
  </si>
  <si>
    <t>Mijn vrienden zijn echt geïnteresseerd in mijn welzijn</t>
  </si>
  <si>
    <t>Ik vind dat de meeste andere mensen niet zulke goede ideeën hebben als ik</t>
  </si>
  <si>
    <t>Ik houd ervan om samen met anderen dingen te creëren</t>
  </si>
  <si>
    <t>Eén van mijn problemen is dat ik mezelf niet makkelijk kan toestaan een leuke tijd te hebben</t>
  </si>
  <si>
    <t>Ik raak op het werk snel geïrriteerd over de manier waarop anderen dingen doen</t>
  </si>
  <si>
    <t>Mijn vrienden of collega's lijken niet erg geïnteresseerd te zijn in mij als persoon</t>
  </si>
  <si>
    <t>Ik vind het lastig om mensen te respecteren met ideeën die verschillen van de mijne</t>
  </si>
  <si>
    <t>Ik raak geïrriteerd zodra er dingen niet gaan zoals ik het wil</t>
  </si>
  <si>
    <t>Emotieregulatie</t>
  </si>
  <si>
    <t>Zelfbeheersing</t>
  </si>
  <si>
    <t>Zelfrespect</t>
  </si>
  <si>
    <t>Stabiel zelfbeeld</t>
  </si>
  <si>
    <t>Zelf-reflexief vermogen</t>
  </si>
  <si>
    <t>Plezier</t>
  </si>
  <si>
    <t>Zingeving</t>
  </si>
  <si>
    <t>Verantwoord presteren</t>
  </si>
  <si>
    <t>Betrouwbaarheid</t>
  </si>
  <si>
    <t>Intimiteit</t>
  </si>
  <si>
    <t>Duurzame relaties</t>
  </si>
  <si>
    <t>Gewaardeerd voelen</t>
  </si>
  <si>
    <t>Agressieregulatie</t>
  </si>
  <si>
    <t>Frustratietolerantie</t>
  </si>
  <si>
    <t>Samenwerking</t>
  </si>
  <si>
    <t>Respect</t>
  </si>
  <si>
    <t>Zelfcontrole</t>
  </si>
  <si>
    <t>Indentiteitsintegratie</t>
  </si>
  <si>
    <t>Verantwoordelijkheid</t>
  </si>
  <si>
    <t>Relationele capaciteiten</t>
  </si>
  <si>
    <t>Sociale concordantie</t>
  </si>
  <si>
    <t>1-4</t>
  </si>
  <si>
    <t>BShapeQ</t>
  </si>
  <si>
    <t>Naam</t>
  </si>
  <si>
    <t>Ingevoerd</t>
  </si>
  <si>
    <t>Item invoer</t>
  </si>
  <si>
    <t>x</t>
  </si>
  <si>
    <t xml:space="preserve"> x</t>
  </si>
  <si>
    <t>SIAS</t>
  </si>
  <si>
    <t>SFS</t>
  </si>
  <si>
    <t>WHODAS</t>
  </si>
  <si>
    <t>BAI</t>
  </si>
  <si>
    <t>BPI</t>
  </si>
  <si>
    <t>DASS-21</t>
  </si>
  <si>
    <t>EDE-Q</t>
  </si>
  <si>
    <t>GAD-7</t>
  </si>
  <si>
    <t>I.ROC</t>
  </si>
  <si>
    <t>LEC-5</t>
  </si>
  <si>
    <t>MANSA</t>
  </si>
  <si>
    <t>MHC-SF</t>
  </si>
  <si>
    <t>OCI-C</t>
  </si>
  <si>
    <t>OPV</t>
  </si>
  <si>
    <t>OQ-45</t>
  </si>
  <si>
    <t>PHQ-9</t>
  </si>
  <si>
    <t>SDQ</t>
  </si>
  <si>
    <t>Y-BOCS</t>
  </si>
  <si>
    <t>PSWQ</t>
  </si>
  <si>
    <t>WDQ</t>
  </si>
  <si>
    <t>IES-r</t>
  </si>
  <si>
    <t>BDI-II</t>
  </si>
  <si>
    <t>IDS-SR</t>
  </si>
  <si>
    <t>MASQ</t>
  </si>
  <si>
    <t>MASQ-30</t>
  </si>
  <si>
    <t>WI</t>
  </si>
  <si>
    <t>1,77-7,08</t>
  </si>
  <si>
    <t>1,47-5,88</t>
  </si>
  <si>
    <t>1,52-6,08</t>
  </si>
  <si>
    <t>1,54-6,40</t>
  </si>
  <si>
    <t>1,86-7,92</t>
  </si>
  <si>
    <t>Depressie Angst Stress Schalen 21</t>
  </si>
  <si>
    <t>0-168</t>
  </si>
  <si>
    <t>0-56</t>
  </si>
  <si>
    <t>Ik vond het moeilijk mezelf te kalmeren</t>
  </si>
  <si>
    <t>Ik merkte dat mijn mond droog aanvoelde</t>
  </si>
  <si>
    <t>Ik was niet in staat om ook maar enig positief gevoel te ervaren</t>
  </si>
  <si>
    <t>Ik had moeite met ademhalen (bijvoorbeeld overmatig snel ademen, buiten adem zijn zonder me in te spannen)</t>
  </si>
  <si>
    <t>Ik vond het moeilijk om het initiatief te nemen om iets te gaan doen</t>
  </si>
  <si>
    <t>Ik had de neiging om overdreven te reageren op situaties</t>
  </si>
  <si>
    <t>Ik merkte dat ik beefde (bijv. met de handen)</t>
  </si>
  <si>
    <t>Ik was erg opgefokt</t>
  </si>
  <si>
    <t>Ik maakte me zorgen over situaties waarin ik in paniek zou raken en mezelf belachelijk zou maken</t>
  </si>
  <si>
    <t>Ik had het gevoel dat ik niets had om naar uit te kijken</t>
  </si>
  <si>
    <t>Ik merkte dat ik erg onrustig was</t>
  </si>
  <si>
    <t>Ik vond het moeilijk me te ontspannen</t>
  </si>
  <si>
    <t>Ik voelde me somber en zwaarmoedig</t>
  </si>
  <si>
    <t>Ik had volstrekt geen geduld met dingen die me hinderden bij iets dat ik wilde doen</t>
  </si>
  <si>
    <t>Ik had het gevoel dat ik bijna in paniek raakte</t>
  </si>
  <si>
    <t>Ik was niet in staat om over ook maar iets enthousiast te worden</t>
  </si>
  <si>
    <t>Ik had het gevoel dat ik als persoon niet veel voorstel</t>
  </si>
  <si>
    <t>Ik merkte dat ik nogal licht geraakt was</t>
  </si>
  <si>
    <t>Ik was me bewust van mijn hartslag terwijl ik me niet fysiek inspande (bijv. het gevoel van een versnelde hartslag of het overslaan van het hart)</t>
  </si>
  <si>
    <t>Ik was angstig zonder enige reden</t>
  </si>
  <si>
    <t>Ik had het gevoel dat mijn leven geen zin had</t>
  </si>
  <si>
    <t xml:space="preserve">Originele versie: Verheul, R., Andrea, H., Berghout, C. C., Dolan, C., Busschbach, J. J. V., van der Kroft, P. J. A., Bateman, A. W., &amp; Fonagy, P. (2008). Severity Indices of Personality Problems (SIPP-118): Development, factor structure, reliability, and validity. Psychological assessment, 20(1), 23-34. https://doi.org/10.1037/1040-3590.20.1.23 
Data van de algemene bevolking: Verheul et al. (2008).
Klinische data: NPI, Arkin-GGZ
</t>
  </si>
  <si>
    <t>Nederlandse vertaling: de Beurs, E., Van Dyck, R., Marquenie, L. A., Lange, A., &amp; Blonk, R. W. B. (2001). De DASS: een vragenlijst voor het meten van depressie, angst en stress. Gedragstherapie, 34(1), 35-54.
Originele versie: Lovibond, P. F., &amp; Lovibond, S. H. (1995). The structure of negative emotional states: Comparison of the Depression Anxiety Stress Scales (DASS) with the Beck Depression and Anxiety Inventories. Behaviour Research and Therapy, 33, 335-342. (In File) 
Data van de algemene bevolking: Wardenaar, K. J., Wanders, R. B. K., Jeronimus, B. F., &amp; de Jonge, P. (2018, 2018/06/01). The psychometric properties of an internet-administered version of the Depression Anxiety and Stress Scales (DASS) in a sample of Dutch adults. Journal of Psychopathology and Behavioral Assessment, 40(2), 318-333. https://doi.org/10.1007/s10862-017-9626-6
Klinische data: Arkin-GGZ</t>
  </si>
  <si>
    <t>Ik merkte dat ik overstuur raakte van onbelangrijke zaken</t>
  </si>
  <si>
    <t>Ik had moeite met ademhalen (bijv. overmatig snel ademen, buiten adem zijn zonder me in te spannen)</t>
  </si>
  <si>
    <t>Ik kon maar niet op gang komen</t>
  </si>
  <si>
    <t>Ik voelde me beverig (bijv. onvast ter been zijn)</t>
  </si>
  <si>
    <t>Er waren situaties die me zo angstig maakten dat ik erg opgelucht was wanneer het ophield</t>
  </si>
  <si>
    <t>Ik merkte dat ik gemakkelijk overstuur raakte</t>
  </si>
  <si>
    <t>Ik voelde me verdrietig en depressief</t>
  </si>
  <si>
    <t>Ik merkte dat ik erg ongeduldig werd van oponthoud (bijv. wachten op een lift, stoplichten, file)</t>
  </si>
  <si>
    <t>Ik had het gevoel flauw te gaan vallen</t>
  </si>
  <si>
    <t>Ik had mijn interesse in zo'n beetje alles verloren</t>
  </si>
  <si>
    <t>Ik transpireerde merkbaar (bijv. zweethanden) terwijl het niet warm was en ik me niet inspande</t>
  </si>
  <si>
    <t>Ik had het gevoel dat mijn leven niet de moeite waard is</t>
  </si>
  <si>
    <t>Ik vond het moeilijk op verhaal te komen</t>
  </si>
  <si>
    <t>Ik had moeite met slikken</t>
  </si>
  <si>
    <t>Ik was niet in staat om enig plezier te hebben bij wat ik deed</t>
  </si>
  <si>
    <t>Ik merkte dat ik erg snel prikkelbaar was</t>
  </si>
  <si>
    <t>Ik vond het moeilijk tot rust te komen nadat iets me overstuur had gemaakt</t>
  </si>
  <si>
    <t>Ik was bang dat ik van mijn stuk zou raken bij een eenvoudige nieuwe bezigheid of taak</t>
  </si>
  <si>
    <t>Ik vond het moeilijk om te dulden dat ik gestoord werd bij wat ik aan het doen was</t>
  </si>
  <si>
    <t>Ik was erg nerveus</t>
  </si>
  <si>
    <t>Ik had het gevoel niets waard te zijn</t>
  </si>
  <si>
    <t>Ik voelde me ontzettend angstig</t>
  </si>
  <si>
    <t>Ik kon niets in de toekomst zien om me op te verheugen</t>
  </si>
  <si>
    <t>Sociale Interactie Angst Schaal</t>
  </si>
  <si>
    <t>Volgen</t>
  </si>
  <si>
    <t>Initiëren</t>
  </si>
  <si>
    <t>Ik word nerveus als ik moet praten met iemand die hoger is in rang (leraar, baas)</t>
  </si>
  <si>
    <t>Ik vind het moeilijk om andere mensen aan te kijken</t>
  </si>
  <si>
    <t>Ik word gespannen als ik over mezelf of over mijn eigen gevoelens moet praten</t>
  </si>
  <si>
    <t>Ik vind het moeilijk om ontspannen met collega's om te gaan</t>
  </si>
  <si>
    <t>Ik vind het makkelijk om vrienden van mijn eigen leeftijd te maken</t>
  </si>
  <si>
    <t>Ik raak gespannen als ik een kennis op straat tegenkom</t>
  </si>
  <si>
    <t>Als ik me onder andere mensen begeef, voel ik me ongemakkelijk</t>
  </si>
  <si>
    <t>Ik voel me gespannen als ik met één andere persoon alleen ben</t>
  </si>
  <si>
    <t>Ik voel me op mijn gemak als ik mensen ontmoet tijdens feestjes e.d.</t>
  </si>
  <si>
    <t>Ik vind het moeilijk om met andere mensen te praten</t>
  </si>
  <si>
    <t>Ik vind het makkelijk om gespreksonderwerpen te vinden</t>
  </si>
  <si>
    <t>Ik aarzel iets tot uiting te bren-gen, omdat ik bang ben een onhandige indruk te maken</t>
  </si>
  <si>
    <t>Ik vind het moeilijk om het met iemand oneens te zijn</t>
  </si>
  <si>
    <t>Ik vind het moeilijk om te praten met iemand die ik aantrekkelijk vind</t>
  </si>
  <si>
    <t>Ik maak me zorgen dat ik niet weet wat ik moet zeggen in sociale situaties</t>
  </si>
  <si>
    <t>Ik ben gespannen als ik moet omgaan met mensen die ik niet goed ken</t>
  </si>
  <si>
    <t>Ik denk dat ik iets doms zal zeggen als ik praat</t>
  </si>
  <si>
    <t>Als ik me in een groep meng, maak ik me zorgen dat niemand me zal opmerken</t>
  </si>
  <si>
    <t>Ik ben gespannen als ik me in een groep moet mengen</t>
  </si>
  <si>
    <t>Ik weet niet goed of ik iemand die ik maar oppervlakkig ken, moet groeten</t>
  </si>
  <si>
    <t>Ik word angstig als ik iets moet schrijven terwijl andere mensen toekijken</t>
  </si>
  <si>
    <t>Ik voel me slecht op m'n gemak als ik een openbaar toilet gebruik</t>
  </si>
  <si>
    <t>Ik kan me plotseling bewust worden van mijn eigen stem als anderen naar me luisteren</t>
  </si>
  <si>
    <t>Ik ben bang dat andere mensen naar me kijken als ik op straat loop</t>
  </si>
  <si>
    <t>Ik ben bang dat ik ga blozen als ik bij anderen ben</t>
  </si>
  <si>
    <t>Ik voel me slecht op m'n gemak als ik ergens binnenkom waar alle anderen al hebben plaats-genomen</t>
  </si>
  <si>
    <t>Ik maak me zorgen dat ik ga trillen of beven als ik door andere mensen word bekeken</t>
  </si>
  <si>
    <t>Ik zou gespannen worden als ik tegenover andere mensen moest zitten in een bus of trein</t>
  </si>
  <si>
    <t>Ik raak heel gespannen bij de gedachte dat anderen zouden kunnen zien dat ik flauwval of niet goed word</t>
  </si>
  <si>
    <t>Ik zou het moeilijk vinden om iets te drinken in een groep mensen</t>
  </si>
  <si>
    <t>Ik zou me slecht op mijn gemak voelen als ik met een onbe-kende aan één tafel zou eten in een kantine of restaurant</t>
  </si>
  <si>
    <t>Ik maak me zorgen dat andere mensen mijn gedrag vreemd zullen vinden</t>
  </si>
  <si>
    <t>Ik zou gespannen worden als ik een dienblad door een druk cafe moest dragen</t>
  </si>
  <si>
    <t>Ik ben bang dat ik de controle over mezelf zal verliezen voor het oog van andere mensen</t>
  </si>
  <si>
    <t>Ik maak me zorgen dat ik iets zal doen waarmee ik de aan-dacht van andere mensen trek</t>
  </si>
  <si>
    <t>In een lift ben ik gespannen als andere mensen naar me kijken</t>
  </si>
  <si>
    <t>Ik heb het gevoel dat alle aandacht op me is gericht als ik in een rij sta</t>
  </si>
  <si>
    <t>Ik word gespannen als ik iets voor een groep moet zeggen</t>
  </si>
  <si>
    <t>Ik maak me zorgen dat mijn hoofd zal schudden of knikken voor het oog van andere mensen</t>
  </si>
  <si>
    <t>Ik voel me onhandig en gespannen als ik weet dat mensen op me letten</t>
  </si>
  <si>
    <t>Sociale Fobie Schaal</t>
  </si>
  <si>
    <t>Gezien worden</t>
  </si>
  <si>
    <t>Volle aandacht</t>
  </si>
  <si>
    <t>0-32</t>
  </si>
  <si>
    <t>Andere merken</t>
  </si>
  <si>
    <t>0-52</t>
  </si>
  <si>
    <t>Nederlandse vertaling: de Beurs, E., Tielen, D., &amp; Wollmann, L. (2014). The Dutch social interaction anxiety scale and the social phobia scale: reliability, validity, and clinical utility. Psychiatry Journal, 1(1), 1-9. https://doi.org/10.1155/2014/360193 
Originele versie: Mattick, R. P., &amp; Clarke, J. C. (1998). Development and validation of measures of social phobia scrutiny fear and social interaction anxiety. Behaviour Research and Therapy, 36, 455-470. 
Data van de algemene bevolking: Schulte-van Maaren, Y. W., Giltay, E. J., van Hemert, A. M., Zitman, F. G., de Waal, M. W., &amp; Carlier, I. V. (2013). Reference values for anxiety questionnaires: the Leiden routine outcome monitoring study. Journal of affective disorders, 150(3), 1008-1018. https://doi.org/10.1016/j.jad.2013.05.031 
Klinische data: Corom, GGZ Rivierduinen, Leiden</t>
  </si>
  <si>
    <t>POL</t>
  </si>
  <si>
    <t>Stress</t>
  </si>
  <si>
    <t>Beck Depression Inventory</t>
  </si>
  <si>
    <t>0-63</t>
  </si>
  <si>
    <t>0-21</t>
  </si>
  <si>
    <t>0-27</t>
  </si>
  <si>
    <t>Affectief</t>
  </si>
  <si>
    <t>0-15</t>
  </si>
  <si>
    <t>Je verdrietig voelen</t>
  </si>
  <si>
    <t>Moedeloos over de toekomst</t>
  </si>
  <si>
    <t>Je een misluking voelen</t>
  </si>
  <si>
    <t>Minder plezier voelen dan vroeger</t>
  </si>
  <si>
    <t>Straf verwachten</t>
  </si>
  <si>
    <t>Schuldig</t>
  </si>
  <si>
    <t>Teleurgesteld in jezelf</t>
  </si>
  <si>
    <t>Zelfkritiek</t>
  </si>
  <si>
    <t>Suicidale gedachten</t>
  </si>
  <si>
    <t>Huilen</t>
  </si>
  <si>
    <t>Je ergeren aan anderen</t>
  </si>
  <si>
    <t>Geen belangstelling in anderen</t>
  </si>
  <si>
    <t>Besluiteloos</t>
  </si>
  <si>
    <t>Je onaantrekkelijk voelen</t>
  </si>
  <si>
    <t>Je tot weinig in staat voelen</t>
  </si>
  <si>
    <t>Slecht slapen</t>
  </si>
  <si>
    <t>Sneller moe</t>
  </si>
  <si>
    <t>Minder eetlust</t>
  </si>
  <si>
    <t>Afgenomen seksuele belangstelling</t>
  </si>
  <si>
    <t>Zorgen over de gezondheid</t>
  </si>
  <si>
    <t>Gewichtsverlies</t>
  </si>
  <si>
    <t>4DKL</t>
  </si>
  <si>
    <t xml:space="preserve">duizeligheid of een licht gevoel in het hoofd?    </t>
  </si>
  <si>
    <t xml:space="preserve">pijnlijke spieren?    </t>
  </si>
  <si>
    <t xml:space="preserve">flauw vallen?    </t>
  </si>
  <si>
    <t xml:space="preserve">pijn in de nek?    </t>
  </si>
  <si>
    <t xml:space="preserve">pijn in de rug?    </t>
  </si>
  <si>
    <t xml:space="preserve">overmatige transpiratie?    </t>
  </si>
  <si>
    <t xml:space="preserve">hartkloppingen?    </t>
  </si>
  <si>
    <t xml:space="preserve">hoofdpijn?    </t>
  </si>
  <si>
    <t xml:space="preserve">een opgeblazen gevoel in de buik?    </t>
  </si>
  <si>
    <t xml:space="preserve">wazig zien of vlekken voor de ogen zien?    </t>
  </si>
  <si>
    <t xml:space="preserve">benauwdheid?    </t>
  </si>
  <si>
    <t xml:space="preserve">misselijkheid of een maag die ‘van streek’ is?    </t>
  </si>
  <si>
    <t xml:space="preserve">pijn in de buik of maagstreek?    </t>
  </si>
  <si>
    <t xml:space="preserve">tintelingen in de vingers?    </t>
  </si>
  <si>
    <t>een drukkend of beklemmend gevoel op de borst?</t>
  </si>
  <si>
    <t xml:space="preserve">pijn in de borst?    </t>
  </si>
  <si>
    <t xml:space="preserve">neerslachtigheid?    </t>
  </si>
  <si>
    <t xml:space="preserve">zomaar plotseling schrikken?    </t>
  </si>
  <si>
    <t xml:space="preserve">piekeren?    </t>
  </si>
  <si>
    <t xml:space="preserve">onrustig slapen?    </t>
  </si>
  <si>
    <t xml:space="preserve">onbestemde angst-gevoelens?    </t>
  </si>
  <si>
    <t xml:space="preserve">lusteloosheid?    </t>
  </si>
  <si>
    <t xml:space="preserve">beven in gezelschap van andere mensen?    </t>
  </si>
  <si>
    <t xml:space="preserve">angstof paniek-aanvallen?    </t>
  </si>
  <si>
    <t xml:space="preserve">gespannen?    </t>
  </si>
  <si>
    <t xml:space="preserve">snel geïrriteerd?    </t>
  </si>
  <si>
    <t xml:space="preserve">angstig?    </t>
  </si>
  <si>
    <t xml:space="preserve">dat alles zinloos is?    </t>
  </si>
  <si>
    <t xml:space="preserve">dat u tot niets meer kunt komen?    </t>
  </si>
  <si>
    <t xml:space="preserve">dat het leven niet de moeite waard is?    </t>
  </si>
  <si>
    <t xml:space="preserve">dat u geen belangstelling meer kunt opbrengen voor de mensen en dingen om u heen?    </t>
  </si>
  <si>
    <t xml:space="preserve">dat u ’t niet meer aankunt?    </t>
  </si>
  <si>
    <t xml:space="preserve">dat het beter zou zijn als u maar dood was?    </t>
  </si>
  <si>
    <t xml:space="preserve">dat u nergens meer plezier in kunt hebben?    </t>
  </si>
  <si>
    <t xml:space="preserve">dat er geen uitweg is uit uw situatie?    </t>
  </si>
  <si>
    <t xml:space="preserve">dat u er niet meer tegenop kunt?    </t>
  </si>
  <si>
    <t xml:space="preserve">dat u nergens meer zin in hebt?    </t>
  </si>
  <si>
    <t xml:space="preserve">moeite met helder denken?    </t>
  </si>
  <si>
    <t xml:space="preserve">moeite om in slaap te komen?    </t>
  </si>
  <si>
    <t xml:space="preserve">angst om alleen het huis uit te gaan?    </t>
  </si>
  <si>
    <t xml:space="preserve">snel emotioneel?    </t>
  </si>
  <si>
    <t>angstig voor iets waarvoor u helemaal niet bang zou hoeven te zijn? (bijvoorbeeld dieren, hoogten, kleine ruimten)</t>
  </si>
  <si>
    <t xml:space="preserve">bang om te reizen in bussen, treinen of trams?    </t>
  </si>
  <si>
    <t xml:space="preserve">bang om in verlegenheid te raken in gezelschap van andere mensen?    </t>
  </si>
  <si>
    <t xml:space="preserve">Hebt u de afgelopen week weleens een gevoel of u door een onbekend gevaar bedreigd wordt?    </t>
  </si>
  <si>
    <t xml:space="preserve">Denkt u de afgelopen week weleens “was ik maar dood”?    </t>
  </si>
  <si>
    <t xml:space="preserve">Schieten u de afgelopen week weleens beelden in gedachten over (een) aangrijpende gebeurtenis(sen) die u hebt meegemaakt?    </t>
  </si>
  <si>
    <t xml:space="preserve">Moet u de afgelopen week weleens uw best doen om gedachten of herinneringen aan (een) aangrijpende gebeurtenis(sen) van u af te zetten?    </t>
  </si>
  <si>
    <t xml:space="preserve">Moet u de afgelopen week bepaalde plaatsen vermijden omdat u er angstig van wordt?    </t>
  </si>
  <si>
    <t>Moet u de afgelopen week sommige handelingen een aantal keren herhalen voordat u iets anders kunt gaan doen?</t>
  </si>
  <si>
    <t>Distress</t>
  </si>
  <si>
    <t>0-12</t>
  </si>
  <si>
    <t>Vier Dimensionele Klachtenlijst</t>
  </si>
  <si>
    <t>Anticipatie</t>
  </si>
  <si>
    <t>0-100</t>
  </si>
  <si>
    <t>Consequenties</t>
  </si>
  <si>
    <t>Sociaal</t>
  </si>
  <si>
    <t>Controleverlies</t>
  </si>
  <si>
    <t>Coping</t>
  </si>
  <si>
    <t>Winkelen in een groot druk bezocht warenhuis</t>
  </si>
  <si>
    <t>Een auto besturen 15 kilometer lang op een snelweg met druk verkeer</t>
  </si>
  <si>
    <t>Reizen met trein of bus</t>
  </si>
  <si>
    <t>In het midden van de rij zitten in een bioscoop of in een kerk</t>
  </si>
  <si>
    <t>Wachten in een lange rij in een bank of postkantoor</t>
  </si>
  <si>
    <t>Meerdere koppen sterke koffie drinken</t>
  </si>
  <si>
    <t>In een beweeglijke kermisattractie zitten</t>
  </si>
  <si>
    <t>Alcohol drinken totdat je er aangeschoten van raakt</t>
  </si>
  <si>
    <t>In een sauna of stoombad gaan</t>
  </si>
  <si>
    <t>Lichamelijke oefeningen doen totdat je er buiten adem van raakt</t>
  </si>
  <si>
    <t>Als uw partner u verlaat voor iemand anders</t>
  </si>
  <si>
    <t>Als een nabij familielid of vriend overlijdt</t>
  </si>
  <si>
    <t>Een forse ruzie hebben met uw partner of met een familielid</t>
  </si>
  <si>
    <t>Uw baan verliezen of falen in uw studie</t>
  </si>
  <si>
    <t>Een voordracht houden voor een groep</t>
  </si>
  <si>
    <t>Ik word gek</t>
  </si>
  <si>
    <t>Mensen staren me aan</t>
  </si>
  <si>
    <t xml:space="preserve">Ik word volkomen hysterisch </t>
  </si>
  <si>
    <t>Ik ga een hartaanval krijgen</t>
  </si>
  <si>
    <t>Ik ga flauwvallen</t>
  </si>
  <si>
    <t>Ik ga schreeuwen</t>
  </si>
  <si>
    <t>Ik ga de controle over wat ik zie of hoor of voel verliezen</t>
  </si>
  <si>
    <t>Ik ga een beroerte krijgen</t>
  </si>
  <si>
    <t>Mensen gaan me uitlachen</t>
  </si>
  <si>
    <t>Ik ga stikken</t>
  </si>
  <si>
    <t>Ik breng mijn familie of vrienden in verlegenheid</t>
  </si>
  <si>
    <t>Ik ga dood</t>
  </si>
  <si>
    <t>Ik ga een scène maken wat iedereen ziet</t>
  </si>
  <si>
    <t>Mensen vinden me heel raar</t>
  </si>
  <si>
    <t>Voorkomen dat u een paniekaanval krijgt in een moeilijke situatie.</t>
  </si>
  <si>
    <t>Een paniekaanval stoppen terwijl je er middenin zit</t>
  </si>
  <si>
    <t>Een paniekaanval krijgen en toch in de situatie blijven</t>
  </si>
  <si>
    <t>Een paniekaanval ondergaan en het niet erger maken met denken aan lichamelijke,  sociale of geestelijke catastrophes</t>
  </si>
  <si>
    <t>Controle houden over je doen en laten tijdens een paniekaanval</t>
  </si>
  <si>
    <t>7Controle bewaren over je ademhaling tijdens een paniekaanval</t>
  </si>
  <si>
    <t>Een paniekaanval krijgen terwijl je met een onbekende bent, zonder een scène te  maken</t>
  </si>
  <si>
    <t>Een paniekaanval krijgen terwijl je met familie of vrienden bent, zonder een scène te maken</t>
  </si>
  <si>
    <t>Je zelf ervan overtuigen dat een paniekaanval ongevaarlijk is</t>
  </si>
  <si>
    <t>Hartkloppingen of versnelde hartslag hebben zonder in paniek te raken</t>
  </si>
  <si>
    <t>Duizelig of licht in het hoofd zijn zonder in paniek te raken</t>
  </si>
  <si>
    <t>Gevoelens van onwerkelijkheid hebben zonder in paniek te raken</t>
  </si>
  <si>
    <t>Buiten adem zijn zonder in paniek te raken</t>
  </si>
  <si>
    <t>Paniek onder controle houden zonder medicatie in te nemen</t>
  </si>
  <si>
    <t>Ik ga iets onbeheersd doen, bijvoorbeeld uit een raam springen</t>
  </si>
  <si>
    <t>Een paniekaanval krijgen en de volgende dag terugkeren naar de plaats waar de aanval optrad</t>
  </si>
  <si>
    <t>Paniek Opinie Lijst</t>
  </si>
  <si>
    <t>Kunt u vertellen hoe u op dit moment uw leven als geheel ervaart?</t>
  </si>
  <si>
    <t>Hoe tevreden bent u met uw betaalde baan? of met het feit dat u geen betaalde baan heeft of gepensioneerd bent?</t>
  </si>
  <si>
    <t>Hoe tevreden bent u met hoe goed u bij kas zit?</t>
  </si>
  <si>
    <t>Heeft u iemand die u een goede vriend of vriendin zou noemen?</t>
  </si>
  <si>
    <t>Heeft u de afgelopen week een vriend of vriendin ontmoet (op bezoek</t>
  </si>
  <si>
    <t>Hoe tevreden bent u met het aantal en de kwaliteit van uw vriendschappen?</t>
  </si>
  <si>
    <t>Hoe tevreden bent u met de dingen die u in uw vrije tijd doet?</t>
  </si>
  <si>
    <t>Hoe tevreden bent u met de woonomstandigheden?</t>
  </si>
  <si>
    <t>Bent u het afgelopen jaar beschuldigd van een misdrijf?</t>
  </si>
  <si>
    <t>Bent u het afgelopen jaar slachtoffer geweest van lichamelijk geweld?</t>
  </si>
  <si>
    <t>Hoe tevreden bent u met uw persoonlijke veiligheid?</t>
  </si>
  <si>
    <t>Hoe tevreden bent u met de mensen met wie u samenleeft of men het feit dat u alleen woont?</t>
  </si>
  <si>
    <t>Hoe tevreden bent u met uw seksuele leven?</t>
  </si>
  <si>
    <t>Hoe tevreden bent u met uw relatie met uw familie?</t>
  </si>
  <si>
    <t>Hoe tevreden bent u met uw lichamelijke gezondheid?</t>
  </si>
  <si>
    <t>Hoe tevreden bent u met uw psychische gezondheid?</t>
  </si>
  <si>
    <t>12-84</t>
  </si>
  <si>
    <t>ACQ</t>
  </si>
  <si>
    <t>Herbelevingen</t>
  </si>
  <si>
    <t>Vermijding</t>
  </si>
  <si>
    <t>Negatieve gedachten en gevoelens</t>
  </si>
  <si>
    <t>Verhoogde prikkelbaarheid</t>
  </si>
  <si>
    <t>0-16</t>
  </si>
  <si>
    <t>Beknopte PTSD Inventaris</t>
  </si>
  <si>
    <t>Outcome Questionnaire</t>
  </si>
  <si>
    <t>0-160</t>
  </si>
  <si>
    <t>0-44</t>
  </si>
  <si>
    <t>0-36</t>
  </si>
  <si>
    <t>Symptoom distress</t>
  </si>
  <si>
    <t>Interpersoonlijke relaties</t>
  </si>
  <si>
    <t>Ik kan goed met anderen overweg.</t>
  </si>
  <si>
    <t>Ik word gauw moe.</t>
  </si>
  <si>
    <t>Ik kan nergens belangstelling voor opbrengen.</t>
  </si>
  <si>
    <t>Ik sta onder stress op het werk/op school.</t>
  </si>
  <si>
    <t>Ik geef mezelf overal de schuld van.</t>
  </si>
  <si>
    <t>Ik ben snel geïrriteerd of boos.</t>
  </si>
  <si>
    <t>Ik ben ongelukkig in mijn huwelijk/relatie.</t>
  </si>
  <si>
    <t>Ik denk erover om een einde aan mijn leven te maken.</t>
  </si>
  <si>
    <t>Ik voel me zwak.</t>
  </si>
  <si>
    <t>Ik ben angstig.</t>
  </si>
  <si>
    <t>Na zwaar gedronken te hebben, moet ik de volgende morgen weer drinken om op gang te komen. (Als u niet drinkt, "Nooit" aankruisen.)</t>
  </si>
  <si>
    <t>Ik vind bevrediging in mijn school/werk.</t>
  </si>
  <si>
    <t>Ik ben een tevreden mens.</t>
  </si>
  <si>
    <t>Ik werk/studeer te veel.</t>
  </si>
  <si>
    <t>Ik heb het gevoel dat ik waardeloos ben.</t>
  </si>
  <si>
    <t>Ik maak me zorgen over problemen in mijn familie.</t>
  </si>
  <si>
    <t>Ik ben ontevreden over mijn seksleven</t>
  </si>
  <si>
    <t>Ik voel me eenzaam.</t>
  </si>
  <si>
    <t>Ik heb vaak ruzie.</t>
  </si>
  <si>
    <t>Ik voel me bemind en welkom.</t>
  </si>
  <si>
    <t>Ik geniet van mijn vrije tijd.</t>
  </si>
  <si>
    <t>Ik vind het moeilijk om me te concentreren.</t>
  </si>
  <si>
    <t>Ik voel me hopeloos over de toekomst.</t>
  </si>
  <si>
    <t>Ik waardeer mezelf.</t>
  </si>
  <si>
    <t>Er komen verontrustende gedachten in mij op die ik niet kwijt kan raken.</t>
  </si>
  <si>
    <t>Het ergert me wanneer anderen zich bemoeien met hoeveel ik drink (of drugsgebruik). (Als u nooit alcohol of drugs gebruikt, "Nooit" aankruisen.).</t>
  </si>
  <si>
    <t>Ik heb last van mijn maag.</t>
  </si>
  <si>
    <t>Ik werk/studeer niet zo goed als vroeger.</t>
  </si>
  <si>
    <t>Mijn hart bonst te veel.</t>
  </si>
  <si>
    <t>Ik vind het moeilijk om met vrienden en goede kennissen om te gaan.</t>
  </si>
  <si>
    <t>Ik ben tevreden met mijn leven.</t>
  </si>
  <si>
    <t>Ik heb moeilijkheden op het werk/op school door mijn drinken of drugsgebruik. (Indien niet van toepassing, "Nooit" aankruisen.).</t>
  </si>
  <si>
    <t>Ik heb het gevoel dat er iets ergs gaat gebeuren.</t>
  </si>
  <si>
    <t>Ik heb spierpijn.</t>
  </si>
  <si>
    <t>Ik ben bang voor open ruimten, autorijden, of in de bus, trein enz. rijden.</t>
  </si>
  <si>
    <t>Ik ben nerveus.</t>
  </si>
  <si>
    <t>Ik vind dat de relaties met mijn naaste familieleden (partner, kinderen, ouders) goed zijn.</t>
  </si>
  <si>
    <t>Het gaat goed met mij op mijn werk/opleiding.</t>
  </si>
  <si>
    <t>Ik heb conflicten op mijn werk/ opleiding.</t>
  </si>
  <si>
    <t>Ik heb het gevoel dat er iets mis is met mijn verstand/geest.</t>
  </si>
  <si>
    <t>Ik kan moeilijk in slaap vallen of doorslapen.</t>
  </si>
  <si>
    <t>Ik voel me neerslachtig.</t>
  </si>
  <si>
    <t>Ik ben tevreden met mijn relaties met anderen.</t>
  </si>
  <si>
    <t>Ik ben zo kwaad op het werk/op school dat ik iets kan doen waarvan ik spijt zou kunnen krijgen.</t>
  </si>
  <si>
    <t>Ik heb hoofdpijn.</t>
  </si>
  <si>
    <t>16-80</t>
  </si>
  <si>
    <t>Identiteitsdiffusie</t>
  </si>
  <si>
    <t>Realiteitstoetsing</t>
  </si>
  <si>
    <t>IPO-83-NL</t>
  </si>
  <si>
    <t>21-105</t>
  </si>
  <si>
    <t>20-100</t>
  </si>
  <si>
    <t>Agressie</t>
  </si>
  <si>
    <t>18-90</t>
  </si>
  <si>
    <t>Morele waarden</t>
  </si>
  <si>
    <t>IPO-16 somscore</t>
  </si>
  <si>
    <t>Ik besef dat ik bepaalde dingen die ik weet over de wereld niet kan vertellen, omdat anderen zouden denken dat ik gek was.</t>
  </si>
  <si>
    <t>Ik kan mijzelf goed beheersen zolang alles op orde en op zijn plaats is, maar als mensen dat niet begrijpen en er een rommeltje van maken, word ik kwaad en vijandig.</t>
  </si>
  <si>
    <t>Mensen doen net of ze zich schuldig voelen, terwijl ze eigenlijk alleen maar bang zijn om gepakt te worden.</t>
  </si>
  <si>
    <t>Ik moet mensen bewonderen om me veilig te voelen.</t>
  </si>
  <si>
    <t>Ik heb de neiging om dingen op een nogal extreme manier te beleven, waarbij ik ofwel grote vreugde ervaar, ofwel intense wanhoop.</t>
  </si>
  <si>
    <t>Ik merk dat ik dingen doe, waarvan ik op andere momenten denk dat ze niet zo verstandig zijn, zoals het hebben van wisselende seksuele contacten, liegen, drinken, woede aanvallen of kleine wetsovertredingen begaan.</t>
  </si>
  <si>
    <t>Ik voel me een bedrieger, alsof anderen me volkomen anders zien dan ik in werkelijkheid ben.</t>
  </si>
  <si>
    <t>Ik ben een vriendelijk mens, maar soms verlies ik mijn geduld, dan word ik vijandig en daar heb ik later dan weer spijt van.</t>
  </si>
  <si>
    <t>In het verloop van een intieme relatie ben ik bang dat ik mijn gevoel over wie ik ben, zal kwijtraken.</t>
  </si>
  <si>
    <t>Als ik zenuwachtig of verward ben, is het net of ook de dingen in de buitenwereld er niet meer toe doen.</t>
  </si>
  <si>
    <t>Zelfs mensen die mij goed kennen kunnen niet voorspellen hoe ik mij zal gedragen.</t>
  </si>
  <si>
    <t>Er is mij gezegd dat ik probeer controle uit te oefenen op anderen door hen zich schuldig te laten voelen.</t>
  </si>
  <si>
    <t>Het is moeilijk voor mij om zeker te weten wat anderen van mij vinden, zelfs van mensen die mij heel goed kennen.</t>
  </si>
  <si>
    <t>Ik geloof dat dingen zullen gebeuren, simpelweg door eraan te denken.</t>
  </si>
  <si>
    <t>Ik plaats mensen op een voetstuk, zelfs als later blijkt dat mijn oordeel onjuist was.</t>
  </si>
  <si>
    <t>Er zijn perioden waarin mijn gedrag overeenstemt met wat ik heb geleerd dat moreel juist is, en andere perioden waarop ik niet moreel juist heb gehandeld.</t>
  </si>
  <si>
    <t>Men zegt dat ik uitdagend of misleidend ben om mijn zin te krijgen.</t>
  </si>
  <si>
    <t>Ik merk dat ik dingen doe, die terwijl ik ze doe in orde lijken, maar waarvan ik het later moeilijk vind om te geloven dat ik ze gedaan heb.</t>
  </si>
  <si>
    <t>Gelukkig ga ik niet gebukt onder schuldgevoelens die andere mensen hinderen en hen in hun even beperken.</t>
  </si>
  <si>
    <t>Aangezien iedereen net doet alsof hij geeft om andere mensen en om morele waarden, moet je dat spelletje meespelen.</t>
  </si>
  <si>
    <t>Het is moeilijk voor mij om mensen te vertrouwen, omdat ze mij vaak verraden of zich tegen me keren.</t>
  </si>
  <si>
    <t>Ik ben goede vrienden verloren omdat ik, als we het oneens waren, dat onverteerbaar vond en zij een einde maakten aan de relatie.</t>
  </si>
  <si>
    <t>Je kunt alleen krijgen wat je wilt door jezelf te beschadigen of anderen te zeggen dat je dat van plan bent.</t>
  </si>
  <si>
    <t>Ik heb met opzet iemand ernstige schade toegebracht.</t>
  </si>
  <si>
    <t>Bezittingen zijn zo oneerlijk verdeeld onder de mensen dat ik het gerechtvaardigd vind om dingen te nemen die niet van mij zijn, als ik dat op een veilige manier kan doen.</t>
  </si>
  <si>
    <t>Op een of andere manier weet ik nooit welke houding ik moet aannemen bij anderen.</t>
  </si>
  <si>
    <t>Men heeft de neiging, óf op mij te reageren door me met liefde te overspoelen, óf mij in de steek te laten.</t>
  </si>
  <si>
    <t>Ik kan spanning ontladen door mijzelf te kwetsen of snijden of lichamelijke pijn te doen.</t>
  </si>
  <si>
    <t>Je kunt de echte gevoelens van anderen niet op grond van hun uiterlijke gedrag beoordelen, want wat je ziet kan gespeeld zijn.</t>
  </si>
  <si>
    <t>Mijn doelen blijven veranderen.</t>
  </si>
  <si>
    <t>De mensen zullen me gebruiken, tenzij ik hiervoor op mijn hoede ben.</t>
  </si>
  <si>
    <t>Als anderen vinden dat ik ben geslaagd, ben ik in de wolken.Als ze vinden dat ik heb gefaald, ben ik er kapot van.</t>
  </si>
  <si>
    <t>Ik heb dingen gehoord en gezien zonder dat daarvoor een duidelijk aanwijsbare reden was.</t>
  </si>
  <si>
    <t>Men zegt dat ik moeite heb met het zien van tekortkomingen bij mensen die ik bewonder.</t>
  </si>
  <si>
    <t>Ik vind het lijden van andere mensen opwindend.</t>
  </si>
  <si>
    <t xml:space="preserve">Na betrokken te zijn geraakt bij anderen, verrast het mij om te ontdekken hoe mensen eigenlijk zijn. </t>
  </si>
  <si>
    <t>Mijn levensdoelen veranderen vaak, van het ene jaar op het andere.</t>
  </si>
  <si>
    <t>Het is lang geleden dat iemand mij iets leerde of iets vertelde wat ik nog niet wist.</t>
  </si>
  <si>
    <t>Ik doe impulsief dingen die naar mijn idee sociaal onaanvaardbaar zijn.</t>
  </si>
  <si>
    <t>Ik begin aan hobby’s en onderwerpen die me erg interesseren, en dan laat ik ze weer vallen.</t>
  </si>
  <si>
    <t>Ik vind het prettig als anderen bang voor me zijn.</t>
  </si>
  <si>
    <t>Ik heb één of meer zelfmoordpogingen ondernomen.</t>
  </si>
  <si>
    <t>Mensen die ik eerst hoog achtte, hebben me teleurgesteld door niet aan mijn verwachtingen te voldoen.</t>
  </si>
  <si>
    <t>Het lijkt bijna alsof ik iemand anders ben, bijvoorbeeld een vriend of familielid of zelfs iemand die ik niet ken.</t>
  </si>
  <si>
    <t>Ik raak verwikkeld in relaties met mensen die ik niet echt mag, omdat ik het moeilijk vind om “nee” te zeggen.</t>
  </si>
  <si>
    <t>Ik wissel nogal, soms ben ik warm en zorgzaam, dan weer ben ik koud en onverschillig.</t>
  </si>
  <si>
    <t>Als ik me niet lekker voel, kan ik niet zeggen of dat emotioneel of lichamelijk is.</t>
  </si>
  <si>
    <t>Ik heb het gevoel dat mijn wensen of gedachten als het ware op magische wijze zullen uitkomen.</t>
  </si>
  <si>
    <t>Van bepaalde lichamelijke gevoelens die ik heb kan ik niet zeggen of ze echt zijn of dat ik mij deze inbeeld.</t>
  </si>
  <si>
    <t>Ik hoor dingen waarvan anderen beweren dat ze er niet werkelijk zijn.</t>
  </si>
  <si>
    <t>Ik weet niet waarom, maar mensen vinden mij bot of onbezonnen.</t>
  </si>
  <si>
    <t>Ik geniet ervan als ik mensen laat lijden.</t>
  </si>
  <si>
    <t>Ik kan dingen zien of horen die niemand anders kan zien of horen.</t>
  </si>
  <si>
    <t>Ik kan niet zeggen of ik simpelweg wìl dat iets waar is, of dat het ook werkelijk waar is.</t>
  </si>
  <si>
    <t>Ik geniet van activiteiten die anderen gevaarlijk vinden.</t>
  </si>
  <si>
    <t>Ik verwaarloos mijn lichamelijke gezondheid.</t>
  </si>
  <si>
    <t>Sommige vrienden zouden verrast zijn als ze wisten hoe anders ik me gedraag in verschillende situaties.</t>
  </si>
  <si>
    <t>Ik ben bang dat mensen die belangrijk voor mij worden, plotseling van gevoel zullen veranderen ten opzichte van mij.</t>
  </si>
  <si>
    <t>Ik heb het gevoel dat mijn smaak en mijn opvattingen niet echt van mijzelf zijn, maar dat ik ze van anderen heb overgenomen.</t>
  </si>
  <si>
    <t>Aangezien iedereen erop uit is dingen voor zichzelf te verkrijgen, is het beter om voor jezelf te zorgen dan voor sukkel versleten te worden.</t>
  </si>
  <si>
    <t>Ik heb dingen gezien die in werkelijkheid niet bestaan.</t>
  </si>
  <si>
    <t>Ik besef dat ik dingen doe die andere mensen overstuur maken en ik weet niet waarom zulke dingen hen overstuur maken.</t>
  </si>
  <si>
    <t>Iedereen zou stelen, als hij niet bang was om gepakt te worden.</t>
  </si>
  <si>
    <t>Ik heb iemand ernstige schade berokkend, maar dat was uit zelfverdediging.</t>
  </si>
  <si>
    <t>Ik heb het gevoel dat ik thuis een ander persoon ben dan op mijn werk of op school.</t>
  </si>
  <si>
    <t>Ik vind dat mensen óf goed óf slecht zijn.Er zijn maar weinig mensen die daar echt tussenin zitten.</t>
  </si>
  <si>
    <t>Er is mij gezegd dat ik het leuk vind om andere mensen te zien lijden.</t>
  </si>
  <si>
    <t>Als je de controle wilt behouden moet je er voor zorgen dat mensen bang voor je zijn.</t>
  </si>
  <si>
    <t>Ik heb het gevoel alsof ik ergens geweest ben of iets heb ondernomen, terwijl ik het echt niet gedaan heb.</t>
  </si>
  <si>
    <t>Ik kan het niet laten, mijzelf te krabben of aan mijn huid te peuteren of andere dingen te doen die andere mensen als pijnlijk beschouwen, maar die spanningen doen verminderen.</t>
  </si>
  <si>
    <t>Als alles om mij heen ontregeld en verward is, voel ik mij ook zo vanbinnen.</t>
  </si>
  <si>
    <t>Ik weet niet zeker of een stem die ik gehoord heb, of iets dat ik gezien heb, mijn verbeelding was of niet.</t>
  </si>
  <si>
    <t>Als mijn leven een boek was, zou het eerder een serie korte verhalen geschreven door verschillende auteurs zijn, dan één lange roman.</t>
  </si>
  <si>
    <t>Mensen van mijn persoonlijke voorkeur bewonder ik niet alleen, maar ik idealiseer ze bijna.</t>
  </si>
  <si>
    <t>Ik kan de veranderingen in mijn gedrag niet verklaren.</t>
  </si>
  <si>
    <t>Ik heb het gevoel dat ik niet krijg wat ik wil.</t>
  </si>
  <si>
    <t>Ik denk dat ik dingen zie die, als ik nog eens beter kijk, toch iets anders blijken te zijn.</t>
  </si>
  <si>
    <t>Ik geniet ervan anderen lichamelijk letsel toe te brengen.</t>
  </si>
  <si>
    <t>Ik zie mijzelf totaal anders op verschillende momenten.</t>
  </si>
  <si>
    <t>Primitieve afweer</t>
  </si>
  <si>
    <t>Inventory of Personality Organization-16</t>
  </si>
  <si>
    <t>Inventory of Personality Organization-83</t>
  </si>
  <si>
    <t>11-55</t>
  </si>
  <si>
    <t>De IPO kan op twee manieren gescorrd worden: als de gemiddelde score op de items van een schaal en als de somscore. Hier is van de somscore uitgegaan. 
Nederlandse vertaling: Berghuis, H., Kamphuis, J.H., Boedijn, G.,&amp; Verheul,R. (2009). Psychometric properties and validity of the Dutch Inventory of Personality Organization. Bulletin of the Menninger Clinic, 1, 44–60.
Originele versie: Clarkin, J. F., Foelsch, P. A., &amp; Kernberg, O. F. (2001). The inventory of personality organization. White Plains, NY:
Weill College of Medicine of Cornell University, The Personality Disorders Institute.
T scores en percentiel scores op basis van data van de algemene bevolking en klinische data: zie https://hanberghuis.nl/download.</t>
  </si>
  <si>
    <t>Sociale Rol</t>
  </si>
  <si>
    <t>Agoraphobic Cognitions Questionnaire</t>
  </si>
  <si>
    <t>Ik ga overgeven</t>
  </si>
  <si>
    <t>Ik heb vast een hersentumor</t>
  </si>
  <si>
    <t>Ik krijg een hartaanval</t>
  </si>
  <si>
    <t>Ik ga me gek gedragen</t>
  </si>
  <si>
    <t>Ik word blind</t>
  </si>
  <si>
    <t>Ik zal mezelf niet meer in de hand kunnen houden</t>
  </si>
  <si>
    <t>Ik zal iemand anders iets aandoen</t>
  </si>
  <si>
    <t>Ik krijg een beroerte</t>
  </si>
  <si>
    <t>Ik ga wartaal uitslaan</t>
  </si>
  <si>
    <t>Ik word verlamd door angst</t>
  </si>
  <si>
    <t>Fiekie cognities</t>
  </si>
  <si>
    <t>somatische cognities</t>
  </si>
  <si>
    <t>Nederlandse vertaling: Arrindell, W. A. (1992). The fear of fear concept: evidence in favour of multidimensionality. Behaviour Research and Therapy, 31(5), 507-518.
Originele versie: Chambless, D. L., Caputo, G. C., Bright, P., &amp; Gallager, R. (1984). Assessment of fear of fear in agoraphobics: The Body Sensations Questionnaire and the Agoraphobic Cognitions Questionnaire. Journal of Consulting and Clinical Psychology, 52, 1090-1097. 
Data van de algemene bevolking en kllinische data: de Beurs, E. (1993). Self-report measures in agoraphobia research: Psychometric properties and implications for their use. In:  The assessment and treatment of panic disorder with agoraphobia (Doctoral dissertation). Universiteit van Amsterdam.</t>
  </si>
  <si>
    <t>Hartkloppingen</t>
  </si>
  <si>
    <t>Druk of zwaar gevoel in je borst</t>
  </si>
  <si>
    <t>Verdoofd gevoel in je armen</t>
  </si>
  <si>
    <t>Tintelingen in je vingertoppen</t>
  </si>
  <si>
    <t>Verdoofd gevoel in een ander deel van je lichaam</t>
  </si>
  <si>
    <t>Gevoel van kortademigheid</t>
  </si>
  <si>
    <t>Duizeligheid</t>
  </si>
  <si>
    <t>Wazig of gestoord zien</t>
  </si>
  <si>
    <t>Misselijkheid</t>
  </si>
  <si>
    <t>Vlinders in je buik hebben</t>
  </si>
  <si>
    <t>Een zwaar gevoel in je maag hebben</t>
  </si>
  <si>
    <t>Een prop in je keel hebben</t>
  </si>
  <si>
    <t>Slappe benen hebben</t>
  </si>
  <si>
    <t>Zweten</t>
  </si>
  <si>
    <t>Een droge keel hebben</t>
  </si>
  <si>
    <t>Je verward voelen en niet meer weten waar je bent</t>
  </si>
  <si>
    <t>Gevoel los te zijn van je lichaam, maar gedeeltelijk aanwezig te zijn</t>
  </si>
  <si>
    <t>Body Sensations Questionnaire</t>
  </si>
  <si>
    <t>BSQ</t>
  </si>
  <si>
    <t>34-204</t>
  </si>
  <si>
    <t>BSQ_8C</t>
  </si>
  <si>
    <t>8-48</t>
  </si>
  <si>
    <t xml:space="preserve">Nederlandse vertaling: Melisse, B., Mooij, L., de Jonge, M., Schlochtermeijer, D., &amp; de Beurs, E. (Submitted). The Dutch Body Shape Questionnaire among patients with Binge- Eating Disorder: Psychometrics and Norms of the full version (BSQ34) and the short version (BSQ8C).
Originele versie: Cooper, P. J., Taylor, M. J., Cooper, Z., &amp; Fairbum, C. G. J. I. J.  (1987). The development and validation of the Body Shape Questionnaire. In (Vol. 6, pp. 485-494).https://doi.org/10.1002/1098-108X(198707)6:4 
Data van de algemene bevolking en klinische data: Melisse, B., Mooij, L., de Jonge, M., Schlochtermeijer, D., &amp; de Beurs, E. (Submitted). The Dutch Body Shape Questionnaire among patients with Binge- Eating Disorder: Psychometrics and Norms of the full version (BSQ34) and the short version (BSQ8C). 
</t>
  </si>
  <si>
    <t>CIA</t>
  </si>
  <si>
    <t>DASS-42</t>
  </si>
  <si>
    <t>Manchester Short Assessment of Quality of Life</t>
  </si>
  <si>
    <t>Nederlandse vertaling: de Beurs, E., Van Dyck, R., Marquenie, L. A., Lange, A., &amp; Blonk, R. W. B. (2001). De DASS: een vragenlijst voor het meten van depressie, angst en stress. Gedragstherapie, 34(1), 35-54.
Originele versie: Lovibond, P. F., &amp; Lovibond, S. H. (1995). The structure of negative emotional states: Comparison of the Depression Anxiety Stress Scales (DASS) with the Beck Depression and Anxiety Inventories. Behaviour Research and Therapy, 33, 335-342. (In File) 
Data van de algemene bevolking: Wardenaar, K. J., Wanders, R. B. K., Jeronimus, B. F., &amp; de Jonge, P. (2018). The psychometric properties of an internet-administered version of the Depression Anxiety and Stress Scales (DASS) in a sample of Dutch adults. Journal of Psychopathology and Behavioral Assessment, 40(2), 318-333. Doi: 10.1007/s10862-017-9626-6
Klinische data: Arkin-GGZ</t>
  </si>
  <si>
    <t>Depressie Angst Stress Schalen 42</t>
  </si>
  <si>
    <t>Heb je uit verveling gepiekerd over je figuur?</t>
  </si>
  <si>
    <t>Heb je je zoveel zorgen gemaakt over je figuur dat je het gevoel had dat je op dieet moest?</t>
  </si>
  <si>
    <t>Vond je dat je dijen, heupen of billen in verhouding met de rest van je lichaam te groot zijn?</t>
  </si>
  <si>
    <t>Ben je bang geweest dat je dik (of dikker) zou worden?</t>
  </si>
  <si>
    <t>Maakte je je zorgen dat bepaalde delen van je lichaam niet strak genoeg zijn?</t>
  </si>
  <si>
    <t>Heb je jezelf dik gevoeld door een vol gevoel (bijv. na het eten van een grote maaltijd?</t>
  </si>
  <si>
    <t>Heb je jezelf zo slecht gevoeld over je figuur dat je erdoor moest huilen?</t>
  </si>
  <si>
    <t>Heb je rennen vermeden omdat bepaalde delen van je lichaam zouden kunnen schudden?</t>
  </si>
  <si>
    <t>Heeft het samenzijn met dunne mensen ervoor gezorgd dat je jezelf meer bewust werd van je figuur?</t>
  </si>
  <si>
    <t>Maakte je je zorgen over dat je bovenbenen zich verbreden wanneer je gaat zitten?</t>
  </si>
  <si>
    <t>Heeft het eten van zelfs maar een kleine hoeveelheid voedsel je een dik gevoel gegeven?</t>
  </si>
  <si>
    <t>Heb je bij het zien van het figuur van anderen geconcludeerd dat je een minder mooi figuur hebt in vergelijking tot hen?</t>
  </si>
  <si>
    <t>Heeft het nadenken over je figuur je concentratievermogen belemmerd (bijv. terwijl je televisie kijkt, leest, naar gesprekken luistert)?</t>
  </si>
  <si>
    <t>Heb je je weleens dik gevoeld wanneer je naakt was, bijvoorbeeld in bad of onder de douche?</t>
  </si>
  <si>
    <t>Heb je het vermeden kleding te dragen die je nog bewuster maakt van je figuur?</t>
  </si>
  <si>
    <t>Heb je je weleens ingebeeld dat je stukken huid of vet van je lichaam afsneed?</t>
  </si>
  <si>
    <t>Heb je je dik gevoeld door het eten van snoep, taart of ander hoog-calorisch voedsel?</t>
  </si>
  <si>
    <t>Ben je niet naar sociale gelegenheden (bijv. feestjes) gegaan omdat je je slecht voelde over je figuur?</t>
  </si>
  <si>
    <t>Voelde je je buitenproportioneel groot en rond?</t>
  </si>
  <si>
    <t>Heb je je geschaamd voor je lichaam?</t>
  </si>
  <si>
    <t>Hebben de zorgen die je je gemaakt hebt over je figuur, je aangezet tot diëten?</t>
  </si>
  <si>
    <t>Was je met een lege maag (bijv. ’s morgens) het meest gelukkig met je figuur?</t>
  </si>
  <si>
    <t>Heb je gedacht dat je dit figuur hebt, wegens een gebrek aan zelfbeheersing?</t>
  </si>
  <si>
    <t>Heb je je zorgen gemaakt dat andere mensen vetrollen rond je middel of buik zien?</t>
  </si>
  <si>
    <t>Heb je het gevoel gehad dat het niet eerlijk is dat andere mensen dunner zijn dan jij?</t>
  </si>
  <si>
    <t>Heb je overgegeven om je dunner te voelen?</t>
  </si>
  <si>
    <t>Heb je in gezelschap van anderen je zorgen gemaakt dat je te veel ruimte in zou nemen (bijvoorbeeld toen je op de bank zat of in de bus)?</t>
  </si>
  <si>
    <t>Piekerde je over de putjes in je huid?</t>
  </si>
  <si>
    <t>Heeft het zien van je spiegelbeeld (bijvoorbeeld in een spiegel of etalage) je een slecht gevoel gegeven over je figuur?</t>
  </si>
  <si>
    <t>Heb je in delen van je lichaam geknepen om te zien hoeveel vet er is?</t>
  </si>
  <si>
    <t>Heb je situaties vermeden waarin mensen je lichaam konden zien (bijv. gemeenschappelijke kleedkamers of het zwembad)?</t>
  </si>
  <si>
    <t>Heb je laxeermiddelen gebruikt om je dunner te voelen?</t>
  </si>
  <si>
    <t>Ben je in het bijzijn van anderen meer bijzonder bewust geweest over je figuur dan anders?</t>
  </si>
  <si>
    <t>Vond je dat je moest gaan bewegen wegens zorgen om je figuur?</t>
  </si>
  <si>
    <t>Body Shape Questionnaire 34</t>
  </si>
  <si>
    <t>Leeftijd 17-27</t>
  </si>
  <si>
    <t>Leeftijd 28-40</t>
  </si>
  <si>
    <t>Leeftijd 41+</t>
  </si>
  <si>
    <t>sekse</t>
  </si>
  <si>
    <t>leeftijd</t>
  </si>
  <si>
    <t>De IPO kan op twee manieren gescorrd worden: als de gemiddelde score op de items van een schaal en als de somscore. Hier is van de somscore uitgegaan. Er zijn aparte normen voor sekse- en leeftijdsgroepen.
Nederlandse vertaling: Berghuis, H., Kamphuis, J.H., Boedijn, G.,&amp; Verheul,R. (2009). Psychometric properties and validity of the Dutch Inventory of Personality Organization. Bulletin of the Menninger Clinic, 1, 44–60.
Originele versie: Clarkin, J. F., Foelsch, P. A., &amp; Kernberg, O. F. (2001). The inventory of personality organization. White Plains, NY:
Weill College of Medicine of Cornell University, The Personality Disorders Institute.
T scores en percentiel scores op basis van data van de algemene bevolking en klinische data: zie https://hanberghuis.nl/download.</t>
  </si>
  <si>
    <t>Nederlandse vertaling: de Beurs, E. (2011). Handleiding Brief Symptom Inventory (2nd ed.). Pits BV. 
Originele versie: Derogatis, L. R. (1975). The Brief Symptom Inventory. Clinical Psychometric Research. 
Data van de algemene bevolking: LISS panel Tilburg
Klinische data: GGZ Rivierduinen, Leiden</t>
  </si>
  <si>
    <t>Leeftijd 14-29</t>
  </si>
  <si>
    <t>Leeftijd 30-44</t>
  </si>
  <si>
    <t>Leeftijd 45-59</t>
  </si>
  <si>
    <t>Severity Indices for Personality Problems</t>
  </si>
  <si>
    <t xml:space="preserve"> </t>
  </si>
  <si>
    <t>Geestelijke gezondheid</t>
  </si>
  <si>
    <t>Dagelijkse vaardigheden</t>
  </si>
  <si>
    <t>Je veilig en op je gemak voelen</t>
  </si>
  <si>
    <t>Lichamelijke gezondheid</t>
  </si>
  <si>
    <t>Bewegen en actief zijn</t>
  </si>
  <si>
    <t>Zingeving en levensdoelen</t>
  </si>
  <si>
    <t>Zelfwaardering</t>
  </si>
  <si>
    <t>Persoonlijk netwerk</t>
  </si>
  <si>
    <t>Sociaal netwerk</t>
  </si>
  <si>
    <t>Hoop voor de toekomst</t>
  </si>
  <si>
    <t>Zelfmanagement</t>
  </si>
  <si>
    <t>Participatie en controle</t>
  </si>
  <si>
    <t>12-72</t>
  </si>
  <si>
    <t>T-score:</t>
  </si>
  <si>
    <t>PR-score:</t>
  </si>
  <si>
    <t>Individual Recovery Outcomes Counter</t>
  </si>
  <si>
    <t>NA</t>
  </si>
  <si>
    <t>1-5</t>
  </si>
  <si>
    <t>BSensQ</t>
  </si>
  <si>
    <t>0-6</t>
  </si>
  <si>
    <t>Lijnen</t>
  </si>
  <si>
    <t>Zorgen om eten</t>
  </si>
  <si>
    <t>Zorgen om gewicht</t>
  </si>
  <si>
    <t>Heeft u met opzet geprobeerd de ...</t>
  </si>
  <si>
    <t>Heeft u voor langere tijd (8 uur of ...</t>
  </si>
  <si>
    <t>Heeft u geprobeerd voedsel niet te eten ...</t>
  </si>
  <si>
    <t>Heeft u geprobeerd duidelijke regels te ...</t>
  </si>
  <si>
    <t>Wilde u dat uw maag leeg was?</t>
  </si>
  <si>
    <t>Heeft het denken over eten of calorieën ...</t>
  </si>
  <si>
    <t>Bent u bang geweest de controle over ...</t>
  </si>
  <si>
    <t>Heeft u episodes van eetbuien gehad?</t>
  </si>
  <si>
    <t>Heeft u stiekem gegeten? (Tel eetbuien ...</t>
  </si>
  <si>
    <t>Heeft u absoluut een platte buik gewild?</t>
  </si>
  <si>
    <t>Heeft denken over figuur en gewicht het ...</t>
  </si>
  <si>
    <t>Heeft u een duidelijke angst gehad dat ...</t>
  </si>
  <si>
    <t>Heeft u zich dik gevoeld?</t>
  </si>
  <si>
    <t>Heeft u een sterke wens gehad gewicht ...</t>
  </si>
  <si>
    <t>Welk gedeelte van de tijd dat u heeft</t>
  </si>
  <si>
    <t>Gedurende de afgelopen vier weken (28 ...</t>
  </si>
  <si>
    <t>Hoeveel van deze perioden heeft u ...</t>
  </si>
  <si>
    <t>Gedurende hoeveel van deze voorvallen ...</t>
  </si>
  <si>
    <t>Heeft u andere perioden van eten gehad ...</t>
  </si>
  <si>
    <t>Heeft u, gedurende de afgelopen vier ...</t>
  </si>
  <si>
    <t>Hoe vaak heeft u dit gedaan gedurende ...</t>
  </si>
  <si>
    <t>Heeft u laxeermiddelen genomen met het ...</t>
  </si>
  <si>
    <t>Heeft u plaspillen (diuretica) genomen ...</t>
  </si>
  <si>
    <t>Heeft u stevig lichamelijke oefeningen ...</t>
  </si>
  <si>
    <t>Heeft uw gewicht invloed gehad op de ...</t>
  </si>
  <si>
    <t>Heeft uw figuur invloed gehad op de ...</t>
  </si>
  <si>
    <t>Hoeveel zou het u van streek maken ...</t>
  </si>
  <si>
    <t>Hoe ontevreden hebt u zich over uw ...</t>
  </si>
  <si>
    <t>Hoe bezorgd bent u geweest over het ...</t>
  </si>
  <si>
    <t>Hoe ongemakkelijk heeft u zich gevoeld ...</t>
  </si>
  <si>
    <t>Eating Disorder Examination Questionnaire</t>
  </si>
  <si>
    <t>Zorgen lichaamsvorm</t>
  </si>
  <si>
    <t>Globale score</t>
  </si>
  <si>
    <r>
      <t xml:space="preserve">Nederlandse vertaling: Aardoom et al. (2012). Norms and discriminative validity of the Eating Disorder Examination
Questionnaire (EDE-Q). </t>
    </r>
    <r>
      <rPr>
        <i/>
        <sz val="11"/>
        <color rgb="FF000000"/>
        <rFont val="Calibri"/>
        <family val="2"/>
        <scheme val="minor"/>
      </rPr>
      <t>Eating Behasviours, 13</t>
    </r>
    <r>
      <rPr>
        <sz val="11"/>
        <color rgb="FF000000"/>
        <rFont val="Calibri"/>
        <family val="2"/>
        <scheme val="minor"/>
      </rPr>
      <t>, 305-309.
Originele versie: Fairburn et al. (1996). 
Data van de algemene bevolking: Aardoom et al. (2012)
Klinische data: Novarum, 2024, beschreven door de Beurs, van den Berg, et al. (2024)</t>
    </r>
  </si>
  <si>
    <r>
      <t xml:space="preserve">Originele versie: Terluin B, Terluin M, Prince K, Van Marwijk HWJ. De Vierdimensionale Klachtenlijst (4DKL) spoort psychische
problemen op. [Nascholing] Huisarts Wet 2008; 51: 251-5 
Data van de algemene bevolking: Terluin, B., Smits, N., Brouwers, E. P. M., &amp; de Vet, H. C. W. (2016). The Four-Dimensional Symptom Questionnaire (4DSQ) in the general population: Scale structure, reliability, measurement invariance and normative data: A cross-sectional survey. </t>
    </r>
    <r>
      <rPr>
        <i/>
        <sz val="11"/>
        <color rgb="FF000000"/>
        <rFont val="Calibri"/>
        <family val="2"/>
        <scheme val="minor"/>
      </rPr>
      <t>Health and Quality of Life Outcomes, 14</t>
    </r>
    <r>
      <rPr>
        <sz val="11"/>
        <color rgb="FF000000"/>
        <rFont val="Calibri"/>
        <family val="2"/>
        <scheme val="minor"/>
      </rPr>
      <t xml:space="preserve">(1), Article 130. https://doi.org/10.1186/s12955-016-0533-4
Klinische data: </t>
    </r>
  </si>
  <si>
    <t>Nederlandse vertaling: Arrindell, W. A. (1992). The fear of fear concept: evidence in favour of multidimensionality. Behaviour Research and Therapy, 31(5), 507-518.
Originele versie: Chambless, D. L., Caputo, G. C., Bright, P., &amp; Gallager, R. (1984). Assessment of fear of fear in agoraphobics: The Body Sensations Questionnaire and the Agoraphobic Cognitions Questionnaire. Journal of Consulting and Clinical Psychology, 52, 1090-1097. 
Data van de algemene bevolking en klinische data: de Beurs, E. (1993). Self-report measures in agoraphobia research: Psychometric properties and implications for their use. In:  The assessment and treatment of panic disorder with agoraphobia (Doctoral dissertation). Universiteit van Amsterdam.</t>
  </si>
  <si>
    <t>Nederlandse vertaling: van der Does, A. (2002). Handleiding bij de Nederlandse versie van Beck Depression Inventory - second edition (BDI-II-NL) {manual for the BDI-II]. Pearson.
Originele versie: Beck, A. T., Steer, R. A., &amp; Brown, G. K. (1996). BDI-II Beck Depression Inventory Manual (Vol. 2). The Psychological Corporation. 
Data van de algemene bevolking: Roelofs, J., van Breukelen, G., de Graaf, L. E., Beck, A. T., Arntz, A., &amp; Huibers, M. J. (2013). Norms for the Beck Depression Inventory (BDI-II) in a large Dutch community sample. Journal of Psychopathology and Behavioral Assessment, 35(1), 93-98.
Klinische data: Corom, GGZ-Rivierduinen, Leiden.</t>
  </si>
  <si>
    <t>Originele versie: de Beurs et al. (2024). 
Data van de algemene bevolking: Sinai Centrum, Arkin
Klinische data: Sinai Centrum, Arkin</t>
  </si>
  <si>
    <t>Nederlandse vertaling: Sportel, B. E., Aardema, H., Boonstra, N., Arends, J., Rudd, B., Metz, M. J., . . . Pijnenborg, G. H. M. (2023). Measuring recovery in participants with a schizophrenia spectrum disorder: validation of the Individual Recovery Outcomes Counter (I.ROC). BMC Psychiatry, 23(1), 296. https://doi.org/10.1186/s12888-023-04763-3 
Originele versie: Monger, B., Hardie, S. M., Ion, R., Cumming, J., &amp; Henderson, N. (2013). The individual recovery outcomes counter: preliminary validation of a personal recovery measure. The Psychiatrist, 37(7), 221-227. 
Data van de algemene bevolking:  de Beurs, E., Metz, M. J., &amp; Nahar-van Venrooij, L. M. W. (submitted). Herstelschaal Individual Recovery Outcomes Counter (I.ROC): psychometrie en vertaalslag van ruwe scores naar universele meetschalen. Tijdschrift voor Psychiatrie
Klinische data: nog niet beschikbaar</t>
  </si>
  <si>
    <t>Nederlandse vertaling: van Nieuwenhuizen, C., Janssen-de Ruijter, E., &amp; Nugter, M. (2017). Handleiding Manchester Short Assessment of Quality of Life (MANSA). Stichting QoLM. 
Originele versie: Priebe, S., Huxley, P., Knight, S., &amp; Evans, S. (1999). Application and results of the Manchester Short Assessment of Quality of Life (MANSA). International journal of social psychiatry, 45(1), 7-12. 
Data van de algemene bevolking:  van der Krieke, L., Jeronimus, B. F., Blaauw, F. J., Wanders, R. B. K., Emerencia, A. C., Schenk, H. M., de Vos, S., Snippe, E., Wichers, M., Wigman, J. T. W., Bos, E. H., Wardenaar, K. J., &amp; de Jonge, P. (2016). HowNutsAreTheDutch (HoeGekIsNL): A crowdsourcing study of mental symptoms and strengths. International journal of methods in psychiatric research, 25(2), 123-144. https://doi.org/10.1002/mpr.1495  
Klinische data: Jellinek, Arkin, Amsterdam</t>
  </si>
  <si>
    <r>
      <t xml:space="preserve">Nederlandse vertaling: de Beurs, E. (2011). Handleiding Brief Symptom Inventory (2nd ed.). Pits BV. 
Originele versie: Derogatis, L. R. (1975). The Brief Symptom Inventory. Clinical Psychometric Research. 
Data van de algemene bevolking: Timman, R., de Jong, K., &amp; de Neve-Enthoven, N. (2017). Cut-off scores and clinical change indices for the Dutch Outcome Questionnaire (OQ-45) in a large sample of normal and several psychotherapeutic populations. </t>
    </r>
    <r>
      <rPr>
        <i/>
        <sz val="11"/>
        <color rgb="FF000000"/>
        <rFont val="Calibri"/>
        <family val="2"/>
        <scheme val="minor"/>
      </rPr>
      <t>Clinical Psychology &amp; Psychotherapy, 24</t>
    </r>
    <r>
      <rPr>
        <sz val="11"/>
        <color rgb="FF000000"/>
        <rFont val="Calibri"/>
        <family val="2"/>
        <scheme val="minor"/>
      </rPr>
      <t>(1), 72–81. https://doi.org/10.1002/cpp.1979
Klinische data: PuntP Stichting Arkin GGZ. Beschreven in de Beurs, E., Oudejans, S., &amp; Terluin, B. (2022). A common measurement scale for self-report instruments in mental health care: T scores with a normal distribution. European Journal of Psychological Assessment.</t>
    </r>
  </si>
  <si>
    <t>Nederlandse vertaling: Boeschoten MA, Bakker A, Jongedijk RA, Olff M. PTSS Checklist voor de DSM-5 (PCL-5). 2014, Stichting Centrum ’45, Arq Psychotrauma Expert Groep. ‒ Originele versie: Weathers F, Litz B, Keane T, Palmieri T, Marx B.P, Schnurr P. The PTSD Checklist for DSM-5 (PCL-5). 2013, National Center for PTSD. 
Data van de algemene bevolking: LISS panel, beschreven door de Beurs et al. (Submitted).
Klinische data: Sinai, Stichting Arkin GGZ.</t>
  </si>
  <si>
    <r>
      <t xml:space="preserve">Nederlandse vertaling: de Beurs, E. (2011). de Beurs, E., Smit, J. H., &amp; Comijs, H. C. (2005). De Paniek Opinie Lijst (POL) De betrouwbaarheid en validiteit van een cognitieve maat voor paniekstoornis. </t>
    </r>
    <r>
      <rPr>
        <i/>
        <sz val="11"/>
        <color rgb="FF000000"/>
        <rFont val="Calibri"/>
        <family val="2"/>
        <scheme val="minor"/>
      </rPr>
      <t>Gedragstherapie, 38</t>
    </r>
    <r>
      <rPr>
        <sz val="11"/>
        <color rgb="FF000000"/>
        <rFont val="Calibri"/>
        <family val="2"/>
        <scheme val="minor"/>
      </rPr>
      <t>, 139-152. 
Data van de algemene bevolking: zie boven
Klinische data: zie boven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</si>
</sst>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scheme val="minor"/>
    </font>
    <font>
      <sz val="12"/>
      <color rgb="FF000000"/>
      <name val="Calibri"/>
      <family val="2"/>
      <scheme val="minor"/>
    </font>
    <font>
      <sz val="16"/>
      <color rgb="FF000000"/>
      <name val="Calibri"/>
      <family val="2"/>
      <scheme val="minor"/>
    </font>
    <font>
      <i/>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6795556505021"/>
        <bgColor indexed="64"/>
      </patternFill>
    </fill>
  </fills>
  <borders count="24">
    <border>
      <left/>
      <right/>
      <top/>
      <bottom/>
      <diagonal/>
    </border>
    <border>
      <left/>
      <right style="thick">
        <color indexed="64"/>
      </right>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99">
    <xf numFmtId="0" fontId="0" fillId="0" borderId="0" xfId="0"/>
    <xf numFmtId="0" fontId="1" fillId="2" borderId="0" xfId="0" applyFont="1" applyFill="1" applyAlignment="1">
      <alignment horizontal="right"/>
    </xf>
    <xf numFmtId="0" fontId="1" fillId="2" borderId="0" xfId="0" applyFont="1" applyFill="1" applyAlignment="1">
      <alignment horizontal="center"/>
    </xf>
    <xf numFmtId="0" fontId="1" fillId="2" borderId="0" xfId="0" applyFont="1" applyFill="1"/>
    <xf numFmtId="0" fontId="0" fillId="2" borderId="0" xfId="0" applyFill="1" applyAlignment="1">
      <alignment horizontal="right"/>
    </xf>
    <xf numFmtId="0" fontId="0" fillId="2" borderId="0" xfId="0" applyFill="1"/>
    <xf numFmtId="0" fontId="0" fillId="2" borderId="0" xfId="0" applyFill="1" applyAlignment="1">
      <alignment horizontal="center"/>
    </xf>
    <xf numFmtId="0" fontId="0" fillId="0" borderId="0" xfId="0" applyAlignment="1">
      <alignment horizontal="right"/>
    </xf>
    <xf numFmtId="0" fontId="0" fillId="0" borderId="0" xfId="0" applyAlignment="1">
      <alignment horizontal="center"/>
    </xf>
    <xf numFmtId="0" fontId="0" fillId="4" borderId="0" xfId="0" applyFill="1" applyAlignment="1">
      <alignment horizontal="center"/>
    </xf>
    <xf numFmtId="0" fontId="0" fillId="4" borderId="0" xfId="0" applyFill="1"/>
    <xf numFmtId="1" fontId="0" fillId="3" borderId="3" xfId="0" applyNumberFormat="1" applyFill="1" applyBorder="1" applyAlignment="1" applyProtection="1">
      <alignment horizontal="center"/>
      <protection locked="0"/>
    </xf>
    <xf numFmtId="1" fontId="0" fillId="3" borderId="2" xfId="0" applyNumberFormat="1" applyFill="1" applyBorder="1" applyAlignment="1" applyProtection="1">
      <alignment horizontal="center"/>
      <protection locked="0"/>
    </xf>
    <xf numFmtId="0" fontId="0" fillId="2" borderId="0" xfId="0" applyFill="1" applyAlignment="1">
      <alignment horizontal="left"/>
    </xf>
    <xf numFmtId="2" fontId="1" fillId="2" borderId="0" xfId="0" applyNumberFormat="1" applyFont="1" applyFill="1" applyAlignment="1">
      <alignment horizontal="center"/>
    </xf>
    <xf numFmtId="2" fontId="0" fillId="2" borderId="0" xfId="0" applyNumberFormat="1" applyFill="1" applyAlignment="1">
      <alignment horizontal="center"/>
    </xf>
    <xf numFmtId="2" fontId="0" fillId="0" borderId="0" xfId="0" applyNumberFormat="1" applyAlignment="1">
      <alignment horizontal="center"/>
    </xf>
    <xf numFmtId="0" fontId="2" fillId="0" borderId="0" xfId="0" applyFont="1"/>
    <xf numFmtId="0" fontId="2" fillId="2" borderId="0" xfId="0" applyFont="1" applyFill="1"/>
    <xf numFmtId="0" fontId="0" fillId="2" borderId="10" xfId="0" applyFill="1" applyBorder="1" applyAlignment="1">
      <alignment horizontal="center"/>
    </xf>
    <xf numFmtId="164" fontId="0" fillId="5" borderId="4" xfId="0" applyNumberFormat="1" applyFill="1" applyBorder="1" applyAlignment="1">
      <alignment horizontal="center"/>
    </xf>
    <xf numFmtId="164" fontId="0" fillId="5" borderId="7" xfId="0" applyNumberFormat="1" applyFill="1" applyBorder="1" applyAlignment="1">
      <alignment horizontal="center"/>
    </xf>
    <xf numFmtId="164" fontId="0" fillId="5" borderId="9" xfId="0" applyNumberFormat="1" applyFill="1" applyBorder="1" applyAlignment="1">
      <alignment horizontal="center"/>
    </xf>
    <xf numFmtId="1" fontId="0" fillId="5" borderId="5" xfId="0" applyNumberFormat="1" applyFill="1" applyBorder="1" applyAlignment="1">
      <alignment horizontal="center"/>
    </xf>
    <xf numFmtId="1" fontId="0" fillId="5" borderId="6" xfId="0" applyNumberFormat="1" applyFill="1" applyBorder="1" applyAlignment="1">
      <alignment horizontal="center"/>
    </xf>
    <xf numFmtId="1" fontId="0" fillId="5" borderId="0" xfId="0" applyNumberFormat="1" applyFill="1" applyAlignment="1">
      <alignment horizontal="center"/>
    </xf>
    <xf numFmtId="1" fontId="0" fillId="5" borderId="8" xfId="0" applyNumberFormat="1" applyFill="1" applyBorder="1" applyAlignment="1">
      <alignment horizontal="center"/>
    </xf>
    <xf numFmtId="1" fontId="0" fillId="5" borderId="10" xfId="0" applyNumberFormat="1" applyFill="1" applyBorder="1" applyAlignment="1">
      <alignment horizontal="center"/>
    </xf>
    <xf numFmtId="1" fontId="0" fillId="5" borderId="11" xfId="0" applyNumberFormat="1" applyFill="1" applyBorder="1" applyAlignment="1">
      <alignment horizontal="center"/>
    </xf>
    <xf numFmtId="0" fontId="0" fillId="2" borderId="10" xfId="0" applyFill="1" applyBorder="1" applyAlignment="1">
      <alignment horizontal="right"/>
    </xf>
    <xf numFmtId="0" fontId="0" fillId="2" borderId="10" xfId="0" applyFill="1" applyBorder="1"/>
    <xf numFmtId="0" fontId="0" fillId="0" borderId="10" xfId="0" applyBorder="1"/>
    <xf numFmtId="2" fontId="0" fillId="0" borderId="12" xfId="0" applyNumberFormat="1" applyBorder="1" applyAlignment="1" applyProtection="1">
      <alignment horizontal="center"/>
      <protection locked="0"/>
    </xf>
    <xf numFmtId="2" fontId="0" fillId="0" borderId="13" xfId="0" applyNumberFormat="1" applyBorder="1" applyAlignment="1" applyProtection="1">
      <alignment horizontal="center"/>
      <protection locked="0"/>
    </xf>
    <xf numFmtId="2" fontId="0" fillId="2" borderId="10" xfId="0" applyNumberFormat="1" applyFill="1" applyBorder="1" applyAlignment="1">
      <alignment horizontal="center"/>
    </xf>
    <xf numFmtId="0" fontId="2" fillId="2" borderId="0" xfId="0" applyFont="1" applyFill="1" applyAlignment="1">
      <alignment horizontal="left"/>
    </xf>
    <xf numFmtId="0" fontId="0" fillId="2" borderId="1" xfId="0" applyFill="1" applyBorder="1" applyAlignment="1">
      <alignment horizontal="left"/>
    </xf>
    <xf numFmtId="1" fontId="0" fillId="2" borderId="0" xfId="0" applyNumberFormat="1" applyFill="1" applyAlignment="1">
      <alignment horizontal="center"/>
    </xf>
    <xf numFmtId="1" fontId="0" fillId="2" borderId="0" xfId="0" applyNumberFormat="1" applyFill="1"/>
    <xf numFmtId="1" fontId="0" fillId="0" borderId="14" xfId="0" applyNumberFormat="1" applyBorder="1" applyAlignment="1" applyProtection="1">
      <alignment horizontal="center"/>
      <protection locked="0"/>
    </xf>
    <xf numFmtId="164" fontId="0" fillId="5" borderId="16" xfId="0" applyNumberFormat="1" applyFill="1" applyBorder="1" applyAlignment="1">
      <alignment horizontal="center"/>
    </xf>
    <xf numFmtId="1" fontId="0" fillId="5" borderId="17" xfId="0" applyNumberFormat="1" applyFill="1" applyBorder="1" applyAlignment="1">
      <alignment horizontal="center"/>
    </xf>
    <xf numFmtId="1" fontId="0" fillId="5" borderId="18" xfId="0" applyNumberFormat="1" applyFill="1" applyBorder="1" applyAlignment="1">
      <alignment horizontal="center"/>
    </xf>
    <xf numFmtId="49" fontId="2" fillId="2" borderId="0" xfId="0" applyNumberFormat="1" applyFont="1" applyFill="1" applyAlignment="1">
      <alignment horizontal="left"/>
    </xf>
    <xf numFmtId="49" fontId="0" fillId="2" borderId="0" xfId="0" applyNumberFormat="1" applyFill="1" applyAlignment="1">
      <alignment horizontal="center"/>
    </xf>
    <xf numFmtId="49" fontId="0" fillId="2" borderId="10" xfId="0" applyNumberFormat="1" applyFill="1" applyBorder="1" applyAlignment="1">
      <alignment horizontal="center"/>
    </xf>
    <xf numFmtId="49" fontId="1" fillId="2" borderId="0" xfId="0" applyNumberFormat="1" applyFont="1" applyFill="1" applyAlignment="1">
      <alignment horizontal="center"/>
    </xf>
    <xf numFmtId="49" fontId="0" fillId="0" borderId="0" xfId="0" applyNumberFormat="1" applyAlignment="1">
      <alignment horizontal="center"/>
    </xf>
    <xf numFmtId="1" fontId="0" fillId="3" borderId="12" xfId="0" applyNumberFormat="1" applyFill="1" applyBorder="1" applyAlignment="1" applyProtection="1">
      <alignment horizontal="center"/>
      <protection locked="0"/>
    </xf>
    <xf numFmtId="1" fontId="0" fillId="3" borderId="13" xfId="0" applyNumberFormat="1" applyFill="1" applyBorder="1" applyAlignment="1" applyProtection="1">
      <alignment horizontal="center"/>
      <protection locked="0"/>
    </xf>
    <xf numFmtId="1" fontId="0" fillId="3" borderId="14" xfId="0" applyNumberFormat="1" applyFill="1" applyBorder="1" applyAlignment="1" applyProtection="1">
      <alignment horizontal="center"/>
      <protection locked="0"/>
    </xf>
    <xf numFmtId="1" fontId="0" fillId="3" borderId="19" xfId="0" applyNumberFormat="1" applyFill="1" applyBorder="1" applyAlignment="1" applyProtection="1">
      <alignment horizontal="center"/>
      <protection locked="0"/>
    </xf>
    <xf numFmtId="49" fontId="0" fillId="2" borderId="0" xfId="0" applyNumberFormat="1" applyFill="1" applyAlignment="1">
      <alignment horizontal="left"/>
    </xf>
    <xf numFmtId="2" fontId="0" fillId="0" borderId="14" xfId="0" applyNumberFormat="1" applyBorder="1" applyAlignment="1" applyProtection="1">
      <alignment horizontal="center"/>
      <protection locked="0"/>
    </xf>
    <xf numFmtId="1" fontId="0" fillId="0" borderId="12" xfId="0" applyNumberFormat="1" applyBorder="1" applyAlignment="1" applyProtection="1">
      <alignment horizontal="center"/>
      <protection locked="0"/>
    </xf>
    <xf numFmtId="1" fontId="0" fillId="0" borderId="13" xfId="0" applyNumberFormat="1" applyBorder="1" applyAlignment="1" applyProtection="1">
      <alignment horizontal="center"/>
      <protection locked="0"/>
    </xf>
    <xf numFmtId="1" fontId="0" fillId="0" borderId="20" xfId="0" applyNumberFormat="1" applyBorder="1" applyAlignment="1" applyProtection="1">
      <alignment horizontal="center"/>
      <protection locked="0"/>
    </xf>
    <xf numFmtId="0" fontId="0" fillId="2" borderId="0" xfId="0" applyFill="1" applyAlignment="1">
      <alignment vertical="center"/>
    </xf>
    <xf numFmtId="0" fontId="0" fillId="2" borderId="0" xfId="0" applyFill="1" applyAlignment="1">
      <alignment horizontal="left" vertical="center" indent="2"/>
    </xf>
    <xf numFmtId="1" fontId="0" fillId="0" borderId="15" xfId="0" applyNumberFormat="1" applyBorder="1" applyAlignment="1" applyProtection="1">
      <alignment horizontal="center"/>
      <protection locked="0"/>
    </xf>
    <xf numFmtId="1" fontId="0" fillId="0" borderId="22" xfId="0" applyNumberFormat="1" applyBorder="1" applyAlignment="1" applyProtection="1">
      <alignment horizontal="center"/>
      <protection locked="0"/>
    </xf>
    <xf numFmtId="1" fontId="0" fillId="0" borderId="23" xfId="0" applyNumberFormat="1" applyBorder="1" applyAlignment="1" applyProtection="1">
      <alignment horizontal="center"/>
      <protection locked="0"/>
    </xf>
    <xf numFmtId="1" fontId="0" fillId="0" borderId="21" xfId="0" applyNumberFormat="1" applyBorder="1" applyAlignment="1" applyProtection="1">
      <alignment horizontal="center"/>
      <protection locked="0"/>
    </xf>
    <xf numFmtId="2" fontId="0" fillId="2" borderId="0" xfId="0" applyNumberFormat="1" applyFill="1"/>
    <xf numFmtId="1" fontId="0" fillId="3" borderId="22" xfId="0" applyNumberFormat="1" applyFill="1" applyBorder="1" applyAlignment="1" applyProtection="1">
      <alignment horizontal="center"/>
      <protection locked="0"/>
    </xf>
    <xf numFmtId="1" fontId="0" fillId="3" borderId="23" xfId="0" applyNumberFormat="1" applyFill="1" applyBorder="1" applyAlignment="1" applyProtection="1">
      <alignment horizontal="center"/>
      <protection locked="0"/>
    </xf>
    <xf numFmtId="1" fontId="0" fillId="3" borderId="21" xfId="0" applyNumberFormat="1" applyFill="1" applyBorder="1" applyAlignment="1" applyProtection="1">
      <alignment horizontal="center"/>
      <protection locked="0"/>
    </xf>
    <xf numFmtId="2" fontId="0" fillId="0" borderId="15" xfId="0" applyNumberFormat="1" applyBorder="1" applyAlignment="1" applyProtection="1">
      <alignment horizontal="center"/>
      <protection locked="0"/>
    </xf>
    <xf numFmtId="2" fontId="0" fillId="3" borderId="22" xfId="0" applyNumberFormat="1" applyFill="1" applyBorder="1" applyAlignment="1">
      <alignment horizontal="center"/>
    </xf>
    <xf numFmtId="2" fontId="0" fillId="3" borderId="23" xfId="0" applyNumberFormat="1" applyFill="1" applyBorder="1" applyAlignment="1">
      <alignment horizontal="center"/>
    </xf>
    <xf numFmtId="2" fontId="0" fillId="3" borderId="21" xfId="0" applyNumberFormat="1" applyFill="1" applyBorder="1" applyAlignment="1">
      <alignment horizontal="center"/>
    </xf>
    <xf numFmtId="164" fontId="0" fillId="3" borderId="4" xfId="0" applyNumberFormat="1" applyFill="1" applyBorder="1" applyAlignment="1">
      <alignment horizontal="center"/>
    </xf>
    <xf numFmtId="1" fontId="0" fillId="3" borderId="5" xfId="0" applyNumberFormat="1" applyFill="1" applyBorder="1" applyAlignment="1">
      <alignment horizontal="center"/>
    </xf>
    <xf numFmtId="1" fontId="0" fillId="3" borderId="6" xfId="0" applyNumberFormat="1" applyFill="1" applyBorder="1" applyAlignment="1">
      <alignment horizontal="center"/>
    </xf>
    <xf numFmtId="164" fontId="0" fillId="2" borderId="0" xfId="0" applyNumberFormat="1" applyFill="1" applyAlignment="1">
      <alignment horizontal="center"/>
    </xf>
    <xf numFmtId="164" fontId="0" fillId="3" borderId="7" xfId="0" applyNumberFormat="1" applyFill="1" applyBorder="1" applyAlignment="1">
      <alignment horizontal="center"/>
    </xf>
    <xf numFmtId="1" fontId="0" fillId="3" borderId="0" xfId="0" applyNumberFormat="1" applyFill="1" applyAlignment="1">
      <alignment horizontal="center"/>
    </xf>
    <xf numFmtId="1" fontId="0" fillId="3" borderId="8" xfId="0" applyNumberFormat="1" applyFill="1" applyBorder="1" applyAlignment="1">
      <alignment horizontal="center"/>
    </xf>
    <xf numFmtId="164" fontId="0" fillId="3" borderId="9" xfId="0" applyNumberFormat="1" applyFill="1" applyBorder="1" applyAlignment="1">
      <alignment horizontal="center"/>
    </xf>
    <xf numFmtId="1" fontId="0" fillId="3" borderId="10" xfId="0" applyNumberFormat="1" applyFill="1" applyBorder="1" applyAlignment="1">
      <alignment horizontal="center"/>
    </xf>
    <xf numFmtId="1" fontId="0" fillId="3" borderId="11" xfId="0" applyNumberFormat="1" applyFill="1" applyBorder="1" applyAlignment="1">
      <alignment horizontal="center"/>
    </xf>
    <xf numFmtId="164" fontId="0" fillId="3" borderId="16" xfId="0" applyNumberFormat="1" applyFill="1" applyBorder="1" applyAlignment="1">
      <alignment horizontal="center"/>
    </xf>
    <xf numFmtId="1" fontId="0" fillId="3" borderId="17" xfId="0" applyNumberFormat="1" applyFill="1" applyBorder="1" applyAlignment="1">
      <alignment horizontal="center"/>
    </xf>
    <xf numFmtId="1" fontId="0" fillId="3" borderId="18" xfId="0" applyNumberFormat="1" applyFill="1" applyBorder="1" applyAlignment="1">
      <alignment horizontal="center"/>
    </xf>
    <xf numFmtId="0" fontId="0" fillId="4" borderId="0" xfId="0" applyFill="1" applyAlignment="1">
      <alignment horizontal="left"/>
    </xf>
    <xf numFmtId="0" fontId="2" fillId="2" borderId="0" xfId="0" applyFont="1" applyFill="1" applyAlignment="1">
      <alignment horizontal="center"/>
    </xf>
    <xf numFmtId="49" fontId="2" fillId="2" borderId="0" xfId="0" applyNumberFormat="1" applyFont="1" applyFill="1" applyAlignment="1">
      <alignment horizontal="center"/>
    </xf>
    <xf numFmtId="2" fontId="2" fillId="2" borderId="0" xfId="0" applyNumberFormat="1" applyFont="1" applyFill="1" applyAlignment="1">
      <alignment horizontal="center"/>
    </xf>
    <xf numFmtId="2" fontId="2" fillId="2" borderId="0" xfId="0" applyNumberFormat="1" applyFont="1" applyFill="1" applyAlignment="1">
      <alignment horizontal="left"/>
    </xf>
    <xf numFmtId="2" fontId="0" fillId="0" borderId="19" xfId="0" applyNumberFormat="1" applyBorder="1" applyAlignment="1" applyProtection="1">
      <alignment horizontal="center"/>
      <protection locked="0"/>
    </xf>
    <xf numFmtId="0" fontId="0" fillId="6" borderId="0" xfId="0" applyFill="1" applyAlignment="1">
      <alignment vertical="center"/>
    </xf>
    <xf numFmtId="0" fontId="0" fillId="6" borderId="0" xfId="0" applyFill="1" applyAlignment="1">
      <alignment horizontal="left"/>
    </xf>
    <xf numFmtId="2" fontId="0" fillId="6" borderId="0" xfId="0" applyNumberFormat="1" applyFill="1" applyAlignment="1">
      <alignment horizontal="left"/>
    </xf>
    <xf numFmtId="0" fontId="0" fillId="6" borderId="0" xfId="0" applyFill="1"/>
    <xf numFmtId="1" fontId="0" fillId="6" borderId="0" xfId="0" applyNumberFormat="1" applyFill="1" applyAlignment="1">
      <alignment horizontal="center"/>
    </xf>
    <xf numFmtId="164" fontId="0" fillId="6" borderId="0" xfId="0" applyNumberFormat="1" applyFill="1" applyAlignment="1">
      <alignment horizontal="center"/>
    </xf>
    <xf numFmtId="0" fontId="0" fillId="3" borderId="0" xfId="0" applyFill="1" applyAlignment="1">
      <alignment horizontal="left" vertical="top" wrapText="1" shrinkToFit="1"/>
    </xf>
    <xf numFmtId="0" fontId="0" fillId="2" borderId="0" xfId="0" applyFill="1" applyAlignment="1">
      <alignment horizontal="center"/>
    </xf>
    <xf numFmtId="0" fontId="0" fillId="2" borderId="0" xfId="0" applyFill="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2FB531E0-D8DC-4E38-879A-EDB9B58273F8}"/>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C127C1EF-6F4C-47ED-8AC2-D9E45B4B20CC}"/>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14</xdr:row>
      <xdr:rowOff>197303</xdr:rowOff>
    </xdr:to>
    <xdr:sp macro="" textlink="">
      <xdr:nvSpPr>
        <xdr:cNvPr id="2" name="Rechthoek 1">
          <a:extLst>
            <a:ext uri="{FF2B5EF4-FFF2-40B4-BE49-F238E27FC236}">
              <a16:creationId xmlns:a16="http://schemas.microsoft.com/office/drawing/2014/main" id="{103EF778-E6FD-4D2E-84D3-CFBF7FB8E7D1}"/>
            </a:ext>
          </a:extLst>
        </xdr:cNvPr>
        <xdr:cNvSpPr/>
      </xdr:nvSpPr>
      <xdr:spPr>
        <a:xfrm>
          <a:off x="2559503" y="847725"/>
          <a:ext cx="545647" cy="2102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17</xdr:row>
      <xdr:rowOff>206828</xdr:rowOff>
    </xdr:from>
    <xdr:to>
      <xdr:col>11</xdr:col>
      <xdr:colOff>0</xdr:colOff>
      <xdr:row>71</xdr:row>
      <xdr:rowOff>0</xdr:rowOff>
    </xdr:to>
    <xdr:sp macro="" textlink="">
      <xdr:nvSpPr>
        <xdr:cNvPr id="3" name="Rechthoek 2">
          <a:extLst>
            <a:ext uri="{FF2B5EF4-FFF2-40B4-BE49-F238E27FC236}">
              <a16:creationId xmlns:a16="http://schemas.microsoft.com/office/drawing/2014/main" id="{8B6F7A61-DDC0-4D72-9353-FCDB6A8E48F4}"/>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12C2D4C2-B995-465C-9205-15CC654FD545}"/>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4ACF637D-8895-4A12-B775-DB638BFCBEB4}"/>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E0D9C97A-2AFE-4010-A3EE-2E602801640F}"/>
            </a:ext>
          </a:extLst>
        </xdr:cNvPr>
        <xdr:cNvSpPr/>
      </xdr:nvSpPr>
      <xdr:spPr>
        <a:xfrm>
          <a:off x="2559503" y="847725"/>
          <a:ext cx="545647" cy="2102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53</xdr:row>
      <xdr:rowOff>0</xdr:rowOff>
    </xdr:to>
    <xdr:sp macro="" textlink="">
      <xdr:nvSpPr>
        <xdr:cNvPr id="3" name="Rechthoek 2">
          <a:extLst>
            <a:ext uri="{FF2B5EF4-FFF2-40B4-BE49-F238E27FC236}">
              <a16:creationId xmlns:a16="http://schemas.microsoft.com/office/drawing/2014/main" id="{ACE16797-D7D4-43A5-8A41-9A395D835730}"/>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xdr:row>
      <xdr:rowOff>0</xdr:rowOff>
    </xdr:from>
    <xdr:to>
      <xdr:col>5</xdr:col>
      <xdr:colOff>0</xdr:colOff>
      <xdr:row>9</xdr:row>
      <xdr:rowOff>0</xdr:rowOff>
    </xdr:to>
    <xdr:sp macro="" textlink="">
      <xdr:nvSpPr>
        <xdr:cNvPr id="2" name="Rechthoek 1">
          <a:extLst>
            <a:ext uri="{FF2B5EF4-FFF2-40B4-BE49-F238E27FC236}">
              <a16:creationId xmlns:a16="http://schemas.microsoft.com/office/drawing/2014/main" id="{147F929A-325D-4F4A-8A82-859FEE16AAFC}"/>
            </a:ext>
          </a:extLst>
        </xdr:cNvPr>
        <xdr:cNvSpPr/>
      </xdr:nvSpPr>
      <xdr:spPr>
        <a:xfrm>
          <a:off x="2562225" y="847725"/>
          <a:ext cx="542925" cy="2105025"/>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11</xdr:row>
      <xdr:rowOff>206828</xdr:rowOff>
    </xdr:from>
    <xdr:to>
      <xdr:col>11</xdr:col>
      <xdr:colOff>0</xdr:colOff>
      <xdr:row>32</xdr:row>
      <xdr:rowOff>0</xdr:rowOff>
    </xdr:to>
    <xdr:sp macro="" textlink="">
      <xdr:nvSpPr>
        <xdr:cNvPr id="3" name="Rechthoek 2">
          <a:extLst>
            <a:ext uri="{FF2B5EF4-FFF2-40B4-BE49-F238E27FC236}">
              <a16:creationId xmlns:a16="http://schemas.microsoft.com/office/drawing/2014/main" id="{0DE99F4D-CBAB-49D1-A33F-CA6C448DD7F1}"/>
            </a:ext>
          </a:extLst>
        </xdr:cNvPr>
        <xdr:cNvSpPr/>
      </xdr:nvSpPr>
      <xdr:spPr>
        <a:xfrm>
          <a:off x="4977492" y="3550103"/>
          <a:ext cx="508908" cy="10108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7</xdr:row>
      <xdr:rowOff>197303</xdr:rowOff>
    </xdr:to>
    <xdr:sp macro="" textlink="">
      <xdr:nvSpPr>
        <xdr:cNvPr id="2" name="Rechthoek 1">
          <a:extLst>
            <a:ext uri="{FF2B5EF4-FFF2-40B4-BE49-F238E27FC236}">
              <a16:creationId xmlns:a16="http://schemas.microsoft.com/office/drawing/2014/main" id="{4C71AD07-E515-4077-8540-EFCC6D69AC33}"/>
            </a:ext>
          </a:extLst>
        </xdr:cNvPr>
        <xdr:cNvSpPr/>
      </xdr:nvSpPr>
      <xdr:spPr>
        <a:xfrm>
          <a:off x="2559503" y="847725"/>
          <a:ext cx="545647" cy="578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10</xdr:row>
      <xdr:rowOff>206828</xdr:rowOff>
    </xdr:from>
    <xdr:to>
      <xdr:col>11</xdr:col>
      <xdr:colOff>0</xdr:colOff>
      <xdr:row>31</xdr:row>
      <xdr:rowOff>0</xdr:rowOff>
    </xdr:to>
    <xdr:sp macro="" textlink="">
      <xdr:nvSpPr>
        <xdr:cNvPr id="3" name="Rechthoek 2">
          <a:extLst>
            <a:ext uri="{FF2B5EF4-FFF2-40B4-BE49-F238E27FC236}">
              <a16:creationId xmlns:a16="http://schemas.microsoft.com/office/drawing/2014/main" id="{1509D8B5-EC10-4E8E-A126-2412C334EFEA}"/>
            </a:ext>
          </a:extLst>
        </xdr:cNvPr>
        <xdr:cNvSpPr/>
      </xdr:nvSpPr>
      <xdr:spPr>
        <a:xfrm>
          <a:off x="4977492" y="2026103"/>
          <a:ext cx="508908" cy="38222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6</xdr:row>
      <xdr:rowOff>197303</xdr:rowOff>
    </xdr:to>
    <xdr:sp macro="" textlink="">
      <xdr:nvSpPr>
        <xdr:cNvPr id="2" name="Rechthoek 1">
          <a:extLst>
            <a:ext uri="{FF2B5EF4-FFF2-40B4-BE49-F238E27FC236}">
              <a16:creationId xmlns:a16="http://schemas.microsoft.com/office/drawing/2014/main" id="{7BC99D1F-EDB5-4A43-9FC5-364AF45F61F2}"/>
            </a:ext>
          </a:extLst>
        </xdr:cNvPr>
        <xdr:cNvSpPr/>
      </xdr:nvSpPr>
      <xdr:spPr>
        <a:xfrm>
          <a:off x="2559503" y="847725"/>
          <a:ext cx="545647" cy="7688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9</xdr:row>
      <xdr:rowOff>206828</xdr:rowOff>
    </xdr:from>
    <xdr:to>
      <xdr:col>11</xdr:col>
      <xdr:colOff>0</xdr:colOff>
      <xdr:row>30</xdr:row>
      <xdr:rowOff>0</xdr:rowOff>
    </xdr:to>
    <xdr:sp macro="" textlink="">
      <xdr:nvSpPr>
        <xdr:cNvPr id="3" name="Rechthoek 2">
          <a:extLst>
            <a:ext uri="{FF2B5EF4-FFF2-40B4-BE49-F238E27FC236}">
              <a16:creationId xmlns:a16="http://schemas.microsoft.com/office/drawing/2014/main" id="{935DFD68-2440-41EF-8719-72399DEEC77F}"/>
            </a:ext>
          </a:extLst>
        </xdr:cNvPr>
        <xdr:cNvSpPr/>
      </xdr:nvSpPr>
      <xdr:spPr>
        <a:xfrm>
          <a:off x="4977492" y="2216603"/>
          <a:ext cx="508908" cy="40127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197303</xdr:colOff>
      <xdr:row>4</xdr:row>
      <xdr:rowOff>0</xdr:rowOff>
    </xdr:from>
    <xdr:to>
      <xdr:col>5</xdr:col>
      <xdr:colOff>0</xdr:colOff>
      <xdr:row>24</xdr:row>
      <xdr:rowOff>197303</xdr:rowOff>
    </xdr:to>
    <xdr:sp macro="" textlink="">
      <xdr:nvSpPr>
        <xdr:cNvPr id="2" name="Rechthoek 1">
          <a:extLst>
            <a:ext uri="{FF2B5EF4-FFF2-40B4-BE49-F238E27FC236}">
              <a16:creationId xmlns:a16="http://schemas.microsoft.com/office/drawing/2014/main" id="{D2556533-95AD-4A7F-BC70-48333F8AFD05}"/>
            </a:ext>
          </a:extLst>
        </xdr:cNvPr>
        <xdr:cNvSpPr/>
      </xdr:nvSpPr>
      <xdr:spPr>
        <a:xfrm>
          <a:off x="2950028" y="847725"/>
          <a:ext cx="545647" cy="4007303"/>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twoCellAnchor>
    <xdr:from>
      <xdr:col>9</xdr:col>
      <xdr:colOff>234042</xdr:colOff>
      <xdr:row>27</xdr:row>
      <xdr:rowOff>206828</xdr:rowOff>
    </xdr:from>
    <xdr:to>
      <xdr:col>11</xdr:col>
      <xdr:colOff>0</xdr:colOff>
      <xdr:row>146</xdr:row>
      <xdr:rowOff>0</xdr:rowOff>
    </xdr:to>
    <xdr:sp macro="" textlink="">
      <xdr:nvSpPr>
        <xdr:cNvPr id="3" name="Rechthoek 2">
          <a:extLst>
            <a:ext uri="{FF2B5EF4-FFF2-40B4-BE49-F238E27FC236}">
              <a16:creationId xmlns:a16="http://schemas.microsoft.com/office/drawing/2014/main" id="{F9E9F071-2A4A-43C7-9188-816161115B5B}"/>
            </a:ext>
          </a:extLst>
        </xdr:cNvPr>
        <xdr:cNvSpPr/>
      </xdr:nvSpPr>
      <xdr:spPr>
        <a:xfrm>
          <a:off x="5368017" y="5455103"/>
          <a:ext cx="508908" cy="22491247"/>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94D6-F6B2-43E6-B43F-FE9FA7FC88F4}">
  <dimension ref="B1:F39"/>
  <sheetViews>
    <sheetView tabSelected="1" zoomScaleNormal="100" workbookViewId="0">
      <pane ySplit="1" topLeftCell="A5" activePane="bottomLeft" state="frozen"/>
      <selection pane="bottomLeft" activeCell="D14" sqref="D14"/>
    </sheetView>
  </sheetViews>
  <sheetFormatPr defaultRowHeight="15" x14ac:dyDescent="0.25"/>
  <cols>
    <col min="3" max="3" width="11.5703125" style="8" customWidth="1"/>
    <col min="4" max="4" width="11.7109375" style="8" customWidth="1"/>
    <col min="5" max="6" width="9.140625" style="8"/>
  </cols>
  <sheetData>
    <row r="1" spans="2:6" s="10" customFormat="1" x14ac:dyDescent="0.25">
      <c r="B1" s="84" t="s">
        <v>240</v>
      </c>
      <c r="C1" s="9" t="s">
        <v>241</v>
      </c>
      <c r="D1" s="9" t="s">
        <v>242</v>
      </c>
      <c r="E1" s="9" t="s">
        <v>760</v>
      </c>
      <c r="F1" s="9" t="s">
        <v>761</v>
      </c>
    </row>
    <row r="2" spans="2:6" x14ac:dyDescent="0.25">
      <c r="B2" t="s">
        <v>404</v>
      </c>
      <c r="C2" s="8" t="s">
        <v>243</v>
      </c>
      <c r="D2" s="8" t="s">
        <v>243</v>
      </c>
      <c r="E2" s="8" t="s">
        <v>243</v>
      </c>
    </row>
    <row r="3" spans="2:6" x14ac:dyDescent="0.25">
      <c r="B3" t="s">
        <v>527</v>
      </c>
      <c r="C3" s="8" t="s">
        <v>243</v>
      </c>
      <c r="D3" s="8" t="s">
        <v>243</v>
      </c>
      <c r="E3" s="8" t="s">
        <v>243</v>
      </c>
    </row>
    <row r="4" spans="2:6" x14ac:dyDescent="0.25">
      <c r="B4" t="s">
        <v>248</v>
      </c>
    </row>
    <row r="5" spans="2:6" x14ac:dyDescent="0.25">
      <c r="B5" t="s">
        <v>266</v>
      </c>
      <c r="C5" s="8" t="s">
        <v>243</v>
      </c>
      <c r="D5" s="8" t="s">
        <v>243</v>
      </c>
      <c r="E5" s="8" t="s">
        <v>243</v>
      </c>
    </row>
    <row r="6" spans="2:6" x14ac:dyDescent="0.25">
      <c r="B6" t="s">
        <v>249</v>
      </c>
      <c r="C6" s="8" t="s">
        <v>243</v>
      </c>
      <c r="D6" s="8" t="s">
        <v>243</v>
      </c>
      <c r="E6" s="8" t="s">
        <v>243</v>
      </c>
    </row>
    <row r="7" spans="2:6" x14ac:dyDescent="0.25">
      <c r="B7" t="s">
        <v>239</v>
      </c>
      <c r="C7" s="8" t="s">
        <v>243</v>
      </c>
      <c r="D7" s="8" t="s">
        <v>243</v>
      </c>
      <c r="E7" s="8" t="s">
        <v>243</v>
      </c>
    </row>
    <row r="8" spans="2:6" x14ac:dyDescent="0.25">
      <c r="B8" t="s">
        <v>66</v>
      </c>
      <c r="C8" s="8" t="s">
        <v>243</v>
      </c>
      <c r="D8" s="8" t="s">
        <v>243</v>
      </c>
      <c r="E8" s="8" t="s">
        <v>243</v>
      </c>
    </row>
    <row r="9" spans="2:6" x14ac:dyDescent="0.25">
      <c r="B9" t="s">
        <v>787</v>
      </c>
      <c r="C9" s="8" t="s">
        <v>243</v>
      </c>
      <c r="D9" s="8" t="s">
        <v>243</v>
      </c>
      <c r="E9" s="8" t="s">
        <v>243</v>
      </c>
    </row>
    <row r="10" spans="2:6" x14ac:dyDescent="0.25">
      <c r="B10" t="s">
        <v>717</v>
      </c>
    </row>
    <row r="11" spans="2:6" x14ac:dyDescent="0.25">
      <c r="B11" t="s">
        <v>250</v>
      </c>
      <c r="C11" s="8" t="s">
        <v>243</v>
      </c>
      <c r="D11" s="8" t="s">
        <v>243</v>
      </c>
      <c r="E11" s="8" t="s">
        <v>243</v>
      </c>
    </row>
    <row r="12" spans="2:6" x14ac:dyDescent="0.25">
      <c r="B12" t="s">
        <v>718</v>
      </c>
      <c r="C12" s="8" t="s">
        <v>243</v>
      </c>
      <c r="D12" s="8" t="s">
        <v>243</v>
      </c>
      <c r="E12" s="8" t="s">
        <v>243</v>
      </c>
    </row>
    <row r="13" spans="2:6" x14ac:dyDescent="0.25">
      <c r="B13" t="s">
        <v>251</v>
      </c>
      <c r="C13" s="8" t="s">
        <v>243</v>
      </c>
      <c r="D13" s="8" t="s">
        <v>243</v>
      </c>
      <c r="E13" s="8" t="s">
        <v>785</v>
      </c>
      <c r="F13" s="8" t="s">
        <v>785</v>
      </c>
    </row>
    <row r="14" spans="2:6" x14ac:dyDescent="0.25">
      <c r="B14" t="s">
        <v>252</v>
      </c>
    </row>
    <row r="15" spans="2:6" x14ac:dyDescent="0.25">
      <c r="B15" t="s">
        <v>253</v>
      </c>
      <c r="C15" s="8" t="s">
        <v>243</v>
      </c>
      <c r="D15" s="8" t="s">
        <v>243</v>
      </c>
      <c r="E15" s="8" t="s">
        <v>785</v>
      </c>
      <c r="F15" s="8" t="s">
        <v>785</v>
      </c>
    </row>
    <row r="16" spans="2:6" x14ac:dyDescent="0.25">
      <c r="B16" t="s">
        <v>267</v>
      </c>
    </row>
    <row r="17" spans="2:6" x14ac:dyDescent="0.25">
      <c r="B17" t="s">
        <v>265</v>
      </c>
    </row>
    <row r="18" spans="2:6" x14ac:dyDescent="0.25">
      <c r="B18" t="s">
        <v>80</v>
      </c>
      <c r="C18" s="8" t="s">
        <v>243</v>
      </c>
      <c r="D18" s="8" t="s">
        <v>243</v>
      </c>
      <c r="E18" s="8" t="s">
        <v>243</v>
      </c>
      <c r="F18" s="8" t="s">
        <v>243</v>
      </c>
    </row>
    <row r="19" spans="2:6" x14ac:dyDescent="0.25">
      <c r="B19" t="s">
        <v>588</v>
      </c>
      <c r="C19" s="8" t="s">
        <v>243</v>
      </c>
      <c r="D19" s="8" t="s">
        <v>243</v>
      </c>
      <c r="E19" s="8" t="s">
        <v>243</v>
      </c>
      <c r="F19" s="8" t="s">
        <v>243</v>
      </c>
    </row>
    <row r="20" spans="2:6" x14ac:dyDescent="0.25">
      <c r="B20" t="s">
        <v>254</v>
      </c>
    </row>
    <row r="21" spans="2:6" x14ac:dyDescent="0.25">
      <c r="B21" t="s">
        <v>255</v>
      </c>
      <c r="C21" s="8" t="s">
        <v>243</v>
      </c>
      <c r="D21" s="8" t="s">
        <v>243</v>
      </c>
      <c r="E21" s="8" t="s">
        <v>243</v>
      </c>
    </row>
    <row r="22" spans="2:6" x14ac:dyDescent="0.25">
      <c r="B22" t="s">
        <v>268</v>
      </c>
    </row>
    <row r="23" spans="2:6" x14ac:dyDescent="0.25">
      <c r="B23" t="s">
        <v>269</v>
      </c>
    </row>
    <row r="24" spans="2:6" x14ac:dyDescent="0.25">
      <c r="B24" t="s">
        <v>256</v>
      </c>
    </row>
    <row r="25" spans="2:6" x14ac:dyDescent="0.25">
      <c r="B25" t="s">
        <v>257</v>
      </c>
    </row>
    <row r="26" spans="2:6" x14ac:dyDescent="0.25">
      <c r="B26" t="s">
        <v>258</v>
      </c>
    </row>
    <row r="27" spans="2:6" x14ac:dyDescent="0.25">
      <c r="B27" t="s">
        <v>259</v>
      </c>
      <c r="C27" s="8" t="s">
        <v>243</v>
      </c>
      <c r="D27" s="8" t="s">
        <v>243</v>
      </c>
      <c r="E27" s="8" t="s">
        <v>243</v>
      </c>
    </row>
    <row r="28" spans="2:6" x14ac:dyDescent="0.25">
      <c r="B28" t="s">
        <v>63</v>
      </c>
      <c r="C28" s="8" t="s">
        <v>243</v>
      </c>
      <c r="D28" s="8" t="s">
        <v>243</v>
      </c>
      <c r="E28" s="8" t="s">
        <v>243</v>
      </c>
    </row>
    <row r="29" spans="2:6" x14ac:dyDescent="0.25">
      <c r="B29" t="s">
        <v>260</v>
      </c>
    </row>
    <row r="30" spans="2:6" x14ac:dyDescent="0.25">
      <c r="B30" t="s">
        <v>375</v>
      </c>
      <c r="C30" s="8" t="s">
        <v>243</v>
      </c>
      <c r="D30" s="8" t="s">
        <v>243</v>
      </c>
      <c r="E30" s="8" t="s">
        <v>243</v>
      </c>
    </row>
    <row r="31" spans="2:6" x14ac:dyDescent="0.25">
      <c r="B31" t="s">
        <v>263</v>
      </c>
    </row>
    <row r="32" spans="2:6" x14ac:dyDescent="0.25">
      <c r="B32" t="s">
        <v>261</v>
      </c>
    </row>
    <row r="33" spans="2:5" x14ac:dyDescent="0.25">
      <c r="B33" t="s">
        <v>246</v>
      </c>
      <c r="C33" s="8" t="s">
        <v>243</v>
      </c>
      <c r="D33" s="8" t="s">
        <v>243</v>
      </c>
      <c r="E33" s="8" t="s">
        <v>243</v>
      </c>
    </row>
    <row r="34" spans="2:5" x14ac:dyDescent="0.25">
      <c r="B34" t="s">
        <v>245</v>
      </c>
      <c r="C34" s="8" t="s">
        <v>243</v>
      </c>
      <c r="D34" s="8" t="s">
        <v>243</v>
      </c>
      <c r="E34" s="8" t="s">
        <v>243</v>
      </c>
    </row>
    <row r="35" spans="2:5" x14ac:dyDescent="0.25">
      <c r="B35" t="s">
        <v>98</v>
      </c>
      <c r="C35" s="8" t="s">
        <v>243</v>
      </c>
      <c r="D35" s="8" t="s">
        <v>244</v>
      </c>
      <c r="E35" s="8" t="s">
        <v>243</v>
      </c>
    </row>
    <row r="36" spans="2:5" x14ac:dyDescent="0.25">
      <c r="B36" t="s">
        <v>264</v>
      </c>
    </row>
    <row r="37" spans="2:5" x14ac:dyDescent="0.25">
      <c r="B37" t="s">
        <v>247</v>
      </c>
    </row>
    <row r="38" spans="2:5" x14ac:dyDescent="0.25">
      <c r="B38" t="s">
        <v>270</v>
      </c>
    </row>
    <row r="39" spans="2:5" x14ac:dyDescent="0.25">
      <c r="B39" t="s">
        <v>262</v>
      </c>
    </row>
  </sheetData>
  <sortState xmlns:xlrd2="http://schemas.microsoft.com/office/spreadsheetml/2017/richdata2" ref="B2:F39">
    <sortCondition ref="B1:B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1C56-EC7A-49EF-ADBE-ED9E5854F24C}">
  <dimension ref="A1:Y71"/>
  <sheetViews>
    <sheetView zoomScale="130" zoomScaleNormal="130" workbookViewId="0"/>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721</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718</v>
      </c>
      <c r="B2" s="6"/>
      <c r="C2" s="15"/>
      <c r="D2" s="5"/>
      <c r="E2" s="15"/>
      <c r="F2" s="5"/>
      <c r="G2" s="97" t="s">
        <v>1</v>
      </c>
      <c r="H2" s="97"/>
      <c r="I2" s="97"/>
      <c r="J2" s="5"/>
      <c r="K2" s="97" t="s">
        <v>2</v>
      </c>
      <c r="L2" s="97"/>
      <c r="M2" s="97"/>
      <c r="N2" s="5"/>
      <c r="O2" s="97" t="s">
        <v>3</v>
      </c>
      <c r="P2" s="97"/>
      <c r="Q2" s="97"/>
    </row>
    <row r="3" spans="1:25" x14ac:dyDescent="0.25">
      <c r="A3" s="4"/>
      <c r="B3" s="6"/>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277</v>
      </c>
      <c r="C5" s="37">
        <f>IF(COUNTBLANK($K$12:$K$32)=0,SUM($K$19:$K$39),IF(ISNUMBER($E5),$E5,"?"))</f>
        <v>42</v>
      </c>
      <c r="D5" s="5"/>
      <c r="E5" s="54">
        <v>42</v>
      </c>
      <c r="F5" s="5"/>
      <c r="G5" s="20">
        <f>IF(C5="?","?",IF(E5="","?",36.3+0.988*E5-0.01138*E5^2+0.00005877*E5^3))</f>
        <v>62.075831759999993</v>
      </c>
      <c r="H5" s="23">
        <f>IF(C5="?","?",IF(E5="","?",0.6+(3.801*E5+0.1098*E5^2)/(1+0.02439*E5+0.001145*E5^2)))</f>
        <v>87.967759930368729</v>
      </c>
      <c r="I5" s="24">
        <f>IF(C5="?","?",IF(E5="","?",0.1+(0.652*E5+0.2331*E5^2)/(1+0.08464*E5+0.001571*E5^2)))</f>
        <v>59.964179203082011</v>
      </c>
      <c r="J5" s="5"/>
      <c r="K5" s="20">
        <f>IF(C5="?","?",IF(E5="","?",36+1.021*E5-0.01211*E5^2+0.00006354*E5^3))</f>
        <v>62.227511520000007</v>
      </c>
      <c r="L5" s="23">
        <f>IF(C5="?","?",IF(E5="","?",1.1+(5.363*E5+0.1032*E5^2)/(1+0.03851*E5+0.001103*E5^2)))</f>
        <v>90.357243740675216</v>
      </c>
      <c r="M5" s="24">
        <f>IF(C5="?","?",IF(E5="","?",1.2+(1.985*E5+0.07706*E5^2)/(1+0.01954*E5+0.0007251*E5^2)))</f>
        <v>71.948733674684888</v>
      </c>
      <c r="N5" s="5"/>
      <c r="O5" s="20">
        <f>IF(C5="?","?",IF(E5="","?",36.3+0.9769*E5-0.01118*E5^2+0.00005768*E5^3))</f>
        <v>61.881675840000007</v>
      </c>
      <c r="P5" s="23">
        <f>IF(C5="?","?",IF(E5="","?",0.4+(3.134*E5+0.1216*E5^2)/(1+0.01916*E5+0.001245*E5^2)))</f>
        <v>86.913134544727455</v>
      </c>
      <c r="Q5" s="24">
        <f>IF(C5="?","?",IF(E5="","?",-0.3+(-0.001*E5+0.2004*E5^2)/(1+0.08408*E5+0.001183*E5^2)))</f>
        <v>53.108040770170376</v>
      </c>
    </row>
    <row r="6" spans="1:25" x14ac:dyDescent="0.25">
      <c r="A6" s="4" t="s">
        <v>72</v>
      </c>
      <c r="B6" s="6" t="s">
        <v>278</v>
      </c>
      <c r="C6" s="37">
        <f>IF(COUNTBLANK($K$12:$K$32)=0,SUM($K$14,$K$16,$K$21,$K$24,$K$27,$K$28,$K$32,$K$35,$K$37,$K$42,$K$45,$K$48,$K$49,$K$53),IF(ISNUMBER($E6),$E6,"?"))</f>
        <v>28</v>
      </c>
      <c r="D6" s="5"/>
      <c r="E6" s="55">
        <v>28</v>
      </c>
      <c r="F6" s="5"/>
      <c r="G6" s="21">
        <f>IF(C6="?","?",IF(E6="","?",37.4+(5.105*E6-0.01585*E6^2)/(1+0.1904*E6-0.002729*E6^2)))</f>
        <v>68.536465136518558</v>
      </c>
      <c r="H6" s="25">
        <f>IF(C6="?","?",IF(E6="","?",-24.5+43.653*LN(E6+1.9)-0.972*E6))</f>
        <v>96.610716244754542</v>
      </c>
      <c r="I6" s="26">
        <f>IF(C6="?","?",IF(E6="","?",108.6+0.563*(E6-57.3)+SINH((E6-57.3)/11.52)))</f>
        <v>85.781953962978037</v>
      </c>
      <c r="J6" s="5"/>
      <c r="K6" s="21">
        <f>IF(C6="?","?",IF(E6="","?",37.4+(5.119*E6-0.01723*E6^2)/(1+0.1893*E6-0.002732*E6^2)))</f>
        <v>68.618782102829087</v>
      </c>
      <c r="L6" s="25">
        <f>IF(C6="?","?",IF(E6="","?",-5.3+36.758*LN(E6+1.3)-0.79*E6))</f>
        <v>96.733361913974235</v>
      </c>
      <c r="M6" s="26">
        <f>IF(C6="?","?",IF(E6="","?",-24.7+33.022*LN(E6+2.5)))</f>
        <v>88.160170546280568</v>
      </c>
      <c r="N6" s="5"/>
      <c r="O6" s="21">
        <f>IF(C6="?","?",IF(E6="","?",37.4+(5.117*E6-0.01446*E6^2)/(1+0.1923*E6-0.002733*E6^2)))</f>
        <v>68.505096790741888</v>
      </c>
      <c r="P6" s="25">
        <f>IF(C6="?","?",IF(E6="","?",-34.5+47.191*LN(E6+2.2)-1.064*E6))</f>
        <v>96.527468253455453</v>
      </c>
      <c r="Q6" s="26">
        <f>IF(C6="?","?",IF(E6="","?",2.7+(3.657*E6+0.9997*E6^2)/(1+0.1272*E6+0.007997*E6^2)))</f>
        <v>84.51520725958818</v>
      </c>
    </row>
    <row r="7" spans="1:25" x14ac:dyDescent="0.25">
      <c r="A7" s="4" t="s">
        <v>73</v>
      </c>
      <c r="B7" s="6" t="s">
        <v>278</v>
      </c>
      <c r="C7" s="37">
        <f>IF(COUNTBLANK($K$12:$K$32)=0,SUM($K$13,$K$15,$K$18,$K$20,$K$26,$K$30,$K$31,$K$34,$K$36,$K$39,$K$41,$K$47,$K$51,$K$52),IF(ISNUMBER($E7),$E7,"?"))</f>
        <v>28</v>
      </c>
      <c r="D7" s="5"/>
      <c r="E7" s="55">
        <v>28</v>
      </c>
      <c r="F7" s="5"/>
      <c r="G7" s="21">
        <f>IF(C7="?","?",IF(E7="","?",40.2+(5.924*E7+0.007567*E7^2)/(1+0.2092*E7-0.00281*E7^2)))</f>
        <v>77.111013715582146</v>
      </c>
      <c r="H7" s="25">
        <f>IF(C7="?","?",IF(E7="","?",-1799.9+3442.71*((E7+5.2)^-1.809-1)/-1.809))</f>
        <v>99.830437735781061</v>
      </c>
      <c r="I7" s="26">
        <f>IF(C7="?","?",IF(E7="","?",-105.2+59.448*LN(E7+6.1)-0.525*E7))</f>
        <v>89.909670901240474</v>
      </c>
      <c r="J7" s="5"/>
      <c r="K7" s="21">
        <f>IF(C7="?","?",IF(E7="","?",40+(6.174*E7+0.02818*E7^2)/(1+0.228*E7-0.002774*E7^2)))</f>
        <v>77.427190131890143</v>
      </c>
      <c r="L7" s="25">
        <f>IF(C7="?","?",IF(E7="","?",-558.1+1049.831*((E7+3.4)^-1.589-1)/-1.589))</f>
        <v>99.823637333411966</v>
      </c>
      <c r="M7" s="26">
        <f>IF(C7="?","?",IF(E7="","?",71.8-EXP(-0.176*(E7-24.1))+0.759*E7))</f>
        <v>92.548615002968603</v>
      </c>
      <c r="N7" s="5"/>
      <c r="O7" s="21">
        <f>IF(C7="?","?",IF(E7="","?",40.4+(5.569*E7-0.01421*E7^2)/(1+0.1831*E7-0.002748*E7^2)))</f>
        <v>76.849634072170545</v>
      </c>
      <c r="P7" s="25">
        <f>IF(C7="?","?",IF(E7="","?",-5144.8+10903.87*((E7+6.8)^-2.078-1)/-2.078))</f>
        <v>99.205678630502007</v>
      </c>
      <c r="Q7" s="26">
        <f>IF(C7="?","?",IF(E7="","?",118.3-EXP(-0.048*(E7-99))))</f>
        <v>88.095225738963691</v>
      </c>
    </row>
    <row r="8" spans="1:25" ht="15.75" thickBot="1" x14ac:dyDescent="0.3">
      <c r="A8" s="4" t="s">
        <v>376</v>
      </c>
      <c r="B8" s="6" t="s">
        <v>278</v>
      </c>
      <c r="C8" s="37">
        <f>IF(COUNTBLANK($K$12:$K$32)=0,SUM($K$12,$K$17,$K$19,$K$22,$K$23,$K$25,$K$29,$K$33,$K$38,$K$40,$K$43,$K$44,$K$46,$K$50),IF(ISNUMBER($E8),$E8,"?"))</f>
        <v>28</v>
      </c>
      <c r="D8" s="38"/>
      <c r="E8" s="39">
        <v>28</v>
      </c>
      <c r="F8" s="5"/>
      <c r="G8" s="22">
        <f>IF(C8="?","?",IF(E8="","?",33.8+(3.832*E8+0.02874*E8^2)/(1+0.1282*E8-0.0014*E8^2)))</f>
        <v>70.97873997709047</v>
      </c>
      <c r="H8" s="27">
        <f>IF(C8="?","?",IF(E8="","?",-67+(167.5/(1+EXP(-0.16*(E8-2.185))))))</f>
        <v>97.8498009195593</v>
      </c>
      <c r="I8" s="28">
        <f>IF(C8="?","?",IF(E8="","?",1.3+(1.237*E8+0.4701*E8^2)/(1+0.03803*E8+0.003513*E8^2)))</f>
        <v>84.967093308365662</v>
      </c>
      <c r="J8" s="5"/>
      <c r="K8" s="22">
        <f>IF(C8="?","?",IF(E8="","?",33.8+(3.78*E8+0.02285*E8^2)/(1+0.1254*E8-0.001468*E8^2)))</f>
        <v>70.628509937243464</v>
      </c>
      <c r="L8" s="27">
        <f>IF(C8="?","?",IF(E8="","?",-119+(219.3/(1+EXP(-0.1623*(E8+1.407))))))</f>
        <v>98.460924359183849</v>
      </c>
      <c r="M8" s="28">
        <f>IF(C8="?","?",IF(E8="","?",-29.8+(127.5/(1+EXP(-0.1596*(E8-6.987))))))</f>
        <v>93.393683162296611</v>
      </c>
      <c r="N8" s="5"/>
      <c r="O8" s="22">
        <f>IF(C8="?","?",IF(E8="","?",33.7+(4.095*E8+0.05027*E8^2)/(1+0.1517*E8-0.00145*E8^2)))</f>
        <v>71.179731439135935</v>
      </c>
      <c r="P8" s="27">
        <f>IF(C8="?","?",IF(E8="","?",-51.7+(152.2/(1+EXP(-0.1623*(E8-3.778))))))</f>
        <v>97.571368311923109</v>
      </c>
      <c r="Q8" s="28">
        <f>IF(C8="?","?",IF(E8="","?",0.6+(0.533*E8+0.3621*E8^2)/(1+0.03417*E8+0.002321*E8^2)))</f>
        <v>79.725225345459066</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302</v>
      </c>
      <c r="C12" s="13"/>
      <c r="D12" s="13"/>
      <c r="E12" s="13"/>
      <c r="F12" s="13"/>
      <c r="G12" s="13"/>
      <c r="H12" s="13"/>
      <c r="I12" s="13"/>
      <c r="J12" s="13"/>
      <c r="K12" s="48">
        <v>2</v>
      </c>
      <c r="L12" s="6"/>
      <c r="M12" s="6"/>
      <c r="O12" s="6"/>
      <c r="P12" s="6"/>
      <c r="Q12" s="6"/>
    </row>
    <row r="13" spans="1:25" s="5" customFormat="1" x14ac:dyDescent="0.25">
      <c r="A13" s="4">
        <v>2</v>
      </c>
      <c r="B13" s="13" t="s">
        <v>280</v>
      </c>
      <c r="C13" s="13"/>
      <c r="D13" s="13"/>
      <c r="E13" s="13"/>
      <c r="F13" s="13"/>
      <c r="G13" s="13"/>
      <c r="H13" s="13"/>
      <c r="I13" s="13"/>
      <c r="J13" s="13"/>
      <c r="K13" s="49">
        <v>2</v>
      </c>
      <c r="L13" s="6"/>
      <c r="M13" s="6"/>
      <c r="O13" s="6"/>
      <c r="P13" s="6"/>
      <c r="Q13" s="6"/>
    </row>
    <row r="14" spans="1:25" s="5" customFormat="1" x14ac:dyDescent="0.25">
      <c r="A14" s="4">
        <v>3</v>
      </c>
      <c r="B14" s="13" t="s">
        <v>281</v>
      </c>
      <c r="C14" s="13"/>
      <c r="D14" s="13"/>
      <c r="E14" s="13"/>
      <c r="F14" s="13"/>
      <c r="G14" s="13"/>
      <c r="H14" s="13"/>
      <c r="I14" s="13"/>
      <c r="J14" s="13"/>
      <c r="K14" s="49">
        <v>2</v>
      </c>
      <c r="L14" s="6"/>
      <c r="M14" s="6"/>
      <c r="O14" s="6"/>
      <c r="P14" s="6"/>
      <c r="Q14" s="6"/>
    </row>
    <row r="15" spans="1:25" s="5" customFormat="1" x14ac:dyDescent="0.25">
      <c r="A15" s="4">
        <v>4</v>
      </c>
      <c r="B15" s="13" t="s">
        <v>303</v>
      </c>
      <c r="C15" s="13"/>
      <c r="D15" s="13"/>
      <c r="E15" s="13"/>
      <c r="F15" s="13"/>
      <c r="G15" s="13"/>
      <c r="H15" s="13"/>
      <c r="I15" s="13"/>
      <c r="J15" s="13"/>
      <c r="K15" s="49">
        <v>2</v>
      </c>
      <c r="L15" s="6"/>
      <c r="M15" s="6"/>
      <c r="O15" s="6"/>
      <c r="P15" s="6"/>
      <c r="Q15" s="6"/>
    </row>
    <row r="16" spans="1:25" s="5" customFormat="1" x14ac:dyDescent="0.25">
      <c r="A16" s="4">
        <v>5</v>
      </c>
      <c r="B16" s="13" t="s">
        <v>304</v>
      </c>
      <c r="C16" s="13"/>
      <c r="D16" s="13"/>
      <c r="E16" s="13"/>
      <c r="F16" s="13"/>
      <c r="G16" s="13"/>
      <c r="H16" s="13"/>
      <c r="I16" s="13"/>
      <c r="J16" s="13"/>
      <c r="K16" s="49">
        <v>2</v>
      </c>
      <c r="L16" s="6"/>
      <c r="M16" s="6"/>
      <c r="O16" s="6"/>
      <c r="P16" s="6"/>
      <c r="Q16" s="6"/>
    </row>
    <row r="17" spans="1:17" s="5" customFormat="1" x14ac:dyDescent="0.25">
      <c r="A17" s="4">
        <v>6</v>
      </c>
      <c r="B17" s="13" t="s">
        <v>284</v>
      </c>
      <c r="C17" s="13"/>
      <c r="D17" s="13"/>
      <c r="E17" s="13"/>
      <c r="F17" s="13"/>
      <c r="G17" s="13"/>
      <c r="H17" s="13"/>
      <c r="I17" s="13"/>
      <c r="J17" s="13"/>
      <c r="K17" s="49">
        <v>2</v>
      </c>
      <c r="L17" s="6"/>
      <c r="M17" s="6"/>
      <c r="O17" s="6"/>
      <c r="P17" s="6"/>
      <c r="Q17" s="6"/>
    </row>
    <row r="18" spans="1:17" s="5" customFormat="1" x14ac:dyDescent="0.25">
      <c r="A18" s="4">
        <v>7</v>
      </c>
      <c r="B18" s="13" t="s">
        <v>305</v>
      </c>
      <c r="C18" s="13"/>
      <c r="D18" s="13"/>
      <c r="E18" s="13"/>
      <c r="F18" s="13"/>
      <c r="G18" s="13"/>
      <c r="H18" s="13"/>
      <c r="I18" s="13"/>
      <c r="J18" s="13"/>
      <c r="K18" s="49">
        <v>2</v>
      </c>
      <c r="L18" s="6"/>
      <c r="M18" s="6"/>
      <c r="O18" s="6"/>
      <c r="P18" s="6"/>
      <c r="Q18" s="6"/>
    </row>
    <row r="19" spans="1:17" s="5" customFormat="1" x14ac:dyDescent="0.25">
      <c r="A19" s="4">
        <v>8</v>
      </c>
      <c r="B19" s="13" t="s">
        <v>290</v>
      </c>
      <c r="C19" s="13"/>
      <c r="D19" s="13"/>
      <c r="E19" s="13"/>
      <c r="F19" s="13"/>
      <c r="G19" s="13"/>
      <c r="H19" s="13"/>
      <c r="I19" s="13"/>
      <c r="J19" s="13"/>
      <c r="K19" s="49">
        <v>2</v>
      </c>
      <c r="L19" s="6"/>
      <c r="M19" s="6"/>
      <c r="O19" s="6"/>
      <c r="P19" s="6"/>
      <c r="Q19" s="6"/>
    </row>
    <row r="20" spans="1:17" s="5" customFormat="1" x14ac:dyDescent="0.25">
      <c r="A20" s="4">
        <v>9</v>
      </c>
      <c r="B20" s="13" t="s">
        <v>306</v>
      </c>
      <c r="C20" s="13"/>
      <c r="D20" s="13"/>
      <c r="E20" s="13"/>
      <c r="F20" s="13"/>
      <c r="G20" s="13"/>
      <c r="H20" s="13"/>
      <c r="I20" s="13"/>
      <c r="J20" s="13"/>
      <c r="K20" s="49">
        <v>2</v>
      </c>
      <c r="L20" s="6"/>
      <c r="M20" s="6"/>
      <c r="O20" s="6"/>
      <c r="P20" s="6"/>
      <c r="Q20" s="6"/>
    </row>
    <row r="21" spans="1:17" s="5" customFormat="1" x14ac:dyDescent="0.25">
      <c r="A21" s="4">
        <v>10</v>
      </c>
      <c r="B21" s="13" t="s">
        <v>288</v>
      </c>
      <c r="C21" s="13"/>
      <c r="D21" s="13"/>
      <c r="E21" s="13"/>
      <c r="F21" s="13"/>
      <c r="G21" s="13"/>
      <c r="H21" s="13"/>
      <c r="I21" s="13"/>
      <c r="J21" s="13"/>
      <c r="K21" s="49">
        <v>2</v>
      </c>
      <c r="L21" s="6"/>
      <c r="M21" s="6"/>
      <c r="O21" s="6"/>
      <c r="P21" s="6"/>
      <c r="Q21" s="6"/>
    </row>
    <row r="22" spans="1:17" s="5" customFormat="1" x14ac:dyDescent="0.25">
      <c r="A22" s="4">
        <v>11</v>
      </c>
      <c r="B22" s="13" t="s">
        <v>307</v>
      </c>
      <c r="C22" s="13"/>
      <c r="D22" s="13"/>
      <c r="E22" s="13"/>
      <c r="F22" s="13"/>
      <c r="G22" s="13"/>
      <c r="H22" s="13"/>
      <c r="I22" s="13"/>
      <c r="J22" s="13"/>
      <c r="K22" s="49">
        <v>2</v>
      </c>
      <c r="L22" s="6"/>
      <c r="M22" s="6"/>
      <c r="O22" s="6"/>
      <c r="P22" s="6"/>
      <c r="Q22" s="6"/>
    </row>
    <row r="23" spans="1:17" s="5" customFormat="1" x14ac:dyDescent="0.25">
      <c r="A23" s="4">
        <v>12</v>
      </c>
      <c r="B23" s="13" t="s">
        <v>286</v>
      </c>
      <c r="C23" s="13"/>
      <c r="D23" s="13"/>
      <c r="E23" s="13"/>
      <c r="F23" s="13"/>
      <c r="G23" s="13"/>
      <c r="H23" s="13"/>
      <c r="I23" s="13"/>
      <c r="J23" s="13"/>
      <c r="K23" s="49">
        <v>2</v>
      </c>
      <c r="L23" s="6"/>
      <c r="M23" s="6"/>
      <c r="O23" s="6"/>
      <c r="P23" s="6"/>
      <c r="Q23" s="6"/>
    </row>
    <row r="24" spans="1:17" s="5" customFormat="1" x14ac:dyDescent="0.25">
      <c r="A24" s="4">
        <v>13</v>
      </c>
      <c r="B24" s="13" t="s">
        <v>308</v>
      </c>
      <c r="C24" s="13"/>
      <c r="D24" s="13"/>
      <c r="E24" s="13"/>
      <c r="F24" s="13"/>
      <c r="G24" s="13"/>
      <c r="H24" s="13"/>
      <c r="I24" s="13"/>
      <c r="J24" s="13"/>
      <c r="K24" s="49">
        <v>2</v>
      </c>
      <c r="L24" s="6"/>
      <c r="M24" s="6"/>
      <c r="O24" s="6"/>
      <c r="P24" s="6"/>
      <c r="Q24" s="6"/>
    </row>
    <row r="25" spans="1:17" s="5" customFormat="1" x14ac:dyDescent="0.25">
      <c r="A25" s="4">
        <v>14</v>
      </c>
      <c r="B25" s="13" t="s">
        <v>309</v>
      </c>
      <c r="C25" s="13"/>
      <c r="D25" s="13"/>
      <c r="E25" s="13"/>
      <c r="F25" s="13"/>
      <c r="G25" s="13"/>
      <c r="H25" s="13"/>
      <c r="I25" s="13"/>
      <c r="J25" s="13"/>
      <c r="K25" s="49">
        <v>2</v>
      </c>
      <c r="L25" s="6"/>
      <c r="M25" s="6"/>
      <c r="O25" s="6"/>
      <c r="P25" s="6"/>
      <c r="Q25" s="6"/>
    </row>
    <row r="26" spans="1:17" s="5" customFormat="1" x14ac:dyDescent="0.25">
      <c r="A26" s="4">
        <v>15</v>
      </c>
      <c r="B26" s="13" t="s">
        <v>310</v>
      </c>
      <c r="C26" s="13"/>
      <c r="D26" s="13"/>
      <c r="E26" s="13"/>
      <c r="F26" s="13"/>
      <c r="G26" s="13"/>
      <c r="H26" s="13"/>
      <c r="I26" s="13"/>
      <c r="J26" s="13"/>
      <c r="K26" s="49">
        <v>2</v>
      </c>
      <c r="L26" s="6"/>
      <c r="M26" s="6"/>
      <c r="O26" s="6"/>
      <c r="P26" s="6"/>
      <c r="Q26" s="6"/>
    </row>
    <row r="27" spans="1:17" s="5" customFormat="1" x14ac:dyDescent="0.25">
      <c r="A27" s="4">
        <v>16</v>
      </c>
      <c r="B27" s="13" t="s">
        <v>311</v>
      </c>
      <c r="C27" s="13"/>
      <c r="D27" s="13"/>
      <c r="E27" s="13"/>
      <c r="F27" s="13"/>
      <c r="G27" s="13"/>
      <c r="H27" s="13"/>
      <c r="I27" s="13"/>
      <c r="J27" s="13"/>
      <c r="K27" s="49">
        <v>2</v>
      </c>
      <c r="L27" s="6"/>
      <c r="M27" s="6"/>
      <c r="O27" s="6"/>
      <c r="P27" s="6"/>
      <c r="Q27" s="6"/>
    </row>
    <row r="28" spans="1:17" s="5" customFormat="1" x14ac:dyDescent="0.25">
      <c r="A28" s="4">
        <v>17</v>
      </c>
      <c r="B28" s="13" t="s">
        <v>295</v>
      </c>
      <c r="C28" s="13"/>
      <c r="D28" s="13"/>
      <c r="E28" s="13"/>
      <c r="F28" s="13"/>
      <c r="G28" s="13"/>
      <c r="H28" s="13"/>
      <c r="I28" s="13"/>
      <c r="J28" s="13"/>
      <c r="K28" s="49">
        <v>2</v>
      </c>
      <c r="L28" s="6"/>
      <c r="M28" s="6"/>
      <c r="O28" s="6"/>
      <c r="P28" s="6"/>
      <c r="Q28" s="6"/>
    </row>
    <row r="29" spans="1:17" s="5" customFormat="1" x14ac:dyDescent="0.25">
      <c r="A29" s="4">
        <v>18</v>
      </c>
      <c r="B29" s="13" t="s">
        <v>296</v>
      </c>
      <c r="C29" s="13"/>
      <c r="D29" s="13"/>
      <c r="E29" s="13"/>
      <c r="F29" s="13"/>
      <c r="G29" s="13"/>
      <c r="H29" s="13"/>
      <c r="I29" s="13"/>
      <c r="J29" s="13"/>
      <c r="K29" s="49">
        <v>2</v>
      </c>
      <c r="L29" s="6"/>
      <c r="M29" s="6"/>
      <c r="O29" s="6"/>
      <c r="P29" s="6"/>
      <c r="Q29" s="6"/>
    </row>
    <row r="30" spans="1:17" s="5" customFormat="1" x14ac:dyDescent="0.25">
      <c r="A30" s="4">
        <v>19</v>
      </c>
      <c r="B30" s="13" t="s">
        <v>312</v>
      </c>
      <c r="C30" s="13"/>
      <c r="D30" s="13"/>
      <c r="E30" s="13"/>
      <c r="F30" s="13"/>
      <c r="G30" s="13"/>
      <c r="H30" s="13"/>
      <c r="I30" s="13"/>
      <c r="J30" s="13"/>
      <c r="K30" s="49">
        <v>2</v>
      </c>
      <c r="L30" s="6"/>
      <c r="M30" s="6"/>
      <c r="O30" s="6"/>
      <c r="P30" s="6"/>
      <c r="Q30" s="6"/>
    </row>
    <row r="31" spans="1:17" s="5" customFormat="1" x14ac:dyDescent="0.25">
      <c r="A31" s="4">
        <v>20</v>
      </c>
      <c r="B31" s="13" t="s">
        <v>298</v>
      </c>
      <c r="C31" s="13"/>
      <c r="D31" s="13"/>
      <c r="E31" s="13"/>
      <c r="F31" s="13"/>
      <c r="G31" s="13"/>
      <c r="H31" s="13"/>
      <c r="I31" s="13"/>
      <c r="J31" s="13"/>
      <c r="K31" s="49">
        <v>2</v>
      </c>
      <c r="L31" s="6"/>
      <c r="M31" s="6"/>
      <c r="O31" s="6"/>
      <c r="P31" s="6"/>
      <c r="Q31" s="6"/>
    </row>
    <row r="32" spans="1:17" s="5" customFormat="1" x14ac:dyDescent="0.25">
      <c r="A32" s="4">
        <v>21</v>
      </c>
      <c r="B32" s="13" t="s">
        <v>313</v>
      </c>
      <c r="C32" s="13"/>
      <c r="D32" s="13"/>
      <c r="E32" s="13"/>
      <c r="F32" s="13"/>
      <c r="G32" s="13"/>
      <c r="H32" s="13"/>
      <c r="I32" s="13"/>
      <c r="J32" s="13"/>
      <c r="K32" s="51">
        <v>2</v>
      </c>
      <c r="L32" s="6"/>
      <c r="M32" s="6"/>
      <c r="O32" s="6"/>
      <c r="P32" s="6"/>
      <c r="Q32" s="6"/>
    </row>
    <row r="33" spans="1:17" s="5" customFormat="1" x14ac:dyDescent="0.25">
      <c r="A33" s="4">
        <v>22</v>
      </c>
      <c r="B33" s="13" t="s">
        <v>314</v>
      </c>
      <c r="C33" s="13"/>
      <c r="D33" s="13"/>
      <c r="E33" s="13"/>
      <c r="F33" s="13"/>
      <c r="G33" s="13"/>
      <c r="H33" s="13"/>
      <c r="I33" s="13"/>
      <c r="J33" s="13"/>
      <c r="K33" s="51">
        <v>2</v>
      </c>
      <c r="L33" s="6"/>
      <c r="M33" s="6"/>
      <c r="O33" s="6"/>
      <c r="P33" s="6"/>
      <c r="Q33" s="6"/>
    </row>
    <row r="34" spans="1:17" s="5" customFormat="1" x14ac:dyDescent="0.25">
      <c r="A34" s="4">
        <v>23</v>
      </c>
      <c r="B34" s="13" t="s">
        <v>315</v>
      </c>
      <c r="C34" s="13"/>
      <c r="D34" s="13"/>
      <c r="E34" s="13"/>
      <c r="F34" s="13"/>
      <c r="G34" s="13"/>
      <c r="H34" s="13"/>
      <c r="I34" s="13"/>
      <c r="J34" s="13"/>
      <c r="K34" s="51">
        <v>2</v>
      </c>
      <c r="L34" s="6"/>
      <c r="M34" s="6"/>
      <c r="O34" s="6"/>
      <c r="P34" s="6"/>
      <c r="Q34" s="6"/>
    </row>
    <row r="35" spans="1:17" s="5" customFormat="1" x14ac:dyDescent="0.25">
      <c r="A35" s="4">
        <v>24</v>
      </c>
      <c r="B35" s="13" t="s">
        <v>316</v>
      </c>
      <c r="C35" s="13"/>
      <c r="D35" s="13"/>
      <c r="E35" s="13"/>
      <c r="F35" s="13"/>
      <c r="G35" s="13"/>
      <c r="H35" s="13"/>
      <c r="I35" s="13"/>
      <c r="J35" s="13"/>
      <c r="K35" s="51">
        <v>2</v>
      </c>
      <c r="L35" s="6"/>
      <c r="M35" s="6"/>
      <c r="O35" s="6"/>
      <c r="P35" s="6"/>
      <c r="Q35" s="6"/>
    </row>
    <row r="36" spans="1:17" s="5" customFormat="1" x14ac:dyDescent="0.25">
      <c r="A36" s="4">
        <v>25</v>
      </c>
      <c r="B36" s="13" t="s">
        <v>297</v>
      </c>
      <c r="C36" s="13"/>
      <c r="D36" s="13"/>
      <c r="E36" s="13"/>
      <c r="F36" s="13"/>
      <c r="G36" s="13"/>
      <c r="H36" s="13"/>
      <c r="I36" s="13"/>
      <c r="J36" s="13"/>
      <c r="K36" s="51">
        <v>2</v>
      </c>
      <c r="L36" s="6"/>
      <c r="M36" s="6"/>
      <c r="O36" s="6"/>
      <c r="P36" s="6"/>
      <c r="Q36" s="6"/>
    </row>
    <row r="37" spans="1:17" s="5" customFormat="1" x14ac:dyDescent="0.25">
      <c r="A37" s="4">
        <v>26</v>
      </c>
      <c r="B37" s="13" t="s">
        <v>291</v>
      </c>
      <c r="C37" s="13"/>
      <c r="D37" s="13"/>
      <c r="E37" s="13"/>
      <c r="F37" s="13"/>
      <c r="G37" s="13"/>
      <c r="H37" s="13"/>
      <c r="I37" s="13"/>
      <c r="J37" s="13"/>
      <c r="K37" s="51">
        <v>2</v>
      </c>
      <c r="L37" s="6"/>
      <c r="M37" s="6"/>
      <c r="O37" s="6"/>
      <c r="P37" s="6"/>
      <c r="Q37" s="6"/>
    </row>
    <row r="38" spans="1:17" s="5" customFormat="1" x14ac:dyDescent="0.25">
      <c r="A38" s="4">
        <v>27</v>
      </c>
      <c r="B38" s="13" t="s">
        <v>317</v>
      </c>
      <c r="C38" s="13"/>
      <c r="D38" s="13"/>
      <c r="E38" s="13"/>
      <c r="F38" s="13"/>
      <c r="G38" s="13"/>
      <c r="H38" s="13"/>
      <c r="I38" s="13"/>
      <c r="J38" s="13"/>
      <c r="K38" s="51">
        <v>2</v>
      </c>
      <c r="L38" s="6"/>
      <c r="M38" s="6"/>
      <c r="O38" s="6"/>
      <c r="P38" s="6"/>
      <c r="Q38" s="6"/>
    </row>
    <row r="39" spans="1:17" s="5" customFormat="1" x14ac:dyDescent="0.25">
      <c r="A39" s="4">
        <v>28</v>
      </c>
      <c r="B39" s="13" t="s">
        <v>293</v>
      </c>
      <c r="C39" s="13"/>
      <c r="D39" s="13"/>
      <c r="E39" s="13"/>
      <c r="F39" s="13"/>
      <c r="G39" s="13"/>
      <c r="H39" s="13"/>
      <c r="I39" s="13"/>
      <c r="J39" s="13"/>
      <c r="K39" s="51">
        <v>2</v>
      </c>
      <c r="L39" s="6"/>
      <c r="M39" s="6"/>
      <c r="O39" s="6"/>
      <c r="P39" s="6"/>
      <c r="Q39" s="6"/>
    </row>
    <row r="40" spans="1:17" s="5" customFormat="1" x14ac:dyDescent="0.25">
      <c r="A40" s="4">
        <v>29</v>
      </c>
      <c r="B40" s="13" t="s">
        <v>318</v>
      </c>
      <c r="C40" s="13"/>
      <c r="D40" s="13"/>
      <c r="E40" s="13"/>
      <c r="F40" s="13"/>
      <c r="G40" s="13"/>
      <c r="H40" s="13"/>
      <c r="I40" s="13"/>
      <c r="J40" s="13"/>
      <c r="K40" s="51">
        <v>2</v>
      </c>
      <c r="L40" s="6"/>
      <c r="M40" s="6"/>
      <c r="O40" s="6"/>
      <c r="P40" s="6"/>
      <c r="Q40" s="6"/>
    </row>
    <row r="41" spans="1:17" s="5" customFormat="1" x14ac:dyDescent="0.25">
      <c r="A41" s="4">
        <v>30</v>
      </c>
      <c r="B41" s="13" t="s">
        <v>319</v>
      </c>
      <c r="C41" s="13"/>
      <c r="D41" s="13"/>
      <c r="E41" s="13"/>
      <c r="F41" s="13"/>
      <c r="G41" s="13"/>
      <c r="H41" s="13"/>
      <c r="I41" s="13"/>
      <c r="J41" s="13"/>
      <c r="K41" s="51">
        <v>2</v>
      </c>
      <c r="L41" s="6"/>
      <c r="M41" s="6"/>
      <c r="O41" s="6"/>
      <c r="P41" s="6"/>
      <c r="Q41" s="6"/>
    </row>
    <row r="42" spans="1:17" s="5" customFormat="1" x14ac:dyDescent="0.25">
      <c r="A42" s="4">
        <v>31</v>
      </c>
      <c r="B42" s="13" t="s">
        <v>294</v>
      </c>
      <c r="C42" s="13"/>
      <c r="D42" s="13"/>
      <c r="E42" s="13"/>
      <c r="F42" s="13"/>
      <c r="G42" s="13"/>
      <c r="H42" s="13"/>
      <c r="I42" s="13"/>
      <c r="J42" s="13"/>
      <c r="K42" s="51">
        <v>2</v>
      </c>
      <c r="L42" s="6"/>
      <c r="M42" s="6"/>
      <c r="O42" s="6"/>
      <c r="P42" s="6"/>
      <c r="Q42" s="6"/>
    </row>
    <row r="43" spans="1:17" s="5" customFormat="1" x14ac:dyDescent="0.25">
      <c r="A43" s="4">
        <v>32</v>
      </c>
      <c r="B43" s="13" t="s">
        <v>320</v>
      </c>
      <c r="C43" s="13"/>
      <c r="D43" s="13"/>
      <c r="E43" s="13"/>
      <c r="F43" s="13"/>
      <c r="G43" s="13"/>
      <c r="H43" s="13"/>
      <c r="I43" s="13"/>
      <c r="J43" s="13"/>
      <c r="K43" s="51">
        <v>2</v>
      </c>
      <c r="L43" s="6"/>
      <c r="M43" s="6"/>
      <c r="O43" s="6"/>
      <c r="P43" s="6"/>
      <c r="Q43" s="6"/>
    </row>
    <row r="44" spans="1:17" s="5" customFormat="1" x14ac:dyDescent="0.25">
      <c r="A44" s="4">
        <v>33</v>
      </c>
      <c r="B44" s="13" t="s">
        <v>321</v>
      </c>
      <c r="C44" s="13"/>
      <c r="D44" s="13"/>
      <c r="E44" s="13"/>
      <c r="F44" s="13"/>
      <c r="G44" s="13"/>
      <c r="H44" s="13"/>
      <c r="I44" s="13"/>
      <c r="J44" s="13"/>
      <c r="K44" s="51">
        <v>2</v>
      </c>
      <c r="L44" s="6"/>
      <c r="M44" s="6"/>
      <c r="O44" s="6"/>
      <c r="P44" s="6"/>
      <c r="Q44" s="6"/>
    </row>
    <row r="45" spans="1:17" s="5" customFormat="1" x14ac:dyDescent="0.25">
      <c r="A45" s="4">
        <v>34</v>
      </c>
      <c r="B45" s="13" t="s">
        <v>322</v>
      </c>
      <c r="C45" s="13"/>
      <c r="D45" s="13"/>
      <c r="E45" s="13"/>
      <c r="F45" s="13"/>
      <c r="G45" s="13"/>
      <c r="H45" s="13"/>
      <c r="I45" s="13"/>
      <c r="J45" s="13"/>
      <c r="K45" s="51">
        <v>2</v>
      </c>
      <c r="L45" s="6"/>
      <c r="M45" s="6"/>
      <c r="O45" s="6"/>
      <c r="P45" s="6"/>
      <c r="Q45" s="6"/>
    </row>
    <row r="46" spans="1:17" s="5" customFormat="1" x14ac:dyDescent="0.25">
      <c r="A46" s="4">
        <v>35</v>
      </c>
      <c r="B46" s="13" t="s">
        <v>292</v>
      </c>
      <c r="C46" s="13"/>
      <c r="D46" s="13"/>
      <c r="E46" s="13"/>
      <c r="F46" s="13"/>
      <c r="G46" s="13"/>
      <c r="H46" s="13"/>
      <c r="I46" s="13"/>
      <c r="J46" s="13"/>
      <c r="K46" s="51">
        <v>2</v>
      </c>
      <c r="L46" s="6"/>
      <c r="M46" s="6"/>
      <c r="O46" s="6"/>
      <c r="P46" s="6"/>
      <c r="Q46" s="6"/>
    </row>
    <row r="47" spans="1:17" s="5" customFormat="1" x14ac:dyDescent="0.25">
      <c r="A47" s="4">
        <v>36</v>
      </c>
      <c r="B47" s="13" t="s">
        <v>323</v>
      </c>
      <c r="C47" s="13"/>
      <c r="D47" s="13"/>
      <c r="E47" s="13"/>
      <c r="F47" s="13"/>
      <c r="G47" s="13"/>
      <c r="H47" s="13"/>
      <c r="I47" s="13"/>
      <c r="J47" s="13"/>
      <c r="K47" s="51">
        <v>2</v>
      </c>
      <c r="L47" s="6"/>
      <c r="M47" s="6"/>
      <c r="O47" s="6"/>
      <c r="P47" s="6"/>
      <c r="Q47" s="6"/>
    </row>
    <row r="48" spans="1:17" s="5" customFormat="1" x14ac:dyDescent="0.25">
      <c r="A48" s="4">
        <v>37</v>
      </c>
      <c r="B48" s="13" t="s">
        <v>324</v>
      </c>
      <c r="C48" s="13"/>
      <c r="D48" s="13"/>
      <c r="E48" s="13"/>
      <c r="F48" s="13"/>
      <c r="G48" s="13"/>
      <c r="H48" s="13"/>
      <c r="I48" s="13"/>
      <c r="J48" s="13"/>
      <c r="K48" s="51">
        <v>2</v>
      </c>
      <c r="L48" s="6"/>
      <c r="M48" s="6"/>
      <c r="O48" s="6"/>
      <c r="P48" s="6"/>
      <c r="Q48" s="6"/>
    </row>
    <row r="49" spans="1:17" s="5" customFormat="1" x14ac:dyDescent="0.25">
      <c r="A49" s="4">
        <v>38</v>
      </c>
      <c r="B49" s="13" t="s">
        <v>299</v>
      </c>
      <c r="C49" s="13"/>
      <c r="D49" s="13"/>
      <c r="E49" s="13"/>
      <c r="F49" s="13"/>
      <c r="G49" s="13"/>
      <c r="H49" s="13"/>
      <c r="I49" s="13"/>
      <c r="J49" s="13"/>
      <c r="K49" s="51">
        <v>2</v>
      </c>
      <c r="L49" s="6"/>
      <c r="M49" s="6"/>
      <c r="O49" s="6"/>
      <c r="P49" s="6"/>
      <c r="Q49" s="6"/>
    </row>
    <row r="50" spans="1:17" s="5" customFormat="1" x14ac:dyDescent="0.25">
      <c r="A50" s="4">
        <v>39</v>
      </c>
      <c r="B50" s="13" t="s">
        <v>289</v>
      </c>
      <c r="C50" s="13"/>
      <c r="D50" s="13"/>
      <c r="E50" s="13"/>
      <c r="F50" s="13"/>
      <c r="G50" s="13"/>
      <c r="H50" s="13"/>
      <c r="I50" s="13"/>
      <c r="J50" s="13"/>
      <c r="K50" s="51">
        <v>2</v>
      </c>
      <c r="L50" s="6"/>
      <c r="M50" s="6"/>
      <c r="O50" s="6"/>
      <c r="P50" s="6"/>
      <c r="Q50" s="6"/>
    </row>
    <row r="51" spans="1:17" s="5" customFormat="1" x14ac:dyDescent="0.25">
      <c r="A51" s="4">
        <v>40</v>
      </c>
      <c r="B51" s="13" t="s">
        <v>287</v>
      </c>
      <c r="C51" s="13"/>
      <c r="D51" s="13"/>
      <c r="E51" s="13"/>
      <c r="F51" s="13"/>
      <c r="G51" s="13"/>
      <c r="H51" s="13"/>
      <c r="I51" s="13"/>
      <c r="J51" s="13"/>
      <c r="K51" s="51">
        <v>2</v>
      </c>
      <c r="L51" s="6"/>
      <c r="M51" s="6"/>
      <c r="O51" s="6"/>
      <c r="P51" s="6"/>
      <c r="Q51" s="6"/>
    </row>
    <row r="52" spans="1:17" s="5" customFormat="1" x14ac:dyDescent="0.25">
      <c r="A52" s="4">
        <v>41</v>
      </c>
      <c r="B52" s="13" t="s">
        <v>285</v>
      </c>
      <c r="C52" s="13"/>
      <c r="D52" s="13"/>
      <c r="E52" s="13"/>
      <c r="F52" s="13"/>
      <c r="G52" s="13"/>
      <c r="H52" s="13"/>
      <c r="I52" s="13"/>
      <c r="J52" s="13"/>
      <c r="K52" s="51">
        <v>2</v>
      </c>
      <c r="L52" s="6"/>
      <c r="M52" s="6"/>
      <c r="O52" s="6"/>
      <c r="P52" s="6"/>
      <c r="Q52" s="6"/>
    </row>
    <row r="53" spans="1:17" s="5" customFormat="1" ht="15.75" thickBot="1" x14ac:dyDescent="0.3">
      <c r="A53" s="4">
        <v>42</v>
      </c>
      <c r="B53" s="13" t="s">
        <v>283</v>
      </c>
      <c r="C53" s="13"/>
      <c r="D53" s="13"/>
      <c r="E53" s="13"/>
      <c r="F53" s="13"/>
      <c r="G53" s="13"/>
      <c r="H53" s="13"/>
      <c r="I53" s="13"/>
      <c r="J53" s="13"/>
      <c r="K53" s="50">
        <v>2</v>
      </c>
      <c r="L53" s="6"/>
      <c r="M53" s="6"/>
      <c r="O53" s="6"/>
      <c r="P53" s="6"/>
      <c r="Q53" s="6"/>
    </row>
    <row r="54" spans="1:17" s="5" customFormat="1" x14ac:dyDescent="0.25">
      <c r="A54" s="4"/>
      <c r="B54" s="6"/>
      <c r="C54" s="15"/>
      <c r="D54" s="6"/>
      <c r="E54" s="15"/>
      <c r="G54" s="6"/>
      <c r="H54" s="6"/>
      <c r="I54" s="6"/>
      <c r="K54" s="6"/>
      <c r="L54" s="6"/>
      <c r="M54" s="6"/>
      <c r="O54" s="6"/>
      <c r="P54" s="6"/>
      <c r="Q54" s="6"/>
    </row>
    <row r="55" spans="1:17" s="5" customFormat="1" ht="134.25" customHeight="1" x14ac:dyDescent="0.25">
      <c r="A55" s="96" t="s">
        <v>720</v>
      </c>
      <c r="B55" s="96"/>
      <c r="C55" s="96"/>
      <c r="D55" s="96"/>
      <c r="E55" s="96"/>
      <c r="F55" s="96"/>
      <c r="G55" s="96"/>
      <c r="H55" s="96"/>
      <c r="I55" s="96"/>
      <c r="J55" s="96"/>
      <c r="K55" s="96"/>
      <c r="L55" s="96"/>
      <c r="M55" s="96"/>
      <c r="N55" s="96"/>
      <c r="O55" s="96"/>
      <c r="P55" s="96"/>
      <c r="Q55" s="96"/>
    </row>
    <row r="56" spans="1:17" x14ac:dyDescent="0.25">
      <c r="A56" s="4"/>
      <c r="B56" s="6"/>
      <c r="C56" s="15"/>
      <c r="D56" s="5"/>
      <c r="E56" s="15"/>
      <c r="F56" s="5"/>
      <c r="G56" s="6"/>
      <c r="H56" s="6"/>
      <c r="I56" s="6"/>
      <c r="J56" s="5"/>
      <c r="K56" s="6"/>
      <c r="L56" s="6"/>
      <c r="M56" s="6"/>
      <c r="N56" s="5"/>
      <c r="O56" s="6"/>
      <c r="P56" s="6"/>
      <c r="Q56" s="6"/>
    </row>
    <row r="57" spans="1:17" x14ac:dyDescent="0.25">
      <c r="A57" s="4"/>
      <c r="B57" s="6"/>
      <c r="C57" s="15"/>
      <c r="D57" s="5"/>
      <c r="E57" s="15"/>
      <c r="F57" s="5"/>
      <c r="G57" s="6"/>
      <c r="H57" s="6"/>
      <c r="I57" s="6"/>
      <c r="J57" s="5"/>
      <c r="K57" s="6"/>
      <c r="L57" s="6"/>
      <c r="M57" s="6"/>
      <c r="N57" s="5"/>
      <c r="O57" s="6"/>
      <c r="P57" s="6"/>
      <c r="Q57" s="6"/>
    </row>
    <row r="58" spans="1:17" x14ac:dyDescent="0.25">
      <c r="A58" s="4"/>
      <c r="B58" s="6"/>
      <c r="C58" s="15"/>
      <c r="D58" s="5"/>
      <c r="E58" s="15"/>
      <c r="F58" s="5"/>
      <c r="G58" s="6"/>
      <c r="H58" s="6"/>
      <c r="I58" s="6"/>
      <c r="J58" s="5"/>
      <c r="K58" s="6"/>
      <c r="L58" s="6"/>
      <c r="M58" s="6"/>
      <c r="N58" s="5"/>
      <c r="O58" s="6"/>
      <c r="P58" s="6"/>
      <c r="Q58" s="6"/>
    </row>
    <row r="59" spans="1:17" x14ac:dyDescent="0.25">
      <c r="A59" s="4"/>
      <c r="B59" s="6"/>
      <c r="C59" s="15"/>
      <c r="D59" s="5"/>
      <c r="E59" s="15"/>
      <c r="F59" s="5"/>
      <c r="G59" s="6"/>
      <c r="H59" s="6"/>
      <c r="I59" s="6"/>
      <c r="J59" s="5"/>
      <c r="K59" s="6"/>
      <c r="L59" s="6"/>
      <c r="M59" s="6"/>
      <c r="N59" s="5"/>
      <c r="O59" s="6"/>
      <c r="P59" s="6"/>
      <c r="Q59" s="6"/>
    </row>
    <row r="60" spans="1:17" x14ac:dyDescent="0.25">
      <c r="A60" s="4"/>
      <c r="B60" s="6"/>
      <c r="C60" s="15"/>
      <c r="D60" s="5"/>
      <c r="E60" s="15"/>
      <c r="F60" s="5"/>
      <c r="G60" s="6"/>
      <c r="H60" s="6"/>
      <c r="I60" s="6"/>
      <c r="J60" s="5"/>
      <c r="K60" s="6"/>
      <c r="L60" s="6"/>
      <c r="M60" s="6"/>
      <c r="N60" s="5"/>
      <c r="O60" s="6"/>
      <c r="P60" s="6"/>
      <c r="Q60" s="6"/>
    </row>
    <row r="61" spans="1:17" x14ac:dyDescent="0.25">
      <c r="A61" s="4"/>
      <c r="B61" s="6"/>
      <c r="C61" s="15"/>
      <c r="D61" s="5"/>
      <c r="E61" s="15"/>
      <c r="F61" s="5"/>
      <c r="G61" s="6"/>
      <c r="H61" s="6"/>
      <c r="I61" s="6"/>
      <c r="J61" s="5"/>
      <c r="K61" s="6"/>
      <c r="L61" s="6"/>
      <c r="M61" s="6"/>
      <c r="N61" s="5"/>
      <c r="O61" s="6"/>
      <c r="P61" s="6"/>
      <c r="Q61" s="6"/>
    </row>
    <row r="62" spans="1:17" x14ac:dyDescent="0.25">
      <c r="A62" s="4"/>
      <c r="B62" s="6"/>
      <c r="C62" s="15"/>
      <c r="D62" s="5"/>
      <c r="E62" s="15"/>
      <c r="F62" s="5"/>
      <c r="G62" s="6"/>
      <c r="H62" s="6"/>
      <c r="I62" s="6"/>
      <c r="J62" s="5"/>
      <c r="K62" s="6"/>
      <c r="L62" s="6"/>
      <c r="M62" s="6"/>
      <c r="N62" s="5"/>
      <c r="O62" s="6"/>
      <c r="P62" s="6"/>
      <c r="Q62" s="6"/>
    </row>
    <row r="63" spans="1:17" x14ac:dyDescent="0.25">
      <c r="A63" s="4"/>
      <c r="B63" s="6"/>
      <c r="C63" s="15"/>
      <c r="D63" s="5"/>
      <c r="E63" s="15"/>
      <c r="F63" s="5"/>
      <c r="G63" s="6"/>
      <c r="H63" s="6"/>
      <c r="I63" s="6"/>
      <c r="J63" s="5"/>
      <c r="K63" s="6"/>
      <c r="L63" s="6"/>
      <c r="M63" s="6"/>
      <c r="N63" s="5"/>
      <c r="O63" s="6"/>
      <c r="P63" s="6"/>
      <c r="Q63" s="6"/>
    </row>
    <row r="64" spans="1:17" x14ac:dyDescent="0.25">
      <c r="A64" s="4"/>
      <c r="B64" s="6"/>
      <c r="C64" s="15"/>
      <c r="D64" s="5"/>
      <c r="E64" s="15"/>
      <c r="F64" s="5"/>
      <c r="G64" s="6"/>
      <c r="H64" s="6"/>
      <c r="I64" s="6"/>
      <c r="J64" s="5"/>
      <c r="K64" s="6"/>
      <c r="L64" s="6"/>
      <c r="M64" s="6"/>
      <c r="N64" s="5"/>
      <c r="O64" s="6"/>
      <c r="P64" s="6"/>
      <c r="Q64" s="6"/>
    </row>
    <row r="65" spans="1:17" x14ac:dyDescent="0.25">
      <c r="A65" s="4"/>
      <c r="B65" s="6"/>
      <c r="C65" s="15"/>
      <c r="D65" s="5"/>
      <c r="E65" s="15"/>
      <c r="F65" s="5"/>
      <c r="G65" s="6"/>
      <c r="H65" s="6"/>
      <c r="I65" s="6"/>
      <c r="J65" s="5"/>
      <c r="K65" s="6"/>
      <c r="L65" s="6"/>
      <c r="M65" s="6"/>
      <c r="N65" s="5"/>
      <c r="O65" s="6"/>
      <c r="P65" s="6"/>
      <c r="Q65" s="6"/>
    </row>
    <row r="66" spans="1:17" x14ac:dyDescent="0.25">
      <c r="A66" s="4"/>
      <c r="B66" s="6"/>
      <c r="C66" s="15"/>
      <c r="D66" s="5"/>
      <c r="E66" s="15"/>
      <c r="F66" s="5"/>
      <c r="G66" s="6"/>
      <c r="H66" s="6"/>
      <c r="I66" s="6"/>
      <c r="J66" s="5"/>
      <c r="K66" s="6"/>
      <c r="L66" s="6"/>
      <c r="M66" s="6"/>
      <c r="N66" s="5"/>
      <c r="O66" s="6"/>
      <c r="P66" s="6"/>
      <c r="Q66" s="6"/>
    </row>
    <row r="67" spans="1:17" x14ac:dyDescent="0.25">
      <c r="A67" s="4"/>
      <c r="B67" s="6"/>
      <c r="C67" s="15"/>
      <c r="D67" s="5"/>
      <c r="E67" s="15"/>
      <c r="F67" s="5"/>
      <c r="G67" s="6"/>
      <c r="H67" s="6"/>
      <c r="I67" s="6"/>
      <c r="J67" s="5"/>
      <c r="K67" s="6"/>
      <c r="L67" s="6"/>
      <c r="M67" s="6"/>
      <c r="N67" s="5"/>
      <c r="O67" s="6"/>
      <c r="P67" s="6"/>
      <c r="Q67" s="6"/>
    </row>
    <row r="68" spans="1:17" x14ac:dyDescent="0.25">
      <c r="A68" s="4"/>
      <c r="B68" s="6"/>
      <c r="C68" s="15"/>
      <c r="D68" s="5"/>
      <c r="E68" s="15"/>
      <c r="F68" s="5"/>
      <c r="G68" s="6"/>
      <c r="H68" s="6"/>
      <c r="I68" s="6"/>
      <c r="J68" s="5"/>
      <c r="K68" s="6"/>
      <c r="L68" s="6"/>
      <c r="M68" s="6"/>
      <c r="N68" s="5"/>
      <c r="O68" s="6"/>
      <c r="P68" s="6"/>
      <c r="Q68" s="6"/>
    </row>
    <row r="69" spans="1:17" x14ac:dyDescent="0.25">
      <c r="A69" s="4"/>
      <c r="B69" s="6"/>
      <c r="C69" s="15"/>
      <c r="D69" s="5"/>
      <c r="E69" s="15"/>
      <c r="F69" s="5"/>
      <c r="G69" s="6"/>
      <c r="H69" s="6"/>
      <c r="I69" s="6"/>
      <c r="J69" s="5"/>
      <c r="K69" s="6"/>
      <c r="L69" s="6"/>
      <c r="M69" s="6"/>
      <c r="N69" s="5"/>
      <c r="O69" s="6"/>
      <c r="P69" s="6"/>
      <c r="Q69" s="6"/>
    </row>
    <row r="70" spans="1:17" x14ac:dyDescent="0.25">
      <c r="A70" s="4"/>
      <c r="B70" s="6"/>
      <c r="C70" s="15"/>
      <c r="D70" s="5"/>
      <c r="E70" s="15"/>
      <c r="F70" s="5"/>
      <c r="G70" s="6"/>
      <c r="H70" s="6"/>
      <c r="I70" s="6"/>
      <c r="J70" s="5"/>
      <c r="K70" s="6"/>
      <c r="L70" s="6"/>
      <c r="M70" s="6"/>
      <c r="N70" s="5"/>
      <c r="O70" s="6"/>
      <c r="P70" s="6"/>
      <c r="Q70" s="6"/>
    </row>
    <row r="71" spans="1:17" x14ac:dyDescent="0.25">
      <c r="A71" s="4"/>
      <c r="B71" s="6"/>
      <c r="C71" s="15"/>
      <c r="D71" s="5"/>
      <c r="E71" s="15"/>
      <c r="F71" s="5"/>
      <c r="G71" s="6"/>
      <c r="H71" s="6"/>
      <c r="I71" s="6"/>
      <c r="J71" s="5"/>
      <c r="K71" s="6"/>
      <c r="L71" s="6"/>
      <c r="M71" s="6"/>
      <c r="N71" s="5"/>
      <c r="O71" s="6"/>
      <c r="P71" s="6"/>
      <c r="Q71" s="6"/>
    </row>
  </sheetData>
  <mergeCells count="7">
    <mergeCell ref="A55:Q55"/>
    <mergeCell ref="G2:I2"/>
    <mergeCell ref="K2:M2"/>
    <mergeCell ref="O2:Q2"/>
    <mergeCell ref="H3:I3"/>
    <mergeCell ref="L3:M3"/>
    <mergeCell ref="P3:Q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557B-D49A-4EAF-90E8-E011A07BEBF5}">
  <dimension ref="A1:AD50"/>
  <sheetViews>
    <sheetView zoomScale="166" zoomScaleNormal="166" workbookViewId="0">
      <selection activeCell="A50" sqref="A50:Q50"/>
    </sheetView>
  </sheetViews>
  <sheetFormatPr defaultRowHeight="15" x14ac:dyDescent="0.25"/>
  <cols>
    <col min="1" max="1" width="24.710937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822</v>
      </c>
      <c r="B1" s="35"/>
      <c r="C1" s="35"/>
      <c r="D1" s="35"/>
      <c r="E1" s="88"/>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251</v>
      </c>
      <c r="C2" s="15"/>
      <c r="D2" s="5"/>
      <c r="E2" s="15"/>
      <c r="F2" s="5"/>
      <c r="G2" s="97" t="s">
        <v>3</v>
      </c>
      <c r="H2" s="97"/>
      <c r="I2" s="97"/>
      <c r="J2" s="5"/>
      <c r="K2" s="6"/>
      <c r="L2" s="6"/>
      <c r="M2" s="6"/>
      <c r="N2" s="5"/>
      <c r="O2" s="6"/>
      <c r="P2" s="6"/>
      <c r="Q2" s="6"/>
    </row>
    <row r="3" spans="1:30" x14ac:dyDescent="0.25">
      <c r="A3" s="4"/>
      <c r="C3" s="15"/>
      <c r="D3" s="5"/>
      <c r="E3" s="15"/>
      <c r="F3" s="5"/>
      <c r="G3" s="6" t="s">
        <v>40</v>
      </c>
      <c r="H3" s="97" t="s">
        <v>67</v>
      </c>
      <c r="I3" s="97"/>
      <c r="J3" s="5"/>
      <c r="K3" s="6"/>
      <c r="L3" s="6"/>
      <c r="M3" s="6"/>
      <c r="N3" s="5"/>
      <c r="O3" s="6"/>
      <c r="P3" s="6"/>
      <c r="Q3" s="6"/>
    </row>
    <row r="4" spans="1:30" ht="15.75" thickBot="1" x14ac:dyDescent="0.3">
      <c r="A4" s="4" t="s">
        <v>37</v>
      </c>
      <c r="B4" s="6" t="s">
        <v>38</v>
      </c>
      <c r="C4" s="15" t="s">
        <v>64</v>
      </c>
      <c r="D4" s="5"/>
      <c r="E4" s="15" t="s">
        <v>39</v>
      </c>
      <c r="F4" s="5"/>
      <c r="G4" s="6"/>
      <c r="H4" s="6" t="s">
        <v>61</v>
      </c>
      <c r="I4" s="6" t="s">
        <v>62</v>
      </c>
      <c r="J4" s="5"/>
      <c r="K4" s="6"/>
      <c r="L4" s="6"/>
      <c r="M4" s="6"/>
      <c r="N4" s="5"/>
      <c r="O4" s="6"/>
      <c r="P4" s="6"/>
      <c r="Q4" s="6"/>
    </row>
    <row r="5" spans="1:30" x14ac:dyDescent="0.25">
      <c r="A5" s="4" t="s">
        <v>789</v>
      </c>
      <c r="B5" s="6" t="s">
        <v>788</v>
      </c>
      <c r="C5" s="15">
        <f>IF(COUNTBLANK($K$13:$K$48)=O140,AVERAGE(K13,K14,K15,K16,K17),IF(ISNUMBER($E5),$E5,"?"))</f>
        <v>1.6</v>
      </c>
      <c r="D5" s="5"/>
      <c r="E5" s="32">
        <v>2.93</v>
      </c>
      <c r="F5" s="5"/>
      <c r="G5" s="20">
        <f>IF(C5="?","?",IF(E5="","?",39.728+(3946.61-39.728)*(1-EXP(-EXP(0.614*(LN(E5+0.0001)-LN(9380.531)))))))</f>
        <v>67.145013434403538</v>
      </c>
      <c r="H5" s="23">
        <f>IF(C5="?","?",IF(E5="","?",13.244+(101.324-13.244)*(1-EXP(-EXP(0.927*(LN(E5+0.0001)-LN(1.049)))))))</f>
        <v>94.725742753743063</v>
      </c>
      <c r="I5" s="24">
        <f>IF(C5="?","?",IF(E5="","?",3.23+21.23*E5-6.535*E5^2+2.059*E5^3-0.187*E5^4))</f>
        <v>47.341169165130012</v>
      </c>
      <c r="J5" s="5"/>
      <c r="K5" s="95"/>
      <c r="L5" s="94"/>
      <c r="M5" s="94"/>
      <c r="N5" s="93"/>
      <c r="O5" s="95"/>
      <c r="P5" s="94"/>
      <c r="Q5" s="94"/>
    </row>
    <row r="6" spans="1:30" x14ac:dyDescent="0.25">
      <c r="A6" s="4" t="s">
        <v>790</v>
      </c>
      <c r="B6" s="6" t="s">
        <v>788</v>
      </c>
      <c r="C6" s="15">
        <f>IF(COUNTBLANK($K$13:$K$48)=0,AVERAGE(K18,K19,K21,K27,K46),IF(ISNUMBER($E6),$E6,"?"))</f>
        <v>1.2</v>
      </c>
      <c r="D6" s="5"/>
      <c r="E6" s="33">
        <v>3.21</v>
      </c>
      <c r="F6" s="5"/>
      <c r="G6" s="21">
        <f>IF(C6="?","?",IF(E6="","?",40.236+(124.611-40.236)*(1-EXP(-EXP(0.538*(LN(E6+0.0001)-LN(8.338)))))))</f>
        <v>78.229853496801795</v>
      </c>
      <c r="H6" s="25">
        <f>IF(C6="?","?",IF(E6="","?",105.151+(16.993-105.151)/((1+(E6/0.155)^2.052)^0.477)))</f>
        <v>100.61603615954792</v>
      </c>
      <c r="I6" s="26">
        <f>IF(C6="?","?",IF(E6="","?",0.796+5.813*E6+0.619*E6^2+1.185*E6^3-0.166*E6^4))</f>
        <v>47.404255534539985</v>
      </c>
      <c r="J6" s="5"/>
      <c r="K6" s="95"/>
      <c r="L6" s="94"/>
      <c r="M6" s="94"/>
      <c r="N6" s="93"/>
      <c r="O6" s="95"/>
      <c r="P6" s="94"/>
      <c r="Q6" s="94"/>
    </row>
    <row r="7" spans="1:30" x14ac:dyDescent="0.25">
      <c r="A7" s="4" t="s">
        <v>791</v>
      </c>
      <c r="B7" s="6" t="s">
        <v>788</v>
      </c>
      <c r="C7" s="15">
        <f>IF(COUNTBLANK($K$13:$K$48)=0,AVERAGE(K23,K26,K41,K43,K44),IF(ISNUMBER($E7),$E7,"?"))</f>
        <v>1.6</v>
      </c>
      <c r="D7" s="5"/>
      <c r="E7" s="33">
        <v>1.6</v>
      </c>
      <c r="F7" s="5"/>
      <c r="G7" s="21">
        <f>IF(C7="?","?",IF(E7="","?",38.882+(9375.828-38.882)*(1-EXP(-EXP(0.669*(LN(E7+0.0001)-LN(17971.501)))))))</f>
        <v>57.080632589909825</v>
      </c>
      <c r="H7" s="25">
        <f>IF(C7="?","?",IF(E7="","?",9.295+(108.47-9.295)*(1-EXP(-EXP(0.811*(LN(E7+0.0001)-LN(1.418)))))))</f>
        <v>75.554592305785647</v>
      </c>
      <c r="I7" s="26">
        <f>IF(C7="?","?",IF(E7="","?",-1.98+(113.431+1.98)/((1+EXP(-1.504*(E7-5.46)))^0.468)))</f>
        <v>5.635203114384856</v>
      </c>
      <c r="J7" s="5"/>
      <c r="K7" s="95"/>
      <c r="L7" s="94"/>
      <c r="M7" s="94"/>
      <c r="N7" s="93"/>
      <c r="O7" s="95"/>
      <c r="P7" s="94"/>
      <c r="Q7" s="94"/>
    </row>
    <row r="8" spans="1:30" x14ac:dyDescent="0.25">
      <c r="A8" s="4" t="s">
        <v>823</v>
      </c>
      <c r="B8" s="6" t="s">
        <v>788</v>
      </c>
      <c r="C8" s="15">
        <f>IF(COUNTBLANK($K$13:$K$48)=0,AVERAGE(K22,K23,K24,K25,K42,K45,K47,K48),IF(ISNUMBER($E8),$E8,"?"))</f>
        <v>2.375</v>
      </c>
      <c r="D8" s="5"/>
      <c r="E8" s="89">
        <v>2.38</v>
      </c>
      <c r="F8" s="5"/>
      <c r="G8" s="21">
        <f>IF(C8="?","?",IF(E8="","?",32.748+(2471.689-32.748)*(1-EXP(-EXP(0.536*(LN(E8+0.0001)-LN(9638.769)))))))</f>
        <v>61.002843624825992</v>
      </c>
      <c r="H8" s="25">
        <f>IF(C8="?","?",IF(E8="","?",108.851+(3.446-108.851)/((1+(E8/1.927)^1.194)^1.806)))</f>
        <v>85.185129527852951</v>
      </c>
      <c r="I8" s="26">
        <f>IF(C8="?","?",IF(E8="","?",-1.445+(139.905+1.445)/((1+EXP(-1.5*(E8-6.227)))^0.459)))</f>
        <v>8.540664935423262</v>
      </c>
      <c r="J8" s="5"/>
      <c r="K8" s="95"/>
      <c r="L8" s="94"/>
      <c r="M8" s="94"/>
      <c r="N8" s="93"/>
      <c r="O8" s="95"/>
      <c r="P8" s="94"/>
      <c r="Q8" s="94"/>
    </row>
    <row r="9" spans="1:30" ht="15.75" thickBot="1" x14ac:dyDescent="0.3">
      <c r="A9" s="4" t="s">
        <v>824</v>
      </c>
      <c r="B9" s="6" t="s">
        <v>788</v>
      </c>
      <c r="C9" s="15">
        <f>IF(COUNTBLANK($K$13:$K$48)=0,AVERAGE(C5,C6,C7,C8),IF(ISNUMBER($E9),$E9,"?"))</f>
        <v>1.6937500000000001</v>
      </c>
      <c r="D9" s="5"/>
      <c r="E9" s="53">
        <v>4</v>
      </c>
      <c r="F9" s="5"/>
      <c r="G9" s="22">
        <f>IF(C9="?","?",IF(E9="","?",29.647+(908.759-29.647)*(1-EXP(-EXP(0.436*(LN(E9+0.0001)-LN(3389.858)))))))</f>
        <v>74.932007503262483</v>
      </c>
      <c r="H9" s="27">
        <f>IF(C9="?","?",IF(E9="","?",108.55+(0.944-108.55)/((1+(E9/2.061)^1.044)^2.526)))</f>
        <v>101.83165011285148</v>
      </c>
      <c r="I9" s="28">
        <f>IF(C9="?","?",IF(E9="","?",-1.119+7.875*E9-7.043*E9^2+3.573*E9^3-0.358*E9^4))</f>
        <v>54.717000000000013</v>
      </c>
      <c r="J9" s="5"/>
      <c r="K9" s="95"/>
      <c r="L9" s="94"/>
      <c r="M9" s="94"/>
      <c r="N9" s="93"/>
      <c r="O9" s="95"/>
      <c r="P9" s="94"/>
      <c r="Q9" s="94"/>
    </row>
    <row r="10" spans="1:30" s="31" customFormat="1" ht="15.75" thickBot="1" x14ac:dyDescent="0.3">
      <c r="A10" s="29"/>
      <c r="B10" s="19"/>
      <c r="C10" s="34"/>
      <c r="D10" s="30"/>
      <c r="E10" s="34"/>
      <c r="F10" s="30"/>
      <c r="G10" s="19"/>
      <c r="H10" s="19"/>
      <c r="I10" s="19"/>
      <c r="J10" s="30"/>
      <c r="K10" s="19"/>
      <c r="L10" s="19"/>
      <c r="M10" s="19"/>
      <c r="N10" s="30"/>
      <c r="O10" s="19"/>
      <c r="P10" s="19"/>
      <c r="Q10" s="19"/>
      <c r="R10" s="30"/>
      <c r="S10" s="30"/>
      <c r="T10" s="30"/>
      <c r="U10" s="30"/>
      <c r="V10" s="30"/>
      <c r="W10" s="30"/>
      <c r="X10" s="30"/>
      <c r="Y10" s="30"/>
      <c r="Z10" s="30"/>
      <c r="AA10" s="30"/>
      <c r="AB10" s="30"/>
      <c r="AC10" s="30"/>
      <c r="AD10" s="30"/>
    </row>
    <row r="11" spans="1:30" s="5" customFormat="1" x14ac:dyDescent="0.25">
      <c r="A11" s="4"/>
      <c r="B11" s="6"/>
      <c r="C11" s="15"/>
      <c r="E11" s="15"/>
      <c r="G11" s="6"/>
      <c r="H11" s="6"/>
      <c r="I11" s="6"/>
      <c r="K11" s="6"/>
      <c r="L11" s="6"/>
      <c r="M11" s="6"/>
      <c r="O11" s="6"/>
      <c r="P11" s="6"/>
      <c r="Q11" s="6"/>
    </row>
    <row r="12" spans="1:30" s="5" customFormat="1" ht="16.5" thickBot="1" x14ac:dyDescent="0.3">
      <c r="A12" s="1" t="s">
        <v>15</v>
      </c>
      <c r="B12" s="2" t="s">
        <v>14</v>
      </c>
      <c r="C12" s="14"/>
      <c r="D12" s="2"/>
      <c r="E12" s="14"/>
      <c r="F12" s="3"/>
      <c r="G12" s="2"/>
      <c r="H12" s="2"/>
      <c r="I12" s="2"/>
      <c r="J12" s="3"/>
      <c r="K12" s="2" t="s">
        <v>36</v>
      </c>
      <c r="L12" s="2"/>
      <c r="M12" s="2"/>
      <c r="N12" s="3"/>
      <c r="O12" s="2"/>
      <c r="P12" s="2"/>
      <c r="Q12" s="2"/>
    </row>
    <row r="13" spans="1:30" s="5" customFormat="1" x14ac:dyDescent="0.25">
      <c r="A13" s="4">
        <v>1</v>
      </c>
      <c r="B13" s="90" t="s">
        <v>792</v>
      </c>
      <c r="C13" s="91"/>
      <c r="D13" s="91"/>
      <c r="E13" s="92"/>
      <c r="F13" s="91"/>
      <c r="G13" s="91"/>
      <c r="H13" s="91"/>
      <c r="I13" s="91"/>
      <c r="J13" s="13"/>
      <c r="K13" s="48">
        <v>2</v>
      </c>
      <c r="L13" s="6"/>
      <c r="M13" s="6"/>
      <c r="O13" s="6"/>
      <c r="P13" s="6"/>
      <c r="Q13" s="6"/>
    </row>
    <row r="14" spans="1:30" s="5" customFormat="1" x14ac:dyDescent="0.25">
      <c r="A14" s="4">
        <v>2</v>
      </c>
      <c r="B14" s="90" t="s">
        <v>793</v>
      </c>
      <c r="C14" s="91"/>
      <c r="D14" s="91"/>
      <c r="E14" s="92"/>
      <c r="F14" s="91"/>
      <c r="G14" s="91"/>
      <c r="H14" s="91"/>
      <c r="I14" s="91"/>
      <c r="J14" s="13"/>
      <c r="K14" s="49">
        <v>2</v>
      </c>
      <c r="L14" s="6"/>
      <c r="M14" s="6"/>
      <c r="O14" s="6"/>
      <c r="P14" s="6"/>
      <c r="Q14" s="6"/>
    </row>
    <row r="15" spans="1:30" s="5" customFormat="1" x14ac:dyDescent="0.25">
      <c r="A15" s="4">
        <v>3</v>
      </c>
      <c r="B15" s="90" t="s">
        <v>794</v>
      </c>
      <c r="C15" s="91"/>
      <c r="D15" s="91"/>
      <c r="E15" s="92"/>
      <c r="F15" s="91"/>
      <c r="G15" s="91"/>
      <c r="H15" s="91"/>
      <c r="I15" s="91"/>
      <c r="J15" s="13"/>
      <c r="K15" s="49">
        <v>1</v>
      </c>
      <c r="L15" s="6"/>
      <c r="M15" s="6"/>
      <c r="O15" s="6"/>
      <c r="P15" s="6"/>
      <c r="Q15" s="6"/>
    </row>
    <row r="16" spans="1:30" s="5" customFormat="1" x14ac:dyDescent="0.25">
      <c r="A16" s="4">
        <v>4</v>
      </c>
      <c r="B16" s="90" t="s">
        <v>795</v>
      </c>
      <c r="C16" s="91"/>
      <c r="D16" s="91"/>
      <c r="E16" s="92"/>
      <c r="F16" s="91"/>
      <c r="G16" s="91"/>
      <c r="H16" s="91"/>
      <c r="I16" s="91"/>
      <c r="J16" s="13"/>
      <c r="K16" s="49">
        <v>2</v>
      </c>
      <c r="L16" s="6"/>
      <c r="M16" s="6"/>
      <c r="O16" s="6"/>
      <c r="P16" s="6"/>
      <c r="Q16" s="6"/>
    </row>
    <row r="17" spans="1:17" s="5" customFormat="1" x14ac:dyDescent="0.25">
      <c r="A17" s="4">
        <v>5</v>
      </c>
      <c r="B17" s="90" t="s">
        <v>796</v>
      </c>
      <c r="C17" s="91"/>
      <c r="D17" s="91"/>
      <c r="E17" s="92"/>
      <c r="F17" s="91"/>
      <c r="G17" s="91"/>
      <c r="H17" s="91"/>
      <c r="I17" s="91"/>
      <c r="J17" s="13"/>
      <c r="K17" s="49">
        <v>1</v>
      </c>
      <c r="L17" s="6"/>
      <c r="M17" s="6"/>
      <c r="O17" s="6"/>
      <c r="P17" s="6"/>
      <c r="Q17" s="6"/>
    </row>
    <row r="18" spans="1:17" s="5" customFormat="1" x14ac:dyDescent="0.25">
      <c r="A18" s="4">
        <v>6</v>
      </c>
      <c r="B18" s="90" t="s">
        <v>797</v>
      </c>
      <c r="C18" s="91"/>
      <c r="D18" s="91"/>
      <c r="E18" s="92"/>
      <c r="F18" s="91"/>
      <c r="G18" s="91"/>
      <c r="H18" s="91"/>
      <c r="I18" s="91"/>
      <c r="J18" s="13"/>
      <c r="K18" s="49">
        <v>2</v>
      </c>
      <c r="L18" s="6"/>
      <c r="M18" s="6"/>
      <c r="O18" s="6"/>
      <c r="P18" s="6"/>
      <c r="Q18" s="6"/>
    </row>
    <row r="19" spans="1:17" s="5" customFormat="1" x14ac:dyDescent="0.25">
      <c r="A19" s="4">
        <v>7</v>
      </c>
      <c r="B19" s="90" t="s">
        <v>798</v>
      </c>
      <c r="C19" s="91"/>
      <c r="D19" s="91"/>
      <c r="E19" s="92"/>
      <c r="F19" s="91"/>
      <c r="G19" s="91"/>
      <c r="H19" s="91"/>
      <c r="I19" s="91"/>
      <c r="J19" s="13"/>
      <c r="K19" s="49">
        <v>1</v>
      </c>
      <c r="L19" s="6"/>
      <c r="M19" s="6"/>
      <c r="O19" s="6"/>
      <c r="P19" s="6"/>
      <c r="Q19" s="6"/>
    </row>
    <row r="20" spans="1:17" s="5" customFormat="1" x14ac:dyDescent="0.25">
      <c r="A20" s="4">
        <v>8</v>
      </c>
      <c r="B20" s="90" t="s">
        <v>799</v>
      </c>
      <c r="C20" s="91"/>
      <c r="D20" s="91"/>
      <c r="E20" s="92"/>
      <c r="F20" s="91"/>
      <c r="G20" s="91"/>
      <c r="H20" s="91"/>
      <c r="I20" s="91"/>
      <c r="J20" s="13"/>
      <c r="K20" s="49">
        <v>2</v>
      </c>
      <c r="L20" s="6"/>
      <c r="M20" s="6"/>
      <c r="O20" s="6"/>
      <c r="P20" s="6"/>
      <c r="Q20" s="6"/>
    </row>
    <row r="21" spans="1:17" s="5" customFormat="1" x14ac:dyDescent="0.25">
      <c r="A21" s="4">
        <v>9</v>
      </c>
      <c r="B21" s="90" t="s">
        <v>800</v>
      </c>
      <c r="C21" s="91"/>
      <c r="D21" s="91"/>
      <c r="E21" s="92"/>
      <c r="F21" s="91"/>
      <c r="G21" s="91"/>
      <c r="H21" s="91"/>
      <c r="I21" s="91"/>
      <c r="J21" s="13"/>
      <c r="K21" s="49">
        <v>1</v>
      </c>
      <c r="L21" s="6"/>
      <c r="M21" s="6"/>
      <c r="O21" s="6"/>
      <c r="P21" s="6"/>
      <c r="Q21" s="6"/>
    </row>
    <row r="22" spans="1:17" s="5" customFormat="1" x14ac:dyDescent="0.25">
      <c r="A22" s="4">
        <v>10</v>
      </c>
      <c r="B22" s="90" t="s">
        <v>801</v>
      </c>
      <c r="C22" s="91"/>
      <c r="D22" s="91"/>
      <c r="E22" s="92"/>
      <c r="F22" s="91"/>
      <c r="G22" s="91"/>
      <c r="H22" s="91"/>
      <c r="I22" s="91"/>
      <c r="J22" s="13"/>
      <c r="K22" s="49">
        <v>2</v>
      </c>
      <c r="L22" s="6"/>
      <c r="M22" s="6"/>
      <c r="O22" s="6"/>
      <c r="P22" s="6"/>
      <c r="Q22" s="6"/>
    </row>
    <row r="23" spans="1:17" s="5" customFormat="1" x14ac:dyDescent="0.25">
      <c r="A23" s="4">
        <v>11</v>
      </c>
      <c r="B23" s="90" t="s">
        <v>802</v>
      </c>
      <c r="C23" s="91"/>
      <c r="D23" s="91"/>
      <c r="E23" s="92"/>
      <c r="F23" s="91"/>
      <c r="G23" s="91"/>
      <c r="H23" s="91"/>
      <c r="I23" s="91"/>
      <c r="J23" s="13"/>
      <c r="K23" s="49">
        <v>1</v>
      </c>
      <c r="L23" s="6"/>
      <c r="M23" s="6"/>
      <c r="O23" s="6"/>
      <c r="P23" s="6"/>
      <c r="Q23" s="6"/>
    </row>
    <row r="24" spans="1:17" s="5" customFormat="1" x14ac:dyDescent="0.25">
      <c r="A24" s="4">
        <v>12</v>
      </c>
      <c r="B24" s="90" t="s">
        <v>803</v>
      </c>
      <c r="C24" s="91"/>
      <c r="D24" s="91"/>
      <c r="E24" s="92"/>
      <c r="F24" s="91"/>
      <c r="G24" s="91"/>
      <c r="H24" s="91"/>
      <c r="I24" s="91"/>
      <c r="J24" s="13"/>
      <c r="K24" s="49">
        <v>3</v>
      </c>
      <c r="L24" s="6"/>
      <c r="M24" s="6"/>
      <c r="O24" s="6"/>
      <c r="P24" s="6"/>
      <c r="Q24" s="6"/>
    </row>
    <row r="25" spans="1:17" s="5" customFormat="1" x14ac:dyDescent="0.25">
      <c r="A25" s="4">
        <v>13</v>
      </c>
      <c r="B25" s="90" t="s">
        <v>804</v>
      </c>
      <c r="C25" s="91"/>
      <c r="D25" s="91"/>
      <c r="E25" s="92"/>
      <c r="F25" s="91"/>
      <c r="G25" s="91"/>
      <c r="H25" s="91"/>
      <c r="I25" s="91"/>
      <c r="J25" s="13"/>
      <c r="K25" s="49">
        <v>1</v>
      </c>
      <c r="L25" s="6"/>
      <c r="M25" s="6"/>
      <c r="O25" s="6"/>
      <c r="P25" s="6"/>
      <c r="Q25" s="6"/>
    </row>
    <row r="26" spans="1:17" s="5" customFormat="1" x14ac:dyDescent="0.25">
      <c r="A26" s="4">
        <v>14</v>
      </c>
      <c r="B26" s="90" t="s">
        <v>805</v>
      </c>
      <c r="C26" s="91"/>
      <c r="D26" s="91"/>
      <c r="E26" s="92"/>
      <c r="F26" s="91"/>
      <c r="G26" s="91"/>
      <c r="H26" s="91"/>
      <c r="I26" s="91"/>
      <c r="J26" s="13"/>
      <c r="K26" s="49">
        <v>2</v>
      </c>
      <c r="L26" s="6"/>
      <c r="M26" s="6"/>
      <c r="O26" s="6"/>
      <c r="P26" s="6"/>
      <c r="Q26" s="6"/>
    </row>
    <row r="27" spans="1:17" s="5" customFormat="1" x14ac:dyDescent="0.25">
      <c r="A27" s="4">
        <v>15</v>
      </c>
      <c r="B27" s="90" t="s">
        <v>806</v>
      </c>
      <c r="C27" s="91"/>
      <c r="D27" s="91"/>
      <c r="E27" s="92"/>
      <c r="F27" s="91"/>
      <c r="G27" s="91"/>
      <c r="H27" s="91"/>
      <c r="I27" s="91"/>
      <c r="J27" s="13"/>
      <c r="K27" s="49">
        <v>1</v>
      </c>
      <c r="L27" s="6"/>
      <c r="M27" s="6"/>
      <c r="O27" s="6"/>
      <c r="P27" s="6"/>
      <c r="Q27" s="6"/>
    </row>
    <row r="28" spans="1:17" s="5" customFormat="1" x14ac:dyDescent="0.25">
      <c r="A28" s="4">
        <v>16</v>
      </c>
      <c r="B28" s="90" t="s">
        <v>807</v>
      </c>
      <c r="C28" s="91"/>
      <c r="D28" s="91"/>
      <c r="E28" s="92"/>
      <c r="F28" s="91"/>
      <c r="G28" s="91"/>
      <c r="H28" s="91"/>
      <c r="I28" s="91"/>
      <c r="J28" s="13"/>
      <c r="K28" s="49">
        <v>1</v>
      </c>
      <c r="L28" s="6"/>
      <c r="M28" s="6"/>
      <c r="O28" s="6"/>
      <c r="P28" s="6"/>
      <c r="Q28" s="6"/>
    </row>
    <row r="29" spans="1:17" s="5" customFormat="1" x14ac:dyDescent="0.25">
      <c r="A29" s="4">
        <v>17</v>
      </c>
      <c r="B29" s="90" t="s">
        <v>808</v>
      </c>
      <c r="C29" s="91"/>
      <c r="D29" s="91"/>
      <c r="E29" s="92"/>
      <c r="F29" s="91"/>
      <c r="G29" s="91"/>
      <c r="H29" s="91"/>
      <c r="I29" s="91"/>
      <c r="J29" s="13"/>
      <c r="K29" s="49">
        <v>2</v>
      </c>
      <c r="L29" s="6"/>
      <c r="M29" s="6"/>
      <c r="O29" s="6"/>
      <c r="P29" s="6"/>
      <c r="Q29" s="6"/>
    </row>
    <row r="30" spans="1:17" s="5" customFormat="1" x14ac:dyDescent="0.25">
      <c r="A30" s="4">
        <v>18</v>
      </c>
      <c r="B30" s="90" t="s">
        <v>809</v>
      </c>
      <c r="C30" s="91"/>
      <c r="D30" s="91"/>
      <c r="E30" s="92"/>
      <c r="F30" s="91"/>
      <c r="G30" s="91"/>
      <c r="H30" s="91"/>
      <c r="I30" s="91"/>
      <c r="J30" s="13"/>
      <c r="K30" s="49">
        <v>3</v>
      </c>
      <c r="L30" s="6"/>
      <c r="M30" s="6"/>
      <c r="O30" s="6"/>
      <c r="P30" s="6"/>
      <c r="Q30" s="6"/>
    </row>
    <row r="31" spans="1:17" s="5" customFormat="1" x14ac:dyDescent="0.25">
      <c r="A31" s="4">
        <v>19</v>
      </c>
      <c r="B31" s="90" t="s">
        <v>810</v>
      </c>
      <c r="C31" s="91"/>
      <c r="D31" s="91"/>
      <c r="E31" s="92"/>
      <c r="F31" s="91"/>
      <c r="G31" s="91"/>
      <c r="H31" s="91"/>
      <c r="I31" s="91"/>
      <c r="J31" s="13"/>
      <c r="K31" s="49">
        <v>1</v>
      </c>
      <c r="L31" s="6"/>
      <c r="M31" s="6"/>
      <c r="O31" s="6"/>
      <c r="P31" s="6"/>
      <c r="Q31" s="6"/>
    </row>
    <row r="32" spans="1:17" s="5" customFormat="1" x14ac:dyDescent="0.25">
      <c r="A32" s="4">
        <v>20</v>
      </c>
      <c r="B32" s="90" t="s">
        <v>808</v>
      </c>
      <c r="C32" s="91"/>
      <c r="D32" s="91"/>
      <c r="E32" s="92"/>
      <c r="F32" s="91"/>
      <c r="G32" s="91"/>
      <c r="H32" s="91"/>
      <c r="I32" s="91"/>
      <c r="J32" s="13"/>
      <c r="K32" s="49">
        <v>2</v>
      </c>
      <c r="L32" s="6"/>
      <c r="M32" s="6"/>
      <c r="O32" s="6"/>
      <c r="P32" s="6"/>
      <c r="Q32" s="6"/>
    </row>
    <row r="33" spans="1:17" s="5" customFormat="1" x14ac:dyDescent="0.25">
      <c r="A33" s="4">
        <v>21</v>
      </c>
      <c r="B33" s="90" t="s">
        <v>811</v>
      </c>
      <c r="C33" s="91"/>
      <c r="D33" s="91"/>
      <c r="E33" s="92"/>
      <c r="F33" s="91"/>
      <c r="G33" s="91"/>
      <c r="H33" s="91"/>
      <c r="I33" s="91"/>
      <c r="J33" s="13"/>
      <c r="K33" s="49">
        <v>3</v>
      </c>
      <c r="L33" s="6"/>
      <c r="M33" s="6"/>
      <c r="O33" s="6"/>
      <c r="P33" s="6"/>
      <c r="Q33" s="6"/>
    </row>
    <row r="34" spans="1:17" s="5" customFormat="1" x14ac:dyDescent="0.25">
      <c r="A34" s="4">
        <v>22</v>
      </c>
      <c r="B34" s="90" t="s">
        <v>812</v>
      </c>
      <c r="C34" s="91"/>
      <c r="D34" s="91"/>
      <c r="E34" s="92"/>
      <c r="F34" s="91"/>
      <c r="G34" s="91"/>
      <c r="H34" s="91"/>
      <c r="I34" s="91"/>
      <c r="J34" s="13"/>
      <c r="K34" s="49">
        <v>1</v>
      </c>
      <c r="L34" s="6"/>
      <c r="M34" s="6"/>
      <c r="O34" s="6"/>
      <c r="P34" s="6"/>
      <c r="Q34" s="6"/>
    </row>
    <row r="35" spans="1:17" s="5" customFormat="1" x14ac:dyDescent="0.25">
      <c r="A35" s="4">
        <v>23</v>
      </c>
      <c r="B35" s="90" t="s">
        <v>813</v>
      </c>
      <c r="C35" s="91"/>
      <c r="D35" s="91"/>
      <c r="E35" s="92"/>
      <c r="F35" s="91"/>
      <c r="G35" s="91"/>
      <c r="H35" s="91"/>
      <c r="I35" s="91"/>
      <c r="J35" s="13"/>
      <c r="K35" s="49">
        <v>2</v>
      </c>
      <c r="L35" s="6"/>
      <c r="M35" s="6"/>
      <c r="O35" s="6"/>
      <c r="P35" s="6"/>
      <c r="Q35" s="6"/>
    </row>
    <row r="36" spans="1:17" s="5" customFormat="1" x14ac:dyDescent="0.25">
      <c r="A36" s="4">
        <v>24</v>
      </c>
      <c r="B36" s="90" t="s">
        <v>812</v>
      </c>
      <c r="C36" s="91"/>
      <c r="D36" s="91"/>
      <c r="E36" s="92"/>
      <c r="F36" s="91"/>
      <c r="G36" s="91"/>
      <c r="H36" s="91"/>
      <c r="I36" s="91"/>
      <c r="J36" s="13"/>
      <c r="K36" s="49">
        <v>3</v>
      </c>
      <c r="L36" s="6"/>
      <c r="M36" s="6"/>
      <c r="O36" s="6"/>
      <c r="P36" s="6"/>
      <c r="Q36" s="6"/>
    </row>
    <row r="37" spans="1:17" s="5" customFormat="1" x14ac:dyDescent="0.25">
      <c r="A37" s="4">
        <v>25</v>
      </c>
      <c r="B37" s="90" t="s">
        <v>814</v>
      </c>
      <c r="C37" s="91"/>
      <c r="D37" s="91"/>
      <c r="E37" s="92"/>
      <c r="F37" s="91"/>
      <c r="G37" s="91"/>
      <c r="H37" s="91"/>
      <c r="I37" s="91"/>
      <c r="J37" s="13"/>
      <c r="K37" s="49">
        <v>1</v>
      </c>
      <c r="L37" s="6"/>
      <c r="M37" s="6"/>
      <c r="O37" s="6"/>
      <c r="P37" s="6"/>
      <c r="Q37" s="6"/>
    </row>
    <row r="38" spans="1:17" s="5" customFormat="1" x14ac:dyDescent="0.25">
      <c r="A38" s="4">
        <v>26</v>
      </c>
      <c r="B38" s="90" t="s">
        <v>812</v>
      </c>
      <c r="C38" s="91"/>
      <c r="D38" s="91"/>
      <c r="E38" s="92"/>
      <c r="F38" s="91"/>
      <c r="G38" s="91"/>
      <c r="H38" s="91"/>
      <c r="I38" s="91"/>
      <c r="J38" s="13"/>
      <c r="K38" s="49">
        <v>2</v>
      </c>
      <c r="L38" s="6"/>
      <c r="M38" s="6"/>
      <c r="O38" s="6"/>
      <c r="P38" s="6"/>
      <c r="Q38" s="6"/>
    </row>
    <row r="39" spans="1:17" s="5" customFormat="1" x14ac:dyDescent="0.25">
      <c r="A39" s="4">
        <v>27</v>
      </c>
      <c r="B39" s="90" t="s">
        <v>815</v>
      </c>
      <c r="C39" s="91"/>
      <c r="D39" s="91"/>
      <c r="E39" s="92"/>
      <c r="F39" s="91"/>
      <c r="G39" s="91"/>
      <c r="H39" s="91"/>
      <c r="I39" s="91"/>
      <c r="J39" s="13"/>
      <c r="K39" s="49">
        <v>3</v>
      </c>
      <c r="L39" s="6"/>
      <c r="M39" s="6"/>
      <c r="O39" s="6"/>
      <c r="P39" s="6"/>
      <c r="Q39" s="6"/>
    </row>
    <row r="40" spans="1:17" s="5" customFormat="1" x14ac:dyDescent="0.25">
      <c r="A40" s="4">
        <v>28</v>
      </c>
      <c r="B40" s="90" t="s">
        <v>812</v>
      </c>
      <c r="C40" s="91"/>
      <c r="D40" s="91"/>
      <c r="E40" s="92"/>
      <c r="F40" s="91"/>
      <c r="G40" s="91"/>
      <c r="H40" s="91"/>
      <c r="I40" s="91"/>
      <c r="J40" s="13"/>
      <c r="K40" s="49">
        <v>1</v>
      </c>
      <c r="L40" s="6"/>
      <c r="M40" s="6"/>
      <c r="O40" s="6"/>
      <c r="P40" s="6"/>
      <c r="Q40" s="6"/>
    </row>
    <row r="41" spans="1:17" s="5" customFormat="1" x14ac:dyDescent="0.25">
      <c r="A41" s="4">
        <v>29</v>
      </c>
      <c r="B41" s="90" t="s">
        <v>816</v>
      </c>
      <c r="C41" s="91"/>
      <c r="D41" s="91"/>
      <c r="E41" s="92"/>
      <c r="F41" s="91"/>
      <c r="G41" s="91"/>
      <c r="H41" s="91"/>
      <c r="I41" s="91"/>
      <c r="J41" s="13"/>
      <c r="K41" s="49">
        <v>2</v>
      </c>
      <c r="L41" s="6"/>
      <c r="M41" s="6"/>
      <c r="O41" s="6"/>
      <c r="P41" s="6"/>
      <c r="Q41" s="6"/>
    </row>
    <row r="42" spans="1:17" s="5" customFormat="1" x14ac:dyDescent="0.25">
      <c r="A42" s="4">
        <v>30</v>
      </c>
      <c r="B42" s="90" t="s">
        <v>817</v>
      </c>
      <c r="C42" s="91"/>
      <c r="D42" s="91"/>
      <c r="E42" s="92"/>
      <c r="F42" s="91"/>
      <c r="G42" s="91"/>
      <c r="H42" s="91"/>
      <c r="I42" s="91"/>
      <c r="J42" s="13"/>
      <c r="K42" s="49">
        <v>3</v>
      </c>
      <c r="L42" s="6"/>
      <c r="M42" s="6"/>
      <c r="O42" s="6"/>
      <c r="P42" s="6"/>
      <c r="Q42" s="6"/>
    </row>
    <row r="43" spans="1:17" s="5" customFormat="1" x14ac:dyDescent="0.25">
      <c r="A43" s="4">
        <v>31</v>
      </c>
      <c r="B43" s="90" t="s">
        <v>818</v>
      </c>
      <c r="C43" s="91"/>
      <c r="D43" s="91"/>
      <c r="E43" s="92"/>
      <c r="F43" s="91"/>
      <c r="G43" s="91"/>
      <c r="H43" s="91"/>
      <c r="I43" s="91"/>
      <c r="J43" s="13"/>
      <c r="K43" s="49">
        <v>1</v>
      </c>
      <c r="L43" s="6"/>
      <c r="M43" s="6"/>
      <c r="O43" s="6"/>
      <c r="P43" s="6"/>
      <c r="Q43" s="6"/>
    </row>
    <row r="44" spans="1:17" s="5" customFormat="1" x14ac:dyDescent="0.25">
      <c r="A44" s="4">
        <v>32</v>
      </c>
      <c r="B44" s="90" t="s">
        <v>819</v>
      </c>
      <c r="C44" s="91"/>
      <c r="D44" s="91"/>
      <c r="E44" s="92"/>
      <c r="F44" s="91"/>
      <c r="G44" s="91"/>
      <c r="H44" s="91"/>
      <c r="I44" s="91"/>
      <c r="J44" s="13"/>
      <c r="K44" s="49">
        <v>2</v>
      </c>
      <c r="L44" s="6"/>
      <c r="M44" s="6"/>
      <c r="O44" s="6"/>
      <c r="P44" s="6"/>
      <c r="Q44" s="6"/>
    </row>
    <row r="45" spans="1:17" s="5" customFormat="1" x14ac:dyDescent="0.25">
      <c r="A45" s="4">
        <v>33</v>
      </c>
      <c r="B45" s="90" t="s">
        <v>819</v>
      </c>
      <c r="C45" s="91"/>
      <c r="D45" s="91"/>
      <c r="E45" s="92"/>
      <c r="F45" s="91"/>
      <c r="G45" s="91"/>
      <c r="H45" s="91"/>
      <c r="I45" s="91"/>
      <c r="J45" s="13"/>
      <c r="K45" s="49">
        <v>3</v>
      </c>
      <c r="L45" s="6"/>
      <c r="M45" s="6"/>
      <c r="O45" s="6"/>
      <c r="P45" s="6"/>
      <c r="Q45" s="6"/>
    </row>
    <row r="46" spans="1:17" s="5" customFormat="1" x14ac:dyDescent="0.25">
      <c r="A46" s="4">
        <v>34</v>
      </c>
      <c r="B46" s="90" t="s">
        <v>820</v>
      </c>
      <c r="C46" s="91"/>
      <c r="D46" s="91"/>
      <c r="E46" s="92"/>
      <c r="F46" s="91"/>
      <c r="G46" s="91"/>
      <c r="H46" s="91"/>
      <c r="I46" s="91"/>
      <c r="J46" s="13"/>
      <c r="K46" s="49">
        <v>1</v>
      </c>
      <c r="L46" s="6"/>
      <c r="M46" s="6"/>
      <c r="O46" s="6"/>
      <c r="P46" s="6"/>
      <c r="Q46" s="6"/>
    </row>
    <row r="47" spans="1:17" s="5" customFormat="1" x14ac:dyDescent="0.25">
      <c r="A47" s="4">
        <v>35</v>
      </c>
      <c r="B47" s="90" t="s">
        <v>821</v>
      </c>
      <c r="C47" s="91"/>
      <c r="D47" s="91"/>
      <c r="E47" s="92"/>
      <c r="F47" s="91"/>
      <c r="G47" s="91"/>
      <c r="H47" s="91"/>
      <c r="I47" s="91"/>
      <c r="J47" s="13"/>
      <c r="K47" s="49">
        <v>2</v>
      </c>
      <c r="L47" s="6"/>
      <c r="M47" s="6"/>
      <c r="O47" s="6"/>
      <c r="P47" s="6"/>
      <c r="Q47" s="6"/>
    </row>
    <row r="48" spans="1:17" s="5" customFormat="1" x14ac:dyDescent="0.25">
      <c r="A48" s="4">
        <v>36</v>
      </c>
      <c r="B48" s="93" t="s">
        <v>821</v>
      </c>
      <c r="C48" s="91"/>
      <c r="D48" s="91"/>
      <c r="E48" s="92"/>
      <c r="F48" s="91"/>
      <c r="G48" s="91"/>
      <c r="H48" s="91"/>
      <c r="I48" s="91"/>
      <c r="J48" s="13"/>
      <c r="K48" s="49">
        <v>4</v>
      </c>
      <c r="L48" s="6"/>
      <c r="M48" s="6"/>
      <c r="O48" s="6"/>
      <c r="P48" s="6"/>
      <c r="Q48" s="6"/>
    </row>
    <row r="49" spans="1:17" s="5" customFormat="1" x14ac:dyDescent="0.25">
      <c r="A49" s="4"/>
      <c r="B49" s="6"/>
      <c r="C49" s="15"/>
      <c r="D49" s="6"/>
      <c r="E49" s="15"/>
      <c r="G49" s="6"/>
      <c r="H49" s="6"/>
      <c r="I49" s="6"/>
      <c r="K49" s="6"/>
      <c r="L49" s="6"/>
      <c r="M49" s="6"/>
      <c r="O49" s="6"/>
      <c r="P49" s="6"/>
      <c r="Q49" s="6"/>
    </row>
    <row r="50" spans="1:17" s="5" customFormat="1" ht="65.25" customHeight="1" x14ac:dyDescent="0.25">
      <c r="A50" s="96" t="s">
        <v>825</v>
      </c>
      <c r="B50" s="96"/>
      <c r="C50" s="96"/>
      <c r="D50" s="96"/>
      <c r="E50" s="96"/>
      <c r="F50" s="96"/>
      <c r="G50" s="96"/>
      <c r="H50" s="96"/>
      <c r="I50" s="96"/>
      <c r="J50" s="96"/>
      <c r="K50" s="96"/>
      <c r="L50" s="96"/>
      <c r="M50" s="96"/>
      <c r="N50" s="96"/>
      <c r="O50" s="96"/>
      <c r="P50" s="96"/>
      <c r="Q50" s="96"/>
    </row>
  </sheetData>
  <mergeCells count="3">
    <mergeCell ref="A50:Q50"/>
    <mergeCell ref="G2:I2"/>
    <mergeCell ref="H3:I3"/>
  </mergeCells>
  <pageMargins left="0.7" right="0.7" top="0.75" bottom="0.75" header="0.3" footer="0.3"/>
  <ignoredErrors>
    <ignoredError sqref="H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2219-889C-4D0C-882C-BB50E667096D}">
  <dimension ref="A1:AA38"/>
  <sheetViews>
    <sheetView topLeftCell="A8" zoomScale="130" zoomScaleNormal="130" workbookViewId="0">
      <selection activeCell="A22" sqref="A22:K22"/>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3.42578125" customWidth="1"/>
    <col min="8" max="8" width="7.5703125" style="8" customWidth="1"/>
    <col min="9" max="9" width="6.7109375" style="8" customWidth="1"/>
    <col min="10" max="10" width="6.28515625" style="8" customWidth="1"/>
    <col min="11" max="11" width="3.28515625" customWidth="1"/>
    <col min="12" max="27" width="9.140625" style="5"/>
  </cols>
  <sheetData>
    <row r="1" spans="1:27" s="17" customFormat="1" ht="21" x14ac:dyDescent="0.35">
      <c r="A1" s="35" t="s">
        <v>784</v>
      </c>
      <c r="B1" s="35"/>
      <c r="C1" s="35"/>
      <c r="D1" s="35"/>
      <c r="E1" s="35"/>
      <c r="F1" s="35"/>
      <c r="G1" s="35"/>
      <c r="H1" s="35"/>
      <c r="I1" s="35"/>
      <c r="J1" s="35"/>
      <c r="K1" s="35"/>
      <c r="L1" s="18"/>
      <c r="M1" s="18"/>
      <c r="N1" s="18"/>
      <c r="O1" s="18"/>
      <c r="P1" s="18"/>
      <c r="Q1" s="18"/>
      <c r="R1" s="18"/>
      <c r="S1" s="18"/>
      <c r="T1" s="18"/>
      <c r="U1" s="18"/>
      <c r="V1" s="18"/>
      <c r="W1" s="18"/>
      <c r="X1" s="18"/>
      <c r="Y1" s="18"/>
      <c r="Z1" s="18"/>
      <c r="AA1" s="18"/>
    </row>
    <row r="2" spans="1:27" x14ac:dyDescent="0.25">
      <c r="A2" s="13" t="s">
        <v>253</v>
      </c>
      <c r="C2" s="15"/>
      <c r="D2" s="5"/>
      <c r="E2" s="15"/>
      <c r="F2" s="5"/>
      <c r="G2" s="5"/>
      <c r="H2" s="97"/>
      <c r="I2" s="97"/>
      <c r="J2" s="97"/>
      <c r="K2" s="5"/>
    </row>
    <row r="3" spans="1:27" x14ac:dyDescent="0.25">
      <c r="A3" s="4"/>
      <c r="C3" s="15"/>
      <c r="D3" s="5"/>
      <c r="E3" s="15"/>
      <c r="F3" s="5"/>
      <c r="G3" s="5"/>
      <c r="H3" s="6" t="s">
        <v>782</v>
      </c>
      <c r="I3" s="97" t="s">
        <v>783</v>
      </c>
      <c r="J3" s="97"/>
      <c r="K3" s="5"/>
    </row>
    <row r="4" spans="1:27" ht="15.75" thickBot="1" x14ac:dyDescent="0.3">
      <c r="A4" s="4" t="s">
        <v>37</v>
      </c>
      <c r="B4" s="6" t="s">
        <v>38</v>
      </c>
      <c r="C4" s="15" t="s">
        <v>64</v>
      </c>
      <c r="D4" s="5"/>
      <c r="E4" s="15" t="s">
        <v>39</v>
      </c>
      <c r="F4" s="5"/>
      <c r="G4" s="5"/>
      <c r="H4" s="6"/>
      <c r="I4" s="6" t="s">
        <v>61</v>
      </c>
      <c r="J4" s="6" t="s">
        <v>62</v>
      </c>
      <c r="K4" s="5"/>
    </row>
    <row r="5" spans="1:27" ht="15.75" thickBot="1" x14ac:dyDescent="0.3">
      <c r="A5" s="4" t="s">
        <v>81</v>
      </c>
      <c r="B5" s="44" t="s">
        <v>781</v>
      </c>
      <c r="C5" s="37">
        <f>IF(COUNTBLANK($H$9:$H$20)=0,SUM($H$9,$H$10,$H$11,$H$12,$H$13,$H$14,$H$15,$H$16,$H$17,$H$18,$H$19,$H$20),IF(ISNUMBER($E5),$E5,"?"))</f>
        <v>36</v>
      </c>
      <c r="D5" s="5"/>
      <c r="E5" s="59">
        <v>36</v>
      </c>
      <c r="F5" s="5"/>
      <c r="G5" s="5"/>
      <c r="H5" s="40">
        <f>IF(C5="?","?",IF(E5="","?",-86.6+10.37*E5-0.4034*E5^2+0.008275*E5^3-0.00008299*E5^4+0.0000003337*E5^5))</f>
        <v>30.77823109120008</v>
      </c>
      <c r="I5" s="41">
        <f>IF(C5="?","?",IF(E5="","?",2.8+(-0.144*E5+0.003951*E5^2)/(1-0.02936*E5+0.0002355*E5^2)))</f>
        <v>2.5441912925783892</v>
      </c>
      <c r="J5" s="42" t="str">
        <f>IF(C5="?","?",IF(E5="","?","?"))</f>
        <v>?</v>
      </c>
      <c r="K5" s="5"/>
    </row>
    <row r="6" spans="1:27" s="31" customFormat="1" ht="15.75" thickBot="1" x14ac:dyDescent="0.3">
      <c r="A6" s="29"/>
      <c r="B6" s="19"/>
      <c r="C6" s="34"/>
      <c r="D6" s="30"/>
      <c r="E6" s="34"/>
      <c r="F6" s="30"/>
      <c r="G6" s="30"/>
      <c r="H6" s="19"/>
      <c r="I6" s="19"/>
      <c r="J6" s="19"/>
      <c r="K6" s="30"/>
      <c r="L6" s="30"/>
      <c r="M6" s="30"/>
      <c r="N6" s="30"/>
      <c r="O6" s="30"/>
      <c r="P6" s="30"/>
      <c r="Q6" s="30"/>
      <c r="R6" s="30"/>
      <c r="S6" s="30"/>
      <c r="T6" s="30"/>
      <c r="U6" s="30"/>
      <c r="V6" s="30"/>
      <c r="W6" s="30"/>
      <c r="X6" s="30"/>
      <c r="Y6" s="30"/>
      <c r="Z6" s="30"/>
      <c r="AA6" s="30"/>
    </row>
    <row r="7" spans="1:27" s="5" customFormat="1" x14ac:dyDescent="0.25">
      <c r="A7" s="4"/>
      <c r="B7" s="6"/>
      <c r="C7" s="15"/>
      <c r="E7" s="15"/>
      <c r="H7" s="6"/>
      <c r="I7" s="6"/>
      <c r="J7" s="6"/>
    </row>
    <row r="8" spans="1:27" s="5" customFormat="1" ht="16.5" thickBot="1" x14ac:dyDescent="0.3">
      <c r="A8" s="1" t="s">
        <v>15</v>
      </c>
      <c r="B8" s="2" t="s">
        <v>14</v>
      </c>
      <c r="C8" s="14"/>
      <c r="D8" s="2"/>
      <c r="E8" s="14"/>
      <c r="F8" s="3"/>
      <c r="G8" s="3"/>
      <c r="H8" s="2" t="s">
        <v>36</v>
      </c>
      <c r="I8" s="2"/>
      <c r="J8" s="2"/>
      <c r="K8" s="3"/>
    </row>
    <row r="9" spans="1:27" s="5" customFormat="1" x14ac:dyDescent="0.25">
      <c r="A9" s="4">
        <v>1</v>
      </c>
      <c r="B9" s="57" t="s">
        <v>769</v>
      </c>
      <c r="C9" s="13"/>
      <c r="D9" s="13"/>
      <c r="E9" s="13"/>
      <c r="F9" s="13"/>
      <c r="G9" s="13"/>
      <c r="H9" s="48">
        <v>3</v>
      </c>
      <c r="I9" s="6"/>
      <c r="J9" s="6"/>
    </row>
    <row r="10" spans="1:27" s="5" customFormat="1" x14ac:dyDescent="0.25">
      <c r="A10" s="4">
        <v>2</v>
      </c>
      <c r="B10" s="57" t="s">
        <v>770</v>
      </c>
      <c r="C10" s="13"/>
      <c r="D10" s="13"/>
      <c r="E10" s="13"/>
      <c r="F10" s="13"/>
      <c r="G10" s="13"/>
      <c r="H10" s="49">
        <v>3</v>
      </c>
      <c r="I10" s="6"/>
      <c r="J10" s="6"/>
    </row>
    <row r="11" spans="1:27" s="5" customFormat="1" x14ac:dyDescent="0.25">
      <c r="A11" s="4">
        <v>3</v>
      </c>
      <c r="B11" s="57" t="s">
        <v>771</v>
      </c>
      <c r="C11" s="13"/>
      <c r="D11" s="13"/>
      <c r="E11" s="13"/>
      <c r="F11" s="13"/>
      <c r="G11" s="13"/>
      <c r="H11" s="49">
        <v>3</v>
      </c>
      <c r="I11" s="6"/>
      <c r="J11" s="6"/>
    </row>
    <row r="12" spans="1:27" s="5" customFormat="1" x14ac:dyDescent="0.25">
      <c r="A12" s="4">
        <v>4</v>
      </c>
      <c r="B12" s="57" t="s">
        <v>772</v>
      </c>
      <c r="C12" s="13"/>
      <c r="D12" s="13"/>
      <c r="E12" s="13"/>
      <c r="F12" s="13"/>
      <c r="G12" s="13"/>
      <c r="H12" s="49">
        <v>3</v>
      </c>
      <c r="I12" s="6"/>
      <c r="J12" s="6"/>
    </row>
    <row r="13" spans="1:27" s="5" customFormat="1" x14ac:dyDescent="0.25">
      <c r="A13" s="4">
        <v>5</v>
      </c>
      <c r="B13" s="57" t="s">
        <v>773</v>
      </c>
      <c r="C13" s="13"/>
      <c r="D13" s="13"/>
      <c r="E13" s="13"/>
      <c r="F13" s="13"/>
      <c r="G13" s="13"/>
      <c r="H13" s="49">
        <v>3</v>
      </c>
      <c r="I13" s="6"/>
      <c r="J13" s="6"/>
    </row>
    <row r="14" spans="1:27" s="5" customFormat="1" x14ac:dyDescent="0.25">
      <c r="A14" s="4">
        <v>6</v>
      </c>
      <c r="B14" s="57" t="s">
        <v>774</v>
      </c>
      <c r="C14" s="13"/>
      <c r="D14" s="13"/>
      <c r="E14" s="13"/>
      <c r="F14" s="13"/>
      <c r="G14" s="13"/>
      <c r="H14" s="49">
        <v>3</v>
      </c>
      <c r="I14" s="6"/>
      <c r="J14" s="6"/>
    </row>
    <row r="15" spans="1:27" s="5" customFormat="1" x14ac:dyDescent="0.25">
      <c r="A15" s="4">
        <v>7</v>
      </c>
      <c r="B15" s="57" t="s">
        <v>775</v>
      </c>
      <c r="C15" s="13"/>
      <c r="D15" s="13"/>
      <c r="E15" s="13"/>
      <c r="F15" s="13"/>
      <c r="G15" s="13"/>
      <c r="H15" s="49">
        <v>3</v>
      </c>
      <c r="I15" s="6"/>
      <c r="J15" s="6"/>
    </row>
    <row r="16" spans="1:27" s="5" customFormat="1" x14ac:dyDescent="0.25">
      <c r="A16" s="4">
        <v>8</v>
      </c>
      <c r="B16" s="57" t="s">
        <v>776</v>
      </c>
      <c r="C16" s="13"/>
      <c r="D16" s="13"/>
      <c r="E16" s="13"/>
      <c r="F16" s="13"/>
      <c r="G16" s="13"/>
      <c r="H16" s="49">
        <v>3</v>
      </c>
      <c r="I16" s="6"/>
      <c r="J16" s="6"/>
    </row>
    <row r="17" spans="1:11" s="5" customFormat="1" x14ac:dyDescent="0.25">
      <c r="A17" s="4">
        <v>9</v>
      </c>
      <c r="B17" s="57" t="s">
        <v>777</v>
      </c>
      <c r="C17" s="13"/>
      <c r="D17" s="13"/>
      <c r="E17" s="13"/>
      <c r="F17" s="13"/>
      <c r="G17" s="13"/>
      <c r="H17" s="49">
        <v>3</v>
      </c>
      <c r="I17" s="6"/>
      <c r="J17" s="6"/>
    </row>
    <row r="18" spans="1:11" s="5" customFormat="1" x14ac:dyDescent="0.25">
      <c r="A18" s="4">
        <v>10</v>
      </c>
      <c r="B18" s="57" t="s">
        <v>778</v>
      </c>
      <c r="C18" s="13"/>
      <c r="D18" s="13"/>
      <c r="E18" s="13"/>
      <c r="F18" s="13"/>
      <c r="G18" s="13"/>
      <c r="H18" s="49">
        <v>3</v>
      </c>
      <c r="I18" s="6"/>
      <c r="J18" s="6"/>
    </row>
    <row r="19" spans="1:11" s="5" customFormat="1" x14ac:dyDescent="0.25">
      <c r="A19" s="4">
        <v>11</v>
      </c>
      <c r="B19" s="57" t="s">
        <v>779</v>
      </c>
      <c r="C19" s="13"/>
      <c r="D19" s="13"/>
      <c r="E19" s="13"/>
      <c r="F19" s="13"/>
      <c r="G19" s="13"/>
      <c r="H19" s="49">
        <v>3</v>
      </c>
      <c r="I19" s="6"/>
      <c r="J19" s="6"/>
    </row>
    <row r="20" spans="1:11" s="5" customFormat="1" ht="15.75" thickBot="1" x14ac:dyDescent="0.3">
      <c r="A20" s="4">
        <v>12</v>
      </c>
      <c r="B20" s="57" t="s">
        <v>780</v>
      </c>
      <c r="C20" s="13"/>
      <c r="D20" s="13"/>
      <c r="E20" s="13"/>
      <c r="F20" s="13"/>
      <c r="G20" s="13"/>
      <c r="H20" s="50">
        <v>3</v>
      </c>
      <c r="I20" s="6"/>
      <c r="J20" s="6"/>
    </row>
    <row r="21" spans="1:11" s="5" customFormat="1" x14ac:dyDescent="0.25">
      <c r="A21" s="4"/>
      <c r="B21" s="6"/>
      <c r="C21" s="15"/>
      <c r="D21" s="6"/>
      <c r="E21" s="15"/>
      <c r="H21" s="6"/>
      <c r="I21" s="6"/>
      <c r="J21" s="6"/>
    </row>
    <row r="22" spans="1:11" s="5" customFormat="1" ht="189" customHeight="1" x14ac:dyDescent="0.25">
      <c r="A22" s="96" t="s">
        <v>830</v>
      </c>
      <c r="B22" s="96"/>
      <c r="C22" s="96"/>
      <c r="D22" s="96"/>
      <c r="E22" s="96"/>
      <c r="F22" s="96"/>
      <c r="G22" s="96"/>
      <c r="H22" s="96"/>
      <c r="I22" s="96"/>
      <c r="J22" s="96"/>
      <c r="K22" s="96"/>
    </row>
    <row r="23" spans="1:11" s="5" customFormat="1" x14ac:dyDescent="0.25">
      <c r="A23" s="4"/>
      <c r="B23" s="6"/>
      <c r="C23" s="15"/>
      <c r="E23" s="15"/>
      <c r="H23" s="6"/>
      <c r="I23" s="6"/>
      <c r="J23" s="6"/>
    </row>
    <row r="24" spans="1:11" s="5" customFormat="1" x14ac:dyDescent="0.25">
      <c r="A24" s="4"/>
      <c r="B24" s="6"/>
      <c r="C24" s="15"/>
      <c r="E24" s="15"/>
      <c r="H24" s="6"/>
      <c r="I24" s="6"/>
      <c r="J24" s="6"/>
    </row>
    <row r="25" spans="1:11" s="5" customFormat="1" x14ac:dyDescent="0.25">
      <c r="A25" s="4"/>
      <c r="B25" s="6"/>
      <c r="C25" s="15"/>
      <c r="E25" s="15"/>
      <c r="H25" s="6"/>
      <c r="I25" s="6"/>
      <c r="J25" s="6"/>
    </row>
    <row r="26" spans="1:11" s="5" customFormat="1" x14ac:dyDescent="0.25">
      <c r="A26" s="4"/>
      <c r="B26" s="6"/>
      <c r="C26" s="15"/>
      <c r="E26" s="15"/>
      <c r="H26" s="6"/>
      <c r="I26" s="6"/>
      <c r="J26" s="6"/>
    </row>
    <row r="27" spans="1:11" s="5" customFormat="1" x14ac:dyDescent="0.25">
      <c r="A27" s="4"/>
      <c r="B27" s="6"/>
      <c r="C27" s="15"/>
      <c r="E27" s="15"/>
      <c r="H27" s="6"/>
      <c r="I27" s="6"/>
      <c r="J27" s="6"/>
    </row>
    <row r="28" spans="1:11" s="5" customFormat="1" x14ac:dyDescent="0.25">
      <c r="A28" s="4"/>
      <c r="B28" s="6"/>
      <c r="C28" s="15"/>
      <c r="E28" s="15"/>
      <c r="H28" s="6"/>
      <c r="I28" s="6"/>
      <c r="J28" s="6"/>
    </row>
    <row r="29" spans="1:11" s="5" customFormat="1" x14ac:dyDescent="0.25">
      <c r="A29" s="4"/>
      <c r="B29" s="6"/>
      <c r="C29" s="15"/>
      <c r="E29" s="15"/>
      <c r="H29" s="6"/>
      <c r="I29" s="6"/>
      <c r="J29" s="6"/>
    </row>
    <row r="30" spans="1:11" s="5" customFormat="1" x14ac:dyDescent="0.25">
      <c r="A30" s="4"/>
      <c r="B30" s="6"/>
      <c r="C30" s="15"/>
      <c r="E30" s="15"/>
      <c r="H30" s="6"/>
      <c r="I30" s="6"/>
      <c r="J30" s="6"/>
    </row>
    <row r="31" spans="1:11" s="5" customFormat="1" x14ac:dyDescent="0.25">
      <c r="A31" s="4"/>
      <c r="B31" s="6"/>
      <c r="C31" s="15"/>
      <c r="E31" s="15"/>
      <c r="H31" s="6"/>
      <c r="I31" s="6"/>
      <c r="J31" s="6"/>
    </row>
    <row r="32" spans="1:11" s="5" customFormat="1" x14ac:dyDescent="0.25">
      <c r="A32" s="4"/>
      <c r="B32" s="6"/>
      <c r="C32" s="15"/>
      <c r="E32" s="15"/>
      <c r="H32" s="6"/>
      <c r="I32" s="6"/>
      <c r="J32" s="6"/>
    </row>
    <row r="33" spans="1:10" s="5" customFormat="1" x14ac:dyDescent="0.25">
      <c r="A33" s="4"/>
      <c r="B33" s="6"/>
      <c r="C33" s="15"/>
      <c r="E33" s="15"/>
      <c r="H33" s="6"/>
      <c r="I33" s="6"/>
      <c r="J33" s="6"/>
    </row>
    <row r="34" spans="1:10" s="5" customFormat="1" x14ac:dyDescent="0.25">
      <c r="A34" s="4"/>
      <c r="B34" s="6"/>
      <c r="C34" s="15"/>
      <c r="E34" s="15"/>
      <c r="H34" s="6"/>
      <c r="I34" s="6"/>
      <c r="J34" s="6"/>
    </row>
    <row r="35" spans="1:10" s="5" customFormat="1" x14ac:dyDescent="0.25">
      <c r="A35" s="4"/>
      <c r="B35" s="6"/>
      <c r="C35" s="15"/>
      <c r="E35" s="15"/>
      <c r="H35" s="6"/>
      <c r="I35" s="6"/>
      <c r="J35" s="6"/>
    </row>
    <row r="36" spans="1:10" s="5" customFormat="1" x14ac:dyDescent="0.25">
      <c r="A36" s="4"/>
      <c r="B36" s="6"/>
      <c r="C36" s="15"/>
      <c r="E36" s="15"/>
      <c r="H36" s="6"/>
      <c r="I36" s="6"/>
      <c r="J36" s="6"/>
    </row>
    <row r="37" spans="1:10" s="5" customFormat="1" x14ac:dyDescent="0.25">
      <c r="A37" s="4"/>
      <c r="B37" s="6"/>
      <c r="C37" s="15"/>
      <c r="E37" s="15"/>
      <c r="H37" s="6"/>
      <c r="I37" s="6"/>
      <c r="J37" s="6"/>
    </row>
    <row r="38" spans="1:10" s="5" customFormat="1" x14ac:dyDescent="0.25">
      <c r="A38" s="4"/>
      <c r="B38" s="6"/>
      <c r="C38" s="15"/>
      <c r="E38" s="15"/>
      <c r="H38" s="6"/>
      <c r="I38" s="6"/>
      <c r="J38" s="6"/>
    </row>
  </sheetData>
  <mergeCells count="3">
    <mergeCell ref="H2:J2"/>
    <mergeCell ref="I3:J3"/>
    <mergeCell ref="A22:K22"/>
  </mergeCells>
  <pageMargins left="0.7" right="0.7" top="0.75" bottom="0.75" header="0.3" footer="0.3"/>
  <ignoredErrors>
    <ignoredError sqref="B5"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FB79-080A-46E9-AAD2-6F4FCFC4D1B0}">
  <dimension ref="A1:AF48"/>
  <sheetViews>
    <sheetView zoomScale="130" zoomScaleNormal="130" workbookViewId="0">
      <selection activeCell="O6" sqref="O6"/>
    </sheetView>
  </sheetViews>
  <sheetFormatPr defaultRowHeight="15" x14ac:dyDescent="0.25"/>
  <cols>
    <col min="1" max="1" width="17.140625"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6.85546875" style="8" customWidth="1"/>
    <col min="9" max="9" width="6.28515625" style="8" customWidth="1"/>
    <col min="10" max="10" width="3.42578125" customWidth="1"/>
    <col min="11" max="11" width="7.5703125" style="8" customWidth="1"/>
    <col min="12" max="12" width="5.85546875" style="8" customWidth="1"/>
    <col min="13" max="13" width="6.28515625" style="8" customWidth="1"/>
    <col min="14" max="14" width="3.140625" customWidth="1"/>
    <col min="15" max="15" width="7.85546875" style="8" customWidth="1"/>
    <col min="16" max="16" width="5.7109375" style="8" customWidth="1"/>
    <col min="17" max="17" width="5.42578125" style="8" customWidth="1"/>
    <col min="18" max="19" width="6.5703125" style="5" customWidth="1"/>
    <col min="20" max="20" width="6.140625" style="5" customWidth="1"/>
    <col min="21" max="21" width="5.7109375" style="5" customWidth="1"/>
    <col min="22" max="22" width="2.85546875" style="5" customWidth="1"/>
    <col min="23" max="23" width="9" style="5" customWidth="1"/>
    <col min="24" max="24" width="6.28515625" style="5" customWidth="1"/>
    <col min="25" max="25" width="6.140625" style="5" customWidth="1"/>
    <col min="26" max="26" width="3.42578125" style="5" customWidth="1"/>
    <col min="27" max="27" width="9.140625" style="5"/>
    <col min="28" max="28" width="7" style="5" customWidth="1"/>
    <col min="29" max="29" width="6.140625" style="5" customWidth="1"/>
    <col min="30" max="32" width="9.140625" style="5"/>
  </cols>
  <sheetData>
    <row r="1" spans="1:32" s="17" customFormat="1" ht="21" x14ac:dyDescent="0.35">
      <c r="A1" s="35" t="s">
        <v>675</v>
      </c>
      <c r="B1" s="43"/>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row>
    <row r="2" spans="1:32" x14ac:dyDescent="0.25">
      <c r="A2" s="13" t="s">
        <v>80</v>
      </c>
      <c r="B2" s="44"/>
      <c r="C2" s="15"/>
      <c r="D2" s="5"/>
      <c r="E2" s="15"/>
      <c r="F2" s="5"/>
      <c r="G2" s="97" t="s">
        <v>1</v>
      </c>
      <c r="H2" s="97"/>
      <c r="I2" s="97"/>
      <c r="J2" s="5"/>
      <c r="K2" s="97" t="s">
        <v>2</v>
      </c>
      <c r="L2" s="97"/>
      <c r="M2" s="97"/>
      <c r="N2" s="5"/>
      <c r="O2" s="97" t="s">
        <v>3</v>
      </c>
      <c r="P2" s="97"/>
      <c r="Q2" s="97"/>
      <c r="S2" s="97" t="s">
        <v>757</v>
      </c>
      <c r="T2" s="97"/>
      <c r="U2" s="97"/>
      <c r="W2" s="97" t="s">
        <v>758</v>
      </c>
      <c r="X2" s="97"/>
      <c r="Y2" s="97"/>
      <c r="AA2" s="97" t="s">
        <v>759</v>
      </c>
      <c r="AB2" s="97"/>
      <c r="AC2" s="97"/>
    </row>
    <row r="3" spans="1:32" x14ac:dyDescent="0.25">
      <c r="A3" s="4"/>
      <c r="B3" s="44"/>
      <c r="C3" s="15"/>
      <c r="D3" s="5"/>
      <c r="E3" s="15"/>
      <c r="F3" s="5"/>
      <c r="G3" s="6" t="s">
        <v>40</v>
      </c>
      <c r="H3" s="97" t="s">
        <v>67</v>
      </c>
      <c r="I3" s="97"/>
      <c r="J3" s="5"/>
      <c r="K3" s="6" t="s">
        <v>40</v>
      </c>
      <c r="L3" s="97" t="s">
        <v>67</v>
      </c>
      <c r="M3" s="97"/>
      <c r="N3" s="5"/>
      <c r="O3" s="6" t="s">
        <v>40</v>
      </c>
      <c r="P3" s="97" t="s">
        <v>67</v>
      </c>
      <c r="Q3" s="97"/>
      <c r="S3" s="6" t="s">
        <v>40</v>
      </c>
      <c r="T3" s="97" t="s">
        <v>67</v>
      </c>
      <c r="U3" s="97"/>
      <c r="W3" s="6" t="s">
        <v>40</v>
      </c>
      <c r="X3" s="97" t="s">
        <v>67</v>
      </c>
      <c r="Y3" s="97"/>
      <c r="AA3" s="6" t="s">
        <v>40</v>
      </c>
      <c r="AB3" s="97" t="s">
        <v>67</v>
      </c>
      <c r="AC3" s="97"/>
    </row>
    <row r="4" spans="1:32"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S4" s="6"/>
      <c r="T4" s="6" t="s">
        <v>61</v>
      </c>
      <c r="U4" s="6" t="s">
        <v>62</v>
      </c>
      <c r="W4" s="6"/>
      <c r="X4" s="6" t="s">
        <v>61</v>
      </c>
      <c r="Y4" s="6" t="s">
        <v>62</v>
      </c>
      <c r="AA4" s="6"/>
      <c r="AB4" s="6" t="s">
        <v>61</v>
      </c>
      <c r="AC4" s="6" t="s">
        <v>62</v>
      </c>
    </row>
    <row r="5" spans="1:32" ht="15.75" thickBot="1" x14ac:dyDescent="0.3">
      <c r="A5" s="4" t="s">
        <v>81</v>
      </c>
      <c r="B5" s="44" t="s">
        <v>585</v>
      </c>
      <c r="C5" s="37">
        <f>IF(COUNTBLANK($K$9:$K$24)=0,SUM($K$9:$K$24),IF(ISNUMBER($E5),$E5,"?"))</f>
        <v>48</v>
      </c>
      <c r="D5" s="38"/>
      <c r="E5" s="59">
        <v>48</v>
      </c>
      <c r="F5" s="5"/>
      <c r="G5" s="40">
        <f>IF(C5="?","?",IF(E5="","?",10.6+3.266*LN(E5-15)+0.998*E5))</f>
        <v>69.923593695749517</v>
      </c>
      <c r="H5" s="41">
        <f>IF(C5="?","?",IF(E5="","?",-5.2+(106/(1+EXP(-0.1944*(E5-30.17))))))</f>
        <v>97.589174587596958</v>
      </c>
      <c r="I5" s="42">
        <f>IF(C5="?","?",IF(E5="","?",-11.8+(0.105*E5+0.02261*E5^2)/(1-0.02645*E5+0.0003906*E5^2)))</f>
        <v>78.838738564945032</v>
      </c>
      <c r="J5" s="5"/>
      <c r="K5" s="40">
        <f>IF(C5="?","?",IF(E5="","?",11.8+1.823*LN(E5-15.8)+1.059*E5))</f>
        <v>68.961394842999312</v>
      </c>
      <c r="L5" s="41">
        <f>IF(C5="?","?",IF(E5="","?",-4.4+(105.9/(1+EXP(-0.1858*(E5-31.23))))))</f>
        <v>97.003748464306739</v>
      </c>
      <c r="M5" s="42">
        <f>IF(C5="?","?",IF(E5="","?",10.4+(-1.528*E5+0.07214*E5^2)/(1-0.03974*E5+0.0009245*E5^2)))</f>
        <v>86.362726416082083</v>
      </c>
      <c r="N5" s="5"/>
      <c r="O5" s="40">
        <f>IF(C5="?","?",IF(E5="","?",122.5-EXP(-0.019*(E5-257.6))))</f>
        <v>68.854370637927019</v>
      </c>
      <c r="P5" s="41">
        <f>IF(C5="?","?",IF(E5="","?",-5.3+(105.8/(1+EXP(-0.2067*(E5-29.38))))))</f>
        <v>98.292823587958495</v>
      </c>
      <c r="Q5" s="42">
        <f>IF(C5="?","?",IF(E5="","?",-13+(0.308*E5+0.01182*E5^2)/(1-0.02559*E5+0.0003061*E5^2)))</f>
        <v>75.098656754471889</v>
      </c>
      <c r="S5" s="81">
        <f>IF(C5="?","?",IF(E5="","?",5.8+9.4*LN(E5-12.7)+0.575*E5))</f>
        <v>66.900499861028962</v>
      </c>
      <c r="T5" s="82">
        <f>IF(C5="?","?",IF(E5="","?",0.8+(101.9/(1+EXP(-0.2173*(E5-34.29))))))</f>
        <v>97.770564522368716</v>
      </c>
      <c r="U5" s="83">
        <f>IF(C5="?","?",IF(E5="","?",-8.6+(0.161*E5+0.008779*E5^2)/(1-0.02605*E5+0.0002712*E5^2)))</f>
        <v>66.056707744372474</v>
      </c>
      <c r="V5" s="74"/>
      <c r="W5" s="81">
        <f>IF(C5="?","?",IF(E5="","?",9.6+7.145*LN(E5-13.7)+0.674*E5))</f>
        <v>67.210613555558183</v>
      </c>
      <c r="X5" s="82">
        <f>IF(C5="?","?",IF(E5="","?",-11.4+(111.6/(1+EXP(-0.1772*(E5-28.7))))))</f>
        <v>96.664795986752495</v>
      </c>
      <c r="Y5" s="83">
        <f>IF(C5="?","?",IF(E5="","?",10.1+(-1.121*E5+0.05018*E5^2)/(1-0.03843*E5+0.0007161*E5^2)))</f>
        <v>86.85427790273485</v>
      </c>
      <c r="Z5" s="74"/>
      <c r="AA5" s="81">
        <f>IF(C5="?","?",IF(E5="","?",26.2-EXP(-0.144*(E5-33.8))+0.852*E5))</f>
        <v>66.966593931396858</v>
      </c>
      <c r="AB5" s="82">
        <f>IF(C5="?","?",IF(E5="","?",-4.7+(105.3/(1+EXP(-0.2003*(E5-29.9))))))</f>
        <v>97.867834868637786</v>
      </c>
      <c r="AC5" s="83">
        <f>IF(C5="?","?",IF(E5="","?",-44.8+(148.5/(1+EXP(-0.08935*(E5-25.84))))))</f>
        <v>85.684089252238138</v>
      </c>
    </row>
    <row r="6" spans="1:32" s="31" customFormat="1" ht="15.75" thickBot="1" x14ac:dyDescent="0.3">
      <c r="A6" s="29"/>
      <c r="B6" s="45"/>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c r="AE6" s="30"/>
      <c r="AF6" s="30"/>
    </row>
    <row r="7" spans="1:32" s="5" customFormat="1" x14ac:dyDescent="0.25">
      <c r="A7" s="4"/>
      <c r="B7" s="44"/>
      <c r="C7" s="15"/>
      <c r="E7" s="15"/>
      <c r="G7" s="6"/>
      <c r="H7" s="6"/>
      <c r="I7" s="6"/>
      <c r="K7" s="6"/>
      <c r="L7" s="6"/>
      <c r="M7" s="6"/>
      <c r="O7" s="6"/>
      <c r="P7" s="6"/>
      <c r="Q7" s="6"/>
    </row>
    <row r="8" spans="1:32" s="5" customFormat="1" ht="16.5" thickBot="1" x14ac:dyDescent="0.3">
      <c r="A8" s="1" t="s">
        <v>15</v>
      </c>
      <c r="B8" s="46" t="s">
        <v>14</v>
      </c>
      <c r="C8" s="14"/>
      <c r="D8" s="2"/>
      <c r="E8" s="14"/>
      <c r="F8" s="3"/>
      <c r="G8" s="2"/>
      <c r="H8" s="2"/>
      <c r="I8" s="2"/>
      <c r="J8" s="3"/>
      <c r="K8" s="2" t="s">
        <v>36</v>
      </c>
      <c r="L8" s="2"/>
      <c r="M8" s="2"/>
      <c r="N8" s="3"/>
      <c r="O8" s="2"/>
      <c r="P8" s="2"/>
      <c r="Q8" s="2"/>
    </row>
    <row r="9" spans="1:32" s="5" customFormat="1" ht="16.5" thickTop="1" thickBot="1" x14ac:dyDescent="0.3">
      <c r="A9" s="4">
        <v>1</v>
      </c>
      <c r="B9" s="13" t="s">
        <v>82</v>
      </c>
      <c r="C9" s="13"/>
      <c r="D9" s="13"/>
      <c r="E9" s="13"/>
      <c r="F9" s="13"/>
      <c r="G9" s="13"/>
      <c r="H9" s="13"/>
      <c r="I9" s="13"/>
      <c r="J9" s="36"/>
      <c r="K9" s="11">
        <v>3</v>
      </c>
      <c r="L9" s="6"/>
      <c r="M9" s="6"/>
      <c r="O9" s="6"/>
      <c r="P9" s="6"/>
      <c r="Q9" s="6"/>
    </row>
    <row r="10" spans="1:32" s="5" customFormat="1" ht="15.75" thickBot="1" x14ac:dyDescent="0.3">
      <c r="A10" s="4">
        <v>2</v>
      </c>
      <c r="B10" s="13" t="s">
        <v>83</v>
      </c>
      <c r="C10" s="13"/>
      <c r="D10" s="13"/>
      <c r="E10" s="13"/>
      <c r="F10" s="13"/>
      <c r="G10" s="13"/>
      <c r="H10" s="13"/>
      <c r="I10" s="13"/>
      <c r="J10" s="36"/>
      <c r="K10" s="12">
        <v>3</v>
      </c>
      <c r="L10" s="6"/>
      <c r="M10" s="6"/>
      <c r="O10" s="6"/>
      <c r="P10" s="6"/>
      <c r="Q10" s="6"/>
    </row>
    <row r="11" spans="1:32" s="5" customFormat="1" ht="15.75" thickBot="1" x14ac:dyDescent="0.3">
      <c r="A11" s="4">
        <v>3</v>
      </c>
      <c r="B11" s="13" t="s">
        <v>84</v>
      </c>
      <c r="C11" s="13"/>
      <c r="D11" s="13"/>
      <c r="E11" s="13"/>
      <c r="F11" s="13"/>
      <c r="G11" s="13"/>
      <c r="H11" s="13"/>
      <c r="I11" s="13"/>
      <c r="J11" s="36"/>
      <c r="K11" s="12">
        <v>3</v>
      </c>
      <c r="L11" s="6"/>
      <c r="M11" s="6"/>
      <c r="O11" s="6"/>
      <c r="P11" s="6"/>
      <c r="Q11" s="6"/>
    </row>
    <row r="12" spans="1:32" s="5" customFormat="1" ht="15.75" thickBot="1" x14ac:dyDescent="0.3">
      <c r="A12" s="4">
        <v>4</v>
      </c>
      <c r="B12" s="13" t="s">
        <v>85</v>
      </c>
      <c r="C12" s="13"/>
      <c r="D12" s="13"/>
      <c r="E12" s="13"/>
      <c r="F12" s="13"/>
      <c r="G12" s="13"/>
      <c r="H12" s="13"/>
      <c r="I12" s="13"/>
      <c r="J12" s="36"/>
      <c r="K12" s="12">
        <v>3</v>
      </c>
      <c r="L12" s="6"/>
      <c r="M12" s="6"/>
      <c r="O12" s="6"/>
      <c r="P12" s="6"/>
      <c r="Q12" s="6"/>
    </row>
    <row r="13" spans="1:32" s="5" customFormat="1" ht="15.75" thickBot="1" x14ac:dyDescent="0.3">
      <c r="A13" s="4">
        <v>5</v>
      </c>
      <c r="B13" s="13" t="s">
        <v>86</v>
      </c>
      <c r="C13" s="13"/>
      <c r="D13" s="13"/>
      <c r="E13" s="13"/>
      <c r="F13" s="13"/>
      <c r="G13" s="13"/>
      <c r="H13" s="13"/>
      <c r="I13" s="13"/>
      <c r="J13" s="36"/>
      <c r="K13" s="12">
        <v>3</v>
      </c>
      <c r="L13" s="6"/>
      <c r="M13" s="6"/>
      <c r="O13" s="6"/>
      <c r="P13" s="6"/>
      <c r="Q13" s="6"/>
    </row>
    <row r="14" spans="1:32" s="5" customFormat="1" ht="15.75" thickBot="1" x14ac:dyDescent="0.3">
      <c r="A14" s="4">
        <v>6</v>
      </c>
      <c r="B14" s="13" t="s">
        <v>87</v>
      </c>
      <c r="C14" s="13"/>
      <c r="D14" s="13"/>
      <c r="E14" s="13"/>
      <c r="F14" s="13"/>
      <c r="G14" s="13"/>
      <c r="H14" s="13"/>
      <c r="I14" s="13"/>
      <c r="J14" s="36"/>
      <c r="K14" s="12">
        <v>3</v>
      </c>
      <c r="L14" s="6"/>
      <c r="M14" s="6"/>
      <c r="O14" s="6"/>
      <c r="P14" s="6"/>
      <c r="Q14" s="6"/>
    </row>
    <row r="15" spans="1:32" s="5" customFormat="1" ht="15.75" thickBot="1" x14ac:dyDescent="0.3">
      <c r="A15" s="4">
        <v>7</v>
      </c>
      <c r="B15" s="13" t="s">
        <v>88</v>
      </c>
      <c r="C15" s="13"/>
      <c r="D15" s="13"/>
      <c r="E15" s="13"/>
      <c r="F15" s="13"/>
      <c r="G15" s="13"/>
      <c r="H15" s="13"/>
      <c r="I15" s="13"/>
      <c r="J15" s="36"/>
      <c r="K15" s="12">
        <v>3</v>
      </c>
      <c r="L15" s="6"/>
      <c r="M15" s="6"/>
      <c r="O15" s="6"/>
      <c r="P15" s="6"/>
      <c r="Q15" s="6"/>
    </row>
    <row r="16" spans="1:32" s="5" customFormat="1" ht="15.75" thickBot="1" x14ac:dyDescent="0.3">
      <c r="A16" s="4">
        <v>8</v>
      </c>
      <c r="B16" s="13" t="s">
        <v>89</v>
      </c>
      <c r="C16" s="13"/>
      <c r="D16" s="13"/>
      <c r="E16" s="13"/>
      <c r="F16" s="13"/>
      <c r="G16" s="13"/>
      <c r="H16" s="13"/>
      <c r="I16" s="13"/>
      <c r="J16" s="36"/>
      <c r="K16" s="12">
        <v>3</v>
      </c>
      <c r="L16" s="6"/>
      <c r="M16" s="6"/>
      <c r="O16" s="6"/>
      <c r="P16" s="6"/>
      <c r="Q16" s="6"/>
    </row>
    <row r="17" spans="1:17" s="5" customFormat="1" ht="15.75" thickBot="1" x14ac:dyDescent="0.3">
      <c r="A17" s="4">
        <v>9</v>
      </c>
      <c r="B17" s="13" t="s">
        <v>90</v>
      </c>
      <c r="C17" s="13"/>
      <c r="D17" s="13"/>
      <c r="E17" s="13"/>
      <c r="F17" s="13"/>
      <c r="G17" s="13"/>
      <c r="H17" s="13"/>
      <c r="I17" s="13"/>
      <c r="J17" s="36"/>
      <c r="K17" s="12">
        <v>3</v>
      </c>
      <c r="L17" s="6"/>
      <c r="M17" s="6"/>
      <c r="O17" s="6"/>
      <c r="P17" s="6"/>
      <c r="Q17" s="6"/>
    </row>
    <row r="18" spans="1:17" s="5" customFormat="1" ht="15.75" thickBot="1" x14ac:dyDescent="0.3">
      <c r="A18" s="4">
        <v>10</v>
      </c>
      <c r="B18" s="13" t="s">
        <v>91</v>
      </c>
      <c r="C18" s="13"/>
      <c r="D18" s="13"/>
      <c r="E18" s="13"/>
      <c r="F18" s="13"/>
      <c r="G18" s="13"/>
      <c r="H18" s="13"/>
      <c r="I18" s="13"/>
      <c r="J18" s="36"/>
      <c r="K18" s="12">
        <v>3</v>
      </c>
      <c r="L18" s="6"/>
      <c r="M18" s="6"/>
      <c r="O18" s="6"/>
      <c r="P18" s="6"/>
      <c r="Q18" s="6"/>
    </row>
    <row r="19" spans="1:17" s="5" customFormat="1" ht="15.75" thickBot="1" x14ac:dyDescent="0.3">
      <c r="A19" s="4">
        <v>11</v>
      </c>
      <c r="B19" s="13" t="s">
        <v>92</v>
      </c>
      <c r="C19" s="13"/>
      <c r="D19" s="13"/>
      <c r="E19" s="13"/>
      <c r="F19" s="13"/>
      <c r="G19" s="13"/>
      <c r="H19" s="13"/>
      <c r="I19" s="13"/>
      <c r="J19" s="36"/>
      <c r="K19" s="12">
        <v>3</v>
      </c>
      <c r="L19" s="6"/>
      <c r="M19" s="6"/>
      <c r="O19" s="6"/>
      <c r="P19" s="6"/>
      <c r="Q19" s="6"/>
    </row>
    <row r="20" spans="1:17" s="5" customFormat="1" ht="15.75" thickBot="1" x14ac:dyDescent="0.3">
      <c r="A20" s="4">
        <v>12</v>
      </c>
      <c r="B20" s="13" t="s">
        <v>93</v>
      </c>
      <c r="C20" s="13"/>
      <c r="D20" s="13"/>
      <c r="E20" s="13"/>
      <c r="F20" s="13"/>
      <c r="G20" s="13"/>
      <c r="H20" s="13"/>
      <c r="I20" s="13"/>
      <c r="J20" s="36"/>
      <c r="K20" s="12">
        <v>3</v>
      </c>
      <c r="L20" s="6"/>
      <c r="M20" s="6"/>
      <c r="O20" s="6"/>
      <c r="P20" s="6"/>
      <c r="Q20" s="6"/>
    </row>
    <row r="21" spans="1:17" s="5" customFormat="1" ht="15.75" thickBot="1" x14ac:dyDescent="0.3">
      <c r="A21" s="4">
        <v>13</v>
      </c>
      <c r="B21" s="13" t="s">
        <v>94</v>
      </c>
      <c r="C21" s="13"/>
      <c r="D21" s="13"/>
      <c r="E21" s="13"/>
      <c r="F21" s="13"/>
      <c r="G21" s="13"/>
      <c r="H21" s="13"/>
      <c r="I21" s="13"/>
      <c r="J21" s="36"/>
      <c r="K21" s="12">
        <v>3</v>
      </c>
      <c r="L21" s="6"/>
      <c r="M21" s="6"/>
      <c r="O21" s="6"/>
      <c r="P21" s="6"/>
      <c r="Q21" s="6"/>
    </row>
    <row r="22" spans="1:17" s="5" customFormat="1" ht="15.75" thickBot="1" x14ac:dyDescent="0.3">
      <c r="A22" s="4">
        <v>14</v>
      </c>
      <c r="B22" s="13" t="s">
        <v>95</v>
      </c>
      <c r="C22" s="13"/>
      <c r="D22" s="13"/>
      <c r="E22" s="13"/>
      <c r="F22" s="13"/>
      <c r="G22" s="13"/>
      <c r="H22" s="13"/>
      <c r="I22" s="13"/>
      <c r="J22" s="36"/>
      <c r="K22" s="12">
        <v>3</v>
      </c>
      <c r="L22" s="6"/>
      <c r="M22" s="6"/>
      <c r="O22" s="6"/>
      <c r="P22" s="6"/>
      <c r="Q22" s="6"/>
    </row>
    <row r="23" spans="1:17" s="5" customFormat="1" ht="15.75" thickBot="1" x14ac:dyDescent="0.3">
      <c r="A23" s="4">
        <v>15</v>
      </c>
      <c r="B23" s="13" t="s">
        <v>96</v>
      </c>
      <c r="C23" s="13"/>
      <c r="D23" s="13"/>
      <c r="E23" s="13"/>
      <c r="F23" s="13"/>
      <c r="G23" s="13"/>
      <c r="H23" s="13"/>
      <c r="I23" s="13"/>
      <c r="J23" s="36"/>
      <c r="K23" s="12">
        <v>3</v>
      </c>
      <c r="L23" s="6"/>
      <c r="M23" s="6"/>
      <c r="O23" s="6"/>
      <c r="P23" s="6"/>
      <c r="Q23" s="6"/>
    </row>
    <row r="24" spans="1:17" s="5" customFormat="1" ht="15.75" thickBot="1" x14ac:dyDescent="0.3">
      <c r="A24" s="4">
        <v>16</v>
      </c>
      <c r="B24" s="13" t="s">
        <v>97</v>
      </c>
      <c r="C24" s="13"/>
      <c r="D24" s="13"/>
      <c r="E24" s="13"/>
      <c r="F24" s="13"/>
      <c r="G24" s="13"/>
      <c r="H24" s="13"/>
      <c r="I24" s="13"/>
      <c r="J24" s="36"/>
      <c r="K24" s="12">
        <v>3</v>
      </c>
      <c r="L24" s="6"/>
      <c r="M24" s="6"/>
      <c r="O24" s="6"/>
      <c r="P24" s="6"/>
      <c r="Q24" s="6"/>
    </row>
    <row r="25" spans="1:17" s="5" customFormat="1" x14ac:dyDescent="0.25">
      <c r="A25" s="4"/>
      <c r="B25" s="44"/>
      <c r="C25" s="15"/>
      <c r="D25" s="6"/>
      <c r="E25" s="15"/>
      <c r="G25" s="6"/>
      <c r="H25" s="6"/>
      <c r="I25" s="6"/>
      <c r="K25" s="6"/>
      <c r="L25" s="6"/>
      <c r="M25" s="6"/>
      <c r="O25" s="6"/>
      <c r="P25" s="6"/>
      <c r="Q25" s="6"/>
    </row>
    <row r="26" spans="1:17" s="5" customFormat="1" ht="106.5" customHeight="1" x14ac:dyDescent="0.25">
      <c r="A26" s="96" t="s">
        <v>762</v>
      </c>
      <c r="B26" s="96"/>
      <c r="C26" s="96"/>
      <c r="D26" s="96"/>
      <c r="E26" s="96"/>
      <c r="F26" s="96"/>
      <c r="G26" s="96"/>
      <c r="H26" s="96"/>
      <c r="I26" s="96"/>
      <c r="J26" s="96"/>
      <c r="K26" s="96"/>
      <c r="L26" s="96"/>
      <c r="M26" s="96"/>
      <c r="N26" s="96"/>
      <c r="O26" s="96"/>
      <c r="P26" s="96"/>
      <c r="Q26" s="96"/>
    </row>
    <row r="27" spans="1:17" s="5" customFormat="1" x14ac:dyDescent="0.25">
      <c r="A27" s="4"/>
      <c r="B27" s="44"/>
      <c r="C27" s="15"/>
      <c r="E27" s="15"/>
      <c r="G27" s="6"/>
      <c r="H27" s="6"/>
      <c r="I27" s="6"/>
      <c r="K27" s="6"/>
      <c r="L27" s="6"/>
      <c r="M27" s="6"/>
      <c r="O27" s="6"/>
      <c r="P27" s="6"/>
      <c r="Q27" s="6"/>
    </row>
    <row r="28" spans="1:17" s="5" customFormat="1" x14ac:dyDescent="0.25">
      <c r="A28" s="4"/>
      <c r="B28" s="44"/>
      <c r="C28" s="15"/>
      <c r="E28" s="15"/>
      <c r="G28" s="6"/>
      <c r="H28" s="6"/>
      <c r="I28" s="6"/>
      <c r="K28" s="6"/>
      <c r="L28" s="6"/>
      <c r="M28" s="6"/>
      <c r="O28" s="6"/>
      <c r="P28" s="6"/>
      <c r="Q28" s="6"/>
    </row>
    <row r="29" spans="1:17" s="5" customFormat="1" x14ac:dyDescent="0.25">
      <c r="A29" s="4"/>
      <c r="B29" s="44"/>
      <c r="C29" s="15"/>
      <c r="E29" s="15"/>
      <c r="G29" s="6"/>
      <c r="H29" s="6"/>
      <c r="I29" s="6"/>
      <c r="K29" s="6"/>
      <c r="L29" s="6"/>
      <c r="M29" s="6"/>
      <c r="O29" s="6"/>
      <c r="P29" s="6"/>
      <c r="Q29" s="6"/>
    </row>
    <row r="30" spans="1:17" s="5" customFormat="1" x14ac:dyDescent="0.25">
      <c r="A30" s="4"/>
      <c r="B30" s="44"/>
      <c r="C30" s="15"/>
      <c r="E30" s="15"/>
      <c r="G30" s="6"/>
      <c r="H30" s="6"/>
      <c r="I30" s="6"/>
      <c r="K30" s="6"/>
      <c r="L30" s="6"/>
      <c r="M30" s="6"/>
      <c r="O30" s="6"/>
      <c r="P30" s="6"/>
      <c r="Q30" s="6"/>
    </row>
    <row r="31" spans="1:17" s="5" customFormat="1" x14ac:dyDescent="0.25">
      <c r="A31" s="4"/>
      <c r="B31" s="44"/>
      <c r="C31" s="15"/>
      <c r="E31" s="15"/>
      <c r="G31" s="6"/>
      <c r="H31" s="6"/>
      <c r="I31" s="6"/>
      <c r="K31" s="6"/>
      <c r="L31" s="6"/>
      <c r="M31" s="6"/>
      <c r="O31" s="6"/>
      <c r="P31" s="6"/>
      <c r="Q31" s="6"/>
    </row>
    <row r="32" spans="1:17" s="5" customFormat="1" x14ac:dyDescent="0.25">
      <c r="A32" s="4"/>
      <c r="B32" s="44"/>
      <c r="C32" s="15"/>
      <c r="E32" s="15"/>
      <c r="G32" s="6"/>
      <c r="H32" s="6"/>
      <c r="I32" s="6"/>
      <c r="K32" s="6"/>
      <c r="L32" s="6"/>
      <c r="M32" s="6"/>
      <c r="O32" s="6"/>
      <c r="P32" s="6"/>
      <c r="Q32" s="6"/>
    </row>
    <row r="33" spans="1:17" s="5" customFormat="1" x14ac:dyDescent="0.25">
      <c r="A33" s="4"/>
      <c r="B33" s="44"/>
      <c r="C33" s="15"/>
      <c r="E33" s="15"/>
      <c r="G33" s="6"/>
      <c r="H33" s="6"/>
      <c r="I33" s="6"/>
      <c r="K33" s="6"/>
      <c r="L33" s="6"/>
      <c r="M33" s="6"/>
      <c r="O33" s="6"/>
      <c r="P33" s="6"/>
      <c r="Q33" s="6"/>
    </row>
    <row r="34" spans="1:17" s="5" customFormat="1" x14ac:dyDescent="0.25">
      <c r="A34" s="4"/>
      <c r="B34" s="44"/>
      <c r="C34" s="15"/>
      <c r="E34" s="15"/>
      <c r="G34" s="6"/>
      <c r="H34" s="6"/>
      <c r="I34" s="6"/>
      <c r="K34" s="6"/>
      <c r="L34" s="6"/>
      <c r="M34" s="6"/>
      <c r="O34" s="6"/>
      <c r="P34" s="6"/>
      <c r="Q34" s="6"/>
    </row>
    <row r="35" spans="1:17" s="5" customFormat="1" x14ac:dyDescent="0.25">
      <c r="A35" s="4"/>
      <c r="B35" s="44"/>
      <c r="C35" s="15"/>
      <c r="E35" s="15"/>
      <c r="G35" s="6"/>
      <c r="H35" s="6"/>
      <c r="I35" s="6"/>
      <c r="K35" s="6"/>
      <c r="L35" s="6"/>
      <c r="M35" s="6"/>
      <c r="O35" s="6"/>
      <c r="P35" s="6"/>
      <c r="Q35" s="6"/>
    </row>
    <row r="36" spans="1:17" s="5" customFormat="1" x14ac:dyDescent="0.25">
      <c r="A36" s="4"/>
      <c r="B36" s="44"/>
      <c r="C36" s="15"/>
      <c r="E36" s="15"/>
      <c r="G36" s="6"/>
      <c r="H36" s="6"/>
      <c r="I36" s="6"/>
      <c r="K36" s="6"/>
      <c r="L36" s="6"/>
      <c r="M36" s="6"/>
      <c r="O36" s="6"/>
      <c r="P36" s="6"/>
      <c r="Q36" s="6"/>
    </row>
    <row r="37" spans="1:17" s="5" customFormat="1" x14ac:dyDescent="0.25">
      <c r="A37" s="4"/>
      <c r="B37" s="44"/>
      <c r="C37" s="15"/>
      <c r="E37" s="15"/>
      <c r="G37" s="6"/>
      <c r="H37" s="6"/>
      <c r="I37" s="6"/>
      <c r="K37" s="6"/>
      <c r="L37" s="6"/>
      <c r="M37" s="6"/>
      <c r="O37" s="6"/>
      <c r="P37" s="6"/>
      <c r="Q37" s="6"/>
    </row>
    <row r="38" spans="1:17" s="5" customFormat="1" x14ac:dyDescent="0.25">
      <c r="A38" s="4"/>
      <c r="B38" s="44"/>
      <c r="C38" s="15"/>
      <c r="E38" s="15"/>
      <c r="G38" s="6"/>
      <c r="H38" s="6"/>
      <c r="I38" s="6"/>
      <c r="K38" s="6"/>
      <c r="L38" s="6"/>
      <c r="M38" s="6"/>
      <c r="O38" s="6"/>
      <c r="P38" s="6"/>
      <c r="Q38" s="6"/>
    </row>
    <row r="39" spans="1:17" s="5" customFormat="1" x14ac:dyDescent="0.25">
      <c r="A39" s="4"/>
      <c r="B39" s="44"/>
      <c r="C39" s="15"/>
      <c r="E39" s="15"/>
      <c r="G39" s="6"/>
      <c r="H39" s="6"/>
      <c r="I39" s="6"/>
      <c r="K39" s="6"/>
      <c r="L39" s="6"/>
      <c r="M39" s="6"/>
      <c r="O39" s="6"/>
      <c r="P39" s="6"/>
      <c r="Q39" s="6"/>
    </row>
    <row r="40" spans="1:17" s="5" customFormat="1" x14ac:dyDescent="0.25">
      <c r="A40" s="4"/>
      <c r="B40" s="44"/>
      <c r="C40" s="15"/>
      <c r="E40" s="15"/>
      <c r="G40" s="6"/>
      <c r="H40" s="6"/>
      <c r="I40" s="6"/>
      <c r="K40" s="6"/>
      <c r="L40" s="6"/>
      <c r="M40" s="6"/>
      <c r="O40" s="6"/>
      <c r="P40" s="6"/>
      <c r="Q40" s="6"/>
    </row>
    <row r="41" spans="1:17" s="5" customFormat="1" x14ac:dyDescent="0.25">
      <c r="A41" s="4"/>
      <c r="B41" s="44"/>
      <c r="C41" s="15"/>
      <c r="E41" s="15"/>
      <c r="G41" s="6"/>
      <c r="H41" s="6"/>
      <c r="I41" s="6"/>
      <c r="K41" s="6"/>
      <c r="L41" s="6"/>
      <c r="M41" s="6"/>
      <c r="O41" s="6"/>
      <c r="P41" s="6"/>
      <c r="Q41" s="6"/>
    </row>
    <row r="42" spans="1:17" s="5" customFormat="1" x14ac:dyDescent="0.25">
      <c r="A42" s="4"/>
      <c r="B42" s="44"/>
      <c r="C42" s="15"/>
      <c r="E42" s="15"/>
      <c r="G42" s="6"/>
      <c r="H42" s="6"/>
      <c r="I42" s="6"/>
      <c r="K42" s="6"/>
      <c r="L42" s="6"/>
      <c r="M42" s="6"/>
      <c r="O42" s="6"/>
      <c r="P42" s="6"/>
      <c r="Q42" s="6"/>
    </row>
    <row r="43" spans="1:17" s="5" customFormat="1" x14ac:dyDescent="0.25">
      <c r="A43" s="4"/>
      <c r="B43" s="44"/>
      <c r="C43" s="15"/>
      <c r="E43" s="15"/>
      <c r="G43" s="6"/>
      <c r="H43" s="6"/>
      <c r="I43" s="6"/>
      <c r="K43" s="6"/>
      <c r="L43" s="6"/>
      <c r="M43" s="6"/>
      <c r="O43" s="6"/>
      <c r="P43" s="6"/>
      <c r="Q43" s="6"/>
    </row>
    <row r="44" spans="1:17" s="5" customFormat="1" x14ac:dyDescent="0.25">
      <c r="A44" s="4"/>
      <c r="B44" s="44"/>
      <c r="C44" s="15"/>
      <c r="E44" s="15"/>
      <c r="G44" s="6"/>
      <c r="H44" s="6"/>
      <c r="I44" s="6"/>
      <c r="K44" s="6"/>
      <c r="L44" s="6"/>
      <c r="M44" s="6"/>
      <c r="O44" s="6"/>
      <c r="P44" s="6"/>
      <c r="Q44" s="6"/>
    </row>
    <row r="45" spans="1:17" s="5" customFormat="1" x14ac:dyDescent="0.25">
      <c r="A45" s="4"/>
      <c r="B45" s="44"/>
      <c r="C45" s="15"/>
      <c r="E45" s="15"/>
      <c r="G45" s="6"/>
      <c r="H45" s="6"/>
      <c r="I45" s="6"/>
      <c r="K45" s="6"/>
      <c r="L45" s="6"/>
      <c r="M45" s="6"/>
      <c r="O45" s="6"/>
      <c r="P45" s="6"/>
      <c r="Q45" s="6"/>
    </row>
    <row r="46" spans="1:17" s="5" customFormat="1" x14ac:dyDescent="0.25">
      <c r="A46" s="4"/>
      <c r="B46" s="44"/>
      <c r="C46" s="15"/>
      <c r="E46" s="15"/>
      <c r="G46" s="6"/>
      <c r="H46" s="6"/>
      <c r="I46" s="6"/>
      <c r="K46" s="6"/>
      <c r="L46" s="6"/>
      <c r="M46" s="6"/>
      <c r="O46" s="6"/>
      <c r="P46" s="6"/>
      <c r="Q46" s="6"/>
    </row>
    <row r="47" spans="1:17" s="5" customFormat="1" x14ac:dyDescent="0.25">
      <c r="A47" s="4"/>
      <c r="B47" s="44"/>
      <c r="C47" s="15"/>
      <c r="E47" s="15"/>
      <c r="G47" s="6"/>
      <c r="H47" s="6"/>
      <c r="I47" s="6"/>
      <c r="K47" s="6"/>
      <c r="L47" s="6"/>
      <c r="M47" s="6"/>
      <c r="O47" s="6"/>
      <c r="P47" s="6"/>
      <c r="Q47" s="6"/>
    </row>
    <row r="48" spans="1:17" s="5" customFormat="1" x14ac:dyDescent="0.25">
      <c r="A48" s="4"/>
      <c r="B48" s="44"/>
      <c r="C48" s="15"/>
      <c r="E48" s="15"/>
      <c r="G48" s="6"/>
      <c r="H48" s="6"/>
      <c r="I48" s="6"/>
      <c r="K48" s="6"/>
      <c r="L48" s="6"/>
      <c r="M48" s="6"/>
      <c r="O48" s="6"/>
      <c r="P48" s="6"/>
      <c r="Q48" s="6"/>
    </row>
  </sheetData>
  <mergeCells count="13">
    <mergeCell ref="X3:Y3"/>
    <mergeCell ref="AB3:AC3"/>
    <mergeCell ref="G2:I2"/>
    <mergeCell ref="K2:M2"/>
    <mergeCell ref="O2:Q2"/>
    <mergeCell ref="S2:U2"/>
    <mergeCell ref="W2:Y2"/>
    <mergeCell ref="AA2:AC2"/>
    <mergeCell ref="A26:Q26"/>
    <mergeCell ref="H3:I3"/>
    <mergeCell ref="L3:M3"/>
    <mergeCell ref="P3:Q3"/>
    <mergeCell ref="T3:U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D7D5C-B4B8-4740-B949-228EC2688917}">
  <dimension ref="A1:AF120"/>
  <sheetViews>
    <sheetView zoomScale="120" zoomScaleNormal="120" workbookViewId="0">
      <selection activeCell="U13" sqref="U13"/>
    </sheetView>
  </sheetViews>
  <sheetFormatPr defaultRowHeight="15" x14ac:dyDescent="0.25"/>
  <cols>
    <col min="1" max="1" width="17.140625"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6.85546875" style="8" customWidth="1"/>
    <col min="9" max="9" width="6.28515625" style="8" customWidth="1"/>
    <col min="10" max="10" width="3.42578125" customWidth="1"/>
    <col min="11" max="11" width="7.5703125" style="8" customWidth="1"/>
    <col min="12" max="12" width="5.85546875" style="8" customWidth="1"/>
    <col min="13" max="13" width="6.28515625" style="8" customWidth="1"/>
    <col min="14" max="14" width="3.140625" customWidth="1"/>
    <col min="15" max="15" width="7.85546875" style="8" customWidth="1"/>
    <col min="16" max="16" width="5.7109375" style="8" customWidth="1"/>
    <col min="17" max="17" width="5.42578125" style="8" customWidth="1"/>
    <col min="18" max="19" width="6.5703125" style="5" customWidth="1"/>
    <col min="20" max="20" width="6.140625" style="5" customWidth="1"/>
    <col min="21" max="21" width="5.7109375" style="5" customWidth="1"/>
    <col min="22" max="22" width="2.85546875" style="5" customWidth="1"/>
    <col min="23" max="23" width="9" style="5" customWidth="1"/>
    <col min="24" max="24" width="6.28515625" style="5" customWidth="1"/>
    <col min="25" max="25" width="6.140625" style="5" customWidth="1"/>
    <col min="26" max="26" width="3.42578125" style="5" customWidth="1"/>
    <col min="27" max="27" width="9.140625" style="5"/>
    <col min="28" max="28" width="7" style="5" customWidth="1"/>
    <col min="29" max="29" width="6.140625" style="5" customWidth="1"/>
    <col min="30" max="32" width="9.140625" style="5"/>
  </cols>
  <sheetData>
    <row r="1" spans="1:32" s="17" customFormat="1" ht="21" x14ac:dyDescent="0.35">
      <c r="A1" s="35" t="s">
        <v>676</v>
      </c>
      <c r="B1" s="43"/>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row>
    <row r="2" spans="1:32" x14ac:dyDescent="0.25">
      <c r="A2" s="13" t="s">
        <v>588</v>
      </c>
      <c r="B2" s="44"/>
      <c r="C2" s="15"/>
      <c r="D2" s="5"/>
      <c r="E2" s="15"/>
      <c r="F2" s="5"/>
      <c r="G2" s="97" t="s">
        <v>1</v>
      </c>
      <c r="H2" s="97"/>
      <c r="I2" s="97"/>
      <c r="J2" s="5"/>
      <c r="K2" s="97" t="s">
        <v>2</v>
      </c>
      <c r="L2" s="97"/>
      <c r="M2" s="97"/>
      <c r="N2" s="5"/>
      <c r="O2" s="97" t="s">
        <v>3</v>
      </c>
      <c r="P2" s="97"/>
      <c r="Q2" s="97"/>
      <c r="S2" s="97" t="s">
        <v>757</v>
      </c>
      <c r="T2" s="97"/>
      <c r="U2" s="97"/>
      <c r="W2" s="97" t="s">
        <v>758</v>
      </c>
      <c r="X2" s="97"/>
      <c r="Y2" s="97"/>
      <c r="AA2" s="97" t="s">
        <v>759</v>
      </c>
      <c r="AB2" s="97"/>
      <c r="AC2" s="97"/>
    </row>
    <row r="3" spans="1:32" x14ac:dyDescent="0.25">
      <c r="A3" s="4"/>
      <c r="B3" s="44"/>
      <c r="C3" s="15"/>
      <c r="D3" s="5"/>
      <c r="E3" s="15"/>
      <c r="F3" s="5"/>
      <c r="G3" s="6" t="s">
        <v>40</v>
      </c>
      <c r="H3" s="6" t="s">
        <v>67</v>
      </c>
      <c r="I3" s="6"/>
      <c r="J3" s="5"/>
      <c r="K3" s="6" t="s">
        <v>40</v>
      </c>
      <c r="L3" s="97" t="s">
        <v>67</v>
      </c>
      <c r="M3" s="97"/>
      <c r="N3" s="5"/>
      <c r="O3" s="6" t="s">
        <v>40</v>
      </c>
      <c r="P3" s="97" t="s">
        <v>67</v>
      </c>
      <c r="Q3" s="97"/>
      <c r="S3" s="6" t="s">
        <v>40</v>
      </c>
      <c r="T3" s="97" t="s">
        <v>67</v>
      </c>
      <c r="U3" s="97"/>
      <c r="W3" s="6" t="s">
        <v>40</v>
      </c>
      <c r="X3" s="97" t="s">
        <v>67</v>
      </c>
      <c r="Y3" s="97"/>
      <c r="AA3" s="6" t="s">
        <v>40</v>
      </c>
      <c r="AB3" s="97" t="s">
        <v>67</v>
      </c>
      <c r="AC3" s="97"/>
    </row>
    <row r="4" spans="1:32"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S4" s="6"/>
      <c r="T4" s="6" t="s">
        <v>61</v>
      </c>
      <c r="U4" s="6" t="s">
        <v>62</v>
      </c>
      <c r="W4" s="6"/>
      <c r="X4" s="6" t="s">
        <v>61</v>
      </c>
      <c r="Y4" s="6" t="s">
        <v>62</v>
      </c>
      <c r="AA4" s="6"/>
      <c r="AB4" s="6" t="s">
        <v>61</v>
      </c>
      <c r="AC4" s="6" t="s">
        <v>62</v>
      </c>
    </row>
    <row r="5" spans="1:32" x14ac:dyDescent="0.25">
      <c r="A5" s="4" t="s">
        <v>674</v>
      </c>
      <c r="B5" s="44" t="s">
        <v>585</v>
      </c>
      <c r="C5" s="37">
        <f>IF(COUNTBLANK($K$13:$K$95)=0,SUM($K$16,$K$17,$K$18,$K$24,$K$29,$K$32,$K$35,$K$41,$K$45,$K$48,$K$52,$K$55,$K$58,$K$82,$K$90,$K$92),IF(ISNUMBER($E5),$E5,"?"))</f>
        <v>32</v>
      </c>
      <c r="D5" s="38"/>
      <c r="E5" s="60">
        <v>32</v>
      </c>
      <c r="F5" s="5"/>
      <c r="G5" s="20">
        <f>IF(C5="?","?",IF(E5="","?",18.6+3.808*LN(E5-15.4)+0.861*E5))</f>
        <v>56.850205463940391</v>
      </c>
      <c r="H5" s="23">
        <f>IF(C5="?","?",IF(E5="","?",-28.7+(130.8/(1+EXP(-0.1579*(E5-23.38))))))</f>
        <v>75.408702634235794</v>
      </c>
      <c r="I5" s="24">
        <f>IF(C5="?","?",IF(E5="","?",-12.3+(0.19*E5+0.01955*E5^2)/(1-0.02494*E5+0.0003516*E5^2)))</f>
        <v>34.143295446780414</v>
      </c>
      <c r="J5" s="5"/>
      <c r="K5" s="20">
        <f>IF(C5="?","?",IF(E5="","?",7.9+1.375*LN(E5-15.8)+1.289*E5))</f>
        <v>52.977390458077714</v>
      </c>
      <c r="L5" s="23">
        <f>IF(C5="?","?",IF(E5="","?",-12.6+(119.8/(1+EXP(-0.166*(E5-29.28))))))</f>
        <v>60.59786789458861</v>
      </c>
      <c r="M5" s="24">
        <f>IF(C5="?","?",IF(E5="","?",45.9+(-4.272*E5+0.1276*E5^2)/(1-0.03654*E5+0.001429*E5^2)))</f>
        <v>41.231124190118194</v>
      </c>
      <c r="N5" s="5"/>
      <c r="O5" s="20">
        <f>IF(C5="?","?",IF(E5="","?",35.9+3.535*((E5-15.9)^0.545-1)/0.545))</f>
        <v>58.906358591817266</v>
      </c>
      <c r="P5" s="23">
        <f>IF(C5="?","?",IF(E5="","?",-42.2+(142.9/(1+EXP(-0.1639*(E5-20.73))))))</f>
        <v>81.2359462384224</v>
      </c>
      <c r="Q5" s="24">
        <f>IF(C5="?","?",IF(E5="","?",-14.3+(118/(1+EXP(-0.09577*(E5-36.79))))))</f>
        <v>31.399650864274957</v>
      </c>
      <c r="S5" s="71">
        <f>IF(C5="?","?",IF(E5="","?",-1.6+19.095*LN(E5-10.3)))</f>
        <v>57.16127761513377</v>
      </c>
      <c r="T5" s="72">
        <f>IF(C5="?","?",IF(E5="","?",-8.2+(110.2/(1+EXP(-0.1732*(E5-28.55))))))</f>
        <v>62.889281168871619</v>
      </c>
      <c r="U5" s="73">
        <f>IF(C5="?","?",IF(E5="","?",-10.3+(0.286*E5+0.005786*E5^2)/(1-0.02465*E5+0.0002386*E5^2)))</f>
        <v>22.797673373047093</v>
      </c>
      <c r="V5" s="74"/>
      <c r="W5" s="71">
        <f>IF(C5="?","?",IF(E5="","?",4.2+17.331*LN(E5-11.1)))</f>
        <v>56.881892674122334</v>
      </c>
      <c r="X5" s="72">
        <f>IF(C5="?","?",IF(E5="","?",-23.2+(119.6/(1+EXP(-0.2313*(E5-21.49))))))</f>
        <v>86.731311009274521</v>
      </c>
      <c r="Y5" s="73">
        <f>IF(C5="?","?",IF(E5="","?",-7.5+(109.6/(1+EXP(-0.1232*(E5-35.49))))))</f>
        <v>35.697083429692022</v>
      </c>
      <c r="Z5" s="74"/>
      <c r="AA5" s="71">
        <f>IF(C5="?","?",IF(E5="","?",16.6+9.27*LN(E5-13.5)+0.398*E5))</f>
        <v>56.383734686421263</v>
      </c>
      <c r="AB5" s="72">
        <f>IF(C5="?","?",IF(E5="","?",-30.4+(0.297*E5+0.05497*E5^2)/(1-0.03993*E5+0.0008677*E5^2)))</f>
        <v>77.322776427194214</v>
      </c>
      <c r="AC5" s="73">
        <f>IF(C5="?","?",IF(E5="","?",98.3+(-5.739*E5+0.0917*E5^2)/(1-0.06472*E5+0.002852*E5^2)))</f>
        <v>49.772471190781047</v>
      </c>
    </row>
    <row r="6" spans="1:32" x14ac:dyDescent="0.25">
      <c r="A6" s="4" t="s">
        <v>586</v>
      </c>
      <c r="B6" s="44" t="s">
        <v>589</v>
      </c>
      <c r="C6" s="37">
        <f>IF(COUNTBLANK($K$13:$K$95)=0,SUM($K$19,$K$21,$K$25,$K$27,$K$31,$K$44,$K$46,$K$50,$K$51,$K$53,$K$54,$K$60,$K$61,$K$62,$K$73,$K$74,$K$75,$K$81,$K$89,$K$91,$K$95),IF(ISNUMBER($E6),$E6,"?"))</f>
        <v>42</v>
      </c>
      <c r="D6" s="38"/>
      <c r="E6" s="61">
        <v>42</v>
      </c>
      <c r="F6" s="5"/>
      <c r="G6" s="21">
        <f>IF(C6="?","?",IF(E6="","?",14+6.296*LN(E6-19.9)+0.497*E6))</f>
        <v>54.36375662326526</v>
      </c>
      <c r="H6" s="25">
        <f>IF(C6="?","?",IF(E6="","?",-14.1+(115.8/(1+EXP(-0.1253*(E6-35.75))))))</f>
        <v>65.37970424954193</v>
      </c>
      <c r="I6" s="26">
        <f>IF(C6="?","?",IF(E6="","?",-9.1+(0.121*E6+0.007313*E6^2)/(1-0.01876*E6+0.0001659*E6^2)))</f>
        <v>26.527399809322887</v>
      </c>
      <c r="J6" s="5"/>
      <c r="K6" s="21">
        <f>IF(C6="?","?",IF(E6="","?",10+1.5*LN(E6-24)+0.872*E6))</f>
        <v>50.959557636844252</v>
      </c>
      <c r="L6" s="25">
        <f>IF(C6="?","?",IF(E6="","?",-6+(107.3/(1+EXP(-0.1504*(E6-40.48))))))</f>
        <v>53.755840972820216</v>
      </c>
      <c r="M6" s="26">
        <f>IF(C6="?","?",IF(E6="","?",12.9+(-0.905*E6+0.02759*E6^2)/(1-0.02794*E6+0.0003922*E6^2)))</f>
        <v>33.462434505078321</v>
      </c>
      <c r="N6" s="5"/>
      <c r="O6" s="21">
        <f>IF(C6="?","?",IF(E6="","?",15.9+7.462*LN(E6-19.6)+0.396*E6))</f>
        <v>55.731812875020736</v>
      </c>
      <c r="P6" s="25">
        <f>IF(C6="?","?",IF(E6="","?",-25.3+(127.3/(1+EXP(-0.1148*(E6-32.38))))))</f>
        <v>70.312374258159196</v>
      </c>
      <c r="Q6" s="26">
        <f>IF(C6="?","?",IF(E6="","?",-11.4+(0.312*E6+0.001675*E6^2)/(1-0.01809*E6+0.0001247*E6^2)))</f>
        <v>23.495743243889265</v>
      </c>
      <c r="S6" s="75">
        <f>IF(C6="?","?",IF(E6="","?",33.3-EXP(-0.131*(E6-41.8))+0.528*E6))</f>
        <v>54.501859757923768</v>
      </c>
      <c r="T6" s="76">
        <f>IF(C6="?","?",IF(E6="","?",-7.8+(107.1/(1+EXP(-0.1259*(E6-40.24))))))</f>
        <v>51.658754966731358</v>
      </c>
      <c r="U6" s="77">
        <f>IF(C6="?","?",IF(E6="","?",-1.9+(-0.004*E6+0.003342*E6^2)/(1-0.02055*E6+0.0001387*E6^2)))</f>
        <v>13.109922246904079</v>
      </c>
      <c r="V6" s="74"/>
      <c r="W6" s="75">
        <f>IF(C6="?","?",IF(E6="","?",28.1+4.121*((E6-20.1)^0.431-1)/0.431))</f>
        <v>54.700874460101538</v>
      </c>
      <c r="X6" s="76">
        <f>IF(C6="?","?",IF(E6="","?",55.4+(-2.006*E6+0.05467*E6^2)/(1-0.05742*E6+0.001229*E6^2)))</f>
        <v>71.512154178941074</v>
      </c>
      <c r="Y6" s="77">
        <f>IF(C6="?","?",IF(E6="","?",-5.9+(-0.011*E6+0.009014*E6^2)/(1-0.0221*E6+0.0002068*E6^2)))</f>
        <v>29.461579788325658</v>
      </c>
      <c r="Z6" s="74"/>
      <c r="AA6" s="75">
        <f>IF(C6="?","?",IF(E6="","?",-20.1+21.823*LN(E6-11.8)))</f>
        <v>54.269334315762713</v>
      </c>
      <c r="AB6" s="76">
        <f>IF(C6="?","?",IF(E6="","?",-44.8+(173.2/(1+EXP(-0.07939*(E6-33.83))))))</f>
        <v>68.940194286815768</v>
      </c>
      <c r="AC6" s="77">
        <f>IF(C6="?","?",IF(E6="","?",13.3+(-1.15*E6+0.03764*E6^2)/(1-0.02976*E6+0.0004993*E6^2)))</f>
        <v>41.986847423107918</v>
      </c>
    </row>
    <row r="7" spans="1:32" x14ac:dyDescent="0.25">
      <c r="A7" s="4" t="s">
        <v>587</v>
      </c>
      <c r="B7" s="44" t="s">
        <v>590</v>
      </c>
      <c r="C7" s="37">
        <f>IF(COUNTBLANK($K$13:$K$95)=0,SUM($K$13,$K$22,$K$23,$K$28,$K$40,$K$47,$K$59,$K$63,$K$64,$K$65,$K$66,$K$67,$K$69,$K$70,$K$77,$K$78,$K$85,$K$87,$K$88,$K$93),IF(ISNUMBER($E7),$E7,"?"))</f>
        <v>38</v>
      </c>
      <c r="D7" s="38"/>
      <c r="E7" s="61">
        <v>38</v>
      </c>
      <c r="F7" s="5"/>
      <c r="G7" s="21">
        <f>IF(C7="?","?",IF(E7="","?",36.1+4.087*((E7-19.8)^0.459-1)/0.459))</f>
        <v>60.92185152584905</v>
      </c>
      <c r="H7" s="25">
        <f>IF(C7="?","?",IF(E7="","?",-97.8+(198/(1+EXP(-0.1419*(E7-19.95))))))</f>
        <v>86.009076222216279</v>
      </c>
      <c r="I7" s="26">
        <f>IF(C7="?","?",IF(E7="","?",-1.9+(-1.332*E7+0.0699*E7^2)/(1-0.03349*E7+0.00079*E7^2)))</f>
        <v>56.062540604050042</v>
      </c>
      <c r="J7" s="5"/>
      <c r="K7" s="21">
        <f>IF(C7="?","?",IF(E7="","?",22.7+8.936*((E7-18.5)^0.205-1)/0.205))</f>
        <v>59.249212898013624</v>
      </c>
      <c r="L7" s="25">
        <f>IF(C7="?","?",IF(E7="","?",33.5+(-2.412*E7+0.09123*E7^2)/(1-0.06386*E7+0.001564*E7^2)))</f>
        <v>81.688511739301916</v>
      </c>
      <c r="M7" s="26">
        <f>IF(C7="?","?",IF(E7="","?",9+(-2.582*E7+0.1156*E7^2)/(1-0.04413*E7+0.001322*E7^2)))</f>
        <v>64.851328054232539</v>
      </c>
      <c r="N7" s="5"/>
      <c r="O7" s="21">
        <f>IF(C7="?","?",IF(E7="","?",23.4+6.412*LN(E7-19.2)+0.508*E7))</f>
        <v>61.515890249387816</v>
      </c>
      <c r="P7" s="25">
        <f>IF(C7="?","?",IF(E7="","?",-183.8+(284.7/(1+EXP(-0.1323*(E7-15.18))))))</f>
        <v>87.641224544273257</v>
      </c>
      <c r="Q7" s="26">
        <f>IF(C7="?","?",IF(E7="","?",3.7+(-1.262*E7+0.05767*E7^2)/(1-0.03422*E7+0.0007111*E7^2)))</f>
        <v>52.318054136972776</v>
      </c>
      <c r="S7" s="75">
        <f>IF(C7="?","?",IF(E7="","?",16.1+14.324*LN(E7-16.9)))</f>
        <v>59.777787031864463</v>
      </c>
      <c r="T7" s="76">
        <f>IF(C7="?","?",IF(E7="","?",-15+(113.2/(1+EXP(-0.1822*(E7-30.04))))))</f>
        <v>76.697257737402538</v>
      </c>
      <c r="U7" s="77">
        <f>IF(C7="?","?",IF(E7="","?",-11-1.605*E7+0.141*E7^2-0.001937*E7^3+0.000007996*E7^4))</f>
        <v>41.999683455999971</v>
      </c>
      <c r="V7" s="74"/>
      <c r="W7" s="75">
        <f>IF(C7="?","?",IF(E7="","?",35.7+8.444*LN(E7-19)))</f>
        <v>60.562842740081422</v>
      </c>
      <c r="X7" s="76">
        <f>IF(C7="?","?",IF(E7="","?",82.5+(-1.015*E7+0.03332*E7^2)/(1-0.09342*E7+0.002395*E7^2)))</f>
        <v>93.006241606305466</v>
      </c>
      <c r="Y7" s="77">
        <f>IF(C7="?","?",IF(E7="","?",-19.5+(121.1/(1+EXP(-0.1294*(E7-32.2))))))</f>
        <v>62.76226047504511</v>
      </c>
      <c r="Z7" s="74"/>
      <c r="AA7" s="75">
        <f>IF(C7="?","?",IF(E7="","?",26.7+9.592*LN(E7-17.7)))</f>
        <v>55.577875538969934</v>
      </c>
      <c r="AB7" s="76">
        <f>IF(C7="?","?",IF(E7="","?",-76.6+(177.9/(1+EXP(-0.1565*(E7-21.48))))))</f>
        <v>88.831827566106739</v>
      </c>
      <c r="AC7" s="77">
        <f>IF(C7="?","?",IF(E7="","?",42.2+(-2.945*E7+0.09748*E7^2)/(1-0.06011*E7+0.001691*E7^2)))</f>
        <v>67.122703744912002</v>
      </c>
    </row>
    <row r="8" spans="1:32" x14ac:dyDescent="0.25">
      <c r="A8" s="4" t="s">
        <v>591</v>
      </c>
      <c r="B8" s="44" t="s">
        <v>592</v>
      </c>
      <c r="C8" s="37">
        <f>IF(COUNTBLANK($K$13:$K$95)=0,SUM($K$14,$K$20,$K$26,$K$36,$K$37,$K$38,$K$42,$K$49,$K$56,$K$57,$K$68,$K$71,$K$72,$K$80,$K$83,$K$84,$K$86,$K$94),IF(ISNUMBER($E8),$E8,"?"))</f>
        <v>36</v>
      </c>
      <c r="D8" s="38"/>
      <c r="E8" s="61">
        <v>36</v>
      </c>
      <c r="F8" s="5"/>
      <c r="G8" s="21">
        <f>IF(C8="?","?",IF(E8="","?",38.3+4.755*((E8-17.8)^0.577-1)/0.577))</f>
        <v>74.016893752339229</v>
      </c>
      <c r="H8" s="25">
        <f>IF(C8="?","?",IF(E8="","?",-44.3+(144.6/(1+EXP(-0.3069*(E8-20.4))))))</f>
        <v>99.105134374134721</v>
      </c>
      <c r="I8" s="26">
        <f>IF(C8="?","?",IF(E8="","?",19.1+(-2.599*E8+0.1155*E8^2)/(1-0.05657*E8+0.001571*E8^2)))</f>
        <v>75.252300759582823</v>
      </c>
      <c r="J8" s="5"/>
      <c r="K8" s="21">
        <f>IF(C8="?","?",IF(E8="","?",-14.4+27.112*LN(E8-13.6)))</f>
        <v>69.892860716639262</v>
      </c>
      <c r="L8" s="25">
        <f>IF(C8="?","?",IF(E8="","?",75.3+(-1.394*E8+0.0509*E8^2)/(1-0.09047*E8+0.002296*E8^2)))</f>
        <v>97.259771586317456</v>
      </c>
      <c r="M8" s="26">
        <f>IF(C8="?","?",IF(E8="","?",22.2+(-2.296*E8+0.09898*E8^2)/(1-0.05779*E8+0.00147*E8^2)))</f>
        <v>77.520948731629232</v>
      </c>
      <c r="N8" s="5"/>
      <c r="O8" s="21">
        <f>IF(C8="?","?",IF(E8="","?",11+4.574*LN(E8-17.6)+1.505*E8))</f>
        <v>78.501091939948736</v>
      </c>
      <c r="P8" s="25">
        <f>IF(C8="?","?",IF(E8="","?",-101.3+(203.2/(1+EXP(-0.2825*(E8-17.78))))))</f>
        <v>100.72503118539346</v>
      </c>
      <c r="Q8" s="26">
        <f>IF(C8="?","?",IF(E8="","?",34.7+(-3.116*E8+0.1222*E8^2)/(1-0.0627*E8+0.001864*E8^2)))</f>
        <v>74.573496388570504</v>
      </c>
      <c r="S8" s="75">
        <f>IF(C8="?","?",IF(E8="","?",6.4+20.044*LN(E8-13.5)))</f>
        <v>68.807300857812749</v>
      </c>
      <c r="T8" s="76">
        <f>IF(C8="?","?",IF(E8="","?",-24.9+(126.7/(1+EXP(-0.285*(E8-22.66))))))</f>
        <v>99.03279051391678</v>
      </c>
      <c r="U8" s="77">
        <f>IF(C8="?","?",IF(E8="","?",-27.2+(127.9/(1+EXP(-0.117*(E8-29.31))))))</f>
        <v>60.573701881622455</v>
      </c>
      <c r="V8" s="74"/>
      <c r="W8" s="75">
        <f>IF(C8="?","?",IF(E8="","?",16+16.432*LN(E8-14.5)))</f>
        <v>66.41424583011559</v>
      </c>
      <c r="X8" s="76">
        <f>IF(C8="?","?",IF(E8="","?",-27.4+(126.3/(1+EXP(-0.4434*(E8-20.43))))))</f>
        <v>98.773318788299321</v>
      </c>
      <c r="Y8" s="77">
        <f>IF(C8="?","?",IF(E8="","?",-36.1+(134.5/(1+EXP(-0.1675*(E8-24.01))))))</f>
        <v>82.484397431586558</v>
      </c>
      <c r="Z8" s="74"/>
      <c r="AA8" s="75">
        <f>IF(C8="?","?",IF(E8="","?",7.7+19.332*LN(E8-13.6)))</f>
        <v>67.804366456700734</v>
      </c>
      <c r="AB8" s="76">
        <f>IF(C8="?","?",IF(E8="","?",-39+(138.5/(1+EXP(-0.3381*(E8-20.49))))))</f>
        <v>98.772634552762327</v>
      </c>
      <c r="AC8" s="77">
        <f>IF(C8="?","?",IF(E8="","?",36.2+(-2.456*E8+0.1012*E8^2)/(1-0.07173*E8+0.001876*E8^2)))</f>
        <v>86.53968735571533</v>
      </c>
    </row>
    <row r="9" spans="1:32" x14ac:dyDescent="0.25">
      <c r="A9" s="4" t="s">
        <v>593</v>
      </c>
      <c r="B9" s="44" t="s">
        <v>677</v>
      </c>
      <c r="C9" s="37">
        <f>IF(COUNTBLANK($K$13:$K$95)=0,SUM($K$15,$K$18,$K$19,$K$30,$K$32,$K$33,$K$34,$K$39,$K$43,$K$76,$K$79),IF(ISNUMBER($E9),$E9,"?"))</f>
        <v>22</v>
      </c>
      <c r="D9" s="38"/>
      <c r="E9" s="61">
        <v>22</v>
      </c>
      <c r="F9" s="5"/>
      <c r="G9" s="21">
        <f>IF(C9="?","?",IF(E9="","?",20-EXP(-0.972*(E9-13.2))+1.52*E9))</f>
        <v>53.439807150410132</v>
      </c>
      <c r="H9" s="25">
        <f>IF(C9="?","?",IF(E9="","?",-43.2+(153.4/(1+EXP(-0.1538*(E9-16.71))))))</f>
        <v>63.087260786277355</v>
      </c>
      <c r="I9" s="26">
        <f>IF(C9="?","?",IF(E9="","?",-7.7+(-0.231*E9+0.06378*E9^2)/(1-0.04396*E9+0.00103*E9^2)))</f>
        <v>40.827512231840409</v>
      </c>
      <c r="J9" s="5"/>
      <c r="K9" s="21">
        <f>IF(C9="?","?",IF(E9="","?",10.6+0.336*LN(E9-12)+1.646*E9))</f>
        <v>47.585668591245991</v>
      </c>
      <c r="L9" s="25">
        <f>IF(C9="?","?",IF(E9="","?",-5.2+(108.7/(1+EXP(-0.242*(E9-23.28))))))</f>
        <v>40.79894001729339</v>
      </c>
      <c r="M9" s="26">
        <f>IF(C9="?","?",IF(E9="","?",-15.8+(0.492*E9+0.04972*E9^2)/(1-0.03947*E9+0.0009078*E9^2)))</f>
        <v>45.296899105344124</v>
      </c>
      <c r="N9" s="5"/>
      <c r="O9" s="21">
        <f>IF(C9="?","?",IF(E9="","?",20.2-EXP(-1.014*(E9-13.1))+1.641*E9))</f>
        <v>56.301879589040084</v>
      </c>
      <c r="P9" s="25">
        <f>IF(C9="?","?",IF(E9="","?",-111.9+(224/(1+EXP(-0.1362*(E9-10.79))))))</f>
        <v>72.124495584154573</v>
      </c>
      <c r="Q9" s="26">
        <f>IF(C9="?","?",IF(E9="","?",-3.2+(-0.614*E9+0.07318*E9^2)/(1-0.04649*E9+0.00112*E9^2)))</f>
        <v>38.993568264972076</v>
      </c>
      <c r="S9" s="75">
        <f>IF(C9="?","?",IF(E9="","?",-53+32.963*LN(E9+3.2)))</f>
        <v>53.366458591276313</v>
      </c>
      <c r="T9" s="76">
        <f>IF(C9="?","?",IF(E9="","?",-8.4+(118.3/(1+EXP(-0.1968*(E9-22.78))))))</f>
        <v>46.219012859152357</v>
      </c>
      <c r="U9" s="77">
        <f>IF(C9="?","?",IF(E9="","?",-6.7+(-0.006*E9+0.03407*E9^2)/(1-0.04078*E9+0.0007358*E9^2)))</f>
        <v>28.940629657195547</v>
      </c>
      <c r="V9" s="74"/>
      <c r="W9" s="75">
        <f>IF(C9="?","?",IF(E9="","?",-13.7+23.369*LN(E9-3.6)))</f>
        <v>54.358722681386524</v>
      </c>
      <c r="X9" s="76">
        <f>IF(C9="?","?",IF(E9="","?",-24.5+(125.5/(1+EXP(-0.2597*(E9-15.86))))))</f>
        <v>79.822680170197188</v>
      </c>
      <c r="Y9" s="77">
        <f>IF(C9="?","?",IF(E9="","?",-10.9+(114.1/(1+EXP(-0.1959*(E9-22.33))))))</f>
        <v>44.306586285152619</v>
      </c>
      <c r="Z9" s="74"/>
      <c r="AA9" s="75">
        <f>IF(C9="?","?",IF(E9="","?",-18+24.324*LN(E9-2.8)))</f>
        <v>53.875237627216606</v>
      </c>
      <c r="AB9" s="76">
        <f>IF(C9="?","?",IF(E9="","?",-58.3+(172.4/(1+EXP(-0.1394*(E9-15.49))))))</f>
        <v>64.532773288186121</v>
      </c>
      <c r="AC9" s="77">
        <f>IF(C9="?","?",IF(E9="","?",-26.4+(128.9/(1+EXP(-0.1599*(E9-19.07))))))</f>
        <v>52.877408569538666</v>
      </c>
    </row>
    <row r="10" spans="1:32" ht="15.75" thickBot="1" x14ac:dyDescent="0.3">
      <c r="A10" s="4" t="s">
        <v>594</v>
      </c>
      <c r="B10" s="44" t="s">
        <v>585</v>
      </c>
      <c r="C10" s="37">
        <f>IF(COUNTBLANK($K$13:$K$95)=0,SUM($K$75,$K$60,$K$46,$K$74,$K$61,$K$50,$K$35,$K$18,$K$55,$K$24,$K$32,$K$88,$K$93,$K$65,$K$23,$K$70),IF(ISNUMBER($E10),$E10,"?"))</f>
        <v>32</v>
      </c>
      <c r="D10" s="38"/>
      <c r="E10" s="62">
        <v>32</v>
      </c>
      <c r="F10" s="5"/>
      <c r="G10" s="22">
        <f>IF(C10="?","?",IF(E10="","?",16.5+5.23*LN(E10-15.3)+0.798*E10))</f>
        <v>56.76058760258077</v>
      </c>
      <c r="H10" s="27">
        <f>IF(C10="?","?",IF(E10="","?",-22.3+(123.5/(1+EXP(-0.1729*(E10-24.45))))))</f>
        <v>74.862581734589355</v>
      </c>
      <c r="I10" s="28">
        <f>IF(C10="?","?",IF(E10="","?",-12.4+(0.142*E10+0.02207*E10^2)/(1-0.02605*E10+0.0003835*E10^2)))</f>
        <v>36.148534798534797</v>
      </c>
      <c r="J10" s="5"/>
      <c r="K10" s="22">
        <f>IF(C10="?","?",IF(E10="","?",-45.7+(8.089*E10-0.1963*E10^2)/(1+0.02518*E10-0.0012*E10^2)))</f>
        <v>54.544037714919568</v>
      </c>
      <c r="L10" s="27">
        <f>IF(C10="?","?",IF(E10="","?",-6.7+(105.1/(1+EXP(-0.2279*(E10-27.94))))))</f>
        <v>68.563739017933756</v>
      </c>
      <c r="M10" s="28">
        <f>IF(C10="?","?",IF(E10="","?",11.1+(-1.564*E10+0.07291*E10^2)/(1-0.04007*E10+0.0009365*E10^2)))</f>
        <v>47.468450917344434</v>
      </c>
      <c r="N10" s="5"/>
      <c r="O10" s="22">
        <f>IF(C10="?","?",IF(E10="","?",18.9+3.922*LN(E10-15.7)+0.868*E10))</f>
        <v>57.622949552841476</v>
      </c>
      <c r="P10" s="27">
        <f>IF(C10="?","?",IF(E10="","?",-39.4+(141.3/(1+EXP(-0.1562*(E10-21.83))))))</f>
        <v>77.93729525479668</v>
      </c>
      <c r="Q10" s="28">
        <f>IF(C10="?","?",IF(E10="","?",-13+(0.302*E10+0.01207*E10^2)/(1-0.02558*E10+0.0003074*E10^2)))</f>
        <v>31.383109345577417</v>
      </c>
      <c r="S10" s="78">
        <f>IF(C10="?","?",IF(E10="","?",-11.6+21.528*LN(E10-8.6)))</f>
        <v>56.272101089444782</v>
      </c>
      <c r="T10" s="79">
        <f>IF(C10="?","?",IF(E10="","?",-13.4+(114.8/(1+EXP(-0.1678*(E10-27.66))))))</f>
        <v>64.023596106012207</v>
      </c>
      <c r="U10" s="80">
        <f>IF(C10="?","?",IF(E10="","?",-8.6+(0.161*E10+0.008779*E10^2)/(1-0.02605*E10+0.0002712*E10^2)))</f>
        <v>23.242863730689422</v>
      </c>
      <c r="V10" s="74"/>
      <c r="W10" s="78">
        <f>IF(C10="?","?",IF(E10="","?",-7.3+20.588*LN(E10-9.6)))</f>
        <v>56.709347021030155</v>
      </c>
      <c r="X10" s="79">
        <f>IF(C10="?","?",IF(E10="","?",-21.3+(118.1/(1+EXP(-0.2153*(E10-22.68))))))</f>
        <v>82.803718398196921</v>
      </c>
      <c r="Y10" s="80">
        <f>IF(C10="?","?",IF(E10="","?",12.1+(-1.252*E10+0.0539*E10^2)/(1-0.0385*E10+0.0007432*E10^2)))</f>
        <v>40.698388618712357</v>
      </c>
      <c r="Z10" s="74"/>
      <c r="AA10" s="78">
        <f>IF(C10="?","?",IF(E10="","?",30.2+4.214*((E10-14.9)^0.489-1)/0.489))</f>
        <v>56.122288772703591</v>
      </c>
      <c r="AB10" s="79">
        <f>IF(C10="?","?",IF(E10="","?",-27.5+(133.3/(1+EXP(-0.1635*(E10-23.99))))))</f>
        <v>77.467361165639218</v>
      </c>
      <c r="AC10" s="80">
        <f>IF(C10="?","?",IF(E10="","?",-44.8+(148.5/(1+EXP(-0.08935*(E10-25.84))))))</f>
        <v>49.382777981723407</v>
      </c>
    </row>
    <row r="11" spans="1:32" s="31" customFormat="1" ht="15.75" thickBot="1" x14ac:dyDescent="0.3">
      <c r="A11" s="29"/>
      <c r="B11" s="45"/>
      <c r="C11" s="34"/>
      <c r="D11" s="30"/>
      <c r="E11" s="34"/>
      <c r="F11" s="30"/>
      <c r="G11" s="19"/>
      <c r="H11" s="19"/>
      <c r="I11" s="19"/>
      <c r="J11" s="30"/>
      <c r="K11" s="19"/>
      <c r="L11" s="19"/>
      <c r="M11" s="19"/>
      <c r="N11" s="30"/>
      <c r="O11" s="19"/>
      <c r="P11" s="19"/>
      <c r="Q11" s="19"/>
      <c r="R11" s="30"/>
      <c r="S11" s="30"/>
      <c r="T11" s="30"/>
      <c r="U11" s="30"/>
      <c r="V11" s="30"/>
      <c r="W11" s="30"/>
      <c r="X11" s="30"/>
      <c r="Y11" s="30"/>
      <c r="Z11" s="30"/>
      <c r="AA11" s="30"/>
      <c r="AB11" s="30"/>
      <c r="AC11" s="30"/>
      <c r="AD11" s="30"/>
      <c r="AE11" s="30"/>
      <c r="AF11" s="30"/>
    </row>
    <row r="12" spans="1:32" s="5" customFormat="1" x14ac:dyDescent="0.25">
      <c r="A12" s="4"/>
      <c r="B12" s="44"/>
      <c r="C12" s="15"/>
      <c r="E12" s="15"/>
      <c r="G12" s="6"/>
      <c r="H12" s="6"/>
      <c r="I12" s="6"/>
      <c r="K12" s="6"/>
      <c r="L12" s="6"/>
      <c r="M12" s="6"/>
      <c r="O12" s="6"/>
      <c r="P12" s="6"/>
      <c r="Q12" s="6"/>
    </row>
    <row r="13" spans="1:32" s="5" customFormat="1" ht="16.5" thickBot="1" x14ac:dyDescent="0.3">
      <c r="A13" s="1" t="s">
        <v>15</v>
      </c>
      <c r="B13" s="46" t="s">
        <v>14</v>
      </c>
      <c r="C13" s="14"/>
      <c r="D13" s="2"/>
      <c r="E13" s="14"/>
      <c r="F13" s="3"/>
      <c r="G13" s="2"/>
      <c r="H13" s="2"/>
      <c r="I13" s="2"/>
      <c r="J13" s="3"/>
      <c r="K13" s="2" t="s">
        <v>36</v>
      </c>
      <c r="L13" s="2"/>
      <c r="M13" s="2"/>
      <c r="N13" s="3"/>
      <c r="O13" s="2"/>
      <c r="P13" s="2"/>
      <c r="Q13" s="2"/>
    </row>
    <row r="14" spans="1:32" s="5" customFormat="1" x14ac:dyDescent="0.25">
      <c r="A14" s="4">
        <v>1</v>
      </c>
      <c r="B14" s="98" t="s">
        <v>595</v>
      </c>
      <c r="C14" s="98"/>
      <c r="D14" s="98"/>
      <c r="E14" s="98"/>
      <c r="F14" s="98"/>
      <c r="G14" s="98"/>
      <c r="H14" s="98"/>
      <c r="I14" s="98"/>
      <c r="J14" s="98"/>
      <c r="K14" s="60">
        <v>2</v>
      </c>
      <c r="L14" s="6"/>
      <c r="M14" s="6"/>
      <c r="O14" s="6"/>
      <c r="P14" s="6"/>
      <c r="Q14" s="6"/>
    </row>
    <row r="15" spans="1:32" s="5" customFormat="1" x14ac:dyDescent="0.25">
      <c r="A15" s="4">
        <v>2</v>
      </c>
      <c r="B15" s="98" t="s">
        <v>596</v>
      </c>
      <c r="C15" s="98"/>
      <c r="D15" s="98"/>
      <c r="E15" s="98"/>
      <c r="F15" s="98"/>
      <c r="G15" s="98"/>
      <c r="H15" s="98"/>
      <c r="I15" s="98"/>
      <c r="J15" s="98"/>
      <c r="K15" s="61">
        <v>2</v>
      </c>
      <c r="L15" s="6"/>
      <c r="M15" s="6"/>
      <c r="O15" s="6"/>
      <c r="P15" s="6"/>
      <c r="Q15" s="6"/>
    </row>
    <row r="16" spans="1:32" s="5" customFormat="1" x14ac:dyDescent="0.25">
      <c r="A16" s="4">
        <v>3</v>
      </c>
      <c r="B16" s="98" t="s">
        <v>597</v>
      </c>
      <c r="C16" s="98"/>
      <c r="D16" s="98"/>
      <c r="E16" s="98"/>
      <c r="F16" s="98"/>
      <c r="G16" s="98"/>
      <c r="H16" s="98"/>
      <c r="I16" s="98"/>
      <c r="J16" s="98"/>
      <c r="K16" s="61">
        <v>2</v>
      </c>
      <c r="L16" s="6"/>
      <c r="M16" s="6"/>
      <c r="O16" s="6"/>
      <c r="P16" s="6"/>
      <c r="Q16" s="6"/>
    </row>
    <row r="17" spans="1:17" s="5" customFormat="1" x14ac:dyDescent="0.25">
      <c r="A17" s="4">
        <v>4</v>
      </c>
      <c r="B17" s="13" t="s">
        <v>598</v>
      </c>
      <c r="C17" s="13"/>
      <c r="D17" s="13"/>
      <c r="E17" s="13"/>
      <c r="F17" s="13"/>
      <c r="G17" s="13"/>
      <c r="H17" s="13"/>
      <c r="I17" s="13"/>
      <c r="J17" s="13"/>
      <c r="K17" s="61">
        <v>2</v>
      </c>
      <c r="L17" s="6"/>
      <c r="M17" s="6"/>
      <c r="O17" s="6"/>
      <c r="P17" s="6"/>
      <c r="Q17" s="6"/>
    </row>
    <row r="18" spans="1:17" s="5" customFormat="1" x14ac:dyDescent="0.25">
      <c r="A18" s="4">
        <v>5</v>
      </c>
      <c r="B18" s="98" t="s">
        <v>599</v>
      </c>
      <c r="C18" s="98"/>
      <c r="D18" s="98"/>
      <c r="E18" s="98"/>
      <c r="F18" s="98"/>
      <c r="G18" s="98"/>
      <c r="H18" s="98"/>
      <c r="I18" s="98"/>
      <c r="J18" s="98"/>
      <c r="K18" s="61">
        <v>2</v>
      </c>
      <c r="L18" s="6"/>
      <c r="M18" s="6"/>
      <c r="O18" s="6"/>
      <c r="P18" s="6"/>
      <c r="Q18" s="6"/>
    </row>
    <row r="19" spans="1:17" s="5" customFormat="1" x14ac:dyDescent="0.25">
      <c r="A19" s="4">
        <v>6</v>
      </c>
      <c r="B19" s="98" t="s">
        <v>600</v>
      </c>
      <c r="C19" s="98"/>
      <c r="D19" s="98"/>
      <c r="E19" s="98"/>
      <c r="F19" s="98"/>
      <c r="G19" s="98"/>
      <c r="H19" s="98"/>
      <c r="I19" s="98"/>
      <c r="J19" s="98"/>
      <c r="K19" s="61">
        <v>2</v>
      </c>
      <c r="L19" s="6"/>
      <c r="M19" s="6"/>
      <c r="O19" s="6"/>
      <c r="P19" s="6"/>
      <c r="Q19" s="6"/>
    </row>
    <row r="20" spans="1:17" s="5" customFormat="1" x14ac:dyDescent="0.25">
      <c r="A20" s="4">
        <v>7</v>
      </c>
      <c r="B20" s="98" t="s">
        <v>601</v>
      </c>
      <c r="C20" s="98"/>
      <c r="D20" s="98"/>
      <c r="E20" s="98"/>
      <c r="F20" s="98"/>
      <c r="G20" s="98"/>
      <c r="H20" s="98"/>
      <c r="I20" s="98"/>
      <c r="J20" s="98"/>
      <c r="K20" s="61">
        <v>2</v>
      </c>
      <c r="L20" s="6"/>
      <c r="M20" s="6"/>
      <c r="O20" s="6"/>
      <c r="P20" s="6"/>
      <c r="Q20" s="6"/>
    </row>
    <row r="21" spans="1:17" s="5" customFormat="1" x14ac:dyDescent="0.25">
      <c r="A21" s="4">
        <v>8</v>
      </c>
      <c r="B21" s="98" t="s">
        <v>602</v>
      </c>
      <c r="C21" s="98"/>
      <c r="D21" s="98"/>
      <c r="E21" s="98"/>
      <c r="F21" s="98"/>
      <c r="G21" s="98"/>
      <c r="H21" s="98"/>
      <c r="I21" s="98"/>
      <c r="J21" s="98"/>
      <c r="K21" s="61">
        <v>2</v>
      </c>
      <c r="L21" s="6"/>
      <c r="M21" s="6"/>
      <c r="O21" s="6"/>
      <c r="P21" s="6"/>
      <c r="Q21" s="6"/>
    </row>
    <row r="22" spans="1:17" s="5" customFormat="1" x14ac:dyDescent="0.25">
      <c r="A22" s="4">
        <v>9</v>
      </c>
      <c r="B22" s="98" t="s">
        <v>603</v>
      </c>
      <c r="C22" s="98"/>
      <c r="D22" s="98"/>
      <c r="E22" s="98"/>
      <c r="F22" s="98"/>
      <c r="G22" s="98"/>
      <c r="H22" s="98"/>
      <c r="I22" s="98"/>
      <c r="J22" s="98"/>
      <c r="K22" s="61">
        <v>2</v>
      </c>
      <c r="L22" s="6"/>
      <c r="M22" s="6"/>
      <c r="O22" s="6"/>
      <c r="P22" s="6"/>
      <c r="Q22" s="6"/>
    </row>
    <row r="23" spans="1:17" s="5" customFormat="1" x14ac:dyDescent="0.25">
      <c r="A23" s="4">
        <v>10</v>
      </c>
      <c r="B23" s="98" t="s">
        <v>604</v>
      </c>
      <c r="C23" s="98"/>
      <c r="D23" s="98"/>
      <c r="E23" s="98"/>
      <c r="F23" s="98"/>
      <c r="G23" s="98"/>
      <c r="H23" s="98"/>
      <c r="I23" s="98"/>
      <c r="J23" s="98"/>
      <c r="K23" s="61">
        <v>2</v>
      </c>
      <c r="L23" s="6"/>
      <c r="M23" s="6"/>
      <c r="O23" s="6"/>
      <c r="P23" s="6"/>
      <c r="Q23" s="6"/>
    </row>
    <row r="24" spans="1:17" s="5" customFormat="1" x14ac:dyDescent="0.25">
      <c r="A24" s="4">
        <v>11</v>
      </c>
      <c r="B24" s="98" t="s">
        <v>83</v>
      </c>
      <c r="C24" s="98"/>
      <c r="D24" s="98"/>
      <c r="E24" s="98"/>
      <c r="F24" s="98"/>
      <c r="G24" s="98"/>
      <c r="H24" s="98"/>
      <c r="I24" s="98"/>
      <c r="J24" s="98"/>
      <c r="K24" s="61">
        <v>2</v>
      </c>
      <c r="L24" s="6"/>
      <c r="M24" s="6"/>
      <c r="O24" s="6"/>
      <c r="P24" s="6"/>
      <c r="Q24" s="6"/>
    </row>
    <row r="25" spans="1:17" s="5" customFormat="1" x14ac:dyDescent="0.25">
      <c r="A25" s="4">
        <v>12</v>
      </c>
      <c r="B25" s="13" t="s">
        <v>84</v>
      </c>
      <c r="C25" s="13"/>
      <c r="D25" s="13"/>
      <c r="E25" s="13"/>
      <c r="F25" s="13"/>
      <c r="G25" s="13"/>
      <c r="H25" s="13"/>
      <c r="I25" s="13"/>
      <c r="J25" s="13"/>
      <c r="K25" s="61">
        <v>2</v>
      </c>
      <c r="L25" s="6"/>
      <c r="M25" s="6"/>
      <c r="O25" s="6"/>
      <c r="P25" s="6"/>
      <c r="Q25" s="6"/>
    </row>
    <row r="26" spans="1:17" s="5" customFormat="1" x14ac:dyDescent="0.25">
      <c r="A26" s="4">
        <v>13</v>
      </c>
      <c r="B26" s="98" t="s">
        <v>605</v>
      </c>
      <c r="C26" s="98"/>
      <c r="D26" s="98"/>
      <c r="E26" s="98"/>
      <c r="F26" s="98"/>
      <c r="G26" s="98"/>
      <c r="H26" s="98"/>
      <c r="I26" s="98"/>
      <c r="J26" s="98"/>
      <c r="K26" s="61">
        <v>2</v>
      </c>
      <c r="L26" s="6"/>
      <c r="M26" s="6"/>
      <c r="O26" s="6"/>
      <c r="P26" s="6"/>
      <c r="Q26" s="6"/>
    </row>
    <row r="27" spans="1:17" s="5" customFormat="1" x14ac:dyDescent="0.25">
      <c r="A27" s="4">
        <v>14</v>
      </c>
      <c r="B27" s="98" t="s">
        <v>606</v>
      </c>
      <c r="C27" s="98"/>
      <c r="D27" s="98"/>
      <c r="E27" s="98"/>
      <c r="F27" s="98"/>
      <c r="G27" s="98"/>
      <c r="H27" s="98"/>
      <c r="I27" s="98"/>
      <c r="J27" s="98"/>
      <c r="K27" s="61">
        <v>2</v>
      </c>
      <c r="L27" s="6"/>
      <c r="M27" s="6"/>
      <c r="O27" s="6"/>
      <c r="P27" s="6"/>
      <c r="Q27" s="6"/>
    </row>
    <row r="28" spans="1:17" s="5" customFormat="1" x14ac:dyDescent="0.25">
      <c r="A28" s="4">
        <v>15</v>
      </c>
      <c r="B28" s="98" t="s">
        <v>607</v>
      </c>
      <c r="C28" s="98"/>
      <c r="D28" s="98"/>
      <c r="E28" s="98"/>
      <c r="F28" s="98"/>
      <c r="G28" s="98"/>
      <c r="H28" s="98"/>
      <c r="I28" s="98"/>
      <c r="J28" s="98"/>
      <c r="K28" s="61">
        <v>2</v>
      </c>
      <c r="L28" s="6"/>
      <c r="M28" s="6"/>
      <c r="O28" s="6"/>
      <c r="P28" s="6"/>
      <c r="Q28" s="6"/>
    </row>
    <row r="29" spans="1:17" s="5" customFormat="1" x14ac:dyDescent="0.25">
      <c r="A29" s="4">
        <v>16</v>
      </c>
      <c r="B29" s="98" t="s">
        <v>608</v>
      </c>
      <c r="C29" s="98"/>
      <c r="D29" s="98"/>
      <c r="E29" s="98"/>
      <c r="F29" s="98"/>
      <c r="G29" s="98"/>
      <c r="H29" s="98"/>
      <c r="I29" s="98"/>
      <c r="J29" s="98"/>
      <c r="K29" s="61">
        <v>2</v>
      </c>
      <c r="L29" s="6"/>
      <c r="M29" s="6"/>
      <c r="O29" s="6"/>
      <c r="P29" s="6"/>
      <c r="Q29" s="6"/>
    </row>
    <row r="30" spans="1:17" s="5" customFormat="1" x14ac:dyDescent="0.25">
      <c r="A30" s="4">
        <v>17</v>
      </c>
      <c r="B30" s="98" t="s">
        <v>609</v>
      </c>
      <c r="C30" s="98"/>
      <c r="D30" s="98"/>
      <c r="E30" s="98"/>
      <c r="F30" s="98"/>
      <c r="G30" s="98"/>
      <c r="H30" s="98"/>
      <c r="I30" s="98"/>
      <c r="J30" s="98"/>
      <c r="K30" s="61">
        <v>2</v>
      </c>
      <c r="L30" s="6"/>
      <c r="M30" s="6"/>
      <c r="O30" s="6"/>
      <c r="P30" s="6"/>
      <c r="Q30" s="6"/>
    </row>
    <row r="31" spans="1:17" s="5" customFormat="1" x14ac:dyDescent="0.25">
      <c r="A31" s="4">
        <v>18</v>
      </c>
      <c r="B31" s="98" t="s">
        <v>610</v>
      </c>
      <c r="C31" s="98"/>
      <c r="D31" s="98"/>
      <c r="E31" s="98"/>
      <c r="F31" s="98"/>
      <c r="G31" s="98"/>
      <c r="H31" s="98"/>
      <c r="I31" s="98"/>
      <c r="J31" s="98"/>
      <c r="K31" s="61">
        <v>2</v>
      </c>
      <c r="L31" s="6"/>
      <c r="M31" s="6"/>
      <c r="O31" s="6"/>
      <c r="P31" s="6"/>
      <c r="Q31" s="6"/>
    </row>
    <row r="32" spans="1:17" s="5" customFormat="1" x14ac:dyDescent="0.25">
      <c r="A32" s="4">
        <v>19</v>
      </c>
      <c r="B32" s="13" t="s">
        <v>611</v>
      </c>
      <c r="C32" s="13"/>
      <c r="D32" s="13"/>
      <c r="E32" s="13"/>
      <c r="F32" s="13"/>
      <c r="G32" s="13"/>
      <c r="H32" s="13"/>
      <c r="I32" s="13"/>
      <c r="J32" s="13"/>
      <c r="K32" s="61">
        <v>2</v>
      </c>
      <c r="L32" s="6"/>
      <c r="M32" s="6"/>
      <c r="O32" s="6"/>
      <c r="P32" s="6"/>
      <c r="Q32" s="6"/>
    </row>
    <row r="33" spans="1:17" s="5" customFormat="1" x14ac:dyDescent="0.25">
      <c r="A33" s="4">
        <v>20</v>
      </c>
      <c r="B33" s="13" t="s">
        <v>612</v>
      </c>
      <c r="C33" s="13"/>
      <c r="D33" s="13"/>
      <c r="E33" s="13"/>
      <c r="F33" s="13"/>
      <c r="G33" s="13"/>
      <c r="H33" s="13"/>
      <c r="I33" s="13"/>
      <c r="J33" s="13"/>
      <c r="K33" s="61">
        <v>2</v>
      </c>
      <c r="L33" s="6"/>
      <c r="M33" s="6"/>
      <c r="O33" s="6"/>
      <c r="P33" s="6"/>
      <c r="Q33" s="6"/>
    </row>
    <row r="34" spans="1:17" s="5" customFormat="1" x14ac:dyDescent="0.25">
      <c r="A34" s="4">
        <v>21</v>
      </c>
      <c r="B34" s="13" t="s">
        <v>613</v>
      </c>
      <c r="C34" s="13"/>
      <c r="D34" s="13"/>
      <c r="E34" s="13"/>
      <c r="F34" s="13"/>
      <c r="G34" s="13"/>
      <c r="H34" s="13"/>
      <c r="I34" s="13"/>
      <c r="J34" s="13"/>
      <c r="K34" s="61">
        <v>2</v>
      </c>
      <c r="L34" s="6"/>
      <c r="M34" s="6"/>
      <c r="O34" s="6"/>
      <c r="P34" s="6"/>
      <c r="Q34" s="6"/>
    </row>
    <row r="35" spans="1:17" s="5" customFormat="1" x14ac:dyDescent="0.25">
      <c r="A35" s="4">
        <v>22</v>
      </c>
      <c r="B35" s="13" t="s">
        <v>614</v>
      </c>
      <c r="C35" s="13"/>
      <c r="D35" s="13"/>
      <c r="E35" s="13"/>
      <c r="F35" s="13"/>
      <c r="G35" s="13"/>
      <c r="H35" s="13"/>
      <c r="I35" s="13"/>
      <c r="J35" s="13"/>
      <c r="K35" s="61">
        <v>2</v>
      </c>
      <c r="L35" s="6"/>
      <c r="M35" s="6"/>
      <c r="O35" s="6"/>
      <c r="P35" s="6"/>
      <c r="Q35" s="6"/>
    </row>
    <row r="36" spans="1:17" s="5" customFormat="1" x14ac:dyDescent="0.25">
      <c r="A36" s="4">
        <v>23</v>
      </c>
      <c r="B36" s="13" t="s">
        <v>615</v>
      </c>
      <c r="C36" s="13"/>
      <c r="D36" s="13"/>
      <c r="E36" s="13"/>
      <c r="F36" s="13"/>
      <c r="G36" s="13"/>
      <c r="H36" s="13"/>
      <c r="I36" s="13"/>
      <c r="J36" s="13"/>
      <c r="K36" s="61">
        <v>2</v>
      </c>
      <c r="L36" s="6"/>
      <c r="M36" s="6"/>
      <c r="O36" s="6"/>
      <c r="P36" s="6"/>
      <c r="Q36" s="6"/>
    </row>
    <row r="37" spans="1:17" s="5" customFormat="1" x14ac:dyDescent="0.25">
      <c r="A37" s="4">
        <v>24</v>
      </c>
      <c r="B37" s="13" t="s">
        <v>616</v>
      </c>
      <c r="C37" s="13"/>
      <c r="D37" s="13"/>
      <c r="E37" s="13"/>
      <c r="F37" s="13"/>
      <c r="G37" s="13"/>
      <c r="H37" s="13"/>
      <c r="I37" s="13"/>
      <c r="J37" s="13"/>
      <c r="K37" s="61">
        <v>2</v>
      </c>
      <c r="L37" s="6"/>
      <c r="M37" s="6"/>
      <c r="O37" s="6"/>
      <c r="P37" s="6"/>
      <c r="Q37" s="6"/>
    </row>
    <row r="38" spans="1:17" s="5" customFormat="1" x14ac:dyDescent="0.25">
      <c r="A38" s="4">
        <v>25</v>
      </c>
      <c r="B38" s="13" t="s">
        <v>617</v>
      </c>
      <c r="C38" s="13"/>
      <c r="D38" s="13"/>
      <c r="E38" s="13"/>
      <c r="F38" s="13"/>
      <c r="G38" s="13"/>
      <c r="H38" s="13"/>
      <c r="I38" s="13"/>
      <c r="J38" s="13"/>
      <c r="K38" s="61">
        <v>2</v>
      </c>
      <c r="L38" s="6"/>
      <c r="M38" s="6"/>
      <c r="O38" s="6"/>
      <c r="P38" s="6"/>
      <c r="Q38" s="6"/>
    </row>
    <row r="39" spans="1:17" s="5" customFormat="1" x14ac:dyDescent="0.25">
      <c r="A39" s="4">
        <v>26</v>
      </c>
      <c r="B39" s="13" t="s">
        <v>618</v>
      </c>
      <c r="C39" s="13"/>
      <c r="D39" s="13"/>
      <c r="E39" s="13"/>
      <c r="F39" s="13"/>
      <c r="G39" s="13"/>
      <c r="H39" s="13"/>
      <c r="I39" s="13"/>
      <c r="J39" s="13"/>
      <c r="K39" s="61">
        <v>2</v>
      </c>
      <c r="L39" s="6"/>
      <c r="M39" s="6"/>
      <c r="O39" s="6"/>
      <c r="P39" s="6"/>
      <c r="Q39" s="6"/>
    </row>
    <row r="40" spans="1:17" s="5" customFormat="1" x14ac:dyDescent="0.25">
      <c r="A40" s="4">
        <v>27</v>
      </c>
      <c r="B40" s="13" t="s">
        <v>619</v>
      </c>
      <c r="C40" s="13"/>
      <c r="D40" s="13"/>
      <c r="E40" s="13"/>
      <c r="F40" s="13"/>
      <c r="G40" s="13"/>
      <c r="H40" s="13"/>
      <c r="I40" s="13"/>
      <c r="J40" s="13"/>
      <c r="K40" s="61">
        <v>2</v>
      </c>
      <c r="L40" s="6"/>
      <c r="M40" s="6"/>
      <c r="O40" s="6"/>
      <c r="P40" s="6"/>
      <c r="Q40" s="6"/>
    </row>
    <row r="41" spans="1:17" s="5" customFormat="1" x14ac:dyDescent="0.25">
      <c r="A41" s="4">
        <v>28</v>
      </c>
      <c r="B41" s="13" t="s">
        <v>620</v>
      </c>
      <c r="C41" s="13"/>
      <c r="D41" s="13"/>
      <c r="E41" s="13"/>
      <c r="F41" s="13"/>
      <c r="G41" s="13"/>
      <c r="H41" s="13"/>
      <c r="I41" s="13"/>
      <c r="J41" s="13"/>
      <c r="K41" s="61">
        <v>2</v>
      </c>
      <c r="L41" s="6"/>
      <c r="M41" s="6"/>
      <c r="O41" s="6"/>
      <c r="P41" s="6"/>
      <c r="Q41" s="6"/>
    </row>
    <row r="42" spans="1:17" s="5" customFormat="1" x14ac:dyDescent="0.25">
      <c r="A42" s="4">
        <v>29</v>
      </c>
      <c r="B42" s="13" t="s">
        <v>621</v>
      </c>
      <c r="C42" s="13"/>
      <c r="D42" s="13"/>
      <c r="E42" s="13"/>
      <c r="F42" s="13"/>
      <c r="G42" s="13"/>
      <c r="H42" s="13"/>
      <c r="I42" s="13"/>
      <c r="J42" s="13"/>
      <c r="K42" s="61">
        <v>2</v>
      </c>
      <c r="L42" s="6"/>
      <c r="M42" s="6"/>
      <c r="O42" s="6"/>
      <c r="P42" s="6"/>
      <c r="Q42" s="6"/>
    </row>
    <row r="43" spans="1:17" s="5" customFormat="1" x14ac:dyDescent="0.25">
      <c r="A43" s="4">
        <v>30</v>
      </c>
      <c r="B43" s="13" t="s">
        <v>622</v>
      </c>
      <c r="C43" s="13"/>
      <c r="D43" s="13"/>
      <c r="E43" s="13"/>
      <c r="F43" s="13"/>
      <c r="G43" s="13"/>
      <c r="H43" s="13"/>
      <c r="I43" s="13"/>
      <c r="J43" s="13"/>
      <c r="K43" s="61">
        <v>2</v>
      </c>
      <c r="L43" s="6"/>
      <c r="M43" s="6"/>
      <c r="O43" s="6"/>
      <c r="P43" s="6"/>
      <c r="Q43" s="6"/>
    </row>
    <row r="44" spans="1:17" s="5" customFormat="1" x14ac:dyDescent="0.25">
      <c r="A44" s="4">
        <v>31</v>
      </c>
      <c r="B44" s="13" t="s">
        <v>623</v>
      </c>
      <c r="C44" s="13"/>
      <c r="D44" s="13"/>
      <c r="E44" s="13"/>
      <c r="F44" s="13"/>
      <c r="G44" s="13"/>
      <c r="H44" s="13"/>
      <c r="I44" s="13"/>
      <c r="J44" s="13"/>
      <c r="K44" s="61">
        <v>2</v>
      </c>
      <c r="L44" s="6"/>
      <c r="M44" s="6"/>
      <c r="O44" s="6"/>
      <c r="P44" s="6"/>
      <c r="Q44" s="6"/>
    </row>
    <row r="45" spans="1:17" s="5" customFormat="1" x14ac:dyDescent="0.25">
      <c r="A45" s="4">
        <v>32</v>
      </c>
      <c r="B45" s="13" t="s">
        <v>624</v>
      </c>
      <c r="C45" s="13"/>
      <c r="D45" s="13"/>
      <c r="E45" s="13"/>
      <c r="F45" s="13"/>
      <c r="G45" s="13"/>
      <c r="H45" s="13"/>
      <c r="I45" s="13"/>
      <c r="J45" s="13"/>
      <c r="K45" s="61">
        <v>2</v>
      </c>
      <c r="L45" s="6"/>
      <c r="M45" s="6"/>
      <c r="O45" s="6"/>
      <c r="P45" s="6"/>
      <c r="Q45" s="6"/>
    </row>
    <row r="46" spans="1:17" s="5" customFormat="1" x14ac:dyDescent="0.25">
      <c r="A46" s="4">
        <v>33</v>
      </c>
      <c r="B46" s="13" t="s">
        <v>625</v>
      </c>
      <c r="C46" s="13"/>
      <c r="D46" s="13"/>
      <c r="E46" s="13"/>
      <c r="F46" s="13"/>
      <c r="G46" s="13"/>
      <c r="H46" s="13"/>
      <c r="I46" s="13"/>
      <c r="J46" s="13"/>
      <c r="K46" s="61">
        <v>2</v>
      </c>
      <c r="L46" s="6"/>
      <c r="M46" s="6"/>
      <c r="O46" s="6"/>
      <c r="P46" s="6"/>
      <c r="Q46" s="6"/>
    </row>
    <row r="47" spans="1:17" s="5" customFormat="1" x14ac:dyDescent="0.25">
      <c r="A47" s="4">
        <v>34</v>
      </c>
      <c r="B47" s="13" t="s">
        <v>626</v>
      </c>
      <c r="C47" s="13"/>
      <c r="D47" s="13"/>
      <c r="E47" s="13"/>
      <c r="F47" s="13"/>
      <c r="G47" s="13"/>
      <c r="H47" s="13"/>
      <c r="I47" s="13"/>
      <c r="J47" s="13"/>
      <c r="K47" s="61">
        <v>2</v>
      </c>
      <c r="L47" s="6"/>
      <c r="M47" s="6"/>
      <c r="O47" s="6"/>
      <c r="P47" s="6"/>
      <c r="Q47" s="6"/>
    </row>
    <row r="48" spans="1:17" s="5" customFormat="1" x14ac:dyDescent="0.25">
      <c r="A48" s="4">
        <v>35</v>
      </c>
      <c r="B48" s="13" t="s">
        <v>627</v>
      </c>
      <c r="C48" s="13"/>
      <c r="D48" s="13"/>
      <c r="E48" s="13"/>
      <c r="F48" s="13"/>
      <c r="G48" s="13"/>
      <c r="H48" s="13"/>
      <c r="I48" s="13"/>
      <c r="J48" s="13"/>
      <c r="K48" s="61">
        <v>2</v>
      </c>
      <c r="L48" s="6"/>
      <c r="M48" s="6"/>
      <c r="O48" s="6"/>
      <c r="P48" s="6"/>
      <c r="Q48" s="6"/>
    </row>
    <row r="49" spans="1:17" s="5" customFormat="1" x14ac:dyDescent="0.25">
      <c r="A49" s="4">
        <v>36</v>
      </c>
      <c r="B49" s="13" t="s">
        <v>628</v>
      </c>
      <c r="C49" s="13"/>
      <c r="D49" s="13"/>
      <c r="E49" s="13"/>
      <c r="F49" s="13"/>
      <c r="G49" s="13"/>
      <c r="H49" s="13"/>
      <c r="I49" s="13"/>
      <c r="J49" s="13"/>
      <c r="K49" s="61">
        <v>2</v>
      </c>
      <c r="L49" s="6"/>
      <c r="M49" s="6"/>
      <c r="O49" s="6"/>
      <c r="P49" s="6"/>
      <c r="Q49" s="6"/>
    </row>
    <row r="50" spans="1:17" s="5" customFormat="1" x14ac:dyDescent="0.25">
      <c r="A50" s="4">
        <v>37</v>
      </c>
      <c r="B50" s="13" t="s">
        <v>629</v>
      </c>
      <c r="C50" s="13"/>
      <c r="D50" s="13"/>
      <c r="E50" s="13"/>
      <c r="F50" s="13"/>
      <c r="G50" s="13"/>
      <c r="H50" s="13"/>
      <c r="I50" s="13"/>
      <c r="J50" s="13"/>
      <c r="K50" s="61">
        <v>2</v>
      </c>
      <c r="L50" s="6"/>
      <c r="M50" s="6"/>
      <c r="O50" s="6"/>
      <c r="P50" s="6"/>
      <c r="Q50" s="6"/>
    </row>
    <row r="51" spans="1:17" s="5" customFormat="1" x14ac:dyDescent="0.25">
      <c r="A51" s="4">
        <v>38</v>
      </c>
      <c r="B51" s="13" t="s">
        <v>630</v>
      </c>
      <c r="C51" s="13"/>
      <c r="D51" s="13"/>
      <c r="E51" s="13"/>
      <c r="F51" s="13"/>
      <c r="G51" s="13"/>
      <c r="H51" s="13"/>
      <c r="I51" s="13"/>
      <c r="J51" s="13"/>
      <c r="K51" s="61">
        <v>2</v>
      </c>
      <c r="L51" s="6"/>
      <c r="M51" s="6"/>
      <c r="O51" s="6"/>
      <c r="P51" s="6"/>
      <c r="Q51" s="6"/>
    </row>
    <row r="52" spans="1:17" s="5" customFormat="1" x14ac:dyDescent="0.25">
      <c r="A52" s="4">
        <v>39</v>
      </c>
      <c r="B52" s="13" t="s">
        <v>631</v>
      </c>
      <c r="C52" s="13"/>
      <c r="D52" s="13"/>
      <c r="E52" s="13"/>
      <c r="F52" s="13"/>
      <c r="G52" s="13"/>
      <c r="H52" s="13"/>
      <c r="I52" s="13"/>
      <c r="J52" s="13"/>
      <c r="K52" s="61">
        <v>2</v>
      </c>
      <c r="L52" s="6"/>
      <c r="M52" s="6"/>
      <c r="O52" s="6"/>
      <c r="P52" s="6"/>
      <c r="Q52" s="6"/>
    </row>
    <row r="53" spans="1:17" s="5" customFormat="1" x14ac:dyDescent="0.25">
      <c r="A53" s="4">
        <v>40</v>
      </c>
      <c r="B53" s="13" t="s">
        <v>632</v>
      </c>
      <c r="C53" s="13"/>
      <c r="D53" s="13"/>
      <c r="E53" s="13"/>
      <c r="F53" s="13"/>
      <c r="G53" s="13"/>
      <c r="H53" s="13"/>
      <c r="I53" s="13"/>
      <c r="J53" s="13"/>
      <c r="K53" s="61">
        <v>2</v>
      </c>
      <c r="L53" s="6"/>
      <c r="M53" s="6"/>
      <c r="O53" s="6"/>
      <c r="P53" s="6"/>
      <c r="Q53" s="6"/>
    </row>
    <row r="54" spans="1:17" s="5" customFormat="1" x14ac:dyDescent="0.25">
      <c r="A54" s="4">
        <v>41</v>
      </c>
      <c r="B54" s="13" t="s">
        <v>633</v>
      </c>
      <c r="C54" s="13"/>
      <c r="D54" s="13"/>
      <c r="E54" s="13"/>
      <c r="F54" s="13"/>
      <c r="G54" s="13"/>
      <c r="H54" s="13"/>
      <c r="I54" s="13"/>
      <c r="J54" s="13"/>
      <c r="K54" s="61">
        <v>2</v>
      </c>
      <c r="L54" s="6"/>
      <c r="M54" s="6"/>
      <c r="O54" s="6"/>
      <c r="P54" s="6"/>
      <c r="Q54" s="6"/>
    </row>
    <row r="55" spans="1:17" s="5" customFormat="1" x14ac:dyDescent="0.25">
      <c r="A55" s="4">
        <v>42</v>
      </c>
      <c r="B55" s="13" t="s">
        <v>634</v>
      </c>
      <c r="C55" s="13"/>
      <c r="D55" s="13"/>
      <c r="E55" s="13"/>
      <c r="F55" s="13"/>
      <c r="G55" s="13"/>
      <c r="H55" s="13"/>
      <c r="I55" s="13"/>
      <c r="J55" s="13"/>
      <c r="K55" s="61">
        <v>2</v>
      </c>
      <c r="L55" s="6"/>
      <c r="M55" s="6"/>
      <c r="O55" s="6"/>
      <c r="P55" s="6"/>
      <c r="Q55" s="6"/>
    </row>
    <row r="56" spans="1:17" s="5" customFormat="1" x14ac:dyDescent="0.25">
      <c r="A56" s="4">
        <v>43</v>
      </c>
      <c r="B56" s="13" t="s">
        <v>89</v>
      </c>
      <c r="C56" s="13"/>
      <c r="D56" s="13"/>
      <c r="E56" s="13"/>
      <c r="F56" s="13"/>
      <c r="G56" s="13"/>
      <c r="H56" s="13"/>
      <c r="I56" s="13"/>
      <c r="J56" s="13"/>
      <c r="K56" s="61">
        <v>2</v>
      </c>
      <c r="L56" s="6"/>
      <c r="M56" s="6"/>
      <c r="O56" s="6"/>
      <c r="P56" s="6"/>
      <c r="Q56" s="6"/>
    </row>
    <row r="57" spans="1:17" s="5" customFormat="1" x14ac:dyDescent="0.25">
      <c r="A57" s="4">
        <v>44</v>
      </c>
      <c r="B57" s="13" t="s">
        <v>635</v>
      </c>
      <c r="C57" s="13"/>
      <c r="D57" s="13"/>
      <c r="E57" s="13"/>
      <c r="F57" s="13"/>
      <c r="G57" s="13"/>
      <c r="H57" s="13"/>
      <c r="I57" s="13"/>
      <c r="J57" s="13"/>
      <c r="K57" s="61">
        <v>2</v>
      </c>
      <c r="L57" s="6"/>
      <c r="M57" s="6"/>
      <c r="O57" s="6"/>
      <c r="P57" s="6"/>
      <c r="Q57" s="6"/>
    </row>
    <row r="58" spans="1:17" s="5" customFormat="1" x14ac:dyDescent="0.25">
      <c r="A58" s="4">
        <v>45</v>
      </c>
      <c r="B58" s="13" t="s">
        <v>636</v>
      </c>
      <c r="C58" s="13"/>
      <c r="D58" s="13"/>
      <c r="E58" s="13"/>
      <c r="F58" s="13"/>
      <c r="G58" s="13"/>
      <c r="H58" s="13"/>
      <c r="I58" s="13"/>
      <c r="J58" s="13"/>
      <c r="K58" s="61">
        <v>2</v>
      </c>
      <c r="L58" s="6"/>
      <c r="M58" s="6"/>
      <c r="O58" s="6"/>
      <c r="P58" s="6"/>
      <c r="Q58" s="6"/>
    </row>
    <row r="59" spans="1:17" s="5" customFormat="1" x14ac:dyDescent="0.25">
      <c r="A59" s="4">
        <v>46</v>
      </c>
      <c r="B59" s="13" t="s">
        <v>637</v>
      </c>
      <c r="C59" s="13"/>
      <c r="D59" s="13"/>
      <c r="E59" s="13"/>
      <c r="F59" s="13"/>
      <c r="G59" s="13"/>
      <c r="H59" s="13"/>
      <c r="I59" s="13"/>
      <c r="J59" s="13"/>
      <c r="K59" s="61">
        <v>2</v>
      </c>
      <c r="L59" s="6"/>
      <c r="M59" s="6"/>
      <c r="O59" s="6"/>
      <c r="P59" s="6"/>
      <c r="Q59" s="6"/>
    </row>
    <row r="60" spans="1:17" s="5" customFormat="1" x14ac:dyDescent="0.25">
      <c r="A60" s="4">
        <v>47</v>
      </c>
      <c r="B60" s="13" t="s">
        <v>638</v>
      </c>
      <c r="C60" s="13"/>
      <c r="D60" s="13"/>
      <c r="E60" s="13"/>
      <c r="F60" s="13"/>
      <c r="G60" s="13"/>
      <c r="H60" s="13"/>
      <c r="I60" s="13"/>
      <c r="J60" s="13"/>
      <c r="K60" s="61">
        <v>2</v>
      </c>
      <c r="L60" s="6"/>
      <c r="M60" s="6"/>
      <c r="O60" s="6"/>
      <c r="P60" s="6"/>
      <c r="Q60" s="6"/>
    </row>
    <row r="61" spans="1:17" s="5" customFormat="1" x14ac:dyDescent="0.25">
      <c r="A61" s="4">
        <v>48</v>
      </c>
      <c r="B61" s="13" t="s">
        <v>639</v>
      </c>
      <c r="C61" s="13"/>
      <c r="D61" s="13"/>
      <c r="E61" s="13"/>
      <c r="F61" s="13"/>
      <c r="G61" s="13"/>
      <c r="H61" s="13"/>
      <c r="I61" s="13"/>
      <c r="J61" s="13"/>
      <c r="K61" s="61">
        <v>2</v>
      </c>
      <c r="L61" s="6"/>
      <c r="M61" s="6"/>
      <c r="O61" s="6"/>
      <c r="P61" s="6"/>
      <c r="Q61" s="6"/>
    </row>
    <row r="62" spans="1:17" s="5" customFormat="1" x14ac:dyDescent="0.25">
      <c r="A62" s="4">
        <v>49</v>
      </c>
      <c r="B62" s="13" t="s">
        <v>91</v>
      </c>
      <c r="C62" s="13"/>
      <c r="D62" s="13"/>
      <c r="E62" s="13"/>
      <c r="F62" s="13"/>
      <c r="G62" s="13"/>
      <c r="H62" s="13"/>
      <c r="I62" s="13"/>
      <c r="J62" s="13"/>
      <c r="K62" s="61">
        <v>2</v>
      </c>
      <c r="L62" s="6"/>
      <c r="M62" s="6"/>
      <c r="O62" s="6"/>
      <c r="P62" s="6"/>
      <c r="Q62" s="6"/>
    </row>
    <row r="63" spans="1:17" s="5" customFormat="1" x14ac:dyDescent="0.25">
      <c r="A63" s="4">
        <v>50</v>
      </c>
      <c r="B63" s="13" t="s">
        <v>640</v>
      </c>
      <c r="C63" s="13"/>
      <c r="D63" s="13"/>
      <c r="E63" s="13"/>
      <c r="F63" s="13"/>
      <c r="G63" s="13"/>
      <c r="H63" s="13"/>
      <c r="I63" s="13"/>
      <c r="J63" s="13"/>
      <c r="K63" s="61">
        <v>2</v>
      </c>
      <c r="L63" s="6"/>
      <c r="M63" s="6"/>
      <c r="O63" s="6"/>
      <c r="P63" s="6"/>
      <c r="Q63" s="6"/>
    </row>
    <row r="64" spans="1:17" s="5" customFormat="1" x14ac:dyDescent="0.25">
      <c r="A64" s="4">
        <v>51</v>
      </c>
      <c r="B64" s="13" t="s">
        <v>641</v>
      </c>
      <c r="C64" s="13"/>
      <c r="D64" s="13"/>
      <c r="E64" s="13"/>
      <c r="F64" s="13"/>
      <c r="G64" s="13"/>
      <c r="H64" s="13"/>
      <c r="I64" s="13"/>
      <c r="J64" s="13"/>
      <c r="K64" s="61">
        <v>2</v>
      </c>
      <c r="L64" s="6"/>
      <c r="M64" s="6"/>
      <c r="O64" s="6"/>
      <c r="P64" s="6"/>
      <c r="Q64" s="6"/>
    </row>
    <row r="65" spans="1:17" s="5" customFormat="1" x14ac:dyDescent="0.25">
      <c r="A65" s="4">
        <v>52</v>
      </c>
      <c r="B65" s="13" t="s">
        <v>642</v>
      </c>
      <c r="C65" s="13"/>
      <c r="D65" s="13"/>
      <c r="E65" s="13"/>
      <c r="F65" s="13"/>
      <c r="G65" s="13"/>
      <c r="H65" s="13"/>
      <c r="I65" s="13"/>
      <c r="J65" s="13"/>
      <c r="K65" s="61">
        <v>2</v>
      </c>
      <c r="L65" s="6"/>
      <c r="M65" s="6"/>
      <c r="O65" s="6"/>
      <c r="P65" s="6"/>
      <c r="Q65" s="6"/>
    </row>
    <row r="66" spans="1:17" s="5" customFormat="1" x14ac:dyDescent="0.25">
      <c r="A66" s="4">
        <v>53</v>
      </c>
      <c r="B66" s="13" t="s">
        <v>643</v>
      </c>
      <c r="C66" s="13"/>
      <c r="D66" s="13"/>
      <c r="E66" s="13"/>
      <c r="F66" s="13"/>
      <c r="G66" s="13"/>
      <c r="H66" s="13"/>
      <c r="I66" s="13"/>
      <c r="J66" s="13"/>
      <c r="K66" s="61">
        <v>2</v>
      </c>
      <c r="L66" s="6"/>
      <c r="M66" s="6"/>
      <c r="O66" s="6"/>
      <c r="P66" s="6"/>
      <c r="Q66" s="6"/>
    </row>
    <row r="67" spans="1:17" s="5" customFormat="1" x14ac:dyDescent="0.25">
      <c r="A67" s="4">
        <v>54</v>
      </c>
      <c r="B67" s="13" t="s">
        <v>644</v>
      </c>
      <c r="C67" s="13"/>
      <c r="D67" s="13"/>
      <c r="E67" s="13"/>
      <c r="F67" s="13"/>
      <c r="G67" s="13"/>
      <c r="H67" s="13"/>
      <c r="I67" s="13"/>
      <c r="J67" s="13"/>
      <c r="K67" s="61">
        <v>2</v>
      </c>
      <c r="L67" s="6"/>
      <c r="M67" s="6"/>
      <c r="O67" s="6"/>
      <c r="P67" s="6"/>
      <c r="Q67" s="6"/>
    </row>
    <row r="68" spans="1:17" s="5" customFormat="1" x14ac:dyDescent="0.25">
      <c r="A68" s="4">
        <v>55</v>
      </c>
      <c r="B68" s="13" t="s">
        <v>645</v>
      </c>
      <c r="C68" s="13"/>
      <c r="D68" s="13"/>
      <c r="E68" s="13"/>
      <c r="F68" s="13"/>
      <c r="G68" s="13"/>
      <c r="H68" s="13"/>
      <c r="I68" s="13"/>
      <c r="J68" s="13"/>
      <c r="K68" s="61">
        <v>2</v>
      </c>
      <c r="L68" s="6"/>
      <c r="M68" s="6"/>
      <c r="O68" s="6"/>
      <c r="P68" s="6"/>
      <c r="Q68" s="6"/>
    </row>
    <row r="69" spans="1:17" s="5" customFormat="1" x14ac:dyDescent="0.25">
      <c r="A69" s="4">
        <v>56</v>
      </c>
      <c r="B69" s="13" t="s">
        <v>646</v>
      </c>
      <c r="C69" s="13"/>
      <c r="D69" s="13"/>
      <c r="E69" s="13"/>
      <c r="F69" s="13"/>
      <c r="G69" s="13"/>
      <c r="H69" s="13"/>
      <c r="I69" s="13"/>
      <c r="J69" s="13"/>
      <c r="K69" s="61">
        <v>2</v>
      </c>
      <c r="L69" s="6"/>
      <c r="M69" s="6"/>
      <c r="O69" s="6"/>
      <c r="P69" s="6"/>
      <c r="Q69" s="6"/>
    </row>
    <row r="70" spans="1:17" s="5" customFormat="1" x14ac:dyDescent="0.25">
      <c r="A70" s="4">
        <v>57</v>
      </c>
      <c r="B70" s="13" t="s">
        <v>647</v>
      </c>
      <c r="C70" s="13"/>
      <c r="D70" s="13"/>
      <c r="E70" s="13"/>
      <c r="F70" s="13"/>
      <c r="G70" s="13"/>
      <c r="H70" s="13"/>
      <c r="I70" s="13"/>
      <c r="J70" s="13"/>
      <c r="K70" s="61">
        <v>2</v>
      </c>
      <c r="L70" s="6"/>
      <c r="M70" s="6"/>
      <c r="O70" s="6"/>
      <c r="P70" s="6"/>
      <c r="Q70" s="6"/>
    </row>
    <row r="71" spans="1:17" s="5" customFormat="1" x14ac:dyDescent="0.25">
      <c r="A71" s="4">
        <v>58</v>
      </c>
      <c r="B71" s="13" t="s">
        <v>648</v>
      </c>
      <c r="C71" s="13"/>
      <c r="D71" s="13"/>
      <c r="E71" s="13"/>
      <c r="F71" s="13"/>
      <c r="G71" s="13"/>
      <c r="H71" s="13"/>
      <c r="I71" s="13"/>
      <c r="J71" s="13"/>
      <c r="K71" s="61">
        <v>2</v>
      </c>
      <c r="L71" s="6"/>
      <c r="M71" s="6"/>
      <c r="O71" s="6"/>
      <c r="P71" s="6"/>
      <c r="Q71" s="6"/>
    </row>
    <row r="72" spans="1:17" s="5" customFormat="1" x14ac:dyDescent="0.25">
      <c r="A72" s="4">
        <v>59</v>
      </c>
      <c r="B72" s="13" t="s">
        <v>649</v>
      </c>
      <c r="C72" s="13"/>
      <c r="D72" s="13"/>
      <c r="E72" s="13"/>
      <c r="F72" s="13"/>
      <c r="G72" s="13"/>
      <c r="H72" s="13"/>
      <c r="I72" s="13"/>
      <c r="J72" s="13"/>
      <c r="K72" s="61">
        <v>2</v>
      </c>
      <c r="L72" s="6"/>
      <c r="M72" s="6"/>
      <c r="O72" s="6"/>
      <c r="P72" s="6"/>
      <c r="Q72" s="6"/>
    </row>
    <row r="73" spans="1:17" s="5" customFormat="1" x14ac:dyDescent="0.25">
      <c r="A73" s="4">
        <v>60</v>
      </c>
      <c r="B73" s="13" t="s">
        <v>650</v>
      </c>
      <c r="C73" s="13"/>
      <c r="D73" s="13"/>
      <c r="E73" s="13"/>
      <c r="F73" s="13"/>
      <c r="G73" s="13"/>
      <c r="H73" s="13"/>
      <c r="I73" s="13"/>
      <c r="J73" s="13"/>
      <c r="K73" s="61">
        <v>2</v>
      </c>
      <c r="L73" s="6"/>
      <c r="M73" s="6"/>
      <c r="O73" s="6"/>
      <c r="P73" s="6"/>
      <c r="Q73" s="6"/>
    </row>
    <row r="74" spans="1:17" s="5" customFormat="1" x14ac:dyDescent="0.25">
      <c r="A74" s="4">
        <v>61</v>
      </c>
      <c r="B74" s="13" t="s">
        <v>651</v>
      </c>
      <c r="C74" s="13"/>
      <c r="D74" s="13"/>
      <c r="E74" s="13"/>
      <c r="F74" s="13"/>
      <c r="G74" s="13"/>
      <c r="H74" s="13"/>
      <c r="I74" s="13"/>
      <c r="J74" s="13"/>
      <c r="K74" s="61">
        <v>2</v>
      </c>
      <c r="L74" s="6"/>
      <c r="M74" s="6"/>
      <c r="O74" s="6"/>
      <c r="P74" s="6"/>
      <c r="Q74" s="6"/>
    </row>
    <row r="75" spans="1:17" s="5" customFormat="1" x14ac:dyDescent="0.25">
      <c r="A75" s="4">
        <v>62</v>
      </c>
      <c r="B75" s="13" t="s">
        <v>652</v>
      </c>
      <c r="C75" s="13"/>
      <c r="D75" s="13"/>
      <c r="E75" s="13"/>
      <c r="F75" s="13"/>
      <c r="G75" s="13"/>
      <c r="H75" s="13"/>
      <c r="I75" s="13"/>
      <c r="J75" s="13"/>
      <c r="K75" s="61">
        <v>2</v>
      </c>
      <c r="L75" s="6"/>
      <c r="M75" s="6"/>
      <c r="O75" s="6"/>
      <c r="P75" s="6"/>
      <c r="Q75" s="6"/>
    </row>
    <row r="76" spans="1:17" s="5" customFormat="1" x14ac:dyDescent="0.25">
      <c r="A76" s="4">
        <v>63</v>
      </c>
      <c r="B76" s="13" t="s">
        <v>653</v>
      </c>
      <c r="C76" s="13"/>
      <c r="D76" s="13"/>
      <c r="E76" s="13"/>
      <c r="F76" s="13"/>
      <c r="G76" s="13"/>
      <c r="H76" s="13"/>
      <c r="I76" s="13"/>
      <c r="J76" s="13"/>
      <c r="K76" s="61">
        <v>2</v>
      </c>
      <c r="L76" s="6"/>
      <c r="M76" s="6"/>
      <c r="O76" s="6"/>
      <c r="P76" s="6"/>
      <c r="Q76" s="6"/>
    </row>
    <row r="77" spans="1:17" s="5" customFormat="1" x14ac:dyDescent="0.25">
      <c r="A77" s="4">
        <v>64</v>
      </c>
      <c r="B77" s="13" t="s">
        <v>654</v>
      </c>
      <c r="C77" s="13"/>
      <c r="D77" s="13"/>
      <c r="E77" s="13"/>
      <c r="F77" s="13"/>
      <c r="G77" s="13"/>
      <c r="H77" s="13"/>
      <c r="I77" s="13"/>
      <c r="J77" s="13"/>
      <c r="K77" s="61">
        <v>2</v>
      </c>
      <c r="L77" s="6"/>
      <c r="M77" s="6"/>
      <c r="O77" s="6"/>
      <c r="P77" s="6"/>
      <c r="Q77" s="6"/>
    </row>
    <row r="78" spans="1:17" s="5" customFormat="1" x14ac:dyDescent="0.25">
      <c r="A78" s="4">
        <v>65</v>
      </c>
      <c r="B78" s="13" t="s">
        <v>655</v>
      </c>
      <c r="C78" s="13"/>
      <c r="D78" s="13"/>
      <c r="E78" s="13"/>
      <c r="F78" s="13"/>
      <c r="G78" s="13"/>
      <c r="H78" s="13"/>
      <c r="I78" s="13"/>
      <c r="J78" s="13"/>
      <c r="K78" s="61">
        <v>2</v>
      </c>
      <c r="L78" s="6"/>
      <c r="M78" s="6"/>
      <c r="O78" s="6"/>
      <c r="P78" s="6"/>
      <c r="Q78" s="6"/>
    </row>
    <row r="79" spans="1:17" s="5" customFormat="1" x14ac:dyDescent="0.25">
      <c r="A79" s="4">
        <v>66</v>
      </c>
      <c r="B79" s="13" t="s">
        <v>656</v>
      </c>
      <c r="C79" s="13"/>
      <c r="D79" s="13"/>
      <c r="E79" s="13"/>
      <c r="F79" s="13"/>
      <c r="G79" s="13"/>
      <c r="H79" s="13"/>
      <c r="I79" s="13"/>
      <c r="J79" s="13"/>
      <c r="K79" s="61">
        <v>2</v>
      </c>
      <c r="L79" s="6"/>
      <c r="M79" s="6"/>
      <c r="O79" s="6"/>
      <c r="P79" s="6"/>
      <c r="Q79" s="6"/>
    </row>
    <row r="80" spans="1:17" s="5" customFormat="1" x14ac:dyDescent="0.25">
      <c r="A80" s="4">
        <v>67</v>
      </c>
      <c r="B80" s="13" t="s">
        <v>657</v>
      </c>
      <c r="C80" s="13"/>
      <c r="D80" s="13"/>
      <c r="E80" s="13"/>
      <c r="F80" s="13"/>
      <c r="G80" s="13"/>
      <c r="H80" s="13"/>
      <c r="I80" s="13"/>
      <c r="J80" s="13"/>
      <c r="K80" s="61">
        <v>2</v>
      </c>
      <c r="L80" s="6"/>
      <c r="M80" s="6"/>
      <c r="O80" s="6"/>
      <c r="P80" s="6"/>
      <c r="Q80" s="6"/>
    </row>
    <row r="81" spans="1:17" s="5" customFormat="1" x14ac:dyDescent="0.25">
      <c r="A81" s="4">
        <v>68</v>
      </c>
      <c r="B81" s="13" t="s">
        <v>658</v>
      </c>
      <c r="C81" s="13"/>
      <c r="D81" s="13"/>
      <c r="E81" s="13"/>
      <c r="F81" s="13"/>
      <c r="G81" s="13"/>
      <c r="H81" s="13"/>
      <c r="I81" s="13"/>
      <c r="J81" s="13"/>
      <c r="K81" s="61">
        <v>2</v>
      </c>
      <c r="L81" s="6"/>
      <c r="M81" s="6"/>
      <c r="O81" s="6"/>
      <c r="P81" s="6"/>
      <c r="Q81" s="6"/>
    </row>
    <row r="82" spans="1:17" s="5" customFormat="1" x14ac:dyDescent="0.25">
      <c r="A82" s="4">
        <v>69</v>
      </c>
      <c r="B82" s="13" t="s">
        <v>659</v>
      </c>
      <c r="C82" s="13"/>
      <c r="D82" s="13"/>
      <c r="E82" s="13"/>
      <c r="F82" s="13"/>
      <c r="G82" s="13"/>
      <c r="H82" s="13"/>
      <c r="I82" s="13"/>
      <c r="J82" s="13"/>
      <c r="K82" s="61">
        <v>2</v>
      </c>
      <c r="L82" s="6"/>
      <c r="M82" s="6"/>
      <c r="O82" s="6"/>
      <c r="P82" s="6"/>
      <c r="Q82" s="6"/>
    </row>
    <row r="83" spans="1:17" s="5" customFormat="1" x14ac:dyDescent="0.25">
      <c r="A83" s="4">
        <v>70</v>
      </c>
      <c r="B83" s="13" t="s">
        <v>660</v>
      </c>
      <c r="C83" s="13"/>
      <c r="D83" s="13"/>
      <c r="E83" s="13"/>
      <c r="F83" s="13"/>
      <c r="G83" s="13"/>
      <c r="H83" s="13"/>
      <c r="I83" s="13"/>
      <c r="J83" s="13"/>
      <c r="K83" s="61">
        <v>2</v>
      </c>
      <c r="L83" s="6"/>
      <c r="M83" s="6"/>
      <c r="O83" s="6"/>
      <c r="P83" s="6"/>
      <c r="Q83" s="6"/>
    </row>
    <row r="84" spans="1:17" s="5" customFormat="1" x14ac:dyDescent="0.25">
      <c r="A84" s="4">
        <v>71</v>
      </c>
      <c r="B84" s="13" t="s">
        <v>661</v>
      </c>
      <c r="C84" s="13"/>
      <c r="D84" s="13"/>
      <c r="E84" s="13"/>
      <c r="F84" s="13"/>
      <c r="G84" s="13"/>
      <c r="H84" s="13"/>
      <c r="I84" s="13"/>
      <c r="J84" s="13"/>
      <c r="K84" s="61">
        <v>2</v>
      </c>
      <c r="L84" s="6"/>
      <c r="M84" s="6"/>
      <c r="O84" s="6"/>
      <c r="P84" s="6"/>
      <c r="Q84" s="6"/>
    </row>
    <row r="85" spans="1:17" s="5" customFormat="1" x14ac:dyDescent="0.25">
      <c r="A85" s="4">
        <v>72</v>
      </c>
      <c r="B85" s="13" t="s">
        <v>662</v>
      </c>
      <c r="C85" s="13"/>
      <c r="D85" s="13"/>
      <c r="E85" s="13"/>
      <c r="F85" s="13"/>
      <c r="G85" s="13"/>
      <c r="H85" s="13"/>
      <c r="I85" s="13"/>
      <c r="J85" s="13"/>
      <c r="K85" s="61">
        <v>2</v>
      </c>
      <c r="L85" s="6"/>
      <c r="M85" s="6"/>
      <c r="O85" s="6"/>
      <c r="P85" s="6"/>
      <c r="Q85" s="6"/>
    </row>
    <row r="86" spans="1:17" s="5" customFormat="1" x14ac:dyDescent="0.25">
      <c r="A86" s="4">
        <v>73</v>
      </c>
      <c r="B86" s="13" t="s">
        <v>663</v>
      </c>
      <c r="C86" s="13"/>
      <c r="D86" s="13"/>
      <c r="E86" s="13"/>
      <c r="F86" s="13"/>
      <c r="G86" s="13"/>
      <c r="H86" s="13"/>
      <c r="I86" s="13"/>
      <c r="J86" s="13"/>
      <c r="K86" s="61">
        <v>2</v>
      </c>
      <c r="L86" s="6"/>
      <c r="M86" s="6"/>
      <c r="O86" s="6"/>
      <c r="P86" s="6"/>
      <c r="Q86" s="6"/>
    </row>
    <row r="87" spans="1:17" s="5" customFormat="1" x14ac:dyDescent="0.25">
      <c r="A87" s="4">
        <v>74</v>
      </c>
      <c r="B87" s="13" t="s">
        <v>664</v>
      </c>
      <c r="C87" s="13"/>
      <c r="D87" s="13"/>
      <c r="E87" s="13"/>
      <c r="F87" s="13"/>
      <c r="G87" s="13"/>
      <c r="H87" s="13"/>
      <c r="I87" s="13"/>
      <c r="J87" s="13"/>
      <c r="K87" s="61">
        <v>2</v>
      </c>
      <c r="L87" s="6"/>
      <c r="M87" s="6"/>
      <c r="O87" s="6"/>
      <c r="P87" s="6"/>
      <c r="Q87" s="6"/>
    </row>
    <row r="88" spans="1:17" s="5" customFormat="1" x14ac:dyDescent="0.25">
      <c r="A88" s="4">
        <v>75</v>
      </c>
      <c r="B88" s="13" t="s">
        <v>665</v>
      </c>
      <c r="C88" s="13"/>
      <c r="D88" s="13"/>
      <c r="E88" s="13"/>
      <c r="F88" s="13"/>
      <c r="G88" s="13"/>
      <c r="H88" s="13"/>
      <c r="I88" s="13"/>
      <c r="J88" s="13"/>
      <c r="K88" s="61">
        <v>2</v>
      </c>
      <c r="L88" s="6"/>
      <c r="M88" s="6"/>
      <c r="O88" s="6"/>
      <c r="P88" s="6"/>
      <c r="Q88" s="6"/>
    </row>
    <row r="89" spans="1:17" s="5" customFormat="1" x14ac:dyDescent="0.25">
      <c r="A89" s="4">
        <v>76</v>
      </c>
      <c r="B89" s="13" t="s">
        <v>666</v>
      </c>
      <c r="C89" s="13"/>
      <c r="D89" s="13"/>
      <c r="E89" s="13"/>
      <c r="F89" s="13"/>
      <c r="G89" s="13"/>
      <c r="H89" s="13"/>
      <c r="I89" s="13"/>
      <c r="J89" s="13"/>
      <c r="K89" s="61">
        <v>2</v>
      </c>
      <c r="L89" s="6"/>
      <c r="M89" s="6"/>
      <c r="O89" s="6"/>
      <c r="P89" s="6"/>
      <c r="Q89" s="6"/>
    </row>
    <row r="90" spans="1:17" s="5" customFormat="1" x14ac:dyDescent="0.25">
      <c r="A90" s="4">
        <v>77</v>
      </c>
      <c r="B90" s="13" t="s">
        <v>667</v>
      </c>
      <c r="C90" s="13"/>
      <c r="D90" s="13"/>
      <c r="E90" s="13"/>
      <c r="F90" s="13"/>
      <c r="G90" s="13"/>
      <c r="H90" s="13"/>
      <c r="I90" s="13"/>
      <c r="J90" s="13"/>
      <c r="K90" s="61">
        <v>2</v>
      </c>
      <c r="L90" s="6"/>
      <c r="M90" s="6"/>
      <c r="O90" s="6"/>
      <c r="P90" s="6"/>
      <c r="Q90" s="6"/>
    </row>
    <row r="91" spans="1:17" s="5" customFormat="1" x14ac:dyDescent="0.25">
      <c r="A91" s="4">
        <v>78</v>
      </c>
      <c r="B91" s="13" t="s">
        <v>668</v>
      </c>
      <c r="C91" s="13"/>
      <c r="D91" s="13"/>
      <c r="E91" s="13"/>
      <c r="F91" s="13"/>
      <c r="G91" s="13"/>
      <c r="H91" s="13"/>
      <c r="I91" s="13"/>
      <c r="J91" s="13"/>
      <c r="K91" s="61">
        <v>2</v>
      </c>
      <c r="L91" s="6"/>
      <c r="M91" s="6"/>
      <c r="O91" s="6"/>
      <c r="P91" s="6"/>
      <c r="Q91" s="6"/>
    </row>
    <row r="92" spans="1:17" s="5" customFormat="1" x14ac:dyDescent="0.25">
      <c r="A92" s="4">
        <v>79</v>
      </c>
      <c r="B92" s="13" t="s">
        <v>669</v>
      </c>
      <c r="C92" s="13"/>
      <c r="D92" s="13"/>
      <c r="E92" s="13"/>
      <c r="F92" s="13"/>
      <c r="G92" s="13"/>
      <c r="H92" s="13"/>
      <c r="I92" s="13"/>
      <c r="J92" s="13"/>
      <c r="K92" s="61">
        <v>2</v>
      </c>
      <c r="L92" s="6"/>
      <c r="M92" s="6"/>
      <c r="O92" s="6"/>
      <c r="P92" s="6"/>
      <c r="Q92" s="6"/>
    </row>
    <row r="93" spans="1:17" s="5" customFormat="1" x14ac:dyDescent="0.25">
      <c r="A93" s="4">
        <v>80</v>
      </c>
      <c r="B93" s="13" t="s">
        <v>670</v>
      </c>
      <c r="C93" s="13"/>
      <c r="D93" s="13"/>
      <c r="E93" s="13"/>
      <c r="F93" s="13"/>
      <c r="G93" s="13"/>
      <c r="H93" s="13"/>
      <c r="I93" s="13"/>
      <c r="J93" s="13"/>
      <c r="K93" s="61">
        <v>2</v>
      </c>
      <c r="L93" s="6"/>
      <c r="M93" s="6"/>
      <c r="O93" s="6"/>
      <c r="P93" s="6"/>
      <c r="Q93" s="6"/>
    </row>
    <row r="94" spans="1:17" s="5" customFormat="1" x14ac:dyDescent="0.25">
      <c r="A94" s="4">
        <v>81</v>
      </c>
      <c r="B94" s="13" t="s">
        <v>671</v>
      </c>
      <c r="C94" s="13"/>
      <c r="D94" s="13"/>
      <c r="E94" s="13"/>
      <c r="F94" s="13"/>
      <c r="G94" s="13"/>
      <c r="H94" s="13"/>
      <c r="I94" s="13"/>
      <c r="J94" s="13"/>
      <c r="K94" s="61">
        <v>2</v>
      </c>
      <c r="L94" s="6"/>
      <c r="M94" s="6"/>
      <c r="O94" s="6"/>
      <c r="P94" s="6"/>
      <c r="Q94" s="6"/>
    </row>
    <row r="95" spans="1:17" s="5" customFormat="1" x14ac:dyDescent="0.25">
      <c r="A95" s="4">
        <v>82</v>
      </c>
      <c r="B95" s="13" t="s">
        <v>672</v>
      </c>
      <c r="C95" s="13"/>
      <c r="D95" s="13"/>
      <c r="E95" s="13"/>
      <c r="F95" s="13"/>
      <c r="G95" s="13"/>
      <c r="H95" s="13"/>
      <c r="I95" s="13"/>
      <c r="J95" s="13"/>
      <c r="K95" s="61">
        <v>2</v>
      </c>
      <c r="L95" s="6"/>
      <c r="M95" s="6"/>
      <c r="O95" s="6"/>
      <c r="P95" s="6"/>
      <c r="Q95" s="6"/>
    </row>
    <row r="96" spans="1:17" s="5" customFormat="1" ht="15.75" thickBot="1" x14ac:dyDescent="0.3">
      <c r="A96" s="4">
        <v>83</v>
      </c>
      <c r="B96" s="13" t="s">
        <v>673</v>
      </c>
      <c r="C96" s="13"/>
      <c r="D96" s="13"/>
      <c r="E96" s="13"/>
      <c r="F96" s="13"/>
      <c r="G96" s="13"/>
      <c r="H96" s="13"/>
      <c r="I96" s="13"/>
      <c r="J96" s="13"/>
      <c r="K96" s="62">
        <v>2</v>
      </c>
      <c r="L96" s="6"/>
      <c r="M96" s="6"/>
      <c r="O96" s="6"/>
      <c r="P96" s="6"/>
      <c r="Q96" s="6"/>
    </row>
    <row r="97" spans="1:17" s="5" customFormat="1" x14ac:dyDescent="0.25">
      <c r="A97" s="4"/>
      <c r="B97" s="44"/>
      <c r="C97" s="15"/>
      <c r="D97" s="6"/>
      <c r="E97" s="15"/>
      <c r="G97" s="6"/>
      <c r="H97" s="6"/>
      <c r="I97" s="6"/>
      <c r="K97" s="6"/>
      <c r="L97" s="6"/>
      <c r="M97" s="6"/>
      <c r="O97" s="6"/>
      <c r="P97" s="6"/>
      <c r="Q97" s="6"/>
    </row>
    <row r="98" spans="1:17" s="5" customFormat="1" ht="106.5" customHeight="1" x14ac:dyDescent="0.25">
      <c r="A98" s="96" t="s">
        <v>678</v>
      </c>
      <c r="B98" s="96"/>
      <c r="C98" s="96"/>
      <c r="D98" s="96"/>
      <c r="E98" s="96"/>
      <c r="F98" s="96"/>
      <c r="G98" s="96"/>
      <c r="H98" s="96"/>
      <c r="I98" s="96"/>
      <c r="J98" s="96"/>
      <c r="K98" s="96"/>
      <c r="L98" s="96"/>
      <c r="M98" s="96"/>
      <c r="N98" s="96"/>
      <c r="O98" s="96"/>
      <c r="P98" s="96"/>
      <c r="Q98" s="96"/>
    </row>
    <row r="99" spans="1:17" s="5" customFormat="1" x14ac:dyDescent="0.25">
      <c r="A99" s="4"/>
      <c r="B99" s="44"/>
      <c r="C99" s="15"/>
      <c r="E99" s="15"/>
      <c r="G99" s="6"/>
      <c r="H99" s="6"/>
      <c r="I99" s="6"/>
      <c r="K99" s="6"/>
      <c r="L99" s="6"/>
      <c r="M99" s="6"/>
      <c r="O99" s="6"/>
      <c r="P99" s="6"/>
      <c r="Q99" s="6"/>
    </row>
    <row r="100" spans="1:17" s="5" customFormat="1" x14ac:dyDescent="0.25">
      <c r="A100" s="4"/>
      <c r="B100" s="44"/>
      <c r="C100" s="15"/>
      <c r="E100" s="15"/>
      <c r="G100" s="6"/>
      <c r="H100" s="6"/>
      <c r="I100" s="6"/>
      <c r="K100" s="6"/>
      <c r="L100" s="6"/>
      <c r="M100" s="6"/>
      <c r="O100" s="6"/>
      <c r="P100" s="6"/>
      <c r="Q100" s="6"/>
    </row>
    <row r="101" spans="1:17" s="5" customFormat="1" x14ac:dyDescent="0.25">
      <c r="A101" s="4"/>
      <c r="B101" s="44"/>
      <c r="C101" s="15"/>
      <c r="E101" s="15"/>
      <c r="G101" s="6"/>
      <c r="H101" s="6"/>
      <c r="I101" s="6"/>
      <c r="K101" s="6"/>
      <c r="L101" s="6"/>
      <c r="M101" s="6"/>
      <c r="O101" s="6"/>
      <c r="P101" s="6"/>
      <c r="Q101" s="6"/>
    </row>
    <row r="102" spans="1:17" s="5" customFormat="1" x14ac:dyDescent="0.25">
      <c r="A102" s="4"/>
      <c r="B102" s="44"/>
      <c r="C102" s="15"/>
      <c r="E102" s="15"/>
      <c r="G102" s="6"/>
      <c r="H102" s="6"/>
      <c r="I102" s="6"/>
      <c r="K102" s="6"/>
      <c r="L102" s="6"/>
      <c r="M102" s="6"/>
      <c r="O102" s="6"/>
      <c r="P102" s="6"/>
      <c r="Q102" s="6"/>
    </row>
    <row r="103" spans="1:17" s="5" customFormat="1" x14ac:dyDescent="0.25">
      <c r="A103" s="4"/>
      <c r="B103" s="44"/>
      <c r="C103" s="15"/>
      <c r="E103" s="15"/>
      <c r="G103" s="6"/>
      <c r="H103" s="6"/>
      <c r="I103" s="6"/>
      <c r="K103" s="6"/>
      <c r="L103" s="6"/>
      <c r="M103" s="6"/>
      <c r="O103" s="6"/>
      <c r="P103" s="6"/>
      <c r="Q103" s="6"/>
    </row>
    <row r="104" spans="1:17" s="5" customFormat="1" x14ac:dyDescent="0.25">
      <c r="A104" s="4"/>
      <c r="B104" s="44"/>
      <c r="C104" s="15"/>
      <c r="E104" s="15"/>
      <c r="G104" s="6"/>
      <c r="H104" s="6"/>
      <c r="I104" s="6"/>
      <c r="K104" s="6"/>
      <c r="L104" s="6"/>
      <c r="M104" s="6"/>
      <c r="O104" s="6"/>
      <c r="P104" s="6"/>
      <c r="Q104" s="6"/>
    </row>
    <row r="105" spans="1:17" s="5" customFormat="1" x14ac:dyDescent="0.25">
      <c r="A105" s="4"/>
      <c r="B105" s="44"/>
      <c r="C105" s="15"/>
      <c r="E105" s="15"/>
      <c r="G105" s="6"/>
      <c r="H105" s="6"/>
      <c r="I105" s="6"/>
      <c r="K105" s="6"/>
      <c r="L105" s="6"/>
      <c r="M105" s="6"/>
      <c r="O105" s="6"/>
      <c r="P105" s="6"/>
      <c r="Q105" s="6"/>
    </row>
    <row r="106" spans="1:17" s="5" customFormat="1" x14ac:dyDescent="0.25">
      <c r="A106" s="4"/>
      <c r="B106" s="44"/>
      <c r="C106" s="15"/>
      <c r="E106" s="15"/>
      <c r="G106" s="6"/>
      <c r="H106" s="6"/>
      <c r="I106" s="6"/>
      <c r="K106" s="6"/>
      <c r="L106" s="6"/>
      <c r="M106" s="6"/>
      <c r="O106" s="6"/>
      <c r="P106" s="6"/>
      <c r="Q106" s="6"/>
    </row>
    <row r="107" spans="1:17" s="5" customFormat="1" x14ac:dyDescent="0.25">
      <c r="A107" s="4"/>
      <c r="B107" s="44"/>
      <c r="C107" s="15"/>
      <c r="E107" s="15"/>
      <c r="G107" s="6"/>
      <c r="H107" s="6"/>
      <c r="I107" s="6"/>
      <c r="K107" s="6"/>
      <c r="L107" s="6"/>
      <c r="M107" s="6"/>
      <c r="O107" s="6"/>
      <c r="P107" s="6"/>
      <c r="Q107" s="6"/>
    </row>
    <row r="108" spans="1:17" s="5" customFormat="1" x14ac:dyDescent="0.25">
      <c r="A108" s="4"/>
      <c r="B108" s="44"/>
      <c r="C108" s="15"/>
      <c r="E108" s="15"/>
      <c r="G108" s="6"/>
      <c r="H108" s="6"/>
      <c r="I108" s="6"/>
      <c r="K108" s="6"/>
      <c r="L108" s="6"/>
      <c r="M108" s="6"/>
      <c r="O108" s="6"/>
      <c r="P108" s="6"/>
      <c r="Q108" s="6"/>
    </row>
    <row r="109" spans="1:17" s="5" customFormat="1" x14ac:dyDescent="0.25">
      <c r="A109" s="4"/>
      <c r="B109" s="44"/>
      <c r="C109" s="15"/>
      <c r="E109" s="15"/>
      <c r="G109" s="6"/>
      <c r="H109" s="6"/>
      <c r="I109" s="6"/>
      <c r="K109" s="6"/>
      <c r="L109" s="6"/>
      <c r="M109" s="6"/>
      <c r="O109" s="6"/>
      <c r="P109" s="6"/>
      <c r="Q109" s="6"/>
    </row>
    <row r="110" spans="1:17" s="5" customFormat="1" x14ac:dyDescent="0.25">
      <c r="A110" s="4"/>
      <c r="B110" s="44"/>
      <c r="C110" s="15"/>
      <c r="E110" s="15"/>
      <c r="G110" s="6"/>
      <c r="H110" s="6"/>
      <c r="I110" s="6"/>
      <c r="K110" s="6"/>
      <c r="L110" s="6"/>
      <c r="M110" s="6"/>
      <c r="O110" s="6"/>
      <c r="P110" s="6"/>
      <c r="Q110" s="6"/>
    </row>
    <row r="111" spans="1:17" s="5" customFormat="1" x14ac:dyDescent="0.25">
      <c r="A111" s="4"/>
      <c r="B111" s="44"/>
      <c r="C111" s="15"/>
      <c r="E111" s="15"/>
      <c r="G111" s="6"/>
      <c r="H111" s="6"/>
      <c r="I111" s="6"/>
      <c r="K111" s="6"/>
      <c r="L111" s="6"/>
      <c r="M111" s="6"/>
      <c r="O111" s="6"/>
      <c r="P111" s="6"/>
      <c r="Q111" s="6"/>
    </row>
    <row r="112" spans="1:17" s="5" customFormat="1" x14ac:dyDescent="0.25">
      <c r="A112" s="4"/>
      <c r="B112" s="44"/>
      <c r="C112" s="15"/>
      <c r="E112" s="15"/>
      <c r="G112" s="6"/>
      <c r="H112" s="6"/>
      <c r="I112" s="6"/>
      <c r="K112" s="6"/>
      <c r="L112" s="6"/>
      <c r="M112" s="6"/>
      <c r="O112" s="6"/>
      <c r="P112" s="6"/>
      <c r="Q112" s="6"/>
    </row>
    <row r="113" spans="1:17" s="5" customFormat="1" x14ac:dyDescent="0.25">
      <c r="A113" s="4"/>
      <c r="B113" s="44"/>
      <c r="C113" s="15"/>
      <c r="E113" s="15"/>
      <c r="G113" s="6"/>
      <c r="H113" s="6"/>
      <c r="I113" s="6"/>
      <c r="K113" s="6"/>
      <c r="L113" s="6"/>
      <c r="M113" s="6"/>
      <c r="O113" s="6"/>
      <c r="P113" s="6"/>
      <c r="Q113" s="6"/>
    </row>
    <row r="114" spans="1:17" s="5" customFormat="1" x14ac:dyDescent="0.25">
      <c r="A114" s="4"/>
      <c r="B114" s="44"/>
      <c r="C114" s="15"/>
      <c r="E114" s="15"/>
      <c r="G114" s="6"/>
      <c r="H114" s="6"/>
      <c r="I114" s="6"/>
      <c r="K114" s="6"/>
      <c r="L114" s="6"/>
      <c r="M114" s="6"/>
      <c r="O114" s="6"/>
      <c r="P114" s="6"/>
      <c r="Q114" s="6"/>
    </row>
    <row r="115" spans="1:17" s="5" customFormat="1" x14ac:dyDescent="0.25">
      <c r="A115" s="4"/>
      <c r="B115" s="44"/>
      <c r="C115" s="15"/>
      <c r="E115" s="15"/>
      <c r="G115" s="6"/>
      <c r="H115" s="6"/>
      <c r="I115" s="6"/>
      <c r="K115" s="6"/>
      <c r="L115" s="6"/>
      <c r="M115" s="6"/>
      <c r="O115" s="6"/>
      <c r="P115" s="6"/>
      <c r="Q115" s="6"/>
    </row>
    <row r="116" spans="1:17" s="5" customFormat="1" x14ac:dyDescent="0.25">
      <c r="A116" s="4"/>
      <c r="B116" s="44"/>
      <c r="C116" s="15"/>
      <c r="E116" s="15"/>
      <c r="G116" s="6"/>
      <c r="H116" s="6"/>
      <c r="I116" s="6"/>
      <c r="K116" s="6"/>
      <c r="L116" s="6"/>
      <c r="M116" s="6"/>
      <c r="O116" s="6"/>
      <c r="P116" s="6"/>
      <c r="Q116" s="6"/>
    </row>
    <row r="117" spans="1:17" s="5" customFormat="1" x14ac:dyDescent="0.25">
      <c r="A117" s="4"/>
      <c r="B117" s="44"/>
      <c r="C117" s="15"/>
      <c r="E117" s="15"/>
      <c r="G117" s="6"/>
      <c r="H117" s="6"/>
      <c r="I117" s="6"/>
      <c r="K117" s="6"/>
      <c r="L117" s="6"/>
      <c r="M117" s="6"/>
      <c r="O117" s="6"/>
      <c r="P117" s="6"/>
      <c r="Q117" s="6"/>
    </row>
    <row r="118" spans="1:17" s="5" customFormat="1" x14ac:dyDescent="0.25">
      <c r="A118" s="4"/>
      <c r="B118" s="44"/>
      <c r="C118" s="15"/>
      <c r="E118" s="15"/>
      <c r="G118" s="6"/>
      <c r="H118" s="6"/>
      <c r="I118" s="6"/>
      <c r="K118" s="6"/>
      <c r="L118" s="6"/>
      <c r="M118" s="6"/>
      <c r="O118" s="6"/>
      <c r="P118" s="6"/>
      <c r="Q118" s="6"/>
    </row>
    <row r="119" spans="1:17" s="5" customFormat="1" x14ac:dyDescent="0.25">
      <c r="A119" s="4"/>
      <c r="B119" s="44"/>
      <c r="C119" s="15"/>
      <c r="E119" s="15"/>
      <c r="G119" s="6"/>
      <c r="H119" s="6"/>
      <c r="I119" s="6"/>
      <c r="K119" s="6"/>
      <c r="L119" s="6"/>
      <c r="M119" s="6"/>
      <c r="O119" s="6"/>
      <c r="P119" s="6"/>
      <c r="Q119" s="6"/>
    </row>
    <row r="120" spans="1:17" s="5" customFormat="1" x14ac:dyDescent="0.25">
      <c r="A120" s="4"/>
      <c r="B120" s="44"/>
      <c r="C120" s="15"/>
      <c r="E120" s="15"/>
      <c r="G120" s="6"/>
      <c r="H120" s="6"/>
      <c r="I120" s="6"/>
      <c r="K120" s="6"/>
      <c r="L120" s="6"/>
      <c r="M120" s="6"/>
      <c r="O120" s="6"/>
      <c r="P120" s="6"/>
      <c r="Q120" s="6"/>
    </row>
  </sheetData>
  <mergeCells count="28">
    <mergeCell ref="A98:Q98"/>
    <mergeCell ref="B30:J30"/>
    <mergeCell ref="B31:J31"/>
    <mergeCell ref="B29:J29"/>
    <mergeCell ref="B28:J28"/>
    <mergeCell ref="B27:J27"/>
    <mergeCell ref="B26:J26"/>
    <mergeCell ref="B24:J24"/>
    <mergeCell ref="B23:J23"/>
    <mergeCell ref="B22:J22"/>
    <mergeCell ref="B21:J21"/>
    <mergeCell ref="B20:J20"/>
    <mergeCell ref="B19:J19"/>
    <mergeCell ref="B18:J18"/>
    <mergeCell ref="B14:J14"/>
    <mergeCell ref="B15:J15"/>
    <mergeCell ref="B16:J16"/>
    <mergeCell ref="G2:I2"/>
    <mergeCell ref="K2:M2"/>
    <mergeCell ref="O2:Q2"/>
    <mergeCell ref="L3:M3"/>
    <mergeCell ref="P3:Q3"/>
    <mergeCell ref="T3:U3"/>
    <mergeCell ref="X3:Y3"/>
    <mergeCell ref="AB3:AC3"/>
    <mergeCell ref="S2:U2"/>
    <mergeCell ref="W2:Y2"/>
    <mergeCell ref="AA2:AC2"/>
  </mergeCells>
  <pageMargins left="0.7" right="0.7" top="0.75" bottom="0.75" header="0.3" footer="0.3"/>
  <ignoredErrors>
    <ignoredError sqref="B9" twoDigitTextYear="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CAFF-1962-4BFA-82B0-6E7EDCB0CF86}">
  <dimension ref="A1:AG42"/>
  <sheetViews>
    <sheetView topLeftCell="A11" zoomScaleNormal="100" workbookViewId="0">
      <selection activeCell="A26" sqref="A26:Q26"/>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719</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255</v>
      </c>
      <c r="C2" s="15"/>
      <c r="D2" s="5"/>
      <c r="E2" s="15"/>
      <c r="F2" s="5"/>
      <c r="G2" s="6" t="s">
        <v>1</v>
      </c>
      <c r="H2" s="6"/>
      <c r="I2" s="6"/>
      <c r="J2" s="5"/>
      <c r="K2" s="97" t="s">
        <v>2</v>
      </c>
      <c r="L2" s="97"/>
      <c r="M2" s="97"/>
      <c r="N2" s="5"/>
      <c r="O2" s="97" t="s">
        <v>3</v>
      </c>
      <c r="P2" s="97"/>
      <c r="Q2" s="97"/>
    </row>
    <row r="3" spans="1:33" x14ac:dyDescent="0.25">
      <c r="A3" s="4"/>
      <c r="C3" s="15"/>
      <c r="D3" s="5"/>
      <c r="E3" s="15"/>
      <c r="F3" s="5"/>
      <c r="G3" s="6" t="s">
        <v>40</v>
      </c>
      <c r="H3" s="97" t="s">
        <v>67</v>
      </c>
      <c r="I3" s="97"/>
      <c r="J3" s="5"/>
      <c r="K3" s="6" t="s">
        <v>40</v>
      </c>
      <c r="L3" s="97" t="s">
        <v>67</v>
      </c>
      <c r="M3" s="97"/>
      <c r="N3" s="5"/>
      <c r="O3" s="6" t="s">
        <v>40</v>
      </c>
      <c r="P3" s="97" t="s">
        <v>67</v>
      </c>
      <c r="Q3" s="97"/>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ht="15.75" thickBot="1" x14ac:dyDescent="0.3">
      <c r="A5" s="4" t="s">
        <v>81</v>
      </c>
      <c r="B5" s="44" t="s">
        <v>526</v>
      </c>
      <c r="C5" s="37">
        <f>IF(COUNTBLANK($K$9:$K$24)=0,SUM($K$9,$K$10,$K$11,$K$14,$K$15,$K$16,$K$19,$K$20,$K$21,$K$22,$K$23,$K$24),IF(ISNUMBER($E5),$E5,"?"))</f>
        <v>45</v>
      </c>
      <c r="D5" s="5"/>
      <c r="E5" s="59">
        <v>45</v>
      </c>
      <c r="F5" s="5"/>
      <c r="G5" s="40">
        <f>IF(C5="?","?",IF(E5="","?",20-1.424*E5+0.09523*E5^2-0.002077*E5^3+0.00002138*E5^4-0.00000007601*E5^5))</f>
        <v>33.139504718749997</v>
      </c>
      <c r="H5" s="41">
        <f>IF(C5="?","?",IF(E5="","?",3+(-0.119*E5+0.002798*E5^2)/(1-0.0267*E5+0.000191*E5^2)))</f>
        <v>4.6783160167318902</v>
      </c>
      <c r="I5" s="42">
        <f>IF(C5="?","?",IF(E5="","?",0.8+(-0.199*E5+0.01088*E5^2)/(1-0.02764*E5+0.0002729*E5^2)))</f>
        <v>43.144712577613348</v>
      </c>
      <c r="J5" s="5"/>
      <c r="K5" s="40">
        <f>IF(C5="?","?",IF(E5="","?",-18.6+2.623*E5-0.05587*E5^2+0.0005796*E5^3-0.000001287*E5^4))</f>
        <v>33.836795624999993</v>
      </c>
      <c r="L5" s="41">
        <f>IF(C5="?","?",IF(E5="","?",2.2+(-0.094*E5+0.002382*E5^2)/(1-0.0262*E5+0.0001835*E5^2)))</f>
        <v>5.2819757253196595</v>
      </c>
      <c r="M5" s="42">
        <f>IF(C5="?","?",IF(E5="","?",-0.3+(-0.13*E5+0.009269*E5^2)/(1-0.02711*E5+0.000258*E5^2)))</f>
        <v>42.40983471074378</v>
      </c>
      <c r="N5" s="5"/>
      <c r="O5" s="40">
        <f>IF(C5="?","?",IF(E5="","?",34-3.162*E5+0.1657*E5^2-0.003382*E5^3+0.00003288*E5^4-0.0000001154*E5^5))</f>
        <v>32.601754374999942</v>
      </c>
      <c r="P5" s="41">
        <f>IF(C5="?","?",IF(E5="","?",3.8+(-0.139*E5+0.003122*E5^2)/(1-0.02697*E5+0.0001953*E5^2)))</f>
        <v>4.1687459612555511</v>
      </c>
      <c r="Q5" s="42">
        <f>IF(C5="?","?",IF(E5="","?",3.4+(-0.348*E5+0.0142*E5^2)/(1-0.02926*E5+0.0003101*E5^2)))</f>
        <v>45.4719512293074</v>
      </c>
    </row>
    <row r="6" spans="1:33"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c r="AE6" s="30"/>
      <c r="AF6" s="30"/>
      <c r="AG6" s="30"/>
    </row>
    <row r="7" spans="1:33" s="5" customFormat="1" x14ac:dyDescent="0.25">
      <c r="A7" s="4"/>
      <c r="B7" s="6"/>
      <c r="C7" s="15"/>
      <c r="E7" s="15"/>
      <c r="G7" s="6"/>
      <c r="H7" s="6"/>
      <c r="I7" s="6"/>
      <c r="K7" s="6"/>
      <c r="L7" s="6"/>
      <c r="M7" s="6"/>
      <c r="O7" s="6"/>
      <c r="P7" s="6"/>
      <c r="Q7" s="6"/>
    </row>
    <row r="8" spans="1:33" s="5" customFormat="1" ht="16.5" thickBot="1" x14ac:dyDescent="0.3">
      <c r="A8" s="1" t="s">
        <v>15</v>
      </c>
      <c r="B8" s="2" t="s">
        <v>14</v>
      </c>
      <c r="C8" s="14"/>
      <c r="D8" s="2"/>
      <c r="E8" s="14"/>
      <c r="F8" s="3"/>
      <c r="G8" s="2"/>
      <c r="H8" s="2"/>
      <c r="I8" s="2"/>
      <c r="J8" s="3"/>
      <c r="K8" s="2" t="s">
        <v>36</v>
      </c>
      <c r="L8" s="2"/>
      <c r="M8" s="2"/>
      <c r="N8" s="3"/>
      <c r="O8" s="2"/>
      <c r="P8" s="2"/>
      <c r="Q8" s="2"/>
    </row>
    <row r="9" spans="1:33" s="5" customFormat="1" x14ac:dyDescent="0.25">
      <c r="A9" s="4">
        <v>1</v>
      </c>
      <c r="B9" s="57" t="s">
        <v>510</v>
      </c>
      <c r="C9" s="13"/>
      <c r="D9" s="13"/>
      <c r="E9" s="13"/>
      <c r="F9" s="13"/>
      <c r="G9" s="13"/>
      <c r="H9" s="13"/>
      <c r="I9" s="13"/>
      <c r="J9" s="13"/>
      <c r="K9" s="48">
        <v>4</v>
      </c>
      <c r="L9" s="6"/>
      <c r="M9" s="6"/>
      <c r="O9" s="6"/>
      <c r="P9" s="6"/>
      <c r="Q9" s="6"/>
    </row>
    <row r="10" spans="1:33" s="5" customFormat="1" x14ac:dyDescent="0.25">
      <c r="A10" s="4">
        <v>2</v>
      </c>
      <c r="B10" s="57" t="s">
        <v>511</v>
      </c>
      <c r="C10" s="13"/>
      <c r="D10" s="13"/>
      <c r="E10" s="13"/>
      <c r="F10" s="13"/>
      <c r="G10" s="13"/>
      <c r="H10" s="13"/>
      <c r="I10" s="13"/>
      <c r="J10" s="13"/>
      <c r="K10" s="49">
        <v>3</v>
      </c>
      <c r="L10" s="6"/>
      <c r="M10" s="6"/>
      <c r="O10" s="6"/>
      <c r="P10" s="6"/>
      <c r="Q10" s="6"/>
    </row>
    <row r="11" spans="1:33" s="5" customFormat="1" x14ac:dyDescent="0.25">
      <c r="A11" s="4">
        <v>3</v>
      </c>
      <c r="B11" s="57" t="s">
        <v>512</v>
      </c>
      <c r="C11" s="13"/>
      <c r="D11" s="13"/>
      <c r="E11" s="13"/>
      <c r="F11" s="13"/>
      <c r="G11" s="13"/>
      <c r="H11" s="13"/>
      <c r="I11" s="13"/>
      <c r="J11" s="13"/>
      <c r="K11" s="49">
        <v>4</v>
      </c>
      <c r="L11" s="6"/>
      <c r="M11" s="6"/>
      <c r="O11" s="6"/>
      <c r="P11" s="6"/>
      <c r="Q11" s="6"/>
    </row>
    <row r="12" spans="1:33" s="5" customFormat="1" x14ac:dyDescent="0.25">
      <c r="A12" s="4">
        <v>4</v>
      </c>
      <c r="B12" s="57" t="s">
        <v>513</v>
      </c>
      <c r="C12" s="13"/>
      <c r="D12" s="13"/>
      <c r="E12" s="13"/>
      <c r="F12" s="13"/>
      <c r="G12" s="13"/>
      <c r="H12" s="13"/>
      <c r="I12" s="13"/>
      <c r="J12" s="13"/>
      <c r="K12" s="49">
        <v>4</v>
      </c>
      <c r="L12" s="6"/>
      <c r="M12" s="6"/>
      <c r="O12" s="6"/>
      <c r="P12" s="6"/>
      <c r="Q12" s="6"/>
    </row>
    <row r="13" spans="1:33" s="5" customFormat="1" x14ac:dyDescent="0.25">
      <c r="A13" s="4">
        <v>5</v>
      </c>
      <c r="B13" s="57" t="s">
        <v>514</v>
      </c>
      <c r="C13" s="13"/>
      <c r="D13" s="13"/>
      <c r="E13" s="13"/>
      <c r="F13" s="13"/>
      <c r="G13" s="13"/>
      <c r="H13" s="13"/>
      <c r="I13" s="13"/>
      <c r="J13" s="13"/>
      <c r="K13" s="49">
        <v>3</v>
      </c>
      <c r="L13" s="6"/>
      <c r="M13" s="6"/>
      <c r="O13" s="6"/>
      <c r="P13" s="6"/>
      <c r="Q13" s="6"/>
    </row>
    <row r="14" spans="1:33" s="5" customFormat="1" x14ac:dyDescent="0.25">
      <c r="A14" s="4">
        <v>6</v>
      </c>
      <c r="B14" s="57" t="s">
        <v>515</v>
      </c>
      <c r="C14" s="13"/>
      <c r="D14" s="13"/>
      <c r="E14" s="13"/>
      <c r="F14" s="13"/>
      <c r="G14" s="13"/>
      <c r="H14" s="13"/>
      <c r="I14" s="13"/>
      <c r="J14" s="13"/>
      <c r="K14" s="49">
        <v>4</v>
      </c>
      <c r="L14" s="6"/>
      <c r="M14" s="6"/>
      <c r="O14" s="6"/>
      <c r="P14" s="6"/>
      <c r="Q14" s="6"/>
    </row>
    <row r="15" spans="1:33" s="5" customFormat="1" x14ac:dyDescent="0.25">
      <c r="A15" s="4">
        <v>7</v>
      </c>
      <c r="B15" s="57" t="s">
        <v>516</v>
      </c>
      <c r="C15" s="13"/>
      <c r="D15" s="13"/>
      <c r="E15" s="13"/>
      <c r="F15" s="13"/>
      <c r="G15" s="13"/>
      <c r="H15" s="13"/>
      <c r="I15" s="13"/>
      <c r="J15" s="13"/>
      <c r="K15" s="49">
        <v>5</v>
      </c>
      <c r="L15" s="6"/>
      <c r="M15" s="6"/>
      <c r="O15" s="6"/>
      <c r="P15" s="6"/>
      <c r="Q15" s="6"/>
    </row>
    <row r="16" spans="1:33" s="5" customFormat="1" x14ac:dyDescent="0.25">
      <c r="A16" s="4">
        <v>8</v>
      </c>
      <c r="B16" s="57" t="s">
        <v>517</v>
      </c>
      <c r="C16" s="13"/>
      <c r="D16" s="13"/>
      <c r="E16" s="13"/>
      <c r="F16" s="13"/>
      <c r="G16" s="13"/>
      <c r="H16" s="13"/>
      <c r="I16" s="13"/>
      <c r="J16" s="13"/>
      <c r="K16" s="49">
        <v>3</v>
      </c>
      <c r="L16" s="6"/>
      <c r="M16" s="6"/>
      <c r="O16" s="6"/>
      <c r="P16" s="6"/>
      <c r="Q16" s="6"/>
    </row>
    <row r="17" spans="1:17" s="5" customFormat="1" x14ac:dyDescent="0.25">
      <c r="A17" s="4">
        <v>9</v>
      </c>
      <c r="B17" s="57" t="s">
        <v>518</v>
      </c>
      <c r="C17" s="13"/>
      <c r="D17" s="13"/>
      <c r="E17" s="13"/>
      <c r="F17" s="13"/>
      <c r="G17" s="13"/>
      <c r="H17" s="13"/>
      <c r="I17" s="13"/>
      <c r="J17" s="13"/>
      <c r="K17" s="49">
        <v>4</v>
      </c>
      <c r="L17" s="6"/>
      <c r="M17" s="6"/>
      <c r="O17" s="6"/>
      <c r="P17" s="6"/>
      <c r="Q17" s="6"/>
    </row>
    <row r="18" spans="1:17" s="5" customFormat="1" x14ac:dyDescent="0.25">
      <c r="A18" s="4">
        <v>10</v>
      </c>
      <c r="B18" s="57" t="s">
        <v>519</v>
      </c>
      <c r="C18" s="13"/>
      <c r="D18" s="13"/>
      <c r="E18" s="13"/>
      <c r="F18" s="13"/>
      <c r="G18" s="13"/>
      <c r="H18" s="13"/>
      <c r="I18" s="13"/>
      <c r="J18" s="13"/>
      <c r="K18" s="49">
        <v>4</v>
      </c>
      <c r="L18" s="6"/>
      <c r="M18" s="6"/>
      <c r="O18" s="6"/>
      <c r="P18" s="6"/>
      <c r="Q18" s="6"/>
    </row>
    <row r="19" spans="1:17" s="5" customFormat="1" x14ac:dyDescent="0.25">
      <c r="A19" s="4">
        <v>11</v>
      </c>
      <c r="B19" s="57" t="s">
        <v>520</v>
      </c>
      <c r="C19" s="13"/>
      <c r="D19" s="13"/>
      <c r="E19" s="13"/>
      <c r="F19" s="13"/>
      <c r="G19" s="13"/>
      <c r="H19" s="13"/>
      <c r="I19" s="13"/>
      <c r="J19" s="13"/>
      <c r="K19" s="49">
        <v>3</v>
      </c>
      <c r="L19" s="6"/>
      <c r="M19" s="6"/>
      <c r="O19" s="6"/>
      <c r="P19" s="6"/>
      <c r="Q19" s="6"/>
    </row>
    <row r="20" spans="1:17" s="5" customFormat="1" x14ac:dyDescent="0.25">
      <c r="A20" s="4">
        <v>12</v>
      </c>
      <c r="B20" s="57" t="s">
        <v>521</v>
      </c>
      <c r="C20" s="13"/>
      <c r="D20" s="13"/>
      <c r="E20" s="13"/>
      <c r="F20" s="13"/>
      <c r="G20" s="13"/>
      <c r="H20" s="13"/>
      <c r="I20" s="13"/>
      <c r="J20" s="13"/>
      <c r="K20" s="49">
        <v>4</v>
      </c>
      <c r="L20" s="6"/>
      <c r="M20" s="6"/>
      <c r="O20" s="6"/>
      <c r="P20" s="6"/>
      <c r="Q20" s="6"/>
    </row>
    <row r="21" spans="1:17" s="5" customFormat="1" x14ac:dyDescent="0.25">
      <c r="A21" s="4">
        <v>13</v>
      </c>
      <c r="B21" s="57" t="s">
        <v>522</v>
      </c>
      <c r="C21" s="13"/>
      <c r="D21" s="13"/>
      <c r="E21" s="13"/>
      <c r="F21" s="13"/>
      <c r="G21" s="13"/>
      <c r="H21" s="13"/>
      <c r="I21" s="13"/>
      <c r="J21" s="13"/>
      <c r="K21" s="49">
        <v>3</v>
      </c>
      <c r="L21" s="6"/>
      <c r="M21" s="6"/>
      <c r="O21" s="6"/>
      <c r="P21" s="6"/>
      <c r="Q21" s="6"/>
    </row>
    <row r="22" spans="1:17" s="5" customFormat="1" x14ac:dyDescent="0.25">
      <c r="A22" s="4">
        <v>14</v>
      </c>
      <c r="B22" s="57" t="s">
        <v>523</v>
      </c>
      <c r="C22" s="13"/>
      <c r="D22" s="13"/>
      <c r="E22" s="13"/>
      <c r="F22" s="13"/>
      <c r="G22" s="13"/>
      <c r="H22" s="13"/>
      <c r="I22" s="13"/>
      <c r="J22" s="13"/>
      <c r="K22" s="49">
        <v>3</v>
      </c>
      <c r="L22" s="6"/>
      <c r="M22" s="6"/>
      <c r="O22" s="6"/>
      <c r="P22" s="6"/>
      <c r="Q22" s="6"/>
    </row>
    <row r="23" spans="1:17" s="5" customFormat="1" x14ac:dyDescent="0.25">
      <c r="A23" s="4">
        <v>15</v>
      </c>
      <c r="B23" s="57" t="s">
        <v>524</v>
      </c>
      <c r="C23" s="13"/>
      <c r="D23" s="13"/>
      <c r="E23" s="13"/>
      <c r="F23" s="13"/>
      <c r="G23" s="13"/>
      <c r="H23" s="13"/>
      <c r="I23" s="13"/>
      <c r="J23" s="13"/>
      <c r="K23" s="49">
        <v>4</v>
      </c>
      <c r="L23" s="6"/>
      <c r="M23" s="6"/>
      <c r="O23" s="6"/>
      <c r="P23" s="6"/>
      <c r="Q23" s="6"/>
    </row>
    <row r="24" spans="1:17" s="5" customFormat="1" ht="15.75" thickBot="1" x14ac:dyDescent="0.3">
      <c r="A24" s="4">
        <v>16</v>
      </c>
      <c r="B24" s="57" t="s">
        <v>525</v>
      </c>
      <c r="C24" s="13"/>
      <c r="D24" s="13"/>
      <c r="E24" s="13"/>
      <c r="F24" s="13"/>
      <c r="G24" s="13"/>
      <c r="H24" s="13"/>
      <c r="I24" s="13"/>
      <c r="J24" s="13"/>
      <c r="K24" s="50">
        <v>5</v>
      </c>
      <c r="L24" s="6"/>
      <c r="M24" s="6"/>
      <c r="O24" s="6"/>
      <c r="P24" s="6"/>
      <c r="Q24" s="6"/>
    </row>
    <row r="25" spans="1:17" s="5" customFormat="1" x14ac:dyDescent="0.25">
      <c r="A25" s="4"/>
      <c r="B25" s="6"/>
      <c r="C25" s="15"/>
      <c r="D25" s="6"/>
      <c r="E25" s="15"/>
      <c r="G25" s="6"/>
      <c r="H25" s="6"/>
      <c r="I25" s="6"/>
      <c r="K25" s="6"/>
      <c r="L25" s="6"/>
      <c r="M25" s="6"/>
      <c r="O25" s="6"/>
      <c r="P25" s="6"/>
      <c r="Q25" s="6"/>
    </row>
    <row r="26" spans="1:17" s="5" customFormat="1" ht="134.25" customHeight="1" x14ac:dyDescent="0.25">
      <c r="A26" s="96" t="s">
        <v>831</v>
      </c>
      <c r="B26" s="96"/>
      <c r="C26" s="96"/>
      <c r="D26" s="96"/>
      <c r="E26" s="96"/>
      <c r="F26" s="96"/>
      <c r="G26" s="96"/>
      <c r="H26" s="96"/>
      <c r="I26" s="96"/>
      <c r="J26" s="96"/>
      <c r="K26" s="96"/>
      <c r="L26" s="96"/>
      <c r="M26" s="96"/>
      <c r="N26" s="96"/>
      <c r="O26" s="96"/>
      <c r="P26" s="96"/>
      <c r="Q26" s="9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sheetData>
  <mergeCells count="6">
    <mergeCell ref="A26:Q26"/>
    <mergeCell ref="K2:M2"/>
    <mergeCell ref="O2:Q2"/>
    <mergeCell ref="L3:M3"/>
    <mergeCell ref="P3:Q3"/>
    <mergeCell ref="H3:I3"/>
  </mergeCells>
  <pageMargins left="0.7" right="0.7" top="0.75" bottom="0.75" header="0.3" footer="0.3"/>
  <ignoredErrors>
    <ignoredError sqref="B5" twoDigitTextYea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8C6A-8C58-4269-BC32-EDCCEF5BE0DB}">
  <dimension ref="A1:AD58"/>
  <sheetViews>
    <sheetView topLeftCell="A31" zoomScale="110" zoomScaleNormal="110" workbookViewId="0">
      <selection activeCell="A58" sqref="A58:Q58"/>
    </sheetView>
  </sheetViews>
  <sheetFormatPr defaultRowHeight="15" x14ac:dyDescent="0.25"/>
  <cols>
    <col min="1" max="1" width="24.710937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534</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259</v>
      </c>
      <c r="C2" s="15"/>
      <c r="D2" s="5"/>
      <c r="E2" s="15"/>
      <c r="F2" s="5"/>
      <c r="G2" s="97" t="s">
        <v>1</v>
      </c>
      <c r="H2" s="97"/>
      <c r="I2" s="97"/>
      <c r="J2" s="5"/>
      <c r="K2" s="97" t="s">
        <v>2</v>
      </c>
      <c r="L2" s="97"/>
      <c r="M2" s="97"/>
      <c r="N2" s="5"/>
      <c r="O2" s="97" t="s">
        <v>3</v>
      </c>
      <c r="P2" s="97"/>
      <c r="Q2" s="97"/>
    </row>
    <row r="3" spans="1:30" x14ac:dyDescent="0.25">
      <c r="A3" s="4"/>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81</v>
      </c>
      <c r="B5" s="6" t="s">
        <v>535</v>
      </c>
      <c r="C5" s="37">
        <f>IF(COUNTBLANK($K$12:$K$56)=0,SUM(4-K12,K13,K14,K15,K16,K17,K18,K19,K20,K21,K22,4-K23,4-K24,K25,K26,K27,K28,K29,K30,4-K31,4-K32,K33,K34,4-K35,K36,K37,K38,K39,K40,K41,4-K42,K43,K44,K45,K46,K47,4-K48,K49,K50,K51,K52,K53,4-K54,K55,K56),IF(ISNUMBER($E5),$E5,"?"))</f>
        <v>180</v>
      </c>
      <c r="D5" s="5"/>
      <c r="E5" s="54">
        <v>180</v>
      </c>
      <c r="F5" s="5"/>
      <c r="G5" s="20">
        <f>IF(C5="?","?",IF(E5="","?",16+(1.282*E5-0.01027*E5^2)/(1+0.003762*E5-0.00009434*E5^2)))</f>
        <v>89.933492623178992</v>
      </c>
      <c r="H5" s="23">
        <f>IF(C5="?","?",IF(E5="","?",1.7+(-0.434*E5+0.03568*E5^2)/(1-0.02428*E5+0.0004634*E5^2)))</f>
        <v>94.274220011405276</v>
      </c>
      <c r="I5" s="24">
        <f>IF(C5="?","?",IF(E5="","?",1.1+(-0.108*E5+0.004296*E5^2)/(1-0.01561*E5+0.0000963*E5^2)))</f>
        <v>92.490194761584959</v>
      </c>
      <c r="J5" s="5"/>
      <c r="K5" s="20">
        <f>IF(C5="?","?",IF(E5="","?",18.4+(-1.474*E5+1.571*E5^2)/(1+1.255*E5+0.01464*E5^2)))</f>
        <v>90.608329292848623</v>
      </c>
      <c r="L5" s="23">
        <f>IF(C5="?","?",IF(E5="","?",1.1+(-0.415*E5+0.03865*E5^2)/(1-0.02377*E5+0.000488*E5^2)))</f>
        <v>95.05975296426918</v>
      </c>
      <c r="M5" s="24">
        <f>IF(C5="?","?",IF(E5="","?",0.8+(-0.097*E5+0.0045*E5^2)/(1-0.01551*E5+0.00009838*E5^2)))</f>
        <v>92.75306768158471</v>
      </c>
      <c r="N5" s="5"/>
      <c r="O5" s="20">
        <f>IF(C5="?","?",IF(E5="","?",-9.4+(100.662*E5+5.111*E5^2)/(1+3.629*E5+0.03607*E5^2)))</f>
        <v>91.382692079820586</v>
      </c>
      <c r="P5" s="23">
        <f>IF(C5="?","?",IF(E5="","?",2.4+(-0.461*E5+0.03394*E5^2)/(1-0.02483*E5+0.0004509*E5^2)))</f>
        <v>93.665520980703349</v>
      </c>
      <c r="Q5" s="24">
        <f>IF(C5="?","?",IF(E5="","?",1.3+(-0.119*E5+0.004194*E5^2)/(1-0.01572*E5+0.00009529*E5^2)))</f>
        <v>92.304900635715157</v>
      </c>
    </row>
    <row r="6" spans="1:30" x14ac:dyDescent="0.25">
      <c r="A6" s="4" t="s">
        <v>538</v>
      </c>
      <c r="B6" s="6" t="s">
        <v>459</v>
      </c>
      <c r="C6" s="37">
        <f>IF(COUNTBLANK($K$12:$K$56)=0,SUM(K13,K14,K16,K17,K19,K20,K21,K22,4-K24,K26,K33,K34,4-K35,K36,K38,K40,4-K42,K44,K45,K46,K47,K51,K52,K53,K56),IF(ISNUMBER($E6),$E6,"?"))</f>
        <v>100</v>
      </c>
      <c r="D6" s="5"/>
      <c r="E6" s="55">
        <v>100</v>
      </c>
      <c r="F6" s="5"/>
      <c r="G6" s="21">
        <f>IF(C6="?","?",IF(E6="","?",17.9+(2.593*E6+0.06824*E6^2)/(1+0.07185*E6+0.0004978*E6^2)))</f>
        <v>89.441441920534857</v>
      </c>
      <c r="H6" s="25">
        <f>IF(C6="?","?",IF(E6="","?",0.6+(-0.371*E6+0.1016*E6^2)/(1-0.03499*E6+0.00127*E6^2)))</f>
        <v>96.56118027644348</v>
      </c>
      <c r="I6" s="26">
        <f>IF(C6="?","?",IF(E6="","?",0.8+(-0.128*E6+0.01072*E6^2)/(1-0.0244*E6+0.0002419*E6^2)))</f>
        <v>97.224923391215526</v>
      </c>
      <c r="J6" s="5"/>
      <c r="K6" s="21">
        <f>IF(C6="?","?",IF(E6="","?",19.3+(2.642*E6+0.07435*E6^2)/(1+0.07776*E6+0.0005287*E6^2)))</f>
        <v>90.956118893550453</v>
      </c>
      <c r="L6" s="25">
        <f>IF(C6="?","?",IF(E6="","?",0.2+(-0.225*E6+0.1131*E6^2)/(1-0.0339*E6+0.001386*E6^2)))</f>
        <v>96.843417611159538</v>
      </c>
      <c r="M6" s="26">
        <f>IF(C6="?","?",IF(E6="","?",0.3+(-0.078*E6+0.01115*E6^2)/(1-0.02417*E6+0.0002491*E6^2)))</f>
        <v>96.854934823091298</v>
      </c>
      <c r="N6" s="5"/>
      <c r="O6" s="21">
        <f>IF(C6="?","?",IF(E6="","?",16.8+(2.8*E6+0.2212*E6^2)/(1+0.1516*E6+0.001903*E6^2)))</f>
        <v>87.615572605853927</v>
      </c>
      <c r="P6" s="25">
        <f>IF(C6="?","?",IF(E6="","?",1.2+(-0.535*E6+0.09677*E6^2)/(1-0.03643*E6+0.001225*E6^2)))</f>
        <v>96.359779327573648</v>
      </c>
      <c r="Q6" s="26">
        <f>IF(C6="?","?",IF(E6="","?",1.2+(-0.171*E6+0.01056*E6^2)/(1-0.02468*E6+0.000239*E6^2)))</f>
        <v>97.186984815618203</v>
      </c>
    </row>
    <row r="7" spans="1:30" x14ac:dyDescent="0.25">
      <c r="A7" s="4" t="s">
        <v>539</v>
      </c>
      <c r="B7" s="6" t="s">
        <v>536</v>
      </c>
      <c r="C7" s="37">
        <f>IF(COUNTBLANK($K$12:$K$56)=0,SUM(4-K12,K18,K27,K28,K29,K30,4-K31,K37,K41,4-K48,4-K54),IF(ISNUMBER($E7),$E7,"?"))</f>
        <v>44</v>
      </c>
      <c r="D7" s="5"/>
      <c r="E7" s="55">
        <v>44</v>
      </c>
      <c r="F7" s="5"/>
      <c r="G7" s="21">
        <f>IF(C7="?","?",IF(E7="","?",24.4+(5.303*E7+0.2009*E7^2)/(1+0.143*E7+0.0008316*E7^2)))</f>
        <v>94.302939319910223</v>
      </c>
      <c r="H7" s="25">
        <f>IF(C7="?","?",IF(E7="","?",0.4+(0.915*E7+0.5668*E7^2)/(1-0.06607*E7+0.007118*E7^2)))</f>
        <v>96.209782026464609</v>
      </c>
      <c r="I7" s="26">
        <f>IF(C7="?","?",IF(E7="","?",0.1+(0.2*E7+0.09066*E7^2)/(1-0.05552*E7+0.001736*E7^2)))</f>
        <v>96.198134739230554</v>
      </c>
      <c r="J7" s="5"/>
      <c r="K7" s="21">
        <f>IF(C7="?","?",IF(E7="","?",23+(6.226*E7+0.5471*E7^2)/(1+0.2499*E7+0.003673*E7^2)))</f>
        <v>92.773514057603762</v>
      </c>
      <c r="L7" s="25">
        <f>IF(C7="?","?",IF(E7="","?",-0.4+(1.537*E7+0.4784*E7^2)/(1-0.06111*E7+0.006236*E7^2)))</f>
        <v>95.305416072486508</v>
      </c>
      <c r="M7" s="26">
        <f>IF(C7="?","?",IF(E7="","?",0.1+(0.27*E7+0.09133*E7^2)/(1-0.05406*E7+0.001722*E7^2)))</f>
        <v>96.611616488129812</v>
      </c>
      <c r="N7" s="5"/>
      <c r="O7" s="21">
        <f>IF(C7="?","?",IF(E7="","?",13.6+9.826*((E7+2.7)^0.346-1)/0.346))</f>
        <v>92.571489475455323</v>
      </c>
      <c r="P7" s="25">
        <f>IF(C7="?","?",IF(E7="","?",-8.7+(108.2/(1+EXP(-0.3164*(E7-7.846))))))</f>
        <v>99.498835140732211</v>
      </c>
      <c r="Q7" s="26">
        <f>IF(C7="?","?",IF(E7="","?",0.1+(0.096*E7+0.09525*E7^2)/(1-0.05646*E7+0.001777*E7^2)))</f>
        <v>96.534005169649589</v>
      </c>
    </row>
    <row r="8" spans="1:30" ht="15.75" thickBot="1" x14ac:dyDescent="0.3">
      <c r="A8" s="4" t="s">
        <v>679</v>
      </c>
      <c r="B8" s="6" t="s">
        <v>537</v>
      </c>
      <c r="C8" s="37">
        <f>IF(COUNTBLANK($K$12:$K$56)=0,SUM(K15,4-K23,K25,4-K32,K39,K43,K49,K50,K55),IF(ISNUMBER($E8),$E8,"?"))</f>
        <v>36</v>
      </c>
      <c r="D8" s="5"/>
      <c r="E8" s="39">
        <v>36</v>
      </c>
      <c r="F8" s="5"/>
      <c r="G8" s="22">
        <f>IF(C8="?","?",IF(E8="","?",24.6+3.889*E8-0.06923*E8^2-0.001616*E8^3+0.00008006*E8^4))</f>
        <v>133.95588095999997</v>
      </c>
      <c r="H8" s="27">
        <f>IF(C8="?","?",IF(E8="","?",1.1+(-0.754*E8+0.7397*E8^2)/(1-0.104*E8+0.009832*E8^2)))</f>
        <v>94.266819226362315</v>
      </c>
      <c r="I8" s="28">
        <f>IF(C8="?","?",IF(E8="","?",-0.1+(0.034*E8+0.1668*E8^2)/(1-0.06913*E8+0.002872*E8^2)))</f>
        <v>97.237550460457271</v>
      </c>
      <c r="J8" s="5"/>
      <c r="K8" s="22">
        <f>IF(C8="?","?",IF(E8="","?",23.2+4.346*E8-0.1573*E8^2+0.003525*E8^3))</f>
        <v>140.25760000000002</v>
      </c>
      <c r="L8" s="27">
        <f>IF(C8="?","?",IF(E8="","?",-3.9+(102.9/(1+EXP(-0.4243*(E8-7.99))))))</f>
        <v>98.999290458983509</v>
      </c>
      <c r="M8" s="28">
        <f>IF(C8="?","?",IF(E8="","?",0.1+(-0.168*E8+0.1651*E8^2)/(1-0.07038*E8+0.002834*E8^2)))</f>
        <v>97.296688082932533</v>
      </c>
      <c r="N8" s="5"/>
      <c r="O8" s="22">
        <f>IF(C8="?","?",IF(E8="","?",25.2+4.128*E8-0.1636*E8^2+0.01174*E8^3-0.0006438*E8^4+0.0000128*E8^5))</f>
        <v>202.15411199999994</v>
      </c>
      <c r="P8" s="27">
        <f>IF(C8="?","?",IF(E8="","?",-4+(103.3/(1+EXP(-0.4428*(E8-7.334))))))</f>
        <v>99.299682702422928</v>
      </c>
      <c r="Q8" s="28">
        <f>IF(C8="?","?",IF(E8="","?",-0.2+(0.182*E8+0.1693*E8^2)/(1-0.06822*E8+0.002912*E8^2)))</f>
        <v>97.281311733401424</v>
      </c>
    </row>
    <row r="9" spans="1:30"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row>
    <row r="10" spans="1:30" s="5" customFormat="1" x14ac:dyDescent="0.25">
      <c r="A10" s="4"/>
      <c r="B10" s="6"/>
      <c r="C10" s="15"/>
      <c r="E10" s="15"/>
      <c r="G10" s="6"/>
      <c r="H10" s="6"/>
      <c r="I10" s="6"/>
      <c r="K10" s="6"/>
      <c r="L10" s="6"/>
      <c r="M10" s="6"/>
      <c r="O10" s="6"/>
      <c r="P10" s="6"/>
      <c r="Q10" s="6"/>
    </row>
    <row r="11" spans="1:30" s="5" customFormat="1" ht="16.5" thickBot="1" x14ac:dyDescent="0.3">
      <c r="A11" s="1" t="s">
        <v>15</v>
      </c>
      <c r="B11" s="2" t="s">
        <v>14</v>
      </c>
      <c r="C11" s="14"/>
      <c r="D11" s="2"/>
      <c r="E11" s="14"/>
      <c r="F11" s="3"/>
      <c r="G11" s="2"/>
      <c r="H11" s="2"/>
      <c r="I11" s="2"/>
      <c r="J11" s="3"/>
      <c r="K11" s="2" t="s">
        <v>36</v>
      </c>
      <c r="L11" s="2"/>
      <c r="M11" s="2"/>
      <c r="N11" s="3"/>
      <c r="O11" s="2"/>
      <c r="P11" s="2"/>
      <c r="Q11" s="2"/>
    </row>
    <row r="12" spans="1:30" s="5" customFormat="1" x14ac:dyDescent="0.25">
      <c r="A12" s="4">
        <v>1</v>
      </c>
      <c r="B12" s="57" t="s">
        <v>540</v>
      </c>
      <c r="C12" s="13"/>
      <c r="D12" s="13"/>
      <c r="E12" s="13"/>
      <c r="F12" s="13"/>
      <c r="G12" s="13"/>
      <c r="H12" s="13"/>
      <c r="I12" s="13"/>
      <c r="J12" s="13"/>
      <c r="K12" s="48">
        <v>0</v>
      </c>
      <c r="L12" s="6"/>
      <c r="M12" s="6"/>
      <c r="O12" s="6"/>
      <c r="P12" s="6"/>
      <c r="Q12" s="6"/>
    </row>
    <row r="13" spans="1:30" s="5" customFormat="1" x14ac:dyDescent="0.25">
      <c r="A13" s="4">
        <v>2</v>
      </c>
      <c r="B13" s="57" t="s">
        <v>541</v>
      </c>
      <c r="C13" s="13"/>
      <c r="D13" s="13"/>
      <c r="E13" s="13"/>
      <c r="F13" s="13"/>
      <c r="G13" s="13"/>
      <c r="H13" s="13"/>
      <c r="I13" s="13"/>
      <c r="J13" s="13"/>
      <c r="K13" s="49">
        <v>4</v>
      </c>
      <c r="L13" s="6"/>
      <c r="M13" s="6"/>
      <c r="O13" s="6"/>
      <c r="P13" s="6"/>
      <c r="Q13" s="6"/>
    </row>
    <row r="14" spans="1:30" s="5" customFormat="1" x14ac:dyDescent="0.25">
      <c r="A14" s="4">
        <v>3</v>
      </c>
      <c r="B14" s="57" t="s">
        <v>542</v>
      </c>
      <c r="C14" s="13"/>
      <c r="D14" s="13"/>
      <c r="E14" s="13"/>
      <c r="F14" s="13"/>
      <c r="G14" s="13"/>
      <c r="H14" s="13"/>
      <c r="I14" s="13"/>
      <c r="J14" s="13"/>
      <c r="K14" s="49">
        <v>4</v>
      </c>
      <c r="L14" s="6"/>
      <c r="M14" s="6"/>
      <c r="O14" s="6"/>
      <c r="P14" s="6"/>
      <c r="Q14" s="6"/>
    </row>
    <row r="15" spans="1:30" s="5" customFormat="1" x14ac:dyDescent="0.25">
      <c r="A15" s="4">
        <v>4</v>
      </c>
      <c r="B15" s="57" t="s">
        <v>543</v>
      </c>
      <c r="C15" s="13"/>
      <c r="D15" s="13"/>
      <c r="E15" s="13"/>
      <c r="F15" s="13"/>
      <c r="G15" s="13"/>
      <c r="H15" s="13"/>
      <c r="I15" s="13"/>
      <c r="J15" s="13"/>
      <c r="K15" s="49">
        <v>4</v>
      </c>
      <c r="L15" s="6"/>
      <c r="M15" s="6"/>
      <c r="O15" s="6"/>
      <c r="P15" s="6"/>
      <c r="Q15" s="6"/>
    </row>
    <row r="16" spans="1:30" s="5" customFormat="1" x14ac:dyDescent="0.25">
      <c r="A16" s="4">
        <v>5</v>
      </c>
      <c r="B16" s="57" t="s">
        <v>544</v>
      </c>
      <c r="C16" s="13"/>
      <c r="D16" s="13"/>
      <c r="E16" s="13"/>
      <c r="F16" s="13"/>
      <c r="G16" s="13"/>
      <c r="H16" s="13"/>
      <c r="I16" s="13"/>
      <c r="J16" s="13"/>
      <c r="K16" s="49">
        <v>4</v>
      </c>
      <c r="L16" s="6"/>
      <c r="M16" s="6"/>
      <c r="O16" s="6"/>
      <c r="P16" s="6"/>
      <c r="Q16" s="6"/>
    </row>
    <row r="17" spans="1:17" s="5" customFormat="1" x14ac:dyDescent="0.25">
      <c r="A17" s="4">
        <v>6</v>
      </c>
      <c r="B17" s="57" t="s">
        <v>545</v>
      </c>
      <c r="C17" s="13"/>
      <c r="D17" s="13"/>
      <c r="E17" s="13"/>
      <c r="F17" s="13"/>
      <c r="G17" s="13"/>
      <c r="H17" s="13"/>
      <c r="I17" s="13"/>
      <c r="J17" s="13"/>
      <c r="K17" s="49">
        <v>4</v>
      </c>
      <c r="L17" s="6"/>
      <c r="M17" s="6"/>
      <c r="O17" s="6"/>
      <c r="P17" s="6"/>
      <c r="Q17" s="6"/>
    </row>
    <row r="18" spans="1:17" s="5" customFormat="1" x14ac:dyDescent="0.25">
      <c r="A18" s="4">
        <v>7</v>
      </c>
      <c r="B18" s="57" t="s">
        <v>546</v>
      </c>
      <c r="C18" s="13"/>
      <c r="D18" s="13"/>
      <c r="E18" s="13"/>
      <c r="F18" s="13"/>
      <c r="G18" s="13"/>
      <c r="H18" s="13"/>
      <c r="I18" s="13"/>
      <c r="J18" s="13"/>
      <c r="K18" s="49">
        <v>4</v>
      </c>
      <c r="L18" s="6"/>
      <c r="M18" s="6"/>
      <c r="O18" s="6"/>
      <c r="P18" s="6"/>
      <c r="Q18" s="6"/>
    </row>
    <row r="19" spans="1:17" s="5" customFormat="1" x14ac:dyDescent="0.25">
      <c r="A19" s="4">
        <v>8</v>
      </c>
      <c r="B19" s="57" t="s">
        <v>547</v>
      </c>
      <c r="C19" s="13"/>
      <c r="D19" s="13"/>
      <c r="E19" s="13"/>
      <c r="F19" s="13"/>
      <c r="G19" s="13"/>
      <c r="H19" s="13"/>
      <c r="I19" s="13"/>
      <c r="J19" s="13"/>
      <c r="K19" s="49">
        <v>4</v>
      </c>
      <c r="L19" s="6"/>
      <c r="M19" s="6"/>
      <c r="O19" s="6"/>
      <c r="P19" s="6"/>
      <c r="Q19" s="6"/>
    </row>
    <row r="20" spans="1:17" s="5" customFormat="1" x14ac:dyDescent="0.25">
      <c r="A20" s="4">
        <v>9</v>
      </c>
      <c r="B20" s="57" t="s">
        <v>548</v>
      </c>
      <c r="C20" s="13"/>
      <c r="D20" s="13"/>
      <c r="E20" s="13"/>
      <c r="F20" s="13"/>
      <c r="G20" s="13"/>
      <c r="H20" s="13"/>
      <c r="I20" s="13"/>
      <c r="J20" s="13"/>
      <c r="K20" s="49">
        <v>4</v>
      </c>
      <c r="L20" s="6"/>
      <c r="M20" s="6"/>
      <c r="O20" s="6"/>
      <c r="P20" s="6"/>
      <c r="Q20" s="6"/>
    </row>
    <row r="21" spans="1:17" s="5" customFormat="1" x14ac:dyDescent="0.25">
      <c r="A21" s="4">
        <v>10</v>
      </c>
      <c r="B21" s="57" t="s">
        <v>549</v>
      </c>
      <c r="C21" s="13"/>
      <c r="D21" s="13"/>
      <c r="E21" s="13"/>
      <c r="F21" s="13"/>
      <c r="G21" s="13"/>
      <c r="H21" s="13"/>
      <c r="I21" s="13"/>
      <c r="J21" s="13"/>
      <c r="K21" s="49">
        <v>4</v>
      </c>
      <c r="L21" s="6"/>
      <c r="M21" s="6"/>
      <c r="O21" s="6"/>
      <c r="P21" s="6"/>
      <c r="Q21" s="6"/>
    </row>
    <row r="22" spans="1:17" s="5" customFormat="1" x14ac:dyDescent="0.25">
      <c r="A22" s="4">
        <v>11</v>
      </c>
      <c r="B22" s="57" t="s">
        <v>550</v>
      </c>
      <c r="C22" s="13"/>
      <c r="D22" s="13"/>
      <c r="E22" s="13"/>
      <c r="F22" s="13"/>
      <c r="G22" s="13"/>
      <c r="H22" s="13"/>
      <c r="I22" s="13"/>
      <c r="J22" s="13"/>
      <c r="K22" s="49">
        <v>4</v>
      </c>
      <c r="L22" s="6"/>
      <c r="M22" s="6"/>
      <c r="O22" s="6"/>
      <c r="P22" s="6"/>
      <c r="Q22" s="6"/>
    </row>
    <row r="23" spans="1:17" s="5" customFormat="1" x14ac:dyDescent="0.25">
      <c r="A23" s="4">
        <v>12</v>
      </c>
      <c r="B23" s="57" t="s">
        <v>551</v>
      </c>
      <c r="C23" s="13"/>
      <c r="D23" s="13"/>
      <c r="E23" s="13"/>
      <c r="F23" s="13"/>
      <c r="G23" s="13"/>
      <c r="H23" s="13"/>
      <c r="I23" s="13"/>
      <c r="J23" s="13"/>
      <c r="K23" s="49">
        <v>0</v>
      </c>
      <c r="L23" s="6"/>
      <c r="M23" s="6"/>
      <c r="O23" s="6"/>
      <c r="P23" s="6"/>
      <c r="Q23" s="6"/>
    </row>
    <row r="24" spans="1:17" s="5" customFormat="1" x14ac:dyDescent="0.25">
      <c r="A24" s="4">
        <v>13</v>
      </c>
      <c r="B24" s="57" t="s">
        <v>552</v>
      </c>
      <c r="C24" s="13"/>
      <c r="D24" s="13"/>
      <c r="E24" s="13"/>
      <c r="F24" s="13"/>
      <c r="G24" s="13"/>
      <c r="H24" s="13"/>
      <c r="I24" s="13"/>
      <c r="J24" s="13"/>
      <c r="K24" s="49">
        <v>0</v>
      </c>
      <c r="L24" s="6"/>
      <c r="M24" s="6"/>
      <c r="O24" s="6"/>
      <c r="P24" s="6"/>
      <c r="Q24" s="6"/>
    </row>
    <row r="25" spans="1:17" s="5" customFormat="1" x14ac:dyDescent="0.25">
      <c r="A25" s="4">
        <v>14</v>
      </c>
      <c r="B25" s="57" t="s">
        <v>553</v>
      </c>
      <c r="C25" s="13"/>
      <c r="D25" s="13"/>
      <c r="E25" s="13"/>
      <c r="F25" s="13"/>
      <c r="G25" s="13"/>
      <c r="H25" s="13"/>
      <c r="I25" s="13"/>
      <c r="J25" s="13"/>
      <c r="K25" s="49">
        <v>4</v>
      </c>
      <c r="L25" s="6"/>
      <c r="M25" s="6"/>
      <c r="O25" s="6"/>
      <c r="P25" s="6"/>
      <c r="Q25" s="6"/>
    </row>
    <row r="26" spans="1:17" s="5" customFormat="1" x14ac:dyDescent="0.25">
      <c r="A26" s="4">
        <v>15</v>
      </c>
      <c r="B26" s="57" t="s">
        <v>554</v>
      </c>
      <c r="C26" s="13"/>
      <c r="D26" s="13"/>
      <c r="E26" s="13"/>
      <c r="F26" s="13"/>
      <c r="G26" s="13"/>
      <c r="H26" s="13"/>
      <c r="I26" s="13"/>
      <c r="J26" s="13"/>
      <c r="K26" s="49">
        <v>4</v>
      </c>
      <c r="L26" s="6"/>
      <c r="M26" s="6"/>
      <c r="O26" s="6"/>
      <c r="P26" s="6"/>
      <c r="Q26" s="6"/>
    </row>
    <row r="27" spans="1:17" s="5" customFormat="1" x14ac:dyDescent="0.25">
      <c r="A27" s="4">
        <v>16</v>
      </c>
      <c r="B27" s="57" t="s">
        <v>555</v>
      </c>
      <c r="C27" s="13"/>
      <c r="D27" s="13"/>
      <c r="E27" s="13"/>
      <c r="F27" s="13"/>
      <c r="G27" s="13"/>
      <c r="H27" s="13"/>
      <c r="I27" s="13"/>
      <c r="J27" s="13"/>
      <c r="K27" s="49">
        <v>4</v>
      </c>
      <c r="L27" s="6"/>
      <c r="M27" s="6"/>
      <c r="O27" s="6"/>
      <c r="P27" s="6"/>
      <c r="Q27" s="6"/>
    </row>
    <row r="28" spans="1:17" s="5" customFormat="1" x14ac:dyDescent="0.25">
      <c r="A28" s="4">
        <v>17</v>
      </c>
      <c r="B28" s="57" t="s">
        <v>556</v>
      </c>
      <c r="C28" s="13"/>
      <c r="D28" s="13"/>
      <c r="E28" s="13"/>
      <c r="F28" s="13"/>
      <c r="G28" s="13"/>
      <c r="H28" s="13"/>
      <c r="I28" s="13"/>
      <c r="J28" s="13"/>
      <c r="K28" s="49">
        <v>4</v>
      </c>
      <c r="L28" s="6"/>
      <c r="M28" s="6"/>
      <c r="O28" s="6"/>
      <c r="P28" s="6"/>
      <c r="Q28" s="6"/>
    </row>
    <row r="29" spans="1:17" s="5" customFormat="1" x14ac:dyDescent="0.25">
      <c r="A29" s="4">
        <v>18</v>
      </c>
      <c r="B29" s="57" t="s">
        <v>557</v>
      </c>
      <c r="C29" s="13"/>
      <c r="D29" s="13"/>
      <c r="E29" s="13"/>
      <c r="F29" s="13"/>
      <c r="G29" s="13"/>
      <c r="H29" s="13"/>
      <c r="I29" s="13"/>
      <c r="J29" s="13"/>
      <c r="K29" s="49">
        <v>4</v>
      </c>
      <c r="L29" s="6"/>
      <c r="M29" s="6"/>
      <c r="O29" s="6"/>
      <c r="P29" s="6"/>
      <c r="Q29" s="6"/>
    </row>
    <row r="30" spans="1:17" s="5" customFormat="1" x14ac:dyDescent="0.25">
      <c r="A30" s="4">
        <v>19</v>
      </c>
      <c r="B30" s="57" t="s">
        <v>558</v>
      </c>
      <c r="C30" s="13"/>
      <c r="D30" s="13"/>
      <c r="E30" s="13"/>
      <c r="F30" s="13"/>
      <c r="G30" s="13"/>
      <c r="H30" s="13"/>
      <c r="I30" s="13"/>
      <c r="J30" s="13"/>
      <c r="K30" s="49">
        <v>4</v>
      </c>
      <c r="L30" s="6"/>
      <c r="M30" s="6"/>
      <c r="O30" s="6"/>
      <c r="P30" s="6"/>
      <c r="Q30" s="6"/>
    </row>
    <row r="31" spans="1:17" s="5" customFormat="1" x14ac:dyDescent="0.25">
      <c r="A31" s="4">
        <v>20</v>
      </c>
      <c r="B31" s="57" t="s">
        <v>559</v>
      </c>
      <c r="C31" s="13"/>
      <c r="D31" s="13"/>
      <c r="E31" s="13"/>
      <c r="F31" s="13"/>
      <c r="G31" s="13"/>
      <c r="H31" s="13"/>
      <c r="I31" s="13"/>
      <c r="J31" s="13"/>
      <c r="K31" s="49">
        <v>0</v>
      </c>
      <c r="L31" s="6"/>
      <c r="M31" s="6"/>
      <c r="O31" s="6"/>
      <c r="P31" s="6"/>
      <c r="Q31" s="6"/>
    </row>
    <row r="32" spans="1:17" s="5" customFormat="1" x14ac:dyDescent="0.25">
      <c r="A32" s="4">
        <v>21</v>
      </c>
      <c r="B32" s="57" t="s">
        <v>560</v>
      </c>
      <c r="C32" s="13"/>
      <c r="D32" s="13"/>
      <c r="E32" s="13"/>
      <c r="F32" s="13"/>
      <c r="G32" s="13"/>
      <c r="H32" s="13"/>
      <c r="I32" s="13"/>
      <c r="J32" s="13"/>
      <c r="K32" s="49">
        <v>0</v>
      </c>
      <c r="L32" s="6"/>
      <c r="M32" s="6"/>
      <c r="O32" s="6"/>
      <c r="P32" s="6"/>
      <c r="Q32" s="6"/>
    </row>
    <row r="33" spans="1:17" s="5" customFormat="1" x14ac:dyDescent="0.25">
      <c r="A33" s="4">
        <v>22</v>
      </c>
      <c r="B33" s="57" t="s">
        <v>561</v>
      </c>
      <c r="C33" s="13"/>
      <c r="D33" s="13"/>
      <c r="E33" s="13"/>
      <c r="F33" s="13"/>
      <c r="G33" s="13"/>
      <c r="H33" s="13"/>
      <c r="I33" s="13"/>
      <c r="J33" s="13"/>
      <c r="K33" s="49">
        <v>4</v>
      </c>
      <c r="L33" s="6"/>
      <c r="M33" s="6"/>
      <c r="O33" s="6"/>
      <c r="P33" s="6"/>
      <c r="Q33" s="6"/>
    </row>
    <row r="34" spans="1:17" s="5" customFormat="1" x14ac:dyDescent="0.25">
      <c r="A34" s="4">
        <v>23</v>
      </c>
      <c r="B34" s="57" t="s">
        <v>562</v>
      </c>
      <c r="C34" s="13"/>
      <c r="D34" s="13"/>
      <c r="E34" s="13"/>
      <c r="F34" s="13"/>
      <c r="G34" s="13"/>
      <c r="H34" s="13"/>
      <c r="I34" s="13"/>
      <c r="J34" s="13"/>
      <c r="K34" s="49">
        <v>4</v>
      </c>
      <c r="L34" s="6"/>
      <c r="M34" s="6"/>
      <c r="O34" s="6"/>
      <c r="P34" s="6"/>
      <c r="Q34" s="6"/>
    </row>
    <row r="35" spans="1:17" s="5" customFormat="1" x14ac:dyDescent="0.25">
      <c r="A35" s="4">
        <v>24</v>
      </c>
      <c r="B35" s="57" t="s">
        <v>563</v>
      </c>
      <c r="C35" s="13"/>
      <c r="D35" s="13"/>
      <c r="E35" s="13"/>
      <c r="F35" s="13"/>
      <c r="G35" s="13"/>
      <c r="H35" s="13"/>
      <c r="I35" s="13"/>
      <c r="J35" s="13"/>
      <c r="K35" s="49">
        <v>0</v>
      </c>
      <c r="L35" s="6"/>
      <c r="M35" s="6"/>
      <c r="O35" s="6"/>
      <c r="P35" s="6"/>
      <c r="Q35" s="6"/>
    </row>
    <row r="36" spans="1:17" s="5" customFormat="1" x14ac:dyDescent="0.25">
      <c r="A36" s="4">
        <v>25</v>
      </c>
      <c r="B36" s="57" t="s">
        <v>564</v>
      </c>
      <c r="C36" s="13"/>
      <c r="D36" s="13"/>
      <c r="E36" s="13"/>
      <c r="F36" s="13"/>
      <c r="G36" s="13"/>
      <c r="H36" s="13"/>
      <c r="I36" s="13"/>
      <c r="J36" s="13"/>
      <c r="K36" s="49">
        <v>4</v>
      </c>
      <c r="L36" s="6"/>
      <c r="M36" s="6"/>
      <c r="O36" s="6"/>
      <c r="P36" s="6"/>
      <c r="Q36" s="6"/>
    </row>
    <row r="37" spans="1:17" s="5" customFormat="1" x14ac:dyDescent="0.25">
      <c r="A37" s="4">
        <v>26</v>
      </c>
      <c r="B37" s="57" t="s">
        <v>565</v>
      </c>
      <c r="C37" s="13"/>
      <c r="D37" s="13"/>
      <c r="E37" s="13"/>
      <c r="F37" s="13"/>
      <c r="G37" s="13"/>
      <c r="H37" s="13"/>
      <c r="I37" s="13"/>
      <c r="J37" s="13"/>
      <c r="K37" s="49">
        <v>4</v>
      </c>
      <c r="L37" s="6"/>
      <c r="M37" s="6"/>
      <c r="O37" s="6"/>
      <c r="P37" s="6"/>
      <c r="Q37" s="6"/>
    </row>
    <row r="38" spans="1:17" s="5" customFormat="1" x14ac:dyDescent="0.25">
      <c r="A38" s="4">
        <v>27</v>
      </c>
      <c r="B38" s="57" t="s">
        <v>566</v>
      </c>
      <c r="C38" s="13"/>
      <c r="D38" s="13"/>
      <c r="E38" s="13"/>
      <c r="F38" s="13"/>
      <c r="G38" s="13"/>
      <c r="H38" s="13"/>
      <c r="I38" s="13"/>
      <c r="J38" s="13"/>
      <c r="K38" s="49">
        <v>4</v>
      </c>
      <c r="L38" s="6"/>
      <c r="M38" s="6"/>
      <c r="O38" s="6"/>
      <c r="P38" s="6"/>
      <c r="Q38" s="6"/>
    </row>
    <row r="39" spans="1:17" s="5" customFormat="1" x14ac:dyDescent="0.25">
      <c r="A39" s="4">
        <v>28</v>
      </c>
      <c r="B39" s="57" t="s">
        <v>567</v>
      </c>
      <c r="C39" s="13"/>
      <c r="D39" s="13"/>
      <c r="E39" s="13"/>
      <c r="F39" s="13"/>
      <c r="G39" s="13"/>
      <c r="H39" s="13"/>
      <c r="I39" s="13"/>
      <c r="J39" s="13"/>
      <c r="K39" s="49">
        <v>4</v>
      </c>
      <c r="L39" s="6"/>
      <c r="M39" s="6"/>
      <c r="O39" s="6"/>
      <c r="P39" s="6"/>
      <c r="Q39" s="6"/>
    </row>
    <row r="40" spans="1:17" s="5" customFormat="1" x14ac:dyDescent="0.25">
      <c r="A40" s="4">
        <v>29</v>
      </c>
      <c r="B40" s="57" t="s">
        <v>568</v>
      </c>
      <c r="C40" s="13"/>
      <c r="D40" s="13"/>
      <c r="E40" s="13"/>
      <c r="F40" s="13"/>
      <c r="G40" s="13"/>
      <c r="H40" s="13"/>
      <c r="I40" s="13"/>
      <c r="J40" s="13"/>
      <c r="K40" s="49">
        <v>4</v>
      </c>
      <c r="L40" s="6"/>
      <c r="M40" s="6"/>
      <c r="O40" s="6"/>
      <c r="P40" s="6"/>
      <c r="Q40" s="6"/>
    </row>
    <row r="41" spans="1:17" s="5" customFormat="1" x14ac:dyDescent="0.25">
      <c r="A41" s="4">
        <v>30</v>
      </c>
      <c r="B41" s="57" t="s">
        <v>569</v>
      </c>
      <c r="C41" s="13"/>
      <c r="D41" s="13"/>
      <c r="E41" s="13"/>
      <c r="F41" s="13"/>
      <c r="G41" s="13"/>
      <c r="H41" s="13"/>
      <c r="I41" s="13"/>
      <c r="J41" s="13"/>
      <c r="K41" s="49">
        <v>4</v>
      </c>
      <c r="L41" s="6"/>
      <c r="M41" s="6"/>
      <c r="O41" s="6"/>
      <c r="P41" s="6"/>
      <c r="Q41" s="6"/>
    </row>
    <row r="42" spans="1:17" s="5" customFormat="1" x14ac:dyDescent="0.25">
      <c r="A42" s="4">
        <v>31</v>
      </c>
      <c r="B42" s="57" t="s">
        <v>570</v>
      </c>
      <c r="C42" s="13"/>
      <c r="D42" s="13"/>
      <c r="E42" s="13"/>
      <c r="F42" s="13"/>
      <c r="G42" s="13"/>
      <c r="H42" s="13"/>
      <c r="I42" s="13"/>
      <c r="J42" s="13"/>
      <c r="K42" s="49">
        <v>0</v>
      </c>
      <c r="L42" s="6"/>
      <c r="M42" s="6"/>
      <c r="O42" s="6"/>
      <c r="P42" s="6"/>
      <c r="Q42" s="6"/>
    </row>
    <row r="43" spans="1:17" s="5" customFormat="1" x14ac:dyDescent="0.25">
      <c r="A43" s="4">
        <v>32</v>
      </c>
      <c r="B43" s="57" t="s">
        <v>571</v>
      </c>
      <c r="C43" s="13"/>
      <c r="D43" s="13"/>
      <c r="E43" s="13"/>
      <c r="F43" s="13"/>
      <c r="G43" s="13"/>
      <c r="H43" s="13"/>
      <c r="I43" s="13"/>
      <c r="J43" s="13"/>
      <c r="K43" s="49">
        <v>4</v>
      </c>
      <c r="L43" s="6"/>
      <c r="M43" s="6"/>
      <c r="O43" s="6"/>
      <c r="P43" s="6"/>
      <c r="Q43" s="6"/>
    </row>
    <row r="44" spans="1:17" s="5" customFormat="1" x14ac:dyDescent="0.25">
      <c r="A44" s="4">
        <v>33</v>
      </c>
      <c r="B44" s="57" t="s">
        <v>572</v>
      </c>
      <c r="C44" s="13"/>
      <c r="D44" s="13"/>
      <c r="E44" s="13"/>
      <c r="F44" s="13"/>
      <c r="G44" s="13"/>
      <c r="H44" s="13"/>
      <c r="I44" s="13"/>
      <c r="J44" s="13"/>
      <c r="K44" s="49">
        <v>4</v>
      </c>
      <c r="L44" s="6"/>
      <c r="M44" s="6"/>
      <c r="O44" s="6"/>
      <c r="P44" s="6"/>
      <c r="Q44" s="6"/>
    </row>
    <row r="45" spans="1:17" s="5" customFormat="1" x14ac:dyDescent="0.25">
      <c r="A45" s="4">
        <v>34</v>
      </c>
      <c r="B45" s="57" t="s">
        <v>573</v>
      </c>
      <c r="C45" s="13"/>
      <c r="D45" s="13"/>
      <c r="E45" s="13"/>
      <c r="F45" s="13"/>
      <c r="G45" s="13"/>
      <c r="H45" s="13"/>
      <c r="I45" s="13"/>
      <c r="J45" s="13"/>
      <c r="K45" s="49">
        <v>4</v>
      </c>
      <c r="L45" s="6"/>
      <c r="M45" s="6"/>
      <c r="O45" s="6"/>
      <c r="P45" s="6"/>
      <c r="Q45" s="6"/>
    </row>
    <row r="46" spans="1:17" s="5" customFormat="1" x14ac:dyDescent="0.25">
      <c r="A46" s="4">
        <v>35</v>
      </c>
      <c r="B46" s="57" t="s">
        <v>574</v>
      </c>
      <c r="C46" s="13"/>
      <c r="D46" s="13"/>
      <c r="E46" s="13"/>
      <c r="F46" s="13"/>
      <c r="G46" s="13"/>
      <c r="H46" s="13"/>
      <c r="I46" s="13"/>
      <c r="J46" s="13"/>
      <c r="K46" s="49">
        <v>4</v>
      </c>
      <c r="L46" s="6"/>
      <c r="M46" s="6"/>
      <c r="O46" s="6"/>
      <c r="P46" s="6"/>
      <c r="Q46" s="6"/>
    </row>
    <row r="47" spans="1:17" s="5" customFormat="1" x14ac:dyDescent="0.25">
      <c r="A47" s="4">
        <v>36</v>
      </c>
      <c r="B47" s="57" t="s">
        <v>575</v>
      </c>
      <c r="C47" s="13"/>
      <c r="D47" s="13"/>
      <c r="E47" s="13"/>
      <c r="F47" s="13"/>
      <c r="G47" s="13"/>
      <c r="H47" s="13"/>
      <c r="I47" s="13"/>
      <c r="J47" s="13"/>
      <c r="K47" s="49">
        <v>4</v>
      </c>
      <c r="L47" s="6"/>
      <c r="M47" s="6"/>
      <c r="O47" s="6"/>
      <c r="P47" s="6"/>
      <c r="Q47" s="6"/>
    </row>
    <row r="48" spans="1:17" s="5" customFormat="1" x14ac:dyDescent="0.25">
      <c r="A48" s="4">
        <v>37</v>
      </c>
      <c r="B48" s="57" t="s">
        <v>576</v>
      </c>
      <c r="C48" s="13"/>
      <c r="D48" s="13"/>
      <c r="E48" s="13"/>
      <c r="F48" s="13"/>
      <c r="G48" s="13"/>
      <c r="H48" s="13"/>
      <c r="I48" s="13"/>
      <c r="J48" s="13"/>
      <c r="K48" s="49">
        <v>0</v>
      </c>
      <c r="L48" s="6"/>
      <c r="M48" s="6"/>
      <c r="O48" s="6"/>
      <c r="P48" s="6"/>
      <c r="Q48" s="6"/>
    </row>
    <row r="49" spans="1:17" s="5" customFormat="1" x14ac:dyDescent="0.25">
      <c r="A49" s="4">
        <v>38</v>
      </c>
      <c r="B49" s="57" t="s">
        <v>577</v>
      </c>
      <c r="C49" s="13"/>
      <c r="D49" s="13"/>
      <c r="E49" s="13"/>
      <c r="F49" s="13"/>
      <c r="G49" s="13"/>
      <c r="H49" s="13"/>
      <c r="I49" s="13"/>
      <c r="J49" s="13"/>
      <c r="K49" s="49">
        <v>4</v>
      </c>
      <c r="L49" s="6"/>
      <c r="M49" s="6"/>
      <c r="O49" s="6"/>
      <c r="P49" s="6"/>
      <c r="Q49" s="6"/>
    </row>
    <row r="50" spans="1:17" s="5" customFormat="1" x14ac:dyDescent="0.25">
      <c r="A50" s="4">
        <v>39</v>
      </c>
      <c r="B50" s="57" t="s">
        <v>578</v>
      </c>
      <c r="C50" s="13"/>
      <c r="D50" s="13"/>
      <c r="E50" s="13"/>
      <c r="F50" s="13"/>
      <c r="G50" s="13"/>
      <c r="H50" s="13"/>
      <c r="I50" s="13"/>
      <c r="J50" s="13"/>
      <c r="K50" s="49">
        <v>4</v>
      </c>
      <c r="L50" s="6"/>
      <c r="M50" s="6"/>
      <c r="O50" s="6"/>
      <c r="P50" s="6"/>
      <c r="Q50" s="6"/>
    </row>
    <row r="51" spans="1:17" s="5" customFormat="1" x14ac:dyDescent="0.25">
      <c r="A51" s="4">
        <v>40</v>
      </c>
      <c r="B51" s="57" t="s">
        <v>579</v>
      </c>
      <c r="C51" s="13"/>
      <c r="D51" s="13"/>
      <c r="E51" s="13"/>
      <c r="F51" s="13"/>
      <c r="G51" s="13"/>
      <c r="H51" s="13"/>
      <c r="I51" s="13"/>
      <c r="J51" s="13"/>
      <c r="K51" s="49">
        <v>4</v>
      </c>
      <c r="L51" s="6"/>
      <c r="M51" s="6"/>
      <c r="O51" s="6"/>
      <c r="P51" s="6"/>
      <c r="Q51" s="6"/>
    </row>
    <row r="52" spans="1:17" s="5" customFormat="1" x14ac:dyDescent="0.25">
      <c r="A52" s="4">
        <v>41</v>
      </c>
      <c r="B52" s="57" t="s">
        <v>580</v>
      </c>
      <c r="C52" s="13"/>
      <c r="D52" s="13"/>
      <c r="E52" s="13"/>
      <c r="F52" s="13"/>
      <c r="G52" s="13"/>
      <c r="H52" s="13"/>
      <c r="I52" s="13"/>
      <c r="J52" s="13"/>
      <c r="K52" s="49">
        <v>4</v>
      </c>
      <c r="L52" s="6"/>
      <c r="M52" s="6"/>
      <c r="O52" s="6"/>
      <c r="P52" s="6"/>
      <c r="Q52" s="6"/>
    </row>
    <row r="53" spans="1:17" s="5" customFormat="1" x14ac:dyDescent="0.25">
      <c r="A53" s="4">
        <v>42</v>
      </c>
      <c r="B53" s="57" t="s">
        <v>581</v>
      </c>
      <c r="C53" s="13"/>
      <c r="D53" s="13"/>
      <c r="E53" s="13"/>
      <c r="F53" s="13"/>
      <c r="G53" s="13"/>
      <c r="H53" s="13"/>
      <c r="I53" s="13"/>
      <c r="J53" s="13"/>
      <c r="K53" s="49">
        <v>4</v>
      </c>
      <c r="L53" s="6"/>
      <c r="M53" s="6"/>
      <c r="O53" s="6"/>
      <c r="P53" s="6"/>
      <c r="Q53" s="6"/>
    </row>
    <row r="54" spans="1:17" s="5" customFormat="1" x14ac:dyDescent="0.25">
      <c r="A54" s="4">
        <v>43</v>
      </c>
      <c r="B54" s="57" t="s">
        <v>582</v>
      </c>
      <c r="C54" s="13"/>
      <c r="D54" s="13"/>
      <c r="E54" s="13"/>
      <c r="F54" s="13"/>
      <c r="G54" s="13"/>
      <c r="H54" s="13"/>
      <c r="I54" s="13"/>
      <c r="J54" s="13"/>
      <c r="K54" s="49">
        <v>0</v>
      </c>
      <c r="L54" s="6"/>
      <c r="M54" s="6"/>
      <c r="O54" s="6"/>
      <c r="P54" s="6"/>
      <c r="Q54" s="6"/>
    </row>
    <row r="55" spans="1:17" s="5" customFormat="1" x14ac:dyDescent="0.25">
      <c r="A55" s="4">
        <v>44</v>
      </c>
      <c r="B55" s="57" t="s">
        <v>583</v>
      </c>
      <c r="C55" s="13"/>
      <c r="D55" s="13"/>
      <c r="E55" s="13"/>
      <c r="F55" s="13"/>
      <c r="G55" s="13"/>
      <c r="H55" s="13"/>
      <c r="I55" s="13"/>
      <c r="J55" s="13"/>
      <c r="K55" s="49">
        <v>4</v>
      </c>
      <c r="L55" s="6"/>
      <c r="M55" s="6"/>
      <c r="O55" s="6"/>
      <c r="P55" s="6"/>
      <c r="Q55" s="6"/>
    </row>
    <row r="56" spans="1:17" s="5" customFormat="1" ht="15.75" thickBot="1" x14ac:dyDescent="0.3">
      <c r="A56" s="4">
        <v>45</v>
      </c>
      <c r="B56" s="57" t="s">
        <v>584</v>
      </c>
      <c r="C56" s="13"/>
      <c r="D56" s="13"/>
      <c r="E56" s="13"/>
      <c r="F56" s="13"/>
      <c r="G56" s="13"/>
      <c r="H56" s="13"/>
      <c r="I56" s="13"/>
      <c r="J56" s="13"/>
      <c r="K56" s="50">
        <v>4</v>
      </c>
      <c r="L56" s="6"/>
      <c r="M56" s="6"/>
      <c r="O56" s="6"/>
      <c r="P56" s="6"/>
      <c r="Q56" s="6"/>
    </row>
    <row r="57" spans="1:17" s="5" customFormat="1" x14ac:dyDescent="0.25">
      <c r="A57" s="4"/>
      <c r="B57" s="6"/>
      <c r="C57" s="15"/>
      <c r="D57" s="6"/>
      <c r="E57" s="15"/>
      <c r="G57" s="6"/>
      <c r="H57" s="6"/>
      <c r="I57" s="6"/>
      <c r="K57" s="6"/>
      <c r="L57" s="6"/>
      <c r="M57" s="6"/>
      <c r="O57" s="6"/>
      <c r="P57" s="6"/>
      <c r="Q57" s="6"/>
    </row>
    <row r="58" spans="1:17" s="5" customFormat="1" ht="90.75" customHeight="1" x14ac:dyDescent="0.25">
      <c r="A58" s="96" t="s">
        <v>832</v>
      </c>
      <c r="B58" s="96"/>
      <c r="C58" s="96"/>
      <c r="D58" s="96"/>
      <c r="E58" s="96"/>
      <c r="F58" s="96"/>
      <c r="G58" s="96"/>
      <c r="H58" s="96"/>
      <c r="I58" s="96"/>
      <c r="J58" s="96"/>
      <c r="K58" s="96"/>
      <c r="L58" s="96"/>
      <c r="M58" s="96"/>
      <c r="N58" s="96"/>
      <c r="O58" s="96"/>
      <c r="P58" s="96"/>
      <c r="Q58" s="96"/>
    </row>
  </sheetData>
  <mergeCells count="7">
    <mergeCell ref="A58:Q58"/>
    <mergeCell ref="G2:I2"/>
    <mergeCell ref="K2:M2"/>
    <mergeCell ref="O2:Q2"/>
    <mergeCell ref="H3:I3"/>
    <mergeCell ref="L3:M3"/>
    <mergeCell ref="P3:Q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4CB8C-CAED-4701-B18F-33F44128914D}">
  <dimension ref="A1:AD52"/>
  <sheetViews>
    <sheetView topLeftCell="A23" zoomScale="140" zoomScaleNormal="140" workbookViewId="0">
      <selection activeCell="A34" sqref="A34:XFD34"/>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0</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63</v>
      </c>
      <c r="B2" s="6"/>
      <c r="C2" s="15"/>
      <c r="D2" s="5"/>
      <c r="E2" s="15"/>
      <c r="F2" s="5"/>
      <c r="G2" s="97" t="s">
        <v>1</v>
      </c>
      <c r="H2" s="97"/>
      <c r="I2" s="97"/>
      <c r="J2" s="5"/>
      <c r="K2" s="97" t="s">
        <v>2</v>
      </c>
      <c r="L2" s="97"/>
      <c r="M2" s="97"/>
      <c r="N2" s="5"/>
      <c r="O2" s="97" t="s">
        <v>3</v>
      </c>
      <c r="P2" s="97"/>
      <c r="Q2" s="97"/>
    </row>
    <row r="3" spans="1:30" x14ac:dyDescent="0.25">
      <c r="A3" s="4"/>
      <c r="B3" s="6"/>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v>
      </c>
      <c r="B5" s="6" t="s">
        <v>5</v>
      </c>
      <c r="C5" s="37">
        <f>IF(COUNTBLANK($K$13:$K$32)=0,SUM($K$13:$K$32),IF(ISNUMBER($E5),$E5,"?"))</f>
        <v>68</v>
      </c>
      <c r="D5" s="5"/>
      <c r="E5" s="54">
        <v>68</v>
      </c>
      <c r="F5" s="5"/>
      <c r="G5" s="20">
        <f>IF(C5="?","?",IF(E5="","?",38.4+(7.073*E5+0.07351*E5^2)/(1+0.4028*E5-0.001583*E5^2)))</f>
        <v>77.358260720336119</v>
      </c>
      <c r="H5" s="23">
        <f>IF(C5="?","?",IF(E5="","?",6.3+(73.748*E5+44.38*E5^2)/(1+3.862*E5+0.4265*E5^2)))</f>
        <v>100.33009993952818</v>
      </c>
      <c r="I5" s="24">
        <f>IF(C5="?","?",IF(E5="","?",0.8+(-0.059*E5+0.004157*E5^2)/(1-0.02649*E5+0.0002099*E5^2)))</f>
        <v>90.662836292136944</v>
      </c>
      <c r="J5" s="5"/>
      <c r="K5" s="20">
        <f>IF(C5="?","?",IF(E5="","?",38.9+(5.029*E5-0.007649*E5^2)/(1+0.2338*E5-0.002023*E5^2)))</f>
        <v>79.541711717634868</v>
      </c>
      <c r="L5" s="23">
        <f>IF(C5="?","?",IF(E5="","?",21.6+22.788*LN(E5+0.5)-0.251*E5))</f>
        <v>100.85308738717127</v>
      </c>
      <c r="M5" s="24">
        <f>IF(C5="?","?",IF(E5="","?",0.7+(-0.055*E5+0.00412*E5^2)/(1-0.02644*E5+0.0002094*E5^2)))</f>
        <v>90.58127665170116</v>
      </c>
      <c r="N5" s="5"/>
      <c r="O5" s="20">
        <f>IF(C5="?","?",IF(E5="","?",38.3+(8.625*E5+0.1471*E5^2)/(1+0.5396*E5-0.001106*E5^2)))</f>
        <v>77.180990056802841</v>
      </c>
      <c r="P5" s="23">
        <f>IF(C5="?","?",IF(E5="","?",5+(56.645*E5+44.82*E5^2)/(1+3.936*E5+0.4243*E5^2)))</f>
        <v>99.637532529200939</v>
      </c>
      <c r="Q5" s="24">
        <f>IF(C5="?","?",IF(E5="","?",0.8+(-0.062*E5+0.004171*E5^2)/(1-0.02653*E5+0.0002101*E5^2)))</f>
        <v>90.794554001375815</v>
      </c>
    </row>
    <row r="6" spans="1:30" x14ac:dyDescent="0.25">
      <c r="A6" s="4" t="s">
        <v>6</v>
      </c>
      <c r="B6" s="6" t="s">
        <v>7</v>
      </c>
      <c r="C6" s="37">
        <f>IF(COUNTBLANK($K$13:$K$32)=0,SUM($K$13:$K$17),IF(ISNUMBER($E6),$E6,"?"))</f>
        <v>15</v>
      </c>
      <c r="D6" s="5"/>
      <c r="E6" s="55"/>
      <c r="F6" s="5"/>
      <c r="G6" s="21" t="str">
        <f>IF(C6="?","?",IF(E6="","?",41.5+(12.09*E6+0.06599*E6^2)/(1+0.6583*E6-0.01928*E6^2)))</f>
        <v>?</v>
      </c>
      <c r="H6" s="25" t="str">
        <f>IF(C6="?","?",IF(E6="","?",11.1+(52.185*E6)/(1+0.54*E6)))</f>
        <v>?</v>
      </c>
      <c r="I6" s="26" t="str">
        <f>IF(C6="?","?",IF(E6="","?",0.4+(0.331*E6+0.02699*E6^2)/(1-0.09566*E6+0.002739*E6^2)))</f>
        <v>?</v>
      </c>
      <c r="J6" s="5"/>
      <c r="K6" s="21" t="str">
        <f>IF(C6="?","?",IF(E6="","?",41.5+(11.848*E6+0.08061*E6^2)/(1+0.6466*E6-0.01859*E6^2)))</f>
        <v>?</v>
      </c>
      <c r="L6" s="25" t="str">
        <f>IF(C6="?","?",IF(E6="","?",56.9+15.982*LN(E6+0.1)))</f>
        <v>?</v>
      </c>
      <c r="M6" s="26" t="str">
        <f>IF(C6="?","?",IF(E6="","?",0.2+(0.41*E6+0.02537*E6^2)/(1-0.09423*E6+0.00269*E6^2)))</f>
        <v>?</v>
      </c>
      <c r="N6" s="5"/>
      <c r="O6" s="21" t="str">
        <f>IF(C6="?","?",IF(E6="","?",41.5+(12.177*E6+0.05095*E6^2)/(1+0.6586*E6-0.01957*E6^2)))</f>
        <v>?</v>
      </c>
      <c r="P6" s="25" t="str">
        <f>IF(C6="?","?",IF(E6="","?",9.2+(44.218*E6)/(1+0.44*E6)))</f>
        <v>?</v>
      </c>
      <c r="Q6" s="26" t="str">
        <f>IF(C6="?","?",IF(E6="","?",0.6+(0.263*E6+0.02903*E6^2)/(1-0.09678*E6+0.002782*E6^2)))</f>
        <v>?</v>
      </c>
    </row>
    <row r="7" spans="1:30" x14ac:dyDescent="0.25">
      <c r="A7" s="4" t="s">
        <v>8</v>
      </c>
      <c r="B7" s="6" t="s">
        <v>9</v>
      </c>
      <c r="C7" s="37">
        <f>IF(COUNTBLANK($K$13:$K$32)=0,SUM($K$18:$K$19),IF(ISNUMBER($E7),$E7,"?"))</f>
        <v>13</v>
      </c>
      <c r="D7" s="5"/>
      <c r="E7" s="55"/>
      <c r="F7" s="5"/>
      <c r="G7" s="21" t="str">
        <f>IF(C7="?","?",IF(E7="","?",43.8+(24.902*E7+0.3759*E7^2)/(1+1.746*E7-0.1293*E7^2)))</f>
        <v>?</v>
      </c>
      <c r="H7" s="25" t="str">
        <f>IF(C7="?","?",IF(E7="","?",64+17.769*LN(E7+0.1)))</f>
        <v>?</v>
      </c>
      <c r="I7" s="26" t="str">
        <f>IF(C7="?","?",IF(E7="","?",0.8+(1.984*E7-0.06954*E7^2)/(1-0.2225*E7+0.01415*E7^2)))</f>
        <v>?</v>
      </c>
      <c r="J7" s="5"/>
      <c r="K7" s="21" t="str">
        <f>IF(C7="?","?",IF(E7="","?",43.8+(24.774*E7+0.4514*E7^2)/(1+1.736*E7-0.1266*E7^2)))</f>
        <v>?</v>
      </c>
      <c r="L7" s="25" t="str">
        <f>IF(C7="?","?",IF(E7="","?",15.7+(109.378*E7)/(1+1.18*E7)))</f>
        <v>?</v>
      </c>
      <c r="M7" s="26" t="str">
        <f>IF(C7="?","?",IF(E7="","?",1.2+(2.057*E7-0.08387*E7^2)/(1-0.2275*E7+0.0147*E7^2)))</f>
        <v>?</v>
      </c>
      <c r="N7" s="5"/>
      <c r="O7" s="21" t="str">
        <f>IF(C7="?","?",IF(E7="","?",43.8+(25.691*E7+0.4639*E7^2)/(1+1.841*E7-0.1354*E7^2)))</f>
        <v>?</v>
      </c>
      <c r="P7" s="25" t="str">
        <f>IF(C7="?","?",IF(E7="","?",60.2+19.283*LN(E7+0.1)))</f>
        <v>?</v>
      </c>
      <c r="Q7" s="26" t="str">
        <f>IF(C7="?","?",IF(E7="","?",0.5+(1.931*E7-0.05945*E7^2)/(1-0.2179*E7+0.01364*E7^2)))</f>
        <v>?</v>
      </c>
    </row>
    <row r="8" spans="1:30" x14ac:dyDescent="0.25">
      <c r="A8" s="4" t="s">
        <v>10</v>
      </c>
      <c r="B8" s="6" t="s">
        <v>11</v>
      </c>
      <c r="C8" s="37">
        <f>IF(COUNTBLANK($K$13:$K$32)=0,SUM($K$20:$K$26),IF(ISNUMBER($E8),$E8,"?"))</f>
        <v>24</v>
      </c>
      <c r="D8" s="5"/>
      <c r="E8" s="55"/>
      <c r="F8" s="5"/>
      <c r="G8" s="21" t="str">
        <f>IF(C8="?","?",IF(E8="","?",52.8-EXP(-0.827*(E8-2.8))+0.898*E8))</f>
        <v>?</v>
      </c>
      <c r="H8" s="25" t="str">
        <f>IF(C8="?","?",IF(E8="","?",53.3+15.158*LN(E8+0.1)))</f>
        <v>?</v>
      </c>
      <c r="I8" s="26" t="str">
        <f>IF(C8="?","?",IF(E8="","?",-0.1+(0.165*E8+0.02228*E8^2)/(1-0.06891*E8+0.001472*E8^2)))</f>
        <v>?</v>
      </c>
      <c r="J8" s="5"/>
      <c r="K8" s="21" t="str">
        <f>IF(C8="?","?",IF(E8="","?",42.6+(8.594*E8-0.1562*E8^2)/(1+0.3826*E8-0.012*E8^2)))</f>
        <v>?</v>
      </c>
      <c r="L8" s="25" t="str">
        <f>IF(C8="?","?",IF(E8="","?",54.7+15.102*LN(E8+0.1)))</f>
        <v>?</v>
      </c>
      <c r="M8" s="26" t="str">
        <f>IF(C8="?","?",IF(E8="","?",0.2+(0.042*E8+0.03145*E8^2)/(1-0.06979*E8+0.001552*E8^2)))</f>
        <v>?</v>
      </c>
      <c r="N8" s="5"/>
      <c r="O8" s="21" t="str">
        <f>IF(C8="?","?",IF(E8="","?",52.7-EXP(-0.842*(E8-2.8))+0.91*E8))</f>
        <v>?</v>
      </c>
      <c r="P8" s="25" t="str">
        <f>IF(C8="?","?",IF(E8="","?",51.2+15.609*LN(E8+0.1)))</f>
        <v>?</v>
      </c>
      <c r="Q8" s="26" t="str">
        <f>IF(C8="?","?",IF(E8="","?",-0.2+(0.247*E8+0.0159*E8^2)/(1-0.06835*E8+0.001417*E8^2)))</f>
        <v>?</v>
      </c>
    </row>
    <row r="9" spans="1:30" ht="15.75" thickBot="1" x14ac:dyDescent="0.3">
      <c r="A9" s="4" t="s">
        <v>12</v>
      </c>
      <c r="B9" s="6" t="s">
        <v>13</v>
      </c>
      <c r="C9" s="37">
        <f>IF(COUNTBLANK($K$13:$K$32)=0,SUM($K$27:$K$32),IF(ISNUMBER($E9),$E9,"?"))</f>
        <v>16</v>
      </c>
      <c r="D9" s="38"/>
      <c r="E9" s="39"/>
      <c r="F9" s="5"/>
      <c r="G9" s="22" t="str">
        <f>IF(C9="?","?",IF(E9="","?",42+(10.646*E9+0.02951*E9^2)/(1+0.5599*E9-0.01383*E9^2)))</f>
        <v>?</v>
      </c>
      <c r="H9" s="27" t="str">
        <f>IF(C9="?","?",IF(E9="","?",51.5+16.776*LN(E9+0.1)))</f>
        <v>?</v>
      </c>
      <c r="I9" s="28" t="str">
        <f>IF(C9="?","?",IF(E9="","?",0.5+(-0.159*E9+0.05671*E9^2)/(1-0.08496*E9+0.002314*E9^2)))</f>
        <v>?</v>
      </c>
      <c r="J9" s="5"/>
      <c r="K9" s="22" t="str">
        <f>IF(C9="?","?",IF(E9="","?",42+(11.246*E9+0.08138*E9^2)/(1+0.6212*E9-0.01392*E9^2)))</f>
        <v>?</v>
      </c>
      <c r="L9" s="27" t="str">
        <f>IF(C9="?","?",IF(E9="","?",55.7+15.914*LN(E9+0.1)))</f>
        <v>?</v>
      </c>
      <c r="M9" s="28" t="str">
        <f>IF(C9="?","?",IF(E9="","?",0+(106.6/(1+EXP(-0.3607*(E9-16.45))))))</f>
        <v>?</v>
      </c>
      <c r="N9" s="5"/>
      <c r="O9" s="22" t="str">
        <f>IF(C9="?","?",IF(E9="","?",42+(10.887*E9+0.1231*E9^2)/(1+0.5957*E9-0.01245*E9^2)))</f>
        <v>?</v>
      </c>
      <c r="P9" s="27" t="str">
        <f>IF(C9="?","?",IF(E9="","?",46.8+18.113*LN(E9+0.1)))</f>
        <v>?</v>
      </c>
      <c r="Q9" s="28" t="str">
        <f>IF(C9="?","?",IF(E9="","?",0.5+(-0.162*E9+0.06011*E9^2)/(1-0.08605*E9+0.002392*E9^2)))</f>
        <v>?</v>
      </c>
    </row>
    <row r="10" spans="1:30" s="31" customFormat="1" ht="15.75" thickBot="1" x14ac:dyDescent="0.3">
      <c r="A10" s="29"/>
      <c r="B10" s="19"/>
      <c r="C10" s="34"/>
      <c r="D10" s="30"/>
      <c r="E10" s="34"/>
      <c r="F10" s="30"/>
      <c r="G10" s="19"/>
      <c r="H10" s="19"/>
      <c r="I10" s="19"/>
      <c r="J10" s="30"/>
      <c r="K10" s="19"/>
      <c r="L10" s="19"/>
      <c r="M10" s="19"/>
      <c r="N10" s="30"/>
      <c r="O10" s="19"/>
      <c r="P10" s="19"/>
      <c r="Q10" s="19"/>
      <c r="R10" s="30"/>
      <c r="S10" s="30"/>
      <c r="T10" s="30"/>
      <c r="U10" s="30"/>
      <c r="V10" s="30"/>
      <c r="W10" s="30"/>
      <c r="X10" s="30"/>
      <c r="Y10" s="30"/>
      <c r="Z10" s="30"/>
      <c r="AA10" s="30"/>
      <c r="AB10" s="30"/>
      <c r="AC10" s="30"/>
      <c r="AD10" s="30"/>
    </row>
    <row r="11" spans="1:30" s="5" customFormat="1" x14ac:dyDescent="0.25">
      <c r="A11" s="4"/>
      <c r="B11" s="6"/>
      <c r="C11" s="15"/>
      <c r="E11" s="15"/>
      <c r="G11" s="6"/>
      <c r="H11" s="6"/>
      <c r="I11" s="6"/>
      <c r="K11" s="6"/>
      <c r="L11" s="6"/>
      <c r="M11" s="6"/>
      <c r="O11" s="6"/>
      <c r="P11" s="6"/>
      <c r="Q11" s="6"/>
    </row>
    <row r="12" spans="1:30" s="5" customFormat="1" ht="16.5" thickBot="1" x14ac:dyDescent="0.3">
      <c r="A12" s="1" t="s">
        <v>15</v>
      </c>
      <c r="B12" s="2" t="s">
        <v>14</v>
      </c>
      <c r="C12" s="14"/>
      <c r="D12" s="2"/>
      <c r="E12" s="14"/>
      <c r="F12" s="3"/>
      <c r="G12" s="2"/>
      <c r="H12" s="2"/>
      <c r="I12" s="2"/>
      <c r="J12" s="3"/>
      <c r="K12" s="2" t="s">
        <v>36</v>
      </c>
      <c r="L12" s="2"/>
      <c r="M12" s="2"/>
      <c r="N12" s="3"/>
      <c r="O12" s="2"/>
      <c r="P12" s="2"/>
      <c r="Q12" s="2"/>
    </row>
    <row r="13" spans="1:30" s="5" customFormat="1" x14ac:dyDescent="0.25">
      <c r="A13" s="4" t="s">
        <v>41</v>
      </c>
      <c r="B13" s="98" t="s">
        <v>16</v>
      </c>
      <c r="C13" s="98"/>
      <c r="D13" s="98"/>
      <c r="E13" s="98"/>
      <c r="F13" s="98"/>
      <c r="G13" s="98"/>
      <c r="H13" s="98"/>
      <c r="I13" s="98"/>
      <c r="J13" s="13"/>
      <c r="K13" s="48">
        <v>1</v>
      </c>
      <c r="L13" s="6"/>
      <c r="M13" s="6"/>
      <c r="O13" s="6"/>
      <c r="P13" s="6"/>
      <c r="Q13" s="6"/>
    </row>
    <row r="14" spans="1:30" s="5" customFormat="1" x14ac:dyDescent="0.25">
      <c r="A14" s="4" t="s">
        <v>42</v>
      </c>
      <c r="B14" s="98" t="s">
        <v>17</v>
      </c>
      <c r="C14" s="98"/>
      <c r="D14" s="98"/>
      <c r="E14" s="98"/>
      <c r="F14" s="98"/>
      <c r="G14" s="98"/>
      <c r="H14" s="98"/>
      <c r="I14" s="98"/>
      <c r="J14" s="13"/>
      <c r="K14" s="49">
        <v>2</v>
      </c>
      <c r="L14" s="6"/>
      <c r="M14" s="6"/>
      <c r="O14" s="6"/>
      <c r="P14" s="6"/>
      <c r="Q14" s="6"/>
    </row>
    <row r="15" spans="1:30" s="5" customFormat="1" x14ac:dyDescent="0.25">
      <c r="A15" s="4" t="s">
        <v>43</v>
      </c>
      <c r="B15" s="98" t="s">
        <v>18</v>
      </c>
      <c r="C15" s="98"/>
      <c r="D15" s="98"/>
      <c r="E15" s="98"/>
      <c r="F15" s="98"/>
      <c r="G15" s="98"/>
      <c r="H15" s="98"/>
      <c r="I15" s="98"/>
      <c r="J15" s="13"/>
      <c r="K15" s="49">
        <v>3</v>
      </c>
      <c r="L15" s="6"/>
      <c r="M15" s="6"/>
      <c r="O15" s="6"/>
      <c r="P15" s="6"/>
      <c r="Q15" s="6"/>
    </row>
    <row r="16" spans="1:30" s="5" customFormat="1" x14ac:dyDescent="0.25">
      <c r="A16" s="4" t="s">
        <v>44</v>
      </c>
      <c r="B16" s="98" t="s">
        <v>19</v>
      </c>
      <c r="C16" s="98"/>
      <c r="D16" s="98"/>
      <c r="E16" s="98"/>
      <c r="F16" s="98"/>
      <c r="G16" s="98"/>
      <c r="H16" s="98"/>
      <c r="I16" s="98"/>
      <c r="J16" s="13"/>
      <c r="K16" s="49">
        <v>4</v>
      </c>
      <c r="L16" s="6"/>
      <c r="M16" s="6"/>
      <c r="O16" s="6"/>
      <c r="P16" s="6"/>
      <c r="Q16" s="6"/>
    </row>
    <row r="17" spans="1:17" s="5" customFormat="1" x14ac:dyDescent="0.25">
      <c r="A17" s="4" t="s">
        <v>45</v>
      </c>
      <c r="B17" s="98" t="s">
        <v>20</v>
      </c>
      <c r="C17" s="98"/>
      <c r="D17" s="98"/>
      <c r="E17" s="98"/>
      <c r="F17" s="98"/>
      <c r="G17" s="98"/>
      <c r="H17" s="98"/>
      <c r="I17" s="98"/>
      <c r="J17" s="13"/>
      <c r="K17" s="49">
        <v>5</v>
      </c>
      <c r="L17" s="6"/>
      <c r="M17" s="6"/>
      <c r="O17" s="6"/>
      <c r="P17" s="6"/>
      <c r="Q17" s="6"/>
    </row>
    <row r="18" spans="1:17" s="5" customFormat="1" x14ac:dyDescent="0.25">
      <c r="A18" s="4" t="s">
        <v>46</v>
      </c>
      <c r="B18" s="98" t="s">
        <v>21</v>
      </c>
      <c r="C18" s="98"/>
      <c r="D18" s="98"/>
      <c r="E18" s="98"/>
      <c r="F18" s="98"/>
      <c r="G18" s="98"/>
      <c r="H18" s="98"/>
      <c r="I18" s="98"/>
      <c r="J18" s="13"/>
      <c r="K18" s="49">
        <v>6</v>
      </c>
      <c r="L18" s="6"/>
      <c r="M18" s="6"/>
      <c r="O18" s="6"/>
      <c r="P18" s="6"/>
      <c r="Q18" s="6"/>
    </row>
    <row r="19" spans="1:17" s="5" customFormat="1" x14ac:dyDescent="0.25">
      <c r="A19" s="4" t="s">
        <v>47</v>
      </c>
      <c r="B19" s="98" t="s">
        <v>22</v>
      </c>
      <c r="C19" s="98"/>
      <c r="D19" s="98"/>
      <c r="E19" s="98"/>
      <c r="F19" s="98"/>
      <c r="G19" s="98"/>
      <c r="H19" s="98"/>
      <c r="I19" s="98"/>
      <c r="J19" s="13"/>
      <c r="K19" s="49">
        <v>7</v>
      </c>
      <c r="L19" s="6"/>
      <c r="M19" s="6"/>
      <c r="O19" s="6"/>
      <c r="P19" s="6"/>
      <c r="Q19" s="6"/>
    </row>
    <row r="20" spans="1:17" s="5" customFormat="1" x14ac:dyDescent="0.25">
      <c r="A20" s="4" t="s">
        <v>48</v>
      </c>
      <c r="B20" s="98" t="s">
        <v>23</v>
      </c>
      <c r="C20" s="98"/>
      <c r="D20" s="98"/>
      <c r="E20" s="98"/>
      <c r="F20" s="98"/>
      <c r="G20" s="98"/>
      <c r="H20" s="98"/>
      <c r="I20" s="98"/>
      <c r="J20" s="13"/>
      <c r="K20" s="49">
        <v>8</v>
      </c>
      <c r="L20" s="6"/>
      <c r="M20" s="6"/>
      <c r="O20" s="6"/>
      <c r="P20" s="6"/>
      <c r="Q20" s="6"/>
    </row>
    <row r="21" spans="1:17" s="5" customFormat="1" x14ac:dyDescent="0.25">
      <c r="A21" s="4" t="s">
        <v>49</v>
      </c>
      <c r="B21" s="98" t="s">
        <v>24</v>
      </c>
      <c r="C21" s="98"/>
      <c r="D21" s="98"/>
      <c r="E21" s="98"/>
      <c r="F21" s="98"/>
      <c r="G21" s="98"/>
      <c r="H21" s="98"/>
      <c r="I21" s="98"/>
      <c r="J21" s="13"/>
      <c r="K21" s="49">
        <v>1</v>
      </c>
      <c r="L21" s="6"/>
      <c r="M21" s="6"/>
      <c r="O21" s="6"/>
      <c r="P21" s="6"/>
      <c r="Q21" s="6"/>
    </row>
    <row r="22" spans="1:17" s="5" customFormat="1" x14ac:dyDescent="0.25">
      <c r="A22" s="4" t="s">
        <v>50</v>
      </c>
      <c r="B22" s="98" t="s">
        <v>25</v>
      </c>
      <c r="C22" s="98"/>
      <c r="D22" s="98"/>
      <c r="E22" s="98"/>
      <c r="F22" s="98"/>
      <c r="G22" s="98"/>
      <c r="H22" s="98"/>
      <c r="I22" s="98"/>
      <c r="J22" s="13"/>
      <c r="K22" s="49">
        <v>2</v>
      </c>
      <c r="L22" s="6"/>
      <c r="M22" s="6"/>
      <c r="O22" s="6"/>
      <c r="P22" s="6"/>
      <c r="Q22" s="6"/>
    </row>
    <row r="23" spans="1:17" s="5" customFormat="1" x14ac:dyDescent="0.25">
      <c r="A23" s="4" t="s">
        <v>51</v>
      </c>
      <c r="B23" s="98" t="s">
        <v>26</v>
      </c>
      <c r="C23" s="98"/>
      <c r="D23" s="98"/>
      <c r="E23" s="98"/>
      <c r="F23" s="98"/>
      <c r="G23" s="98"/>
      <c r="H23" s="98"/>
      <c r="I23" s="98"/>
      <c r="J23" s="13"/>
      <c r="K23" s="49">
        <v>3</v>
      </c>
      <c r="L23" s="6"/>
      <c r="M23" s="6"/>
      <c r="O23" s="6"/>
      <c r="P23" s="6"/>
      <c r="Q23" s="6"/>
    </row>
    <row r="24" spans="1:17" s="5" customFormat="1" x14ac:dyDescent="0.25">
      <c r="A24" s="4" t="s">
        <v>52</v>
      </c>
      <c r="B24" s="98" t="s">
        <v>27</v>
      </c>
      <c r="C24" s="98"/>
      <c r="D24" s="98"/>
      <c r="E24" s="98"/>
      <c r="F24" s="98"/>
      <c r="G24" s="98"/>
      <c r="H24" s="98"/>
      <c r="I24" s="98"/>
      <c r="J24" s="13"/>
      <c r="K24" s="49">
        <v>4</v>
      </c>
      <c r="L24" s="6"/>
      <c r="M24" s="6"/>
      <c r="O24" s="6"/>
      <c r="P24" s="6"/>
      <c r="Q24" s="6"/>
    </row>
    <row r="25" spans="1:17" s="5" customFormat="1" x14ac:dyDescent="0.25">
      <c r="A25" s="4" t="s">
        <v>53</v>
      </c>
      <c r="B25" s="98" t="s">
        <v>28</v>
      </c>
      <c r="C25" s="98"/>
      <c r="D25" s="98"/>
      <c r="E25" s="98"/>
      <c r="F25" s="98"/>
      <c r="G25" s="98"/>
      <c r="H25" s="98"/>
      <c r="I25" s="98"/>
      <c r="J25" s="13"/>
      <c r="K25" s="49">
        <v>5</v>
      </c>
      <c r="L25" s="6"/>
      <c r="M25" s="6"/>
      <c r="O25" s="6"/>
      <c r="P25" s="6"/>
      <c r="Q25" s="6"/>
    </row>
    <row r="26" spans="1:17" s="5" customFormat="1" x14ac:dyDescent="0.25">
      <c r="A26" s="4" t="s">
        <v>54</v>
      </c>
      <c r="B26" s="98" t="s">
        <v>29</v>
      </c>
      <c r="C26" s="98"/>
      <c r="D26" s="98"/>
      <c r="E26" s="98"/>
      <c r="F26" s="98"/>
      <c r="G26" s="98"/>
      <c r="H26" s="98"/>
      <c r="I26" s="98"/>
      <c r="J26" s="13"/>
      <c r="K26" s="49">
        <v>1</v>
      </c>
      <c r="L26" s="6"/>
      <c r="M26" s="6"/>
      <c r="O26" s="6"/>
      <c r="P26" s="6"/>
      <c r="Q26" s="6"/>
    </row>
    <row r="27" spans="1:17" s="5" customFormat="1" x14ac:dyDescent="0.25">
      <c r="A27" s="4" t="s">
        <v>55</v>
      </c>
      <c r="B27" s="98" t="s">
        <v>30</v>
      </c>
      <c r="C27" s="98"/>
      <c r="D27" s="98"/>
      <c r="E27" s="98"/>
      <c r="F27" s="98"/>
      <c r="G27" s="98"/>
      <c r="H27" s="98"/>
      <c r="I27" s="98"/>
      <c r="J27" s="13"/>
      <c r="K27" s="49">
        <v>2</v>
      </c>
      <c r="L27" s="6"/>
      <c r="M27" s="6"/>
      <c r="O27" s="6"/>
      <c r="P27" s="6"/>
      <c r="Q27" s="6"/>
    </row>
    <row r="28" spans="1:17" s="5" customFormat="1" x14ac:dyDescent="0.25">
      <c r="A28" s="4" t="s">
        <v>56</v>
      </c>
      <c r="B28" s="98" t="s">
        <v>31</v>
      </c>
      <c r="C28" s="98"/>
      <c r="D28" s="98"/>
      <c r="E28" s="98"/>
      <c r="F28" s="98"/>
      <c r="G28" s="98"/>
      <c r="H28" s="98"/>
      <c r="I28" s="98"/>
      <c r="J28" s="13"/>
      <c r="K28" s="49">
        <v>3</v>
      </c>
      <c r="L28" s="6"/>
      <c r="M28" s="6"/>
      <c r="O28" s="6"/>
      <c r="P28" s="6"/>
      <c r="Q28" s="6"/>
    </row>
    <row r="29" spans="1:17" s="5" customFormat="1" x14ac:dyDescent="0.25">
      <c r="A29" s="4" t="s">
        <v>57</v>
      </c>
      <c r="B29" s="98" t="s">
        <v>32</v>
      </c>
      <c r="C29" s="98"/>
      <c r="D29" s="98"/>
      <c r="E29" s="98"/>
      <c r="F29" s="98"/>
      <c r="G29" s="98"/>
      <c r="H29" s="98"/>
      <c r="I29" s="98"/>
      <c r="J29" s="13"/>
      <c r="K29" s="49">
        <v>4</v>
      </c>
      <c r="L29" s="6"/>
      <c r="M29" s="6"/>
      <c r="O29" s="6"/>
      <c r="P29" s="6"/>
      <c r="Q29" s="6"/>
    </row>
    <row r="30" spans="1:17" s="5" customFormat="1" x14ac:dyDescent="0.25">
      <c r="A30" s="4" t="s">
        <v>58</v>
      </c>
      <c r="B30" s="98" t="s">
        <v>33</v>
      </c>
      <c r="C30" s="98"/>
      <c r="D30" s="98"/>
      <c r="E30" s="98"/>
      <c r="F30" s="98"/>
      <c r="G30" s="98"/>
      <c r="H30" s="98"/>
      <c r="I30" s="98"/>
      <c r="J30" s="13"/>
      <c r="K30" s="49">
        <v>1</v>
      </c>
      <c r="L30" s="6"/>
      <c r="M30" s="6"/>
      <c r="O30" s="6"/>
      <c r="P30" s="6"/>
      <c r="Q30" s="6"/>
    </row>
    <row r="31" spans="1:17" s="5" customFormat="1" x14ac:dyDescent="0.25">
      <c r="A31" s="4" t="s">
        <v>59</v>
      </c>
      <c r="B31" s="98" t="s">
        <v>34</v>
      </c>
      <c r="C31" s="98"/>
      <c r="D31" s="98"/>
      <c r="E31" s="98"/>
      <c r="F31" s="98"/>
      <c r="G31" s="98"/>
      <c r="H31" s="98"/>
      <c r="I31" s="98"/>
      <c r="J31" s="13"/>
      <c r="K31" s="49">
        <v>2</v>
      </c>
      <c r="L31" s="6"/>
      <c r="M31" s="6"/>
      <c r="O31" s="6"/>
      <c r="P31" s="6"/>
      <c r="Q31" s="6"/>
    </row>
    <row r="32" spans="1:17" s="5" customFormat="1" ht="15.75" thickBot="1" x14ac:dyDescent="0.3">
      <c r="A32" s="4" t="s">
        <v>60</v>
      </c>
      <c r="B32" s="98" t="s">
        <v>35</v>
      </c>
      <c r="C32" s="98"/>
      <c r="D32" s="98"/>
      <c r="E32" s="98"/>
      <c r="F32" s="98"/>
      <c r="G32" s="98"/>
      <c r="H32" s="98"/>
      <c r="I32" s="98"/>
      <c r="J32" s="13"/>
      <c r="K32" s="50">
        <v>4</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114.75" customHeight="1" x14ac:dyDescent="0.25">
      <c r="A34" s="96" t="s">
        <v>833</v>
      </c>
      <c r="B34" s="96"/>
      <c r="C34" s="96"/>
      <c r="D34" s="96"/>
      <c r="E34" s="96"/>
      <c r="F34" s="96"/>
      <c r="G34" s="96"/>
      <c r="H34" s="96"/>
      <c r="I34" s="96"/>
      <c r="J34" s="96"/>
      <c r="K34" s="96"/>
      <c r="L34" s="96"/>
      <c r="M34" s="96"/>
      <c r="N34" s="96"/>
      <c r="O34" s="96"/>
      <c r="P34" s="96"/>
      <c r="Q34" s="9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sheetData>
  <mergeCells count="27">
    <mergeCell ref="B22:I22"/>
    <mergeCell ref="B23:I23"/>
    <mergeCell ref="B24:I24"/>
    <mergeCell ref="B17:I17"/>
    <mergeCell ref="B18:I18"/>
    <mergeCell ref="B19:I19"/>
    <mergeCell ref="B20:I20"/>
    <mergeCell ref="B21:I21"/>
    <mergeCell ref="A34:Q34"/>
    <mergeCell ref="B25:I25"/>
    <mergeCell ref="B26:I26"/>
    <mergeCell ref="B27:I27"/>
    <mergeCell ref="B28:I28"/>
    <mergeCell ref="B29:I29"/>
    <mergeCell ref="B30:I30"/>
    <mergeCell ref="B31:I31"/>
    <mergeCell ref="B32:I32"/>
    <mergeCell ref="B13:I13"/>
    <mergeCell ref="B14:I14"/>
    <mergeCell ref="B15:I15"/>
    <mergeCell ref="B16:I16"/>
    <mergeCell ref="G2:I2"/>
    <mergeCell ref="K2:M2"/>
    <mergeCell ref="O2:Q2"/>
    <mergeCell ref="H3:I3"/>
    <mergeCell ref="L3:M3"/>
    <mergeCell ref="P3:Q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303D-2894-462A-8FCF-8E624924701F}">
  <dimension ref="A1:AD60"/>
  <sheetViews>
    <sheetView topLeftCell="A35" zoomScale="120" zoomScaleNormal="120" workbookViewId="0">
      <selection activeCell="A60" sqref="A60:Q60"/>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509</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375</v>
      </c>
      <c r="C2" s="15"/>
      <c r="D2" s="5"/>
      <c r="E2" s="15"/>
      <c r="F2" s="5"/>
      <c r="G2" s="6" t="s">
        <v>1</v>
      </c>
      <c r="H2" s="6"/>
      <c r="I2" s="6"/>
      <c r="J2" s="5"/>
      <c r="K2" s="6" t="s">
        <v>2</v>
      </c>
      <c r="L2" s="6"/>
      <c r="M2" s="6"/>
      <c r="N2" s="5"/>
      <c r="O2" s="6" t="s">
        <v>3</v>
      </c>
      <c r="P2" s="6"/>
      <c r="Q2" s="6"/>
    </row>
    <row r="3" spans="1:30" x14ac:dyDescent="0.25">
      <c r="A3" s="4"/>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458</v>
      </c>
      <c r="B5" s="6" t="s">
        <v>459</v>
      </c>
      <c r="C5" s="37">
        <f>IF(COUNTBLANK($K$14:$K$58)=0,AVERAGE($K$14,$K$15,$K$16,$K$17,$K$18,$K$19,$K$20,$K$21,$K$22,$K$23,$K$24,$K$25,$K$26,$K$27,$K$28),IF(ISNUMBER($E5),$E5,"?"))</f>
        <v>50</v>
      </c>
      <c r="D5" s="38"/>
      <c r="E5" s="54">
        <v>50</v>
      </c>
      <c r="F5" s="5"/>
      <c r="G5" s="20">
        <f>IF(C5="?","?",IF(E5="","?",40+4.083*LN(E5+0.4)+0.325*E5))</f>
        <v>72.25532396784071</v>
      </c>
      <c r="H5" s="23">
        <f>IF(C5="?","?",IF(E5="","?",-64.2+50.387*LN(E5+4.1)-0.757*E5))</f>
        <v>99.036162122546699</v>
      </c>
      <c r="I5" s="24">
        <f>IF(C5="?","?",IF(E5="","?",-0.3+(0.208*E5+0.008008*E5^2)/(1-0.01794*E5+0.0001801*E5^2)))</f>
        <v>54.684184365115229</v>
      </c>
      <c r="J5" s="5"/>
      <c r="K5" s="20">
        <f>IF(C5="?","?",IF(E5="","?",37.4+(20.835*E5+4.41*E5^2)/(1+3.056*E5+0.06872*E5^2)))</f>
        <v>74.460042997542985</v>
      </c>
      <c r="L5" s="23">
        <f>IF(C5="?","?",IF(E5="","?",98.7-0.041*(E5-52.3)+SINH((E5-52.3)/10.09)))</f>
        <v>98.564372348411752</v>
      </c>
      <c r="M5" s="24">
        <f>IF(C5="?","?",IF(E5="","?",-0.5+(0.213*E5+0.01186*E5^2)/(1-0.01775*E5+0.0002168*E5^2)))</f>
        <v>61.073720397249808</v>
      </c>
      <c r="N5" s="5"/>
      <c r="O5" s="20">
        <f>IF(C5="?","?",IF(E5="","?",40.9+3.003*LN(E5+0.2)+0.375*E5))</f>
        <v>71.409793125173138</v>
      </c>
      <c r="P5" s="23">
        <f>IF(C5="?","?",IF(E5="","?",-85.2+55.051*LN(E5+5.4)-0.748*E5))</f>
        <v>98.406621215709521</v>
      </c>
      <c r="Q5" s="24">
        <f>IF(C5="?","?",IF(E5="","?",-0.3+(0.195*E5+0.00621*E5^2)/(1-0.01836*E5+0.0001655*E5^2)))</f>
        <v>50.683358547655068</v>
      </c>
    </row>
    <row r="6" spans="1:30" x14ac:dyDescent="0.25">
      <c r="A6" s="4" t="s">
        <v>460</v>
      </c>
      <c r="B6" s="6" t="s">
        <v>459</v>
      </c>
      <c r="C6" s="37">
        <f>IF(COUNTBLANK($K$14:$K$58)=0,AVERAGE($K$29,$K$30,$K$31,$K$32,$K$33,$K$34,$K$35,$K$36,$K$37,$K$38,$K$39,$K$40,$K$41,$K$42,$K$43),IF(ISNUMBER($E6),$E6,"?"))</f>
        <v>50</v>
      </c>
      <c r="D6" s="38"/>
      <c r="E6" s="56">
        <v>50</v>
      </c>
      <c r="F6" s="5"/>
      <c r="G6" s="21">
        <f>IF(C6="?","?",IF(E6="","?",42+(8.216*E6+0.04832*E6^2)/(1+0.4531*E6-0.003128*E6^2)))</f>
        <v>75.57120303125987</v>
      </c>
      <c r="H6" s="25">
        <f>IF(C6="?","?",IF(E6="","?",9.3+(204.683*E6+89.2*E6^2)/(1+6.262*E6+0.9085*E6^2)))</f>
        <v>99.513762159862296</v>
      </c>
      <c r="I6" s="26">
        <f>IF(C6="?","?",IF(E6="","?",0.3+0.2876*E6+0.05953*E6^2-0.0008932*E6^3+0.000003688*E6^4))</f>
        <v>74.904999999999987</v>
      </c>
      <c r="J6" s="5"/>
      <c r="K6" s="21">
        <f>IF(C6="?","?",IF(E6="","?",48.6+3.858*((E6+0.1)^0.291-1)/0.291))</f>
        <v>76.753868241148325</v>
      </c>
      <c r="L6" s="25">
        <f>IF(C6="?","?",IF(E6="","?",17.3+49.464*((E6+0.9)^-0.5-1)/-0.5))</f>
        <v>102.3617081104497</v>
      </c>
      <c r="M6" s="26">
        <f>IF(C6="?","?",IF(E6="","?",0.2+0.2762*E6+0.06898*E6^2-0.001101*E6^3+0.00000485*E6^4))</f>
        <v>79.14749999999998</v>
      </c>
      <c r="N6" s="5"/>
      <c r="O6" s="21">
        <f>IF(C6="?","?",IF(E6="","?",41.6+(9.664*E6+0.05543*E6^2)/(1+0.6011*E6-0.005041*E6^2)))</f>
        <v>75.295976154992545</v>
      </c>
      <c r="P6" s="25">
        <f>IF(C6="?","?",IF(E6="","?",41.8+15.038*LN(E6+0.1)))</f>
        <v>100.65904791966975</v>
      </c>
      <c r="Q6" s="26">
        <f>IF(C6="?","?",IF(E6="","?",0.5+0.2756*E6+0.0549*E6^2-0.0007874*E6^3+0.000003098*E6^4))</f>
        <v>72.467500000000001</v>
      </c>
    </row>
    <row r="7" spans="1:30" x14ac:dyDescent="0.25">
      <c r="A7" s="4" t="s">
        <v>69</v>
      </c>
      <c r="B7" s="6" t="s">
        <v>459</v>
      </c>
      <c r="C7" s="37">
        <f>IF(COUNTBLANK($K$14:$K$58)=0,AVERAGE($K$32,$K$33,$K$36,$K$38,$K$40),IF(ISNUMBER($E7),$E7,"?"))</f>
        <v>50</v>
      </c>
      <c r="D7" s="38"/>
      <c r="E7" s="55">
        <v>50</v>
      </c>
      <c r="F7" s="5"/>
      <c r="G7" s="21">
        <f>IF(C7="?","?",IF(E7="","?",45.5+(7.078*E7-0.003123*E7^2)/(1+0.3963*E7-0.002498*E7^2)))</f>
        <v>69.253774879890187</v>
      </c>
      <c r="H7" s="25">
        <f>IF(C7="?","?",IF(E7="","?",63.9+8.556*LN(E7+0)))</f>
        <v>97.371268834443214</v>
      </c>
      <c r="I7" s="26">
        <f>IF(C7="?","?",IF(E7="","?",150.9-EXP(-0.011*(E7-458.4))))</f>
        <v>61.564405776009451</v>
      </c>
      <c r="J7" s="5"/>
      <c r="K7" s="21">
        <f>IF(C7="?","?",IF(E7="","?",51.9+4.266*LN(E7+0.2)+0.075*E7))</f>
        <v>72.35572010389231</v>
      </c>
      <c r="L7" s="25">
        <f>IF(C7="?","?",IF(E7="","?",16.8+(66.054*E7)/(1+0.79*E7)))</f>
        <v>98.348148148148155</v>
      </c>
      <c r="M7" s="26">
        <f>IF(C7="?","?",IF(E7="","?",144.7-EXP(-0.012*(E7-416.4))))</f>
        <v>63.509357530786929</v>
      </c>
      <c r="N7" s="5"/>
      <c r="O7" s="21">
        <f>IF(C7="?","?",IF(E7="","?",45+(10.447*E7+0.1017*E7^2)/(1+0.7484*E7-0.002195*E7^2)))</f>
        <v>68.58156835952326</v>
      </c>
      <c r="P7" s="25">
        <f>IF(C7="?","?",IF(E7="","?",58.5+9.704*LN(E7+0)))</f>
        <v>96.462271244674724</v>
      </c>
      <c r="Q7" s="26">
        <f>IF(C7="?","?",IF(E7="","?",155.5-EXP(-0.01*(E7-488.9))))</f>
        <v>74.940181131730668</v>
      </c>
    </row>
    <row r="8" spans="1:30" x14ac:dyDescent="0.25">
      <c r="A8" s="4" t="s">
        <v>461</v>
      </c>
      <c r="B8" s="6" t="s">
        <v>459</v>
      </c>
      <c r="C8" s="37">
        <f>IF(COUNTBLANK($K$14:$K$58)=0,AVERAGE($K$30,$K$37,$K$39,$K$41,$K$42),IF(ISNUMBER($E8),$E8,"?"))</f>
        <v>50</v>
      </c>
      <c r="D8" s="38"/>
      <c r="E8" s="55">
        <v>50</v>
      </c>
      <c r="F8" s="5"/>
      <c r="G8" s="21">
        <f>IF(C8="?","?",IF(E8="","?",69.1+0.083*(E8-41.6)+SINH((E8-41.6)/11.39)))</f>
        <v>70.603382916954857</v>
      </c>
      <c r="H8" s="25">
        <f>IF(C8="?","?",IF(E8="","?",41+18.448*LN(E8+0.2)-0.291*E8))</f>
        <v>98.692645212518869</v>
      </c>
      <c r="I8" s="26">
        <f>IF(C8="?","?",IF(E8="","?",3.7+(2.012*E8-0.01623*E8^2)/(1+0.0003931*E8-0.00006307*E8^2)))</f>
        <v>73.3361864544421</v>
      </c>
      <c r="J8" s="5"/>
      <c r="K8" s="21">
        <f>IF(C8="?","?",IF(E8="","?",47.6+3.83*LN(E8+0.4)+0.293*E8))</f>
        <v>77.263566200546137</v>
      </c>
      <c r="L8" s="25">
        <f>IF(C8="?","?",IF(E8="","?",13.7+(32.741*E8)/(1+0.36*E8)))</f>
        <v>99.860526315789471</v>
      </c>
      <c r="M8" s="26">
        <f>IF(C8="?","?",IF(E8="","?",3.2+(2.282*E8-0.01873*E8^2)/(1+0.002503*E8-0.00008238*E8^2)))</f>
        <v>76.388642297650108</v>
      </c>
      <c r="N8" s="5"/>
      <c r="O8" s="21">
        <f>IF(C8="?","?",IF(E8="","?",67.6+0.056*(E8-40.9)+SINH((E8-40.9)/11.25)))</f>
        <v>69.009629535275394</v>
      </c>
      <c r="P8" s="25">
        <f>IF(C8="?","?",IF(E8="","?",41.4+17.645*LN(E8+0.2)-0.249*E8))</f>
        <v>98.048085146080624</v>
      </c>
      <c r="Q8" s="26">
        <f>IF(C8="?","?",IF(E8="","?",4+(1.862*E8-0.01472*E8^2)/(1-0.0007823*E8-0.00005108*E8^2)))</f>
        <v>71.572027820952144</v>
      </c>
    </row>
    <row r="9" spans="1:30" x14ac:dyDescent="0.25">
      <c r="A9" s="4" t="s">
        <v>462</v>
      </c>
      <c r="B9" s="6" t="s">
        <v>459</v>
      </c>
      <c r="C9" s="37">
        <f>IF(COUNTBLANK($K$14:$K$58)=0,AVERAGE($K$29,$K$31,$K$34,$K$35,$K$43),IF(ISNUMBER($E9),$E9,"?"))</f>
        <v>50</v>
      </c>
      <c r="D9" s="38"/>
      <c r="E9" s="55">
        <v>50</v>
      </c>
      <c r="F9" s="5"/>
      <c r="G9" s="21">
        <f>IF(C9="?","?",IF(E9="","?",43.7+(9.664*E9+0.2204*E9^2)/(1+0.7109*E9+0.00001057*E9^2)))</f>
        <v>71.978909011612217</v>
      </c>
      <c r="H9" s="25">
        <f>IF(C9="?","?",IF(E9="","?",46.5+15.347*LN(E9+0.1)-0.165*E9))</f>
        <v>98.318480411169801</v>
      </c>
      <c r="I9" s="26">
        <f>IF(C9="?","?",IF(E9="","?",1.1+(1.167*E9+0.005261*E9^2)/(1-0.006469*E9+0.0001365*E9^2)))</f>
        <v>71.352014148162695</v>
      </c>
      <c r="J9" s="5"/>
      <c r="K9" s="21">
        <f>IF(C9="?","?",IF(E9="","?",51.5+2.584*LN(E9+0.1)+0.316*E9))</f>
        <v>77.41383028490668</v>
      </c>
      <c r="L9" s="25">
        <f>IF(C9="?","?",IF(E9="","?",59+11.354*LN(E9+0)))</f>
        <v>103.41710920363116</v>
      </c>
      <c r="M9" s="26">
        <f>IF(C9="?","?",IF(E9="","?",1.2+(1.474*E9-0.001409*E9^2)/(1-0.005336*E9+0.00008869*E9^2)))</f>
        <v>74.690064664764265</v>
      </c>
      <c r="N9" s="5"/>
      <c r="O9" s="21">
        <f>IF(C9="?","?",IF(E9="","?",43.3+(8.679*E9+0.1709*E9^2)/(1+0.6537*E9-0.000725*E9^2)))</f>
        <v>70.320158443799514</v>
      </c>
      <c r="P9" s="25">
        <f>IF(C9="?","?",IF(E9="","?",46.5+13.075*LN(E9+0.1)))</f>
        <v>97.675824680787457</v>
      </c>
      <c r="Q9" s="26">
        <f>IF(C9="?","?",IF(E9="","?",-26.5+(130.7/(1+EXP(-0.0468*(E9-28.3))))))</f>
        <v>69.447763920565365</v>
      </c>
    </row>
    <row r="10" spans="1:30" ht="15.75" thickBot="1" x14ac:dyDescent="0.3">
      <c r="A10" s="4" t="s">
        <v>463</v>
      </c>
      <c r="B10" s="6" t="s">
        <v>459</v>
      </c>
      <c r="C10" s="37">
        <f>IF(COUNTBLANK($K$14:$K$58)=0,AVERAGE($K$44,$K$45,$K$46,$K$47,$K$48,$K$49,$K$50,$K$51,$K$52,$K$53,$K$54,$K$55,$K$56,$K$57,$K$58),IF(ISNUMBER($E10),$E10,"?"))</f>
        <v>50</v>
      </c>
      <c r="D10" s="38"/>
      <c r="E10" s="39">
        <v>50</v>
      </c>
      <c r="F10" s="5"/>
      <c r="G10" s="22">
        <f>IF(C10="?","?",IF(E10="","?",34.8+(-5.6509341466582E+36*E10-9.675E+35*E10^2)/(1-1.41E+36*E10-1.174E+34*E10^2)))</f>
        <v>61.85354739442073</v>
      </c>
      <c r="H10" s="27">
        <f>IF(C10="?","?",IF(E10="","?",-27+(127/(1+EXP(-0.06261*(E10-13.36))))))</f>
        <v>88.364441746397645</v>
      </c>
      <c r="I10" s="28">
        <f>IF(C10="?","?",IF(E10="","?",1+(-0.127*E10+0.00667*E10^2)/(1-0.01935*E10+0.0001478*E10^2)))</f>
        <v>26.684079601990046</v>
      </c>
      <c r="J10" s="5"/>
      <c r="K10" s="22">
        <f>IF(C10="?","?",IF(E10="","?",35.2+(-10353038789.177*E10-2693000000*E10^2)/(1-3028000000*E10-49060000*E10^2)))</f>
        <v>61.655580877523462</v>
      </c>
      <c r="L10" s="27">
        <f>IF(C10="?","?",IF(E10="","?",-49.9+(146.7/(1+EXP(-0.06358*(E10-5.836))))))</f>
        <v>88.453322140753841</v>
      </c>
      <c r="M10" s="28">
        <f>IF(C10="?","?",IF(E10="","?",1.4+(-0.232*E10+0.009933*E10^2)/(1-0.01969*E10+0.0001738*E10^2)))</f>
        <v>30.805555555555554</v>
      </c>
      <c r="N10" s="5"/>
      <c r="O10" s="22">
        <f>IF(C10="?","?",IF(E10="","?",34.6+(36.793*E10+4.012*E10^2)/(1+7.512*E10+0.02207*E10^2)))</f>
        <v>62.090359562272013</v>
      </c>
      <c r="P10" s="27">
        <f>IF(C10="?","?",IF(E10="","?",-13.1+(114.4/(1+EXP(-0.06642*(E10-18.88))))))</f>
        <v>88.447523680029704</v>
      </c>
      <c r="Q10" s="28">
        <f>IF(C10="?","?",IF(E10="","?",1+(-0.085*E10+0.005215*E10^2)/(1-0.01941*E10+0.0001379*E10^2)))</f>
        <v>24.480293921175686</v>
      </c>
    </row>
    <row r="11" spans="1:30" s="31" customFormat="1" ht="15.75" thickBot="1" x14ac:dyDescent="0.3">
      <c r="A11" s="29"/>
      <c r="B11" s="19"/>
      <c r="C11" s="34"/>
      <c r="D11" s="30"/>
      <c r="E11" s="34"/>
      <c r="F11" s="30"/>
      <c r="G11" s="19"/>
      <c r="H11" s="19"/>
      <c r="I11" s="19"/>
      <c r="J11" s="30"/>
      <c r="K11" s="19"/>
      <c r="L11" s="19"/>
      <c r="M11" s="19"/>
      <c r="N11" s="30"/>
      <c r="O11" s="19"/>
      <c r="P11" s="19"/>
      <c r="Q11" s="19"/>
      <c r="R11" s="30"/>
      <c r="S11" s="30"/>
      <c r="T11" s="30"/>
      <c r="U11" s="30"/>
      <c r="V11" s="30"/>
      <c r="W11" s="30"/>
      <c r="X11" s="30"/>
      <c r="Y11" s="30"/>
      <c r="Z11" s="30"/>
      <c r="AA11" s="30"/>
      <c r="AB11" s="30"/>
      <c r="AC11" s="30"/>
      <c r="AD11" s="30"/>
    </row>
    <row r="12" spans="1:30" s="5" customFormat="1" x14ac:dyDescent="0.25">
      <c r="A12" s="4"/>
      <c r="B12" s="6"/>
      <c r="C12" s="15"/>
      <c r="E12" s="15"/>
      <c r="G12" s="6"/>
      <c r="H12" s="6"/>
      <c r="I12" s="6"/>
      <c r="K12" s="6"/>
      <c r="L12" s="6"/>
      <c r="M12" s="6"/>
      <c r="O12" s="6"/>
      <c r="P12" s="6"/>
      <c r="Q12" s="6"/>
    </row>
    <row r="13" spans="1:30" s="5" customFormat="1" ht="16.5" thickBot="1" x14ac:dyDescent="0.3">
      <c r="A13" s="1" t="s">
        <v>15</v>
      </c>
      <c r="B13" s="2" t="s">
        <v>14</v>
      </c>
      <c r="C13" s="14"/>
      <c r="D13" s="2"/>
      <c r="E13" s="14"/>
      <c r="F13" s="3"/>
      <c r="G13" s="2"/>
      <c r="H13" s="2"/>
      <c r="I13" s="2"/>
      <c r="J13" s="3"/>
      <c r="K13" s="2" t="s">
        <v>36</v>
      </c>
      <c r="L13" s="2"/>
      <c r="M13" s="2"/>
      <c r="N13" s="3"/>
      <c r="O13" s="2"/>
      <c r="P13" s="2"/>
      <c r="Q13" s="2"/>
    </row>
    <row r="14" spans="1:30" s="5" customFormat="1" ht="15.75" thickBot="1" x14ac:dyDescent="0.3">
      <c r="A14" s="4">
        <v>1</v>
      </c>
      <c r="B14" s="58" t="s">
        <v>464</v>
      </c>
      <c r="C14" s="13"/>
      <c r="D14" s="13"/>
      <c r="E14" s="13"/>
      <c r="F14" s="13"/>
      <c r="G14" s="13"/>
      <c r="H14" s="13"/>
      <c r="I14" s="13"/>
      <c r="J14" s="13"/>
      <c r="K14" s="48">
        <v>50</v>
      </c>
      <c r="L14" s="6"/>
      <c r="M14" s="6"/>
      <c r="O14" s="6"/>
      <c r="P14" s="6"/>
      <c r="Q14" s="6"/>
    </row>
    <row r="15" spans="1:30" s="5" customFormat="1" ht="15.75" thickBot="1" x14ac:dyDescent="0.3">
      <c r="A15" s="4">
        <v>2</v>
      </c>
      <c r="B15" s="58" t="s">
        <v>465</v>
      </c>
      <c r="C15" s="13"/>
      <c r="D15" s="13"/>
      <c r="E15" s="13"/>
      <c r="F15" s="13"/>
      <c r="G15" s="13"/>
      <c r="H15" s="13"/>
      <c r="I15" s="13"/>
      <c r="J15" s="13"/>
      <c r="K15" s="48">
        <v>50</v>
      </c>
      <c r="L15" s="6"/>
      <c r="M15" s="6"/>
      <c r="O15" s="6"/>
      <c r="P15" s="6"/>
      <c r="Q15" s="6"/>
    </row>
    <row r="16" spans="1:30" s="5" customFormat="1" ht="15.75" thickBot="1" x14ac:dyDescent="0.3">
      <c r="A16" s="4">
        <v>3</v>
      </c>
      <c r="B16" s="58" t="s">
        <v>466</v>
      </c>
      <c r="C16" s="13"/>
      <c r="D16" s="13"/>
      <c r="E16" s="13"/>
      <c r="F16" s="13"/>
      <c r="G16" s="13"/>
      <c r="H16" s="13"/>
      <c r="I16" s="13"/>
      <c r="J16" s="13"/>
      <c r="K16" s="48">
        <v>50</v>
      </c>
      <c r="L16" s="6"/>
      <c r="M16" s="6"/>
      <c r="O16" s="6"/>
      <c r="P16" s="6"/>
      <c r="Q16" s="6"/>
    </row>
    <row r="17" spans="1:17" s="5" customFormat="1" ht="15.75" thickBot="1" x14ac:dyDescent="0.3">
      <c r="A17" s="4">
        <v>4</v>
      </c>
      <c r="B17" s="58" t="s">
        <v>467</v>
      </c>
      <c r="C17" s="13"/>
      <c r="D17" s="13"/>
      <c r="E17" s="13"/>
      <c r="F17" s="13"/>
      <c r="G17" s="13"/>
      <c r="H17" s="13"/>
      <c r="I17" s="13"/>
      <c r="J17" s="13"/>
      <c r="K17" s="48">
        <v>50</v>
      </c>
      <c r="L17" s="6"/>
      <c r="M17" s="6"/>
      <c r="O17" s="6"/>
      <c r="P17" s="6"/>
      <c r="Q17" s="6"/>
    </row>
    <row r="18" spans="1:17" s="5" customFormat="1" ht="15.75" thickBot="1" x14ac:dyDescent="0.3">
      <c r="A18" s="4">
        <v>5</v>
      </c>
      <c r="B18" s="58" t="s">
        <v>468</v>
      </c>
      <c r="C18" s="13"/>
      <c r="D18" s="13"/>
      <c r="E18" s="13"/>
      <c r="F18" s="13"/>
      <c r="G18" s="13"/>
      <c r="H18" s="13"/>
      <c r="I18" s="13"/>
      <c r="J18" s="13"/>
      <c r="K18" s="48">
        <v>50</v>
      </c>
      <c r="L18" s="6"/>
      <c r="M18" s="6"/>
      <c r="O18" s="6"/>
      <c r="P18" s="6"/>
      <c r="Q18" s="6"/>
    </row>
    <row r="19" spans="1:17" s="5" customFormat="1" ht="15.75" thickBot="1" x14ac:dyDescent="0.3">
      <c r="A19" s="4">
        <v>6</v>
      </c>
      <c r="B19" s="58" t="s">
        <v>469</v>
      </c>
      <c r="C19" s="13"/>
      <c r="D19" s="13"/>
      <c r="E19" s="13"/>
      <c r="F19" s="13"/>
      <c r="G19" s="13"/>
      <c r="H19" s="13"/>
      <c r="I19" s="13"/>
      <c r="J19" s="13"/>
      <c r="K19" s="48">
        <v>50</v>
      </c>
      <c r="L19" s="6"/>
      <c r="M19" s="6"/>
      <c r="O19" s="6"/>
      <c r="P19" s="6"/>
      <c r="Q19" s="6"/>
    </row>
    <row r="20" spans="1:17" s="5" customFormat="1" ht="15.75" thickBot="1" x14ac:dyDescent="0.3">
      <c r="A20" s="4">
        <v>7</v>
      </c>
      <c r="B20" s="58" t="s">
        <v>470</v>
      </c>
      <c r="C20" s="13"/>
      <c r="D20" s="13"/>
      <c r="E20" s="13"/>
      <c r="F20" s="13"/>
      <c r="G20" s="13"/>
      <c r="H20" s="13"/>
      <c r="I20" s="13"/>
      <c r="J20" s="13"/>
      <c r="K20" s="48">
        <v>50</v>
      </c>
      <c r="L20" s="6"/>
      <c r="M20" s="6"/>
      <c r="O20" s="6"/>
      <c r="P20" s="6"/>
      <c r="Q20" s="6"/>
    </row>
    <row r="21" spans="1:17" s="5" customFormat="1" ht="15.75" thickBot="1" x14ac:dyDescent="0.3">
      <c r="A21" s="4">
        <v>8</v>
      </c>
      <c r="B21" s="58" t="s">
        <v>471</v>
      </c>
      <c r="C21" s="13"/>
      <c r="D21" s="13"/>
      <c r="E21" s="13"/>
      <c r="F21" s="13"/>
      <c r="G21" s="13"/>
      <c r="H21" s="13"/>
      <c r="I21" s="13"/>
      <c r="J21" s="13"/>
      <c r="K21" s="48">
        <v>50</v>
      </c>
      <c r="L21" s="6"/>
      <c r="M21" s="6"/>
      <c r="O21" s="6"/>
      <c r="P21" s="6"/>
      <c r="Q21" s="6"/>
    </row>
    <row r="22" spans="1:17" s="5" customFormat="1" ht="15.75" thickBot="1" x14ac:dyDescent="0.3">
      <c r="A22" s="4">
        <v>9</v>
      </c>
      <c r="B22" s="58" t="s">
        <v>472</v>
      </c>
      <c r="C22" s="13"/>
      <c r="D22" s="13"/>
      <c r="E22" s="13"/>
      <c r="F22" s="13"/>
      <c r="G22" s="13"/>
      <c r="H22" s="13"/>
      <c r="I22" s="13"/>
      <c r="J22" s="13"/>
      <c r="K22" s="48">
        <v>50</v>
      </c>
      <c r="L22" s="6"/>
      <c r="M22" s="6"/>
      <c r="O22" s="6"/>
      <c r="P22" s="6"/>
      <c r="Q22" s="6"/>
    </row>
    <row r="23" spans="1:17" s="5" customFormat="1" ht="15.75" thickBot="1" x14ac:dyDescent="0.3">
      <c r="A23" s="4">
        <v>10</v>
      </c>
      <c r="B23" s="58" t="s">
        <v>473</v>
      </c>
      <c r="C23" s="13"/>
      <c r="D23" s="13"/>
      <c r="E23" s="13"/>
      <c r="F23" s="13"/>
      <c r="G23" s="13"/>
      <c r="H23" s="13"/>
      <c r="I23" s="13"/>
      <c r="J23" s="13"/>
      <c r="K23" s="48">
        <v>50</v>
      </c>
      <c r="L23" s="6"/>
      <c r="M23" s="6"/>
      <c r="O23" s="6"/>
      <c r="P23" s="6"/>
      <c r="Q23" s="6"/>
    </row>
    <row r="24" spans="1:17" s="5" customFormat="1" ht="15.75" thickBot="1" x14ac:dyDescent="0.3">
      <c r="A24" s="4">
        <v>11</v>
      </c>
      <c r="B24" s="58" t="s">
        <v>474</v>
      </c>
      <c r="C24" s="13"/>
      <c r="D24" s="13"/>
      <c r="E24" s="13"/>
      <c r="F24" s="13"/>
      <c r="G24" s="13"/>
      <c r="H24" s="13"/>
      <c r="I24" s="13"/>
      <c r="J24" s="13"/>
      <c r="K24" s="48">
        <v>50</v>
      </c>
      <c r="L24" s="6"/>
      <c r="M24" s="6"/>
      <c r="O24" s="6"/>
      <c r="P24" s="6"/>
      <c r="Q24" s="6"/>
    </row>
    <row r="25" spans="1:17" s="5" customFormat="1" ht="15.75" thickBot="1" x14ac:dyDescent="0.3">
      <c r="A25" s="4">
        <v>12</v>
      </c>
      <c r="B25" s="58" t="s">
        <v>475</v>
      </c>
      <c r="C25" s="13"/>
      <c r="D25" s="13"/>
      <c r="E25" s="13"/>
      <c r="F25" s="13"/>
      <c r="G25" s="13"/>
      <c r="H25" s="13"/>
      <c r="I25" s="13"/>
      <c r="J25" s="13"/>
      <c r="K25" s="48">
        <v>50</v>
      </c>
      <c r="L25" s="6"/>
      <c r="M25" s="6"/>
      <c r="O25" s="6"/>
      <c r="P25" s="6"/>
      <c r="Q25" s="6"/>
    </row>
    <row r="26" spans="1:17" s="5" customFormat="1" ht="15.75" thickBot="1" x14ac:dyDescent="0.3">
      <c r="A26" s="4">
        <v>13</v>
      </c>
      <c r="B26" s="58" t="s">
        <v>476</v>
      </c>
      <c r="C26" s="13"/>
      <c r="D26" s="13"/>
      <c r="E26" s="13"/>
      <c r="F26" s="13"/>
      <c r="G26" s="13"/>
      <c r="H26" s="13"/>
      <c r="I26" s="13"/>
      <c r="J26" s="13"/>
      <c r="K26" s="48">
        <v>50</v>
      </c>
      <c r="L26" s="6"/>
      <c r="M26" s="6"/>
      <c r="O26" s="6"/>
      <c r="P26" s="6"/>
      <c r="Q26" s="6"/>
    </row>
    <row r="27" spans="1:17" s="5" customFormat="1" ht="15.75" thickBot="1" x14ac:dyDescent="0.3">
      <c r="A27" s="4">
        <v>14</v>
      </c>
      <c r="B27" s="58" t="s">
        <v>477</v>
      </c>
      <c r="C27" s="13"/>
      <c r="D27" s="13"/>
      <c r="E27" s="13"/>
      <c r="F27" s="13"/>
      <c r="G27" s="13"/>
      <c r="H27" s="13"/>
      <c r="I27" s="13"/>
      <c r="J27" s="13"/>
      <c r="K27" s="48">
        <v>50</v>
      </c>
      <c r="L27" s="6"/>
      <c r="M27" s="6"/>
      <c r="O27" s="6"/>
      <c r="P27" s="6"/>
      <c r="Q27" s="6"/>
    </row>
    <row r="28" spans="1:17" s="5" customFormat="1" ht="15.75" thickBot="1" x14ac:dyDescent="0.3">
      <c r="A28" s="4">
        <v>15</v>
      </c>
      <c r="B28" s="58" t="s">
        <v>478</v>
      </c>
      <c r="C28" s="13"/>
      <c r="D28" s="13"/>
      <c r="E28" s="13"/>
      <c r="F28" s="13"/>
      <c r="G28" s="13"/>
      <c r="H28" s="13"/>
      <c r="I28" s="13"/>
      <c r="J28" s="13"/>
      <c r="K28" s="48">
        <v>50</v>
      </c>
      <c r="L28" s="6"/>
      <c r="M28" s="6"/>
      <c r="O28" s="6"/>
      <c r="P28" s="6"/>
      <c r="Q28" s="6"/>
    </row>
    <row r="29" spans="1:17" s="5" customFormat="1" ht="15.75" thickBot="1" x14ac:dyDescent="0.3">
      <c r="A29" s="4">
        <v>1</v>
      </c>
      <c r="B29" s="58" t="s">
        <v>479</v>
      </c>
      <c r="C29" s="13"/>
      <c r="D29" s="13"/>
      <c r="E29" s="13"/>
      <c r="F29" s="13"/>
      <c r="G29" s="13"/>
      <c r="H29" s="13"/>
      <c r="I29" s="13"/>
      <c r="J29" s="13"/>
      <c r="K29" s="48">
        <v>50</v>
      </c>
      <c r="L29" s="6"/>
      <c r="M29" s="6"/>
      <c r="O29" s="6"/>
      <c r="P29" s="6"/>
      <c r="Q29" s="6"/>
    </row>
    <row r="30" spans="1:17" s="5" customFormat="1" ht="15.75" thickBot="1" x14ac:dyDescent="0.3">
      <c r="A30" s="4">
        <v>2</v>
      </c>
      <c r="B30" s="58" t="s">
        <v>480</v>
      </c>
      <c r="C30" s="13"/>
      <c r="D30" s="13"/>
      <c r="E30" s="13"/>
      <c r="F30" s="13"/>
      <c r="G30" s="13"/>
      <c r="H30" s="13"/>
      <c r="I30" s="13"/>
      <c r="J30" s="13"/>
      <c r="K30" s="48">
        <v>50</v>
      </c>
      <c r="L30" s="6"/>
      <c r="M30" s="6"/>
      <c r="O30" s="6"/>
      <c r="P30" s="6"/>
      <c r="Q30" s="6"/>
    </row>
    <row r="31" spans="1:17" s="5" customFormat="1" ht="15.75" thickBot="1" x14ac:dyDescent="0.3">
      <c r="A31" s="4">
        <v>3</v>
      </c>
      <c r="B31" s="58" t="s">
        <v>481</v>
      </c>
      <c r="C31" s="13"/>
      <c r="D31" s="13"/>
      <c r="E31" s="13"/>
      <c r="F31" s="13"/>
      <c r="G31" s="13"/>
      <c r="H31" s="13"/>
      <c r="I31" s="13"/>
      <c r="J31" s="13"/>
      <c r="K31" s="48">
        <v>50</v>
      </c>
      <c r="L31" s="6"/>
      <c r="M31" s="6"/>
      <c r="O31" s="6"/>
      <c r="P31" s="6"/>
      <c r="Q31" s="6"/>
    </row>
    <row r="32" spans="1:17" s="5" customFormat="1" ht="15.75" thickBot="1" x14ac:dyDescent="0.3">
      <c r="A32" s="4">
        <v>4</v>
      </c>
      <c r="B32" s="58" t="s">
        <v>482</v>
      </c>
      <c r="C32" s="13"/>
      <c r="D32" s="13"/>
      <c r="E32" s="13"/>
      <c r="F32" s="13"/>
      <c r="G32" s="13"/>
      <c r="H32" s="13"/>
      <c r="I32" s="13"/>
      <c r="J32" s="13"/>
      <c r="K32" s="48">
        <v>50</v>
      </c>
      <c r="L32" s="6"/>
      <c r="M32" s="6"/>
      <c r="O32" s="6"/>
      <c r="P32" s="6"/>
      <c r="Q32" s="6"/>
    </row>
    <row r="33" spans="1:17" s="5" customFormat="1" ht="15.75" thickBot="1" x14ac:dyDescent="0.3">
      <c r="A33" s="4">
        <v>5</v>
      </c>
      <c r="B33" s="58" t="s">
        <v>483</v>
      </c>
      <c r="C33" s="13"/>
      <c r="D33" s="13"/>
      <c r="E33" s="13"/>
      <c r="F33" s="13"/>
      <c r="G33" s="13"/>
      <c r="H33" s="13"/>
      <c r="I33" s="13"/>
      <c r="J33" s="13"/>
      <c r="K33" s="48">
        <v>50</v>
      </c>
      <c r="L33" s="6"/>
      <c r="M33" s="6"/>
      <c r="O33" s="6"/>
      <c r="P33" s="6"/>
      <c r="Q33" s="6"/>
    </row>
    <row r="34" spans="1:17" s="5" customFormat="1" ht="15.75" thickBot="1" x14ac:dyDescent="0.3">
      <c r="A34" s="4">
        <v>6</v>
      </c>
      <c r="B34" s="58" t="s">
        <v>484</v>
      </c>
      <c r="C34" s="13"/>
      <c r="D34" s="13"/>
      <c r="E34" s="13"/>
      <c r="F34" s="13"/>
      <c r="G34" s="13"/>
      <c r="H34" s="13"/>
      <c r="I34" s="13"/>
      <c r="J34" s="13"/>
      <c r="K34" s="48">
        <v>50</v>
      </c>
      <c r="L34" s="6"/>
      <c r="M34" s="6"/>
      <c r="O34" s="6"/>
      <c r="P34" s="6"/>
      <c r="Q34" s="6"/>
    </row>
    <row r="35" spans="1:17" s="5" customFormat="1" ht="15.75" thickBot="1" x14ac:dyDescent="0.3">
      <c r="A35" s="4">
        <v>7</v>
      </c>
      <c r="B35" s="58" t="s">
        <v>485</v>
      </c>
      <c r="C35" s="13"/>
      <c r="D35" s="13"/>
      <c r="E35" s="13"/>
      <c r="F35" s="13"/>
      <c r="G35" s="13"/>
      <c r="H35" s="13"/>
      <c r="I35" s="13"/>
      <c r="J35" s="13"/>
      <c r="K35" s="48">
        <v>50</v>
      </c>
      <c r="L35" s="6"/>
      <c r="M35" s="6"/>
      <c r="O35" s="6"/>
      <c r="P35" s="6"/>
      <c r="Q35" s="6"/>
    </row>
    <row r="36" spans="1:17" s="5" customFormat="1" ht="15.75" thickBot="1" x14ac:dyDescent="0.3">
      <c r="A36" s="4">
        <v>8</v>
      </c>
      <c r="B36" s="58" t="s">
        <v>486</v>
      </c>
      <c r="C36" s="13"/>
      <c r="D36" s="13"/>
      <c r="E36" s="13"/>
      <c r="F36" s="13"/>
      <c r="G36" s="13"/>
      <c r="H36" s="13"/>
      <c r="I36" s="13"/>
      <c r="J36" s="13"/>
      <c r="K36" s="48">
        <v>50</v>
      </c>
      <c r="L36" s="6"/>
      <c r="M36" s="6"/>
      <c r="O36" s="6"/>
      <c r="P36" s="6"/>
      <c r="Q36" s="6"/>
    </row>
    <row r="37" spans="1:17" s="5" customFormat="1" ht="15.75" thickBot="1" x14ac:dyDescent="0.3">
      <c r="A37" s="4">
        <v>9</v>
      </c>
      <c r="B37" s="58" t="s">
        <v>487</v>
      </c>
      <c r="C37" s="13"/>
      <c r="D37" s="13"/>
      <c r="E37" s="13"/>
      <c r="F37" s="13"/>
      <c r="G37" s="13"/>
      <c r="H37" s="13"/>
      <c r="I37" s="13"/>
      <c r="J37" s="13"/>
      <c r="K37" s="48">
        <v>50</v>
      </c>
      <c r="L37" s="6"/>
      <c r="M37" s="6"/>
      <c r="O37" s="6"/>
      <c r="P37" s="6"/>
      <c r="Q37" s="6"/>
    </row>
    <row r="38" spans="1:17" s="5" customFormat="1" ht="15.75" thickBot="1" x14ac:dyDescent="0.3">
      <c r="A38" s="4">
        <v>10</v>
      </c>
      <c r="B38" s="58" t="s">
        <v>488</v>
      </c>
      <c r="C38" s="13"/>
      <c r="D38" s="13"/>
      <c r="E38" s="13"/>
      <c r="F38" s="13"/>
      <c r="G38" s="13"/>
      <c r="H38" s="13"/>
      <c r="I38" s="13"/>
      <c r="J38" s="13"/>
      <c r="K38" s="48">
        <v>50</v>
      </c>
      <c r="L38" s="6"/>
      <c r="M38" s="6"/>
      <c r="O38" s="6"/>
      <c r="P38" s="6"/>
      <c r="Q38" s="6"/>
    </row>
    <row r="39" spans="1:17" s="5" customFormat="1" ht="15.75" thickBot="1" x14ac:dyDescent="0.3">
      <c r="A39" s="4">
        <v>11</v>
      </c>
      <c r="B39" s="58" t="s">
        <v>489</v>
      </c>
      <c r="C39" s="13"/>
      <c r="D39" s="13"/>
      <c r="E39" s="13"/>
      <c r="F39" s="13"/>
      <c r="G39" s="13"/>
      <c r="H39" s="13"/>
      <c r="I39" s="13"/>
      <c r="J39" s="13"/>
      <c r="K39" s="48">
        <v>50</v>
      </c>
      <c r="L39" s="6"/>
      <c r="M39" s="6"/>
      <c r="O39" s="6"/>
      <c r="P39" s="6"/>
      <c r="Q39" s="6"/>
    </row>
    <row r="40" spans="1:17" s="5" customFormat="1" ht="15.75" thickBot="1" x14ac:dyDescent="0.3">
      <c r="A40" s="4">
        <v>12</v>
      </c>
      <c r="B40" s="58" t="s">
        <v>490</v>
      </c>
      <c r="C40" s="13"/>
      <c r="D40" s="13"/>
      <c r="E40" s="13"/>
      <c r="F40" s="13"/>
      <c r="G40" s="13"/>
      <c r="H40" s="13"/>
      <c r="I40" s="13"/>
      <c r="J40" s="13"/>
      <c r="K40" s="48">
        <v>50</v>
      </c>
      <c r="L40" s="6"/>
      <c r="M40" s="6"/>
      <c r="O40" s="6"/>
      <c r="P40" s="6"/>
      <c r="Q40" s="6"/>
    </row>
    <row r="41" spans="1:17" s="5" customFormat="1" ht="15.75" thickBot="1" x14ac:dyDescent="0.3">
      <c r="A41" s="4">
        <v>13</v>
      </c>
      <c r="B41" s="58" t="s">
        <v>491</v>
      </c>
      <c r="C41" s="13"/>
      <c r="D41" s="13"/>
      <c r="E41" s="13"/>
      <c r="F41" s="13"/>
      <c r="G41" s="13"/>
      <c r="H41" s="13"/>
      <c r="I41" s="13"/>
      <c r="J41" s="13"/>
      <c r="K41" s="48">
        <v>50</v>
      </c>
      <c r="L41" s="6"/>
      <c r="M41" s="6"/>
      <c r="O41" s="6"/>
      <c r="P41" s="6"/>
      <c r="Q41" s="6"/>
    </row>
    <row r="42" spans="1:17" s="5" customFormat="1" ht="15.75" thickBot="1" x14ac:dyDescent="0.3">
      <c r="A42" s="4">
        <v>14</v>
      </c>
      <c r="B42" s="58" t="s">
        <v>492</v>
      </c>
      <c r="C42" s="13"/>
      <c r="D42" s="13"/>
      <c r="E42" s="13"/>
      <c r="F42" s="13"/>
      <c r="G42" s="13"/>
      <c r="H42" s="13"/>
      <c r="I42" s="13"/>
      <c r="J42" s="13"/>
      <c r="K42" s="48">
        <v>50</v>
      </c>
      <c r="L42" s="6"/>
      <c r="M42" s="6"/>
      <c r="O42" s="6"/>
      <c r="P42" s="6"/>
      <c r="Q42" s="6"/>
    </row>
    <row r="43" spans="1:17" s="5" customFormat="1" ht="15.75" thickBot="1" x14ac:dyDescent="0.3">
      <c r="A43" s="4">
        <v>15</v>
      </c>
      <c r="B43" s="58" t="s">
        <v>507</v>
      </c>
      <c r="C43" s="13"/>
      <c r="D43" s="13"/>
      <c r="E43" s="13"/>
      <c r="F43" s="13"/>
      <c r="G43" s="13"/>
      <c r="H43" s="13"/>
      <c r="I43" s="13"/>
      <c r="J43" s="13"/>
      <c r="K43" s="48">
        <v>50</v>
      </c>
      <c r="L43" s="6"/>
      <c r="M43" s="6"/>
      <c r="O43" s="6"/>
      <c r="P43" s="6"/>
      <c r="Q43" s="6"/>
    </row>
    <row r="44" spans="1:17" s="5" customFormat="1" ht="15.75" thickBot="1" x14ac:dyDescent="0.3">
      <c r="A44" s="4">
        <v>1</v>
      </c>
      <c r="B44" s="58" t="s">
        <v>508</v>
      </c>
      <c r="C44" s="13"/>
      <c r="D44" s="13"/>
      <c r="E44" s="13"/>
      <c r="F44" s="13"/>
      <c r="G44" s="13"/>
      <c r="H44" s="13"/>
      <c r="I44" s="13"/>
      <c r="J44" s="13"/>
      <c r="K44" s="48">
        <v>50</v>
      </c>
      <c r="L44" s="6"/>
      <c r="M44" s="6"/>
      <c r="O44" s="6"/>
      <c r="P44" s="6"/>
      <c r="Q44" s="6"/>
    </row>
    <row r="45" spans="1:17" s="5" customFormat="1" ht="15.75" thickBot="1" x14ac:dyDescent="0.3">
      <c r="A45" s="4">
        <v>2</v>
      </c>
      <c r="B45" s="58" t="s">
        <v>493</v>
      </c>
      <c r="C45" s="13"/>
      <c r="D45" s="13"/>
      <c r="E45" s="13"/>
      <c r="F45" s="13"/>
      <c r="G45" s="13"/>
      <c r="H45" s="13"/>
      <c r="I45" s="13"/>
      <c r="J45" s="13"/>
      <c r="K45" s="48">
        <v>50</v>
      </c>
      <c r="L45" s="6"/>
      <c r="M45" s="6"/>
      <c r="O45" s="6"/>
      <c r="P45" s="6"/>
      <c r="Q45" s="6"/>
    </row>
    <row r="46" spans="1:17" s="5" customFormat="1" ht="15.75" thickBot="1" x14ac:dyDescent="0.3">
      <c r="A46" s="4">
        <v>3</v>
      </c>
      <c r="B46" s="58" t="s">
        <v>494</v>
      </c>
      <c r="C46" s="13"/>
      <c r="D46" s="13"/>
      <c r="E46" s="13"/>
      <c r="F46" s="13"/>
      <c r="G46" s="13"/>
      <c r="H46" s="13"/>
      <c r="I46" s="13"/>
      <c r="J46" s="13"/>
      <c r="K46" s="48">
        <v>50</v>
      </c>
      <c r="L46" s="6"/>
      <c r="M46" s="6"/>
      <c r="O46" s="6"/>
      <c r="P46" s="6"/>
      <c r="Q46" s="6"/>
    </row>
    <row r="47" spans="1:17" s="5" customFormat="1" ht="15.75" thickBot="1" x14ac:dyDescent="0.3">
      <c r="A47" s="4">
        <v>4</v>
      </c>
      <c r="B47" s="58" t="s">
        <v>495</v>
      </c>
      <c r="C47" s="13"/>
      <c r="D47" s="13"/>
      <c r="E47" s="13"/>
      <c r="F47" s="13"/>
      <c r="G47" s="13"/>
      <c r="H47" s="13"/>
      <c r="I47" s="13"/>
      <c r="J47" s="13"/>
      <c r="K47" s="48">
        <v>50</v>
      </c>
      <c r="L47" s="6"/>
      <c r="M47" s="6"/>
      <c r="O47" s="6"/>
      <c r="P47" s="6"/>
      <c r="Q47" s="6"/>
    </row>
    <row r="48" spans="1:17" s="5" customFormat="1" ht="15.75" thickBot="1" x14ac:dyDescent="0.3">
      <c r="A48" s="4">
        <v>5</v>
      </c>
      <c r="B48" s="58" t="s">
        <v>496</v>
      </c>
      <c r="C48" s="13"/>
      <c r="D48" s="13"/>
      <c r="E48" s="13"/>
      <c r="F48" s="13"/>
      <c r="G48" s="13"/>
      <c r="H48" s="13"/>
      <c r="I48" s="13"/>
      <c r="J48" s="13"/>
      <c r="K48" s="48">
        <v>50</v>
      </c>
      <c r="L48" s="6"/>
      <c r="M48" s="6"/>
      <c r="O48" s="6"/>
      <c r="P48" s="6"/>
      <c r="Q48" s="6"/>
    </row>
    <row r="49" spans="1:17" s="5" customFormat="1" ht="15.75" thickBot="1" x14ac:dyDescent="0.3">
      <c r="A49" s="4">
        <v>6</v>
      </c>
      <c r="B49" s="58" t="s">
        <v>497</v>
      </c>
      <c r="C49" s="13"/>
      <c r="D49" s="13"/>
      <c r="E49" s="13"/>
      <c r="F49" s="13"/>
      <c r="G49" s="13"/>
      <c r="H49" s="13"/>
      <c r="I49" s="13"/>
      <c r="J49" s="13"/>
      <c r="K49" s="48">
        <v>50</v>
      </c>
      <c r="L49" s="6"/>
      <c r="M49" s="6"/>
      <c r="O49" s="6"/>
      <c r="P49" s="6"/>
      <c r="Q49" s="6"/>
    </row>
    <row r="50" spans="1:17" s="5" customFormat="1" ht="15.75" thickBot="1" x14ac:dyDescent="0.3">
      <c r="A50" s="4">
        <v>7</v>
      </c>
      <c r="B50" s="58" t="s">
        <v>498</v>
      </c>
      <c r="C50" s="13"/>
      <c r="D50" s="13"/>
      <c r="E50" s="13"/>
      <c r="F50" s="13"/>
      <c r="G50" s="13"/>
      <c r="H50" s="13"/>
      <c r="I50" s="13"/>
      <c r="J50" s="13"/>
      <c r="K50" s="48">
        <v>50</v>
      </c>
      <c r="L50" s="6"/>
      <c r="M50" s="6"/>
      <c r="O50" s="6"/>
      <c r="P50" s="6"/>
      <c r="Q50" s="6"/>
    </row>
    <row r="51" spans="1:17" s="5" customFormat="1" ht="15.75" thickBot="1" x14ac:dyDescent="0.3">
      <c r="A51" s="4">
        <v>8</v>
      </c>
      <c r="B51" s="58" t="s">
        <v>499</v>
      </c>
      <c r="C51" s="13"/>
      <c r="D51" s="13"/>
      <c r="E51" s="13"/>
      <c r="F51" s="13"/>
      <c r="G51" s="13"/>
      <c r="H51" s="13"/>
      <c r="I51" s="13"/>
      <c r="J51" s="13"/>
      <c r="K51" s="48">
        <v>50</v>
      </c>
      <c r="L51" s="6"/>
      <c r="M51" s="6"/>
      <c r="O51" s="6"/>
      <c r="P51" s="6"/>
      <c r="Q51" s="6"/>
    </row>
    <row r="52" spans="1:17" s="5" customFormat="1" ht="15.75" thickBot="1" x14ac:dyDescent="0.3">
      <c r="A52" s="4">
        <v>9</v>
      </c>
      <c r="B52" s="58" t="s">
        <v>500</v>
      </c>
      <c r="C52" s="13"/>
      <c r="D52" s="13"/>
      <c r="E52" s="13"/>
      <c r="F52" s="13"/>
      <c r="G52" s="13"/>
      <c r="H52" s="13"/>
      <c r="I52" s="13"/>
      <c r="J52" s="13"/>
      <c r="K52" s="48">
        <v>50</v>
      </c>
      <c r="L52" s="6"/>
      <c r="M52" s="6"/>
      <c r="O52" s="6"/>
      <c r="P52" s="6"/>
      <c r="Q52" s="6"/>
    </row>
    <row r="53" spans="1:17" s="5" customFormat="1" ht="15.75" thickBot="1" x14ac:dyDescent="0.3">
      <c r="A53" s="4">
        <v>10</v>
      </c>
      <c r="B53" s="58" t="s">
        <v>501</v>
      </c>
      <c r="C53" s="13"/>
      <c r="D53" s="13"/>
      <c r="E53" s="13"/>
      <c r="F53" s="13"/>
      <c r="G53" s="13"/>
      <c r="H53" s="13"/>
      <c r="I53" s="13"/>
      <c r="J53" s="13"/>
      <c r="K53" s="48">
        <v>50</v>
      </c>
      <c r="L53" s="6"/>
      <c r="M53" s="6"/>
      <c r="O53" s="6"/>
      <c r="P53" s="6"/>
      <c r="Q53" s="6"/>
    </row>
    <row r="54" spans="1:17" s="5" customFormat="1" ht="15.75" thickBot="1" x14ac:dyDescent="0.3">
      <c r="A54" s="4">
        <v>11</v>
      </c>
      <c r="B54" s="58" t="s">
        <v>502</v>
      </c>
      <c r="C54" s="13"/>
      <c r="D54" s="13"/>
      <c r="E54" s="13"/>
      <c r="F54" s="13"/>
      <c r="G54" s="13"/>
      <c r="H54" s="13"/>
      <c r="I54" s="13"/>
      <c r="J54" s="13"/>
      <c r="K54" s="48">
        <v>50</v>
      </c>
      <c r="L54" s="6"/>
      <c r="M54" s="6"/>
      <c r="O54" s="6"/>
      <c r="P54" s="6"/>
      <c r="Q54" s="6"/>
    </row>
    <row r="55" spans="1:17" s="5" customFormat="1" ht="15.75" thickBot="1" x14ac:dyDescent="0.3">
      <c r="A55" s="4">
        <v>12</v>
      </c>
      <c r="B55" s="58" t="s">
        <v>503</v>
      </c>
      <c r="C55" s="13"/>
      <c r="D55" s="13"/>
      <c r="E55" s="13"/>
      <c r="F55" s="13"/>
      <c r="G55" s="13"/>
      <c r="H55" s="13"/>
      <c r="I55" s="13"/>
      <c r="J55" s="13"/>
      <c r="K55" s="48">
        <v>50</v>
      </c>
      <c r="L55" s="6"/>
      <c r="M55" s="6"/>
      <c r="O55" s="6"/>
      <c r="P55" s="6"/>
      <c r="Q55" s="6"/>
    </row>
    <row r="56" spans="1:17" s="5" customFormat="1" ht="15.75" thickBot="1" x14ac:dyDescent="0.3">
      <c r="A56" s="4">
        <v>13</v>
      </c>
      <c r="B56" s="58" t="s">
        <v>504</v>
      </c>
      <c r="C56" s="13"/>
      <c r="D56" s="13"/>
      <c r="E56" s="13"/>
      <c r="F56" s="13"/>
      <c r="G56" s="13"/>
      <c r="H56" s="13"/>
      <c r="I56" s="13"/>
      <c r="J56" s="13"/>
      <c r="K56" s="48">
        <v>50</v>
      </c>
      <c r="L56" s="6"/>
      <c r="M56" s="6"/>
      <c r="O56" s="6"/>
      <c r="P56" s="6"/>
      <c r="Q56" s="6"/>
    </row>
    <row r="57" spans="1:17" s="5" customFormat="1" x14ac:dyDescent="0.25">
      <c r="A57" s="4">
        <v>14</v>
      </c>
      <c r="B57" s="58" t="s">
        <v>505</v>
      </c>
      <c r="C57" s="13"/>
      <c r="D57" s="13"/>
      <c r="E57" s="13"/>
      <c r="F57" s="13"/>
      <c r="G57" s="13"/>
      <c r="H57" s="13"/>
      <c r="I57" s="13"/>
      <c r="J57" s="13"/>
      <c r="K57" s="48">
        <v>50</v>
      </c>
      <c r="L57" s="6"/>
      <c r="M57" s="6"/>
      <c r="O57" s="6"/>
      <c r="P57" s="6"/>
      <c r="Q57" s="6"/>
    </row>
    <row r="58" spans="1:17" s="5" customFormat="1" ht="15.75" thickBot="1" x14ac:dyDescent="0.3">
      <c r="A58" s="4">
        <v>15</v>
      </c>
      <c r="B58" s="58" t="s">
        <v>506</v>
      </c>
      <c r="C58" s="13"/>
      <c r="D58" s="13"/>
      <c r="E58" s="13"/>
      <c r="F58" s="13"/>
      <c r="G58" s="13"/>
      <c r="H58" s="13"/>
      <c r="I58" s="13"/>
      <c r="J58" s="13"/>
      <c r="K58" s="50">
        <v>50</v>
      </c>
      <c r="L58" s="6"/>
      <c r="M58" s="6"/>
      <c r="O58" s="6"/>
      <c r="P58" s="6"/>
      <c r="Q58" s="6"/>
    </row>
    <row r="59" spans="1:17" s="5" customFormat="1" x14ac:dyDescent="0.25">
      <c r="A59" s="4"/>
      <c r="B59" s="6"/>
      <c r="C59" s="15"/>
      <c r="D59" s="6"/>
      <c r="E59" s="15"/>
      <c r="G59" s="6"/>
      <c r="H59" s="6"/>
      <c r="I59" s="6"/>
      <c r="K59" s="6"/>
      <c r="L59" s="6"/>
      <c r="M59" s="6"/>
      <c r="O59" s="6"/>
      <c r="P59" s="6"/>
      <c r="Q59" s="6"/>
    </row>
    <row r="60" spans="1:17" s="5" customFormat="1" ht="65.25" customHeight="1" x14ac:dyDescent="0.25">
      <c r="A60" s="96" t="s">
        <v>834</v>
      </c>
      <c r="B60" s="96"/>
      <c r="C60" s="96"/>
      <c r="D60" s="96"/>
      <c r="E60" s="96"/>
      <c r="F60" s="96"/>
      <c r="G60" s="96"/>
      <c r="H60" s="96"/>
      <c r="I60" s="96"/>
      <c r="J60" s="96"/>
      <c r="K60" s="96"/>
      <c r="L60" s="96"/>
      <c r="M60" s="96"/>
      <c r="N60" s="96"/>
      <c r="O60" s="96"/>
      <c r="P60" s="96"/>
      <c r="Q60" s="96"/>
    </row>
  </sheetData>
  <mergeCells count="4">
    <mergeCell ref="A60:Q60"/>
    <mergeCell ref="H3:I3"/>
    <mergeCell ref="L3:M3"/>
    <mergeCell ref="P3:Q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003B6-F962-49A7-9B60-D86D03AD12F8}">
  <dimension ref="A1:AG49"/>
  <sheetViews>
    <sheetView zoomScaleNormal="100" workbookViewId="0">
      <selection activeCell="V17" sqref="V17"/>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368</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246</v>
      </c>
      <c r="C2" s="15"/>
      <c r="D2" s="5"/>
      <c r="E2" s="15"/>
      <c r="F2" s="5"/>
      <c r="G2" s="97" t="s">
        <v>1</v>
      </c>
      <c r="H2" s="97"/>
      <c r="I2" s="97"/>
      <c r="J2" s="5"/>
      <c r="K2" s="97" t="s">
        <v>2</v>
      </c>
      <c r="L2" s="97"/>
      <c r="M2" s="97"/>
      <c r="N2" s="5"/>
      <c r="O2" s="97" t="s">
        <v>3</v>
      </c>
      <c r="P2" s="97"/>
      <c r="Q2" s="97"/>
    </row>
    <row r="3" spans="1:33" x14ac:dyDescent="0.25">
      <c r="A3" s="4"/>
      <c r="C3" s="15"/>
      <c r="D3" s="5"/>
      <c r="E3" s="15"/>
      <c r="F3" s="5"/>
      <c r="G3" s="6" t="s">
        <v>40</v>
      </c>
      <c r="H3" s="97" t="s">
        <v>67</v>
      </c>
      <c r="I3" s="97"/>
      <c r="J3" s="5"/>
      <c r="K3" s="6" t="s">
        <v>40</v>
      </c>
      <c r="L3" s="97" t="s">
        <v>67</v>
      </c>
      <c r="M3" s="97"/>
      <c r="N3" s="5"/>
      <c r="O3" s="6" t="s">
        <v>40</v>
      </c>
      <c r="P3" s="97" t="s">
        <v>67</v>
      </c>
      <c r="Q3" s="97"/>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x14ac:dyDescent="0.25">
      <c r="A5" s="4" t="s">
        <v>4</v>
      </c>
      <c r="B5" s="6" t="s">
        <v>5</v>
      </c>
      <c r="C5" s="37">
        <f>IF(COUNTBLANK($K$12:$K$31)=0,SUM($K$12:$K$31),IF(ISNUMBER($E5),$E5,"?"))</f>
        <v>80</v>
      </c>
      <c r="D5" s="5"/>
      <c r="E5" s="54">
        <v>80</v>
      </c>
      <c r="F5" s="5"/>
      <c r="G5" s="20">
        <f>IF(C5="?","?",IF(E5="","?",54.4-EXP(-0.223*(E5-12.8))+0.543*E5))</f>
        <v>97.839999689660829</v>
      </c>
      <c r="H5" s="23">
        <f>IF(C5="?","?",IF(E5="","?",99.5-EXP(-0.164*(E5-27.8))))</f>
        <v>99.499808533940495</v>
      </c>
      <c r="I5" s="24">
        <f>IF(C5="?","?",IF(E5="","?",-0.4+(0.105*E5+0.0383*E5^2)/(1-0.01756*E5+0.0004541*E5^2)))</f>
        <v>100.94962261737238</v>
      </c>
      <c r="J5" s="5"/>
      <c r="K5" s="20">
        <f>IF(C5="?","?",IF(E5="","?",25.6+12.892*LN(E5+2.4)))</f>
        <v>82.474159452713678</v>
      </c>
      <c r="L5" s="23">
        <f>IF(C5="?","?",IF(E5="","?",99.1-EXP(-0.213*(E5-21.3))))</f>
        <v>99.099996284881556</v>
      </c>
      <c r="M5" s="24">
        <f>IF(C5="?","?",IF(E5="","?",-0.4+(0.183*E5+0.04186*E5^2)/(1-0.01775*E5+0.0005021*E5^2)))</f>
        <v>100.74554098172861</v>
      </c>
      <c r="N5" s="5"/>
      <c r="O5" s="20">
        <f>IF(C5="?","?",IF(E5="","?",35.9+7.739*LN(E5+1)+0.287*E5))</f>
        <v>92.868642008009999</v>
      </c>
      <c r="P5" s="23">
        <f>IF(C5="?","?",IF(E5="","?",2.8+(9.732*E5+1.323*E5^2)/(1+0.06984*E5+0.01381*E5^2)))</f>
        <v>100.15330289603584</v>
      </c>
      <c r="Q5" s="24">
        <f>IF(C5="?","?",IF(E5="","?",-0.6+(0.042*E5+0.03627*E5^2)/(1-0.01735*E5+0.0004218*E5^2)))</f>
        <v>101.27582196995918</v>
      </c>
    </row>
    <row r="6" spans="1:33" x14ac:dyDescent="0.25">
      <c r="A6" s="4" t="s">
        <v>369</v>
      </c>
      <c r="B6" s="6" t="s">
        <v>13</v>
      </c>
      <c r="C6" s="37">
        <f>IF(COUNTBLANK($K$12:$K$31)=0,SUM($K$13,$K$15,$K$19,$K$22,$K$27,$K$28),IF(ISNUMBER($E6),$E6,"?"))</f>
        <v>24</v>
      </c>
      <c r="D6" s="5"/>
      <c r="E6" s="56">
        <v>24</v>
      </c>
      <c r="F6" s="5"/>
      <c r="G6" s="21">
        <f>IF(C6="?","?",IF(E6="","?",51.2+4.237*((E6+0)^0.587-1)/0.587))</f>
        <v>90.605387218762928</v>
      </c>
      <c r="H6" s="25">
        <f>IF(C6="?","?",IF(E6="","?",11.9+(107.501*E6)/(1+1.13*E6)))</f>
        <v>103.65049786628737</v>
      </c>
      <c r="I6" s="26">
        <f>IF(C6="?","?",IF(E6="","?",0.9+(3.566*E6+0.4873*E6^2)/(1-0.0005434*E6+0.004721*E6^2)))</f>
        <v>99.724516741214515</v>
      </c>
      <c r="J6" s="5"/>
      <c r="K6" s="21">
        <f>IF(C6="?","?",IF(E6="","?",36.7+13.903*LN(E6+1.7)))</f>
        <v>81.835964260402022</v>
      </c>
      <c r="L6" s="25">
        <f>IF(C6="?","?",IF(E6="","?",98.1-EXP(-0.944*(E6-4.7))))</f>
        <v>98.099999987767873</v>
      </c>
      <c r="M6" s="26">
        <f>IF(C6="?","?",IF(E6="","?",1.5+(3.369*E6+0.4665*E6^2)/(1-0.01313*E6+0.005022*E6^2)))</f>
        <v>99.209271591300407</v>
      </c>
      <c r="N6" s="5"/>
      <c r="O6" s="21">
        <f>IF(C6="?","?",IF(E6="","?",51+4.274*((E6+0)^0.587-1)/0.587))</f>
        <v>90.749498459521533</v>
      </c>
      <c r="P6" s="25">
        <f>IF(C6="?","?",IF(E6="","?",98.4-EXP(-0.619*(E6-7.2))))</f>
        <v>98.399969543161276</v>
      </c>
      <c r="Q6" s="26">
        <f>IF(C6="?","?",IF(E6="","?",0.5+(3.666*E6+0.5202*E6^2)/(1+0.0107*E6+0.004573*E6^2)))</f>
        <v>100.12332118859436</v>
      </c>
    </row>
    <row r="7" spans="1:33" x14ac:dyDescent="0.25">
      <c r="A7" s="4" t="s">
        <v>370</v>
      </c>
      <c r="B7" s="6" t="s">
        <v>371</v>
      </c>
      <c r="C7" s="37">
        <f>IF(COUNTBLANK($K$12:$K$31)=0,SUM($K$14,$K$16,$K$17,$K$23,$K$24,$K$26,$K$29,$K$31),IF(ISNUMBER($E7),$E7,"?"))</f>
        <v>32</v>
      </c>
      <c r="D7" s="5"/>
      <c r="E7" s="55">
        <v>32</v>
      </c>
      <c r="F7" s="5"/>
      <c r="G7" s="21">
        <f>IF(C7="?","?",IF(E7="","?",37.8+(6.12*E7-0.001629*E7^2)/(1+0.1852*E7-0.003595*E7^2)))</f>
        <v>97.635045853466124</v>
      </c>
      <c r="H7" s="25">
        <f>IF(C7="?","?",IF(E7="","?",-207.3+(307.3/(1+EXP(-0.286*(E7+2.782))))))</f>
        <v>99.98529952348224</v>
      </c>
      <c r="I7" s="26">
        <f>IF(C7="?","?",IF(E7="","?",0.1+(-0.04*E7+0.1029*E7^2)/(1-0.04426*E7+0.00143*E7^2)))</f>
        <v>99.422137404580141</v>
      </c>
      <c r="J7" s="5"/>
      <c r="K7" s="21">
        <f>IF(C7="?","?",IF(E7="","?",16.6+17.767*LN(E7+3.4)))</f>
        <v>79.969768908422566</v>
      </c>
      <c r="L7" s="25">
        <f>IF(C7="?","?",IF(E7="","?",101.3-EXP(-0.286*(E7-15.9))))</f>
        <v>101.28999429651425</v>
      </c>
      <c r="M7" s="26">
        <f>IF(C7="?","?",IF(E7="","?",0+(0.048*E7+0.1207*E7^2)/(1-0.04801*E7+0.001753*E7^2)))</f>
        <v>99.410209477323562</v>
      </c>
      <c r="N7" s="5"/>
      <c r="O7" s="21">
        <f>IF(C7="?","?",IF(E7="","?",49.5-EXP(-0.411*(E7-6))+1.285*E7))</f>
        <v>90.619977137213198</v>
      </c>
      <c r="P7" s="25">
        <f>IF(C7="?","?",IF(E7="","?",-107.5+(207/(1+EXP(-0.2926*(E7+0.4793))))))</f>
        <v>99.484560080968862</v>
      </c>
      <c r="Q7" s="26">
        <f>IF(C7="?","?",IF(E7="","?",0.2+(-0.087*E7+0.08429*E7^2)/(1-0.04448*E7+0.001236*E7^2)))</f>
        <v>99.36723653217841</v>
      </c>
    </row>
    <row r="8" spans="1:33" ht="15.75" thickBot="1" x14ac:dyDescent="0.3">
      <c r="A8" s="4" t="s">
        <v>372</v>
      </c>
      <c r="B8" s="6" t="s">
        <v>13</v>
      </c>
      <c r="C8" s="37">
        <f>IF(COUNTBLANK($K$12:$K$31)=0,SUM($K$12,$K$18,$K$20,$K$21,$K$25,$K$30),IF(ISNUMBER($E8),$E8,"?"))</f>
        <v>24</v>
      </c>
      <c r="D8" s="38"/>
      <c r="E8" s="39">
        <v>24</v>
      </c>
      <c r="F8" s="5"/>
      <c r="G8" s="22">
        <f>IF(C8="?","?",IF(E8="","?",30.4+17.603*LN(E8+2.5)))</f>
        <v>88.087578734861296</v>
      </c>
      <c r="H8" s="27">
        <f>IF(C8="?","?",IF(E8="","?",16+(162.256*E8)/(1+1.82*E8)))</f>
        <v>103.15631154879141</v>
      </c>
      <c r="I8" s="28">
        <f>IF(C8="?","?",IF(E8="","?",1.8+(8.072*E8-0.02399*E8^2)/(1+0.001646*E8+0.00139*E8^2)))</f>
        <v>99.569391960629147</v>
      </c>
      <c r="J8" s="5"/>
      <c r="K8" s="22">
        <f>IF(C8="?","?",IF(E8="","?",31.6+18.105*LN(E8+2.2)))</f>
        <v>90.726574131937468</v>
      </c>
      <c r="L8" s="27">
        <f>IF(C8="?","?",IF(E8="","?",17.2+(190.967*E8)/(1+2.14*E8)))</f>
        <v>104.73262032085563</v>
      </c>
      <c r="M8" s="28">
        <f>IF(C8="?","?",IF(E8="","?",1.6+(8.661*E8+0.003965*E8^2)/(1+0.007648*E8+0.001657*E8^2)))</f>
        <v>99.892522301382968</v>
      </c>
      <c r="N8" s="5"/>
      <c r="O8" s="22">
        <f>IF(C8="?","?",IF(E8="","?",21.8+20.287*LN(E8+3.5)))</f>
        <v>89.034891476791529</v>
      </c>
      <c r="P8" s="27">
        <f>IF(C8="?","?",IF(E8="","?",15.3+(140.56*E8)/(1+1.56*E8)))</f>
        <v>103.0585848074922</v>
      </c>
      <c r="Q8" s="28">
        <f>IF(C8="?","?",IF(E8="","?",1.9+(7.573*E8-0.02969*E8^2)/(1-0.00319*E8+0.001332*E8^2)))</f>
        <v>99.287642310276624</v>
      </c>
    </row>
    <row r="9" spans="1:33"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c r="AE9" s="30"/>
      <c r="AF9" s="30"/>
      <c r="AG9" s="30"/>
    </row>
    <row r="10" spans="1:33" s="5" customFormat="1" x14ac:dyDescent="0.25">
      <c r="A10" s="4"/>
      <c r="B10" s="6"/>
      <c r="C10" s="15"/>
      <c r="E10" s="15"/>
      <c r="G10" s="6"/>
      <c r="H10" s="6"/>
      <c r="I10" s="6"/>
      <c r="K10" s="6"/>
      <c r="L10" s="6"/>
      <c r="M10" s="6"/>
      <c r="O10" s="6"/>
      <c r="P10" s="6"/>
      <c r="Q10" s="6"/>
    </row>
    <row r="11" spans="1:33" s="5" customFormat="1" ht="16.5" thickBot="1" x14ac:dyDescent="0.3">
      <c r="A11" s="1" t="s">
        <v>15</v>
      </c>
      <c r="B11" s="2" t="s">
        <v>14</v>
      </c>
      <c r="C11" s="14"/>
      <c r="D11" s="2"/>
      <c r="E11" s="14"/>
      <c r="F11" s="3"/>
      <c r="G11" s="2"/>
      <c r="H11" s="2"/>
      <c r="I11" s="2"/>
      <c r="J11" s="3"/>
      <c r="K11" s="2" t="s">
        <v>36</v>
      </c>
      <c r="L11" s="2"/>
      <c r="M11" s="2"/>
      <c r="N11" s="3"/>
      <c r="O11" s="2"/>
      <c r="P11" s="2"/>
      <c r="Q11" s="2"/>
    </row>
    <row r="12" spans="1:33" s="5" customFormat="1" x14ac:dyDescent="0.25">
      <c r="A12" s="4">
        <v>1</v>
      </c>
      <c r="B12" s="57" t="s">
        <v>348</v>
      </c>
      <c r="C12" s="13"/>
      <c r="D12" s="13"/>
      <c r="E12" s="13"/>
      <c r="F12" s="13"/>
      <c r="G12" s="13"/>
      <c r="H12" s="13"/>
      <c r="I12" s="13"/>
      <c r="J12" s="13"/>
      <c r="K12" s="48">
        <v>4</v>
      </c>
      <c r="L12" s="6"/>
      <c r="M12" s="6"/>
      <c r="O12" s="6"/>
      <c r="P12" s="6"/>
      <c r="Q12" s="6"/>
    </row>
    <row r="13" spans="1:33" s="5" customFormat="1" x14ac:dyDescent="0.25">
      <c r="A13" s="4">
        <v>2</v>
      </c>
      <c r="B13" s="57" t="s">
        <v>349</v>
      </c>
      <c r="C13" s="13"/>
      <c r="D13" s="13"/>
      <c r="E13" s="13"/>
      <c r="F13" s="13"/>
      <c r="G13" s="13"/>
      <c r="H13" s="13"/>
      <c r="I13" s="13"/>
      <c r="J13" s="13"/>
      <c r="K13" s="49">
        <v>4</v>
      </c>
      <c r="L13" s="6"/>
      <c r="M13" s="6"/>
      <c r="O13" s="6"/>
      <c r="P13" s="6"/>
      <c r="Q13" s="6"/>
    </row>
    <row r="14" spans="1:33" s="5" customFormat="1" x14ac:dyDescent="0.25">
      <c r="A14" s="4">
        <v>3</v>
      </c>
      <c r="B14" s="57" t="s">
        <v>350</v>
      </c>
      <c r="C14" s="13"/>
      <c r="D14" s="13"/>
      <c r="E14" s="13"/>
      <c r="F14" s="13"/>
      <c r="G14" s="13"/>
      <c r="H14" s="13"/>
      <c r="I14" s="13"/>
      <c r="J14" s="13"/>
      <c r="K14" s="49">
        <v>4</v>
      </c>
      <c r="L14" s="6"/>
      <c r="M14" s="6"/>
      <c r="O14" s="6"/>
      <c r="P14" s="6"/>
      <c r="Q14" s="6"/>
    </row>
    <row r="15" spans="1:33" s="5" customFormat="1" x14ac:dyDescent="0.25">
      <c r="A15" s="4">
        <v>4</v>
      </c>
      <c r="B15" s="57" t="s">
        <v>351</v>
      </c>
      <c r="C15" s="13"/>
      <c r="D15" s="13"/>
      <c r="E15" s="13"/>
      <c r="F15" s="13"/>
      <c r="G15" s="13"/>
      <c r="H15" s="13"/>
      <c r="I15" s="13"/>
      <c r="J15" s="13"/>
      <c r="K15" s="49">
        <v>4</v>
      </c>
      <c r="L15" s="6"/>
      <c r="M15" s="6"/>
      <c r="O15" s="6"/>
      <c r="P15" s="6"/>
      <c r="Q15" s="6"/>
    </row>
    <row r="16" spans="1:33" s="5" customFormat="1" x14ac:dyDescent="0.25">
      <c r="A16" s="4">
        <v>5</v>
      </c>
      <c r="B16" s="57" t="s">
        <v>352</v>
      </c>
      <c r="C16" s="13"/>
      <c r="D16" s="13"/>
      <c r="E16" s="13"/>
      <c r="F16" s="13"/>
      <c r="G16" s="13"/>
      <c r="H16" s="13"/>
      <c r="I16" s="13"/>
      <c r="J16" s="13"/>
      <c r="K16" s="49">
        <v>4</v>
      </c>
      <c r="L16" s="6"/>
      <c r="M16" s="6"/>
      <c r="O16" s="6"/>
      <c r="P16" s="6"/>
      <c r="Q16" s="6"/>
    </row>
    <row r="17" spans="1:17" s="5" customFormat="1" x14ac:dyDescent="0.25">
      <c r="A17" s="4">
        <v>6</v>
      </c>
      <c r="B17" s="57" t="s">
        <v>353</v>
      </c>
      <c r="C17" s="13"/>
      <c r="D17" s="13"/>
      <c r="E17" s="13"/>
      <c r="F17" s="13"/>
      <c r="G17" s="13"/>
      <c r="H17" s="13"/>
      <c r="I17" s="13"/>
      <c r="J17" s="13"/>
      <c r="K17" s="49">
        <v>4</v>
      </c>
      <c r="L17" s="6"/>
      <c r="M17" s="6"/>
      <c r="O17" s="6"/>
      <c r="P17" s="6"/>
      <c r="Q17" s="6"/>
    </row>
    <row r="18" spans="1:17" s="5" customFormat="1" x14ac:dyDescent="0.25">
      <c r="A18" s="4">
        <v>7</v>
      </c>
      <c r="B18" s="57" t="s">
        <v>354</v>
      </c>
      <c r="C18" s="13"/>
      <c r="D18" s="13"/>
      <c r="E18" s="13"/>
      <c r="F18" s="13"/>
      <c r="G18" s="13"/>
      <c r="H18" s="13"/>
      <c r="I18" s="13"/>
      <c r="J18" s="13"/>
      <c r="K18" s="49">
        <v>4</v>
      </c>
      <c r="L18" s="6"/>
      <c r="M18" s="6"/>
      <c r="O18" s="6"/>
      <c r="P18" s="6"/>
      <c r="Q18" s="6"/>
    </row>
    <row r="19" spans="1:17" s="5" customFormat="1" x14ac:dyDescent="0.25">
      <c r="A19" s="4">
        <v>8</v>
      </c>
      <c r="B19" s="57" t="s">
        <v>355</v>
      </c>
      <c r="C19" s="13"/>
      <c r="D19" s="13"/>
      <c r="E19" s="13"/>
      <c r="F19" s="13"/>
      <c r="G19" s="13"/>
      <c r="H19" s="13"/>
      <c r="I19" s="13"/>
      <c r="J19" s="13"/>
      <c r="K19" s="49">
        <v>4</v>
      </c>
      <c r="L19" s="6"/>
      <c r="M19" s="6"/>
      <c r="O19" s="6"/>
      <c r="P19" s="6"/>
      <c r="Q19" s="6"/>
    </row>
    <row r="20" spans="1:17" s="5" customFormat="1" x14ac:dyDescent="0.25">
      <c r="A20" s="4">
        <v>9</v>
      </c>
      <c r="B20" s="57" t="s">
        <v>356</v>
      </c>
      <c r="C20" s="13"/>
      <c r="D20" s="13"/>
      <c r="E20" s="13"/>
      <c r="F20" s="13"/>
      <c r="G20" s="13"/>
      <c r="H20" s="13"/>
      <c r="I20" s="13"/>
      <c r="J20" s="13"/>
      <c r="K20" s="49">
        <v>4</v>
      </c>
      <c r="L20" s="6"/>
      <c r="M20" s="6"/>
      <c r="O20" s="6"/>
      <c r="P20" s="6"/>
      <c r="Q20" s="6"/>
    </row>
    <row r="21" spans="1:17" s="5" customFormat="1" x14ac:dyDescent="0.25">
      <c r="A21" s="4">
        <v>10</v>
      </c>
      <c r="B21" s="57" t="s">
        <v>357</v>
      </c>
      <c r="C21" s="13"/>
      <c r="D21" s="13"/>
      <c r="E21" s="13"/>
      <c r="F21" s="13"/>
      <c r="G21" s="13"/>
      <c r="H21" s="13"/>
      <c r="I21" s="13"/>
      <c r="J21" s="13"/>
      <c r="K21" s="49">
        <v>4</v>
      </c>
      <c r="L21" s="6"/>
      <c r="M21" s="6"/>
      <c r="O21" s="6"/>
      <c r="P21" s="6"/>
      <c r="Q21" s="6"/>
    </row>
    <row r="22" spans="1:17" s="5" customFormat="1" x14ac:dyDescent="0.25">
      <c r="A22" s="4">
        <v>11</v>
      </c>
      <c r="B22" s="57" t="s">
        <v>358</v>
      </c>
      <c r="C22" s="13"/>
      <c r="D22" s="13"/>
      <c r="E22" s="13"/>
      <c r="F22" s="13"/>
      <c r="G22" s="13"/>
      <c r="H22" s="13"/>
      <c r="I22" s="13"/>
      <c r="J22" s="13"/>
      <c r="K22" s="49">
        <v>4</v>
      </c>
      <c r="L22" s="6"/>
      <c r="M22" s="6"/>
      <c r="O22" s="6"/>
      <c r="P22" s="6"/>
      <c r="Q22" s="6"/>
    </row>
    <row r="23" spans="1:17" s="5" customFormat="1" x14ac:dyDescent="0.25">
      <c r="A23" s="4">
        <v>12</v>
      </c>
      <c r="B23" s="57" t="s">
        <v>359</v>
      </c>
      <c r="C23" s="13"/>
      <c r="D23" s="13"/>
      <c r="E23" s="13"/>
      <c r="F23" s="13"/>
      <c r="G23" s="13"/>
      <c r="H23" s="13"/>
      <c r="I23" s="13"/>
      <c r="J23" s="13"/>
      <c r="K23" s="49">
        <v>4</v>
      </c>
      <c r="L23" s="6"/>
      <c r="M23" s="6"/>
      <c r="O23" s="6"/>
      <c r="P23" s="6"/>
      <c r="Q23" s="6"/>
    </row>
    <row r="24" spans="1:17" s="5" customFormat="1" x14ac:dyDescent="0.25">
      <c r="A24" s="4">
        <v>13</v>
      </c>
      <c r="B24" s="57" t="s">
        <v>360</v>
      </c>
      <c r="C24" s="13"/>
      <c r="D24" s="13"/>
      <c r="E24" s="13"/>
      <c r="F24" s="13"/>
      <c r="G24" s="13"/>
      <c r="H24" s="13"/>
      <c r="I24" s="13"/>
      <c r="J24" s="13"/>
      <c r="K24" s="49">
        <v>4</v>
      </c>
      <c r="L24" s="6"/>
      <c r="M24" s="6"/>
      <c r="O24" s="6"/>
      <c r="P24" s="6"/>
      <c r="Q24" s="6"/>
    </row>
    <row r="25" spans="1:17" s="5" customFormat="1" x14ac:dyDescent="0.25">
      <c r="A25" s="4">
        <v>14</v>
      </c>
      <c r="B25" s="57" t="s">
        <v>361</v>
      </c>
      <c r="C25" s="13"/>
      <c r="D25" s="13"/>
      <c r="E25" s="13"/>
      <c r="F25" s="13"/>
      <c r="G25" s="13"/>
      <c r="H25" s="13"/>
      <c r="I25" s="13"/>
      <c r="J25" s="13"/>
      <c r="K25" s="49">
        <v>4</v>
      </c>
      <c r="L25" s="6"/>
      <c r="M25" s="6"/>
      <c r="O25" s="6"/>
      <c r="P25" s="6"/>
      <c r="Q25" s="6"/>
    </row>
    <row r="26" spans="1:17" s="5" customFormat="1" x14ac:dyDescent="0.25">
      <c r="A26" s="4">
        <v>15</v>
      </c>
      <c r="B26" s="57" t="s">
        <v>362</v>
      </c>
      <c r="C26" s="13"/>
      <c r="D26" s="13"/>
      <c r="E26" s="13"/>
      <c r="F26" s="13"/>
      <c r="G26" s="13"/>
      <c r="H26" s="13"/>
      <c r="I26" s="13"/>
      <c r="J26" s="13"/>
      <c r="K26" s="49">
        <v>4</v>
      </c>
      <c r="L26" s="6"/>
      <c r="M26" s="6"/>
      <c r="O26" s="6"/>
      <c r="P26" s="6"/>
      <c r="Q26" s="6"/>
    </row>
    <row r="27" spans="1:17" s="5" customFormat="1" x14ac:dyDescent="0.25">
      <c r="A27" s="4">
        <v>16</v>
      </c>
      <c r="B27" s="57" t="s">
        <v>363</v>
      </c>
      <c r="C27" s="13"/>
      <c r="D27" s="13"/>
      <c r="E27" s="13"/>
      <c r="F27" s="13"/>
      <c r="G27" s="13"/>
      <c r="H27" s="13"/>
      <c r="I27" s="13"/>
      <c r="J27" s="13"/>
      <c r="K27" s="49">
        <v>4</v>
      </c>
      <c r="L27" s="6"/>
      <c r="M27" s="6"/>
      <c r="O27" s="6"/>
      <c r="P27" s="6"/>
      <c r="Q27" s="6"/>
    </row>
    <row r="28" spans="1:17" s="5" customFormat="1" x14ac:dyDescent="0.25">
      <c r="A28" s="4">
        <v>17</v>
      </c>
      <c r="B28" s="57" t="s">
        <v>364</v>
      </c>
      <c r="C28" s="13"/>
      <c r="D28" s="13"/>
      <c r="E28" s="13"/>
      <c r="F28" s="13"/>
      <c r="G28" s="13"/>
      <c r="H28" s="13"/>
      <c r="I28" s="13"/>
      <c r="J28" s="13"/>
      <c r="K28" s="49">
        <v>4</v>
      </c>
      <c r="L28" s="6"/>
      <c r="M28" s="6"/>
      <c r="O28" s="6"/>
      <c r="P28" s="6"/>
      <c r="Q28" s="6"/>
    </row>
    <row r="29" spans="1:17" s="5" customFormat="1" x14ac:dyDescent="0.25">
      <c r="A29" s="4">
        <v>18</v>
      </c>
      <c r="B29" s="57" t="s">
        <v>365</v>
      </c>
      <c r="C29" s="13"/>
      <c r="D29" s="13"/>
      <c r="E29" s="13"/>
      <c r="F29" s="13"/>
      <c r="G29" s="13"/>
      <c r="H29" s="13"/>
      <c r="I29" s="13"/>
      <c r="J29" s="13"/>
      <c r="K29" s="49">
        <v>4</v>
      </c>
      <c r="L29" s="6"/>
      <c r="M29" s="6"/>
      <c r="O29" s="6"/>
      <c r="P29" s="6"/>
      <c r="Q29" s="6"/>
    </row>
    <row r="30" spans="1:17" s="5" customFormat="1" x14ac:dyDescent="0.25">
      <c r="A30" s="4">
        <v>19</v>
      </c>
      <c r="B30" s="57" t="s">
        <v>366</v>
      </c>
      <c r="C30" s="13"/>
      <c r="D30" s="13"/>
      <c r="E30" s="13"/>
      <c r="F30" s="13"/>
      <c r="G30" s="13"/>
      <c r="H30" s="13"/>
      <c r="I30" s="13"/>
      <c r="J30" s="13"/>
      <c r="K30" s="49">
        <v>4</v>
      </c>
      <c r="L30" s="6"/>
      <c r="M30" s="6"/>
      <c r="O30" s="6"/>
      <c r="P30" s="6"/>
      <c r="Q30" s="6"/>
    </row>
    <row r="31" spans="1:17" s="5" customFormat="1" ht="15.75" thickBot="1" x14ac:dyDescent="0.3">
      <c r="A31" s="4">
        <v>20</v>
      </c>
      <c r="B31" s="57" t="s">
        <v>367</v>
      </c>
      <c r="C31" s="13"/>
      <c r="D31" s="13"/>
      <c r="E31" s="13"/>
      <c r="F31" s="13"/>
      <c r="G31" s="13"/>
      <c r="H31" s="13"/>
      <c r="I31" s="13"/>
      <c r="J31" s="13"/>
      <c r="K31" s="50">
        <v>4</v>
      </c>
      <c r="L31" s="6"/>
      <c r="M31" s="6"/>
      <c r="O31" s="6"/>
      <c r="P31" s="6"/>
      <c r="Q31" s="6"/>
    </row>
    <row r="32" spans="1:17" s="5" customFormat="1" x14ac:dyDescent="0.25">
      <c r="A32" s="4"/>
      <c r="B32" s="6"/>
      <c r="C32" s="15"/>
      <c r="D32" s="6"/>
      <c r="E32" s="15"/>
      <c r="G32" s="6"/>
      <c r="H32" s="6"/>
      <c r="I32" s="6"/>
      <c r="K32" s="6"/>
      <c r="L32" s="6"/>
      <c r="M32" s="6"/>
      <c r="O32" s="6"/>
      <c r="P32" s="6"/>
      <c r="Q32" s="6"/>
    </row>
    <row r="33" spans="1:17" s="5" customFormat="1" ht="134.25" customHeight="1" x14ac:dyDescent="0.25">
      <c r="A33" s="96" t="s">
        <v>374</v>
      </c>
      <c r="B33" s="96"/>
      <c r="C33" s="96"/>
      <c r="D33" s="96"/>
      <c r="E33" s="96"/>
      <c r="F33" s="96"/>
      <c r="G33" s="96"/>
      <c r="H33" s="96"/>
      <c r="I33" s="96"/>
      <c r="J33" s="96"/>
      <c r="K33" s="96"/>
      <c r="L33" s="96"/>
      <c r="M33" s="96"/>
      <c r="N33" s="96"/>
      <c r="O33" s="96"/>
      <c r="P33" s="96"/>
      <c r="Q33" s="9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sheetData>
  <sheetProtection sheet="1" objects="1" scenarios="1"/>
  <mergeCells count="7">
    <mergeCell ref="A33:Q33"/>
    <mergeCell ref="G2:I2"/>
    <mergeCell ref="K2:M2"/>
    <mergeCell ref="O2:Q2"/>
    <mergeCell ref="H3:I3"/>
    <mergeCell ref="L3:M3"/>
    <mergeCell ref="P3:Q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BF55-7660-4A1B-8F64-BDAA450D4B45}">
  <dimension ref="A1:AD63"/>
  <sheetViews>
    <sheetView topLeftCell="A45" zoomScale="160" zoomScaleNormal="160" workbookViewId="0">
      <selection activeCell="A63" sqref="A63:Q63"/>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457</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404</v>
      </c>
      <c r="C2" s="15"/>
      <c r="D2" s="5"/>
      <c r="E2" s="15"/>
      <c r="F2" s="5"/>
      <c r="G2" s="6" t="s">
        <v>1</v>
      </c>
      <c r="H2" s="6"/>
      <c r="I2" s="6"/>
      <c r="J2" s="5"/>
      <c r="K2" s="6" t="s">
        <v>2</v>
      </c>
      <c r="L2" s="6"/>
      <c r="M2" s="6"/>
      <c r="N2" s="5"/>
      <c r="O2" s="6" t="s">
        <v>3</v>
      </c>
      <c r="P2" s="6"/>
      <c r="Q2" s="6"/>
    </row>
    <row r="3" spans="1:30" x14ac:dyDescent="0.25">
      <c r="A3" s="4"/>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x14ac:dyDescent="0.25">
      <c r="A5" s="4" t="s">
        <v>455</v>
      </c>
      <c r="B5" s="6" t="s">
        <v>371</v>
      </c>
      <c r="C5" s="37">
        <f>IF(COUNTBLANK($K$12:$K$61)=0,SUM($K$28,$K$30,$K$31,$K$33,$K$36,$K$37,$K$40,$K$42,$K$43,$K$47,$K$48,$K$49,$K$50,$K$52,$K$58,$K$59),IF(ISNUMBER($E5),$E5,"?"))</f>
        <v>18</v>
      </c>
      <c r="D5" s="38"/>
      <c r="E5" s="54">
        <v>18</v>
      </c>
      <c r="F5" s="5"/>
      <c r="G5" s="20">
        <f>IF(C5="?","?",IF(E5="","?",50-EXP(-0.453*(E5-5.5))+0.895*E5))</f>
        <v>66.106526178520227</v>
      </c>
      <c r="H5" s="23">
        <f>IF(C5="?","?",IF(E5="","?",-22.2+47.792*LN(E5+1.8)-1.47*E5))</f>
        <v>94.0317111665818</v>
      </c>
      <c r="I5" s="24">
        <f>IF(C5="?","?",IF(E5="","?",-10.2+(137.1/(1+EXP(-0.1203*(E5-21.59))))))</f>
        <v>43.773282657384527</v>
      </c>
      <c r="J5" s="5"/>
      <c r="K5" s="20">
        <f>IF(C5="?","?",IF(E5="","?",41.1+7.033*LN(E5+0.7)+0.304*E5))</f>
        <v>67.168305943311182</v>
      </c>
      <c r="L5" s="23">
        <f>IF(C5="?","?",IF(E5="","?",6.1+38.536*LN(E5+1)-1.315*E5))</f>
        <v>95.896900501157944</v>
      </c>
      <c r="M5" s="24">
        <f>IF(C5="?","?",IF(E5="","?",-25.7+(156.7/(1+EXP(-0.09404*(E5-18.68))))))</f>
        <v>50.14572176565369</v>
      </c>
      <c r="N5" s="5"/>
      <c r="O5" s="20">
        <f>IF(C5="?","?",IF(E5="","?",48.4-EXP(-0.438*(E5-5.7))+0.921*E5))</f>
        <v>64.97342615010075</v>
      </c>
      <c r="P5" s="23">
        <f>IF(C5="?","?",IF(E5="","?",-65+62.441*LN(E5+3)-1.814*E5))</f>
        <v>92.451025533888256</v>
      </c>
      <c r="Q5" s="24">
        <f>IF(C5="?","?",IF(E5="","?",-6.3+(131.3/(1+EXP(-0.1336*(E5-22.46))))))</f>
        <v>40.349885150052359</v>
      </c>
    </row>
    <row r="6" spans="1:30" x14ac:dyDescent="0.25">
      <c r="A6" s="4" t="s">
        <v>72</v>
      </c>
      <c r="B6" s="6" t="s">
        <v>456</v>
      </c>
      <c r="C6" s="37">
        <f>IF(COUNTBLANK($K$12:$K$61)=0,SUM($K$39,$K$41,$K$44,$K$45,$K$46,$K$57),IF(ISNUMBER($E6),$E6,"?"))</f>
        <v>10</v>
      </c>
      <c r="D6" s="38"/>
      <c r="E6" s="55">
        <v>10</v>
      </c>
      <c r="F6" s="5"/>
      <c r="G6" s="21">
        <f>IF(C6="?","?",IF(E6="","?",47.4+(27.024*E6-0.9644*E6^2)/(1+1.301*E6-0.07149*E6^2)))</f>
        <v>72.731584317154926</v>
      </c>
      <c r="H6" s="25">
        <f>IF(C6="?","?",IF(E6="","?",84+6.614*LN(E6+0)))</f>
        <v>99.229297805062615</v>
      </c>
      <c r="I6" s="26">
        <f>IF(C6="?","?",IF(E6="","?",6.9+(31.739*E6)/(1+0.28*E6)))</f>
        <v>90.423684210526318</v>
      </c>
      <c r="J6" s="5"/>
      <c r="K6" s="21">
        <f>IF(C6="?","?",IF(E6="","?",47.5+(30.634*E6-0.1706*E6^2)/(1+1.61*E6-0.06033*E6^2)))</f>
        <v>73.638971717719343</v>
      </c>
      <c r="L6" s="25">
        <f>IF(C6="?","?",IF(E6="","?",20+(264.107*E6)/(1+3.26*E6)))</f>
        <v>98.603273809523827</v>
      </c>
      <c r="M6" s="26">
        <f>IF(C6="?","?",IF(E6="","?",16.6+30.697*LN(E6+0.7)))</f>
        <v>89.35937213183891</v>
      </c>
      <c r="N6" s="5"/>
      <c r="O6" s="21">
        <f>IF(C6="?","?",IF(E6="","?",47.3+(25.279*E6-1.254*E6^2)/(1+1.165*E6-0.07499*E6^2)))</f>
        <v>72.031120170840609</v>
      </c>
      <c r="P6" s="25">
        <f>IF(C6="?","?",IF(E6="","?",83.5+6.728*LN(E6+0)))</f>
        <v>98.991792505663938</v>
      </c>
      <c r="Q6" s="26">
        <f>IF(C6="?","?",IF(E6="","?",6.3+(31.913*E6)/(1+0.27*E6)))</f>
        <v>92.551351351351343</v>
      </c>
    </row>
    <row r="7" spans="1:30" x14ac:dyDescent="0.25">
      <c r="A7" s="4" t="s">
        <v>73</v>
      </c>
      <c r="B7" s="6" t="s">
        <v>13</v>
      </c>
      <c r="C7" s="37">
        <f>IF(COUNTBLANK($K$12:$K$61)=0,SUM($K$29,$K$32,$K$34,$K$35,$K$38,$K$51,$K$53,$K$54,$K$55,$K$56,$K$60,$K$61),IF(ISNUMBER($E7),$E7,"?"))</f>
        <v>14</v>
      </c>
      <c r="D7" s="38"/>
      <c r="E7" s="55">
        <v>14</v>
      </c>
      <c r="F7" s="5"/>
      <c r="G7" s="21">
        <f>IF(C7="?","?",IF(E7="","?",45.9+(23.493*E7+2.076*E7^2)/(1+1.376*E7+0.03085*E7^2)))</f>
        <v>73.865838863423861</v>
      </c>
      <c r="H7" s="25">
        <f>IF(C7="?","?",IF(E7="","?",17.1+(170.598*E7)/(1+2.01*E7)))</f>
        <v>99.061976664378875</v>
      </c>
      <c r="I7" s="26">
        <f>IF(C7="?","?",IF(E7="","?",3.6+31.897*LN(E7+1)))</f>
        <v>89.978677264557192</v>
      </c>
      <c r="J7" s="5"/>
      <c r="K7" s="21">
        <f>IF(C7="?","?",IF(E7="","?",57.2+5.407*LN(E7+0.1)+0.249*E7))</f>
        <v>74.99386712945595</v>
      </c>
      <c r="L7" s="25">
        <f>IF(C7="?","?",IF(E7="","?",18.5+(227.333*E7)/(1+2.74*E7)))</f>
        <v>99.360315040650406</v>
      </c>
      <c r="M7" s="26">
        <f>IF(C7="?","?",IF(E7="","?",4.2+35.97*LN(E7+1)-0.799*E7))</f>
        <v>90.422565733646508</v>
      </c>
      <c r="N7" s="5"/>
      <c r="O7" s="21">
        <f>IF(C7="?","?",IF(E7="","?",54.3+4.815*LN(E7+0.2)+0.429*E7))</f>
        <v>73.081360059583744</v>
      </c>
      <c r="P7" s="25">
        <f>IF(C7="?","?",IF(E7="","?",15.9+(138.588*E7)/(1+1.6*E7)))</f>
        <v>98.815897435897426</v>
      </c>
      <c r="Q7" s="26">
        <f>IF(C7="?","?",IF(E7="","?",7+(16.782*E7)/(1+0.13*E7)))</f>
        <v>90.314893617021269</v>
      </c>
    </row>
    <row r="8" spans="1:30" ht="15.75" thickBot="1" x14ac:dyDescent="0.3">
      <c r="A8" s="4" t="s">
        <v>69</v>
      </c>
      <c r="B8" s="6" t="s">
        <v>371</v>
      </c>
      <c r="C8" s="37">
        <f>IF(COUNTBLANK($K$12:$K$61)=0,SUM($K$12,$K$13,$K$14,$K$15,$K$16,$K$17,$K$18,$K$19,$K$20,$K$21,$K$22,$K$23,$K$24,$K$25,$K$26,$K$27),IF(ISNUMBER($E8),$E8,"?"))</f>
        <v>0</v>
      </c>
      <c r="D8" s="38"/>
      <c r="E8" s="39">
        <v>0</v>
      </c>
      <c r="F8" s="5"/>
      <c r="G8" s="22">
        <f>IF(C8="?","?",IF(E8="","?",36.7+(5.473*E8-0.05225*E8^2)/(1+0.1286*E8-0.002524*E8^2)))</f>
        <v>36.700000000000003</v>
      </c>
      <c r="H8" s="27">
        <f>IF(C8="?","?",IF(E8="","?",-477.8+(578/(1+EXP(-0.2072*(E8+7.81))))))</f>
        <v>4.5705685460461041</v>
      </c>
      <c r="I8" s="28">
        <f>IF(C8="?","?",IF(E8="","?",0+(0.883*E8+0.3282*E8^2)/(1-0.02983*E8+0.003481*E8^2)))</f>
        <v>0</v>
      </c>
      <c r="J8" s="5"/>
      <c r="K8" s="22">
        <f>IF(C8="?","?",IF(E8="","?",38.1+(5.895*E8-0.1513*E8^2)/(1+0.1124*E8-0.003958*E8^2)))</f>
        <v>38.1</v>
      </c>
      <c r="L8" s="27">
        <f>IF(C8="?","?",IF(E8="","?",99.8-EXP(-0.236*(E8-19.3))))</f>
        <v>4.7122642134607986</v>
      </c>
      <c r="M8" s="28">
        <f>IF(C8="?","?",IF(E8="","?",0.5+(-0.475*E8+0.7428*E8^2)/(1-0.006604*E8+0.006541*E8^2)))</f>
        <v>0.5</v>
      </c>
      <c r="N8" s="5"/>
      <c r="O8" s="22">
        <f>IF(C8="?","?",IF(E8="","?",35.1+(5.425*E8+0.05287*E8^2)/(1+0.1582*E8-0.001221*E8^2)))</f>
        <v>35.1</v>
      </c>
      <c r="P8" s="27">
        <f>IF(C8="?","?",IF(E8="","?",-138.5+(238.8/(1+EXP(-0.2117*(E8+1.82))))))</f>
        <v>3.6216562190342358</v>
      </c>
      <c r="Q8" s="28">
        <f>IF(C8="?","?",IF(E8="","?",0+(0.878*E8+0.2986*E8^2)/(1-0.02911*E8+0.003108*E8^2)))</f>
        <v>0</v>
      </c>
    </row>
    <row r="9" spans="1:30"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c r="Z9" s="30"/>
      <c r="AA9" s="30"/>
      <c r="AB9" s="30"/>
      <c r="AC9" s="30"/>
      <c r="AD9" s="30"/>
    </row>
    <row r="10" spans="1:30" s="5" customFormat="1" x14ac:dyDescent="0.25">
      <c r="A10" s="4"/>
      <c r="B10" s="6"/>
      <c r="C10" s="15"/>
      <c r="E10" s="15"/>
      <c r="G10" s="6"/>
      <c r="H10" s="6"/>
      <c r="I10" s="6"/>
      <c r="K10" s="6"/>
      <c r="L10" s="6"/>
      <c r="M10" s="6"/>
      <c r="O10" s="6"/>
      <c r="P10" s="6"/>
      <c r="Q10" s="6"/>
    </row>
    <row r="11" spans="1:30" s="5" customFormat="1" ht="16.5" thickBot="1" x14ac:dyDescent="0.3">
      <c r="A11" s="1" t="s">
        <v>15</v>
      </c>
      <c r="B11" s="2" t="s">
        <v>14</v>
      </c>
      <c r="C11" s="14"/>
      <c r="D11" s="2"/>
      <c r="E11" s="14"/>
      <c r="F11" s="3"/>
      <c r="G11" s="2"/>
      <c r="H11" s="2"/>
      <c r="I11" s="2"/>
      <c r="J11" s="3"/>
      <c r="K11" s="2" t="s">
        <v>36</v>
      </c>
      <c r="L11" s="2"/>
      <c r="M11" s="2"/>
      <c r="N11" s="3"/>
      <c r="O11" s="2"/>
      <c r="P11" s="2"/>
      <c r="Q11" s="2"/>
    </row>
    <row r="12" spans="1:30" s="5" customFormat="1" x14ac:dyDescent="0.25">
      <c r="A12" s="4">
        <v>1</v>
      </c>
      <c r="B12" s="58" t="s">
        <v>405</v>
      </c>
      <c r="C12" s="13"/>
      <c r="D12" s="13"/>
      <c r="E12" s="13"/>
      <c r="F12" s="13"/>
      <c r="G12" s="13"/>
      <c r="H12" s="13"/>
      <c r="I12" s="13"/>
      <c r="J12" s="13"/>
      <c r="K12" s="48">
        <v>0</v>
      </c>
      <c r="L12" s="6"/>
      <c r="M12" s="6"/>
      <c r="O12" s="6"/>
      <c r="P12" s="6"/>
      <c r="Q12" s="6"/>
    </row>
    <row r="13" spans="1:30" s="5" customFormat="1" x14ac:dyDescent="0.25">
      <c r="A13" s="4">
        <v>2</v>
      </c>
      <c r="B13" s="58" t="s">
        <v>406</v>
      </c>
      <c r="C13" s="13"/>
      <c r="D13" s="13"/>
      <c r="E13" s="13"/>
      <c r="F13" s="13"/>
      <c r="G13" s="13"/>
      <c r="H13" s="13"/>
      <c r="I13" s="13"/>
      <c r="J13" s="13"/>
      <c r="K13" s="49">
        <v>0</v>
      </c>
      <c r="L13" s="6"/>
      <c r="M13" s="6"/>
      <c r="O13" s="6"/>
      <c r="P13" s="6"/>
      <c r="Q13" s="6"/>
    </row>
    <row r="14" spans="1:30" s="5" customFormat="1" x14ac:dyDescent="0.25">
      <c r="A14" s="4">
        <v>3</v>
      </c>
      <c r="B14" s="58" t="s">
        <v>407</v>
      </c>
      <c r="C14" s="13"/>
      <c r="D14" s="13"/>
      <c r="E14" s="13"/>
      <c r="F14" s="13"/>
      <c r="G14" s="13"/>
      <c r="H14" s="13"/>
      <c r="I14" s="13"/>
      <c r="J14" s="13"/>
      <c r="K14" s="49">
        <v>0</v>
      </c>
      <c r="L14" s="6"/>
      <c r="M14" s="6"/>
      <c r="O14" s="6"/>
      <c r="P14" s="6"/>
      <c r="Q14" s="6"/>
    </row>
    <row r="15" spans="1:30" s="5" customFormat="1" x14ac:dyDescent="0.25">
      <c r="A15" s="4">
        <v>4</v>
      </c>
      <c r="B15" s="58" t="s">
        <v>408</v>
      </c>
      <c r="C15" s="13"/>
      <c r="D15" s="13"/>
      <c r="E15" s="13"/>
      <c r="F15" s="13"/>
      <c r="G15" s="13"/>
      <c r="H15" s="13"/>
      <c r="I15" s="13"/>
      <c r="J15" s="13"/>
      <c r="K15" s="49">
        <v>0</v>
      </c>
      <c r="L15" s="6"/>
      <c r="M15" s="6"/>
      <c r="O15" s="6"/>
      <c r="P15" s="6"/>
      <c r="Q15" s="6"/>
    </row>
    <row r="16" spans="1:30" s="5" customFormat="1" x14ac:dyDescent="0.25">
      <c r="A16" s="4">
        <v>5</v>
      </c>
      <c r="B16" s="58" t="s">
        <v>409</v>
      </c>
      <c r="C16" s="13"/>
      <c r="D16" s="13"/>
      <c r="E16" s="13"/>
      <c r="F16" s="13"/>
      <c r="G16" s="13"/>
      <c r="H16" s="13"/>
      <c r="I16" s="13"/>
      <c r="J16" s="13"/>
      <c r="K16" s="49">
        <v>0</v>
      </c>
      <c r="L16" s="6"/>
      <c r="M16" s="6"/>
      <c r="O16" s="6"/>
      <c r="P16" s="6"/>
      <c r="Q16" s="6"/>
    </row>
    <row r="17" spans="1:17" s="5" customFormat="1" x14ac:dyDescent="0.25">
      <c r="A17" s="4">
        <v>6</v>
      </c>
      <c r="B17" s="58" t="s">
        <v>410</v>
      </c>
      <c r="C17" s="13"/>
      <c r="D17" s="13"/>
      <c r="E17" s="13"/>
      <c r="F17" s="13"/>
      <c r="G17" s="13"/>
      <c r="H17" s="13"/>
      <c r="I17" s="13"/>
      <c r="J17" s="13"/>
      <c r="K17" s="49">
        <v>0</v>
      </c>
      <c r="L17" s="6"/>
      <c r="M17" s="6"/>
      <c r="O17" s="6"/>
      <c r="P17" s="6"/>
      <c r="Q17" s="6"/>
    </row>
    <row r="18" spans="1:17" s="5" customFormat="1" x14ac:dyDescent="0.25">
      <c r="A18" s="4">
        <v>7</v>
      </c>
      <c r="B18" s="58" t="s">
        <v>411</v>
      </c>
      <c r="C18" s="13"/>
      <c r="D18" s="13"/>
      <c r="E18" s="13"/>
      <c r="F18" s="13"/>
      <c r="G18" s="13"/>
      <c r="H18" s="13"/>
      <c r="I18" s="13"/>
      <c r="J18" s="13"/>
      <c r="K18" s="49">
        <v>0</v>
      </c>
      <c r="L18" s="6"/>
      <c r="M18" s="6"/>
      <c r="O18" s="6"/>
      <c r="P18" s="6"/>
      <c r="Q18" s="6"/>
    </row>
    <row r="19" spans="1:17" s="5" customFormat="1" x14ac:dyDescent="0.25">
      <c r="A19" s="4">
        <v>8</v>
      </c>
      <c r="B19" s="58" t="s">
        <v>412</v>
      </c>
      <c r="C19" s="13"/>
      <c r="D19" s="13"/>
      <c r="E19" s="13"/>
      <c r="F19" s="13"/>
      <c r="G19" s="13"/>
      <c r="H19" s="13"/>
      <c r="I19" s="13"/>
      <c r="J19" s="13"/>
      <c r="K19" s="49">
        <v>0</v>
      </c>
      <c r="L19" s="6"/>
      <c r="M19" s="6"/>
      <c r="O19" s="6"/>
      <c r="P19" s="6"/>
      <c r="Q19" s="6"/>
    </row>
    <row r="20" spans="1:17" s="5" customFormat="1" x14ac:dyDescent="0.25">
      <c r="A20" s="4">
        <v>9</v>
      </c>
      <c r="B20" s="58" t="s">
        <v>413</v>
      </c>
      <c r="C20" s="13"/>
      <c r="D20" s="13"/>
      <c r="E20" s="13"/>
      <c r="F20" s="13"/>
      <c r="G20" s="13"/>
      <c r="H20" s="13"/>
      <c r="I20" s="13"/>
      <c r="J20" s="13"/>
      <c r="K20" s="49">
        <v>0</v>
      </c>
      <c r="L20" s="6"/>
      <c r="M20" s="6"/>
      <c r="O20" s="6"/>
      <c r="P20" s="6"/>
      <c r="Q20" s="6"/>
    </row>
    <row r="21" spans="1:17" s="5" customFormat="1" x14ac:dyDescent="0.25">
      <c r="A21" s="4">
        <v>10</v>
      </c>
      <c r="B21" s="58" t="s">
        <v>414</v>
      </c>
      <c r="C21" s="13"/>
      <c r="D21" s="13"/>
      <c r="E21" s="13"/>
      <c r="F21" s="13"/>
      <c r="G21" s="13"/>
      <c r="H21" s="13"/>
      <c r="I21" s="13"/>
      <c r="J21" s="13"/>
      <c r="K21" s="49">
        <v>0</v>
      </c>
      <c r="L21" s="6"/>
      <c r="M21" s="6"/>
      <c r="O21" s="6"/>
      <c r="P21" s="6"/>
      <c r="Q21" s="6"/>
    </row>
    <row r="22" spans="1:17" s="5" customFormat="1" x14ac:dyDescent="0.25">
      <c r="A22" s="4">
        <v>11</v>
      </c>
      <c r="B22" s="58" t="s">
        <v>415</v>
      </c>
      <c r="C22" s="13"/>
      <c r="D22" s="13"/>
      <c r="E22" s="13"/>
      <c r="F22" s="13"/>
      <c r="G22" s="13"/>
      <c r="H22" s="13"/>
      <c r="I22" s="13"/>
      <c r="J22" s="13"/>
      <c r="K22" s="49">
        <v>0</v>
      </c>
      <c r="L22" s="6"/>
      <c r="M22" s="6"/>
      <c r="O22" s="6"/>
      <c r="P22" s="6"/>
      <c r="Q22" s="6"/>
    </row>
    <row r="23" spans="1:17" s="5" customFormat="1" x14ac:dyDescent="0.25">
      <c r="A23" s="4">
        <v>12</v>
      </c>
      <c r="B23" s="58" t="s">
        <v>416</v>
      </c>
      <c r="C23" s="13"/>
      <c r="D23" s="13"/>
      <c r="E23" s="13"/>
      <c r="F23" s="13"/>
      <c r="G23" s="13"/>
      <c r="H23" s="13"/>
      <c r="I23" s="13"/>
      <c r="J23" s="13"/>
      <c r="K23" s="49">
        <v>0</v>
      </c>
      <c r="L23" s="6"/>
      <c r="M23" s="6"/>
      <c r="O23" s="6"/>
      <c r="P23" s="6"/>
      <c r="Q23" s="6"/>
    </row>
    <row r="24" spans="1:17" s="5" customFormat="1" x14ac:dyDescent="0.25">
      <c r="A24" s="4">
        <v>13</v>
      </c>
      <c r="B24" s="58" t="s">
        <v>417</v>
      </c>
      <c r="C24" s="13"/>
      <c r="D24" s="13"/>
      <c r="E24" s="13"/>
      <c r="F24" s="13"/>
      <c r="G24" s="13"/>
      <c r="H24" s="13"/>
      <c r="I24" s="13"/>
      <c r="J24" s="13"/>
      <c r="K24" s="49">
        <v>0</v>
      </c>
      <c r="L24" s="6"/>
      <c r="M24" s="6"/>
      <c r="O24" s="6"/>
      <c r="P24" s="6"/>
      <c r="Q24" s="6"/>
    </row>
    <row r="25" spans="1:17" s="5" customFormat="1" x14ac:dyDescent="0.25">
      <c r="A25" s="4">
        <v>14</v>
      </c>
      <c r="B25" s="58" t="s">
        <v>418</v>
      </c>
      <c r="C25" s="13"/>
      <c r="D25" s="13"/>
      <c r="E25" s="13"/>
      <c r="F25" s="13"/>
      <c r="G25" s="13"/>
      <c r="H25" s="13"/>
      <c r="I25" s="13"/>
      <c r="J25" s="13"/>
      <c r="K25" s="49">
        <v>0</v>
      </c>
      <c r="L25" s="6"/>
      <c r="M25" s="6"/>
      <c r="O25" s="6"/>
      <c r="P25" s="6"/>
      <c r="Q25" s="6"/>
    </row>
    <row r="26" spans="1:17" s="5" customFormat="1" x14ac:dyDescent="0.25">
      <c r="A26" s="4">
        <v>15</v>
      </c>
      <c r="B26" s="58" t="s">
        <v>419</v>
      </c>
      <c r="C26" s="13"/>
      <c r="D26" s="13"/>
      <c r="E26" s="13"/>
      <c r="F26" s="13"/>
      <c r="G26" s="13"/>
      <c r="H26" s="13"/>
      <c r="I26" s="13"/>
      <c r="J26" s="13"/>
      <c r="K26" s="49">
        <v>0</v>
      </c>
      <c r="L26" s="6"/>
      <c r="M26" s="6"/>
      <c r="O26" s="6"/>
      <c r="P26" s="6"/>
      <c r="Q26" s="6"/>
    </row>
    <row r="27" spans="1:17" s="5" customFormat="1" x14ac:dyDescent="0.25">
      <c r="A27" s="4">
        <v>16</v>
      </c>
      <c r="B27" s="58" t="s">
        <v>420</v>
      </c>
      <c r="C27" s="13"/>
      <c r="D27" s="13"/>
      <c r="E27" s="13"/>
      <c r="F27" s="13"/>
      <c r="G27" s="13"/>
      <c r="H27" s="13"/>
      <c r="I27" s="13"/>
      <c r="J27" s="13"/>
      <c r="K27" s="49">
        <v>0</v>
      </c>
      <c r="L27" s="6"/>
      <c r="M27" s="6"/>
      <c r="O27" s="6"/>
      <c r="P27" s="6"/>
      <c r="Q27" s="6"/>
    </row>
    <row r="28" spans="1:17" s="5" customFormat="1" x14ac:dyDescent="0.25">
      <c r="A28" s="4">
        <v>17</v>
      </c>
      <c r="B28" s="58" t="s">
        <v>421</v>
      </c>
      <c r="C28" s="13"/>
      <c r="D28" s="13"/>
      <c r="E28" s="13"/>
      <c r="F28" s="13"/>
      <c r="G28" s="13"/>
      <c r="H28" s="13"/>
      <c r="I28" s="13"/>
      <c r="J28" s="13"/>
      <c r="K28" s="49">
        <v>0</v>
      </c>
      <c r="L28" s="6"/>
      <c r="M28" s="6"/>
      <c r="O28" s="6"/>
      <c r="P28" s="6"/>
      <c r="Q28" s="6"/>
    </row>
    <row r="29" spans="1:17" s="5" customFormat="1" x14ac:dyDescent="0.25">
      <c r="A29" s="4">
        <v>18</v>
      </c>
      <c r="B29" s="58" t="s">
        <v>422</v>
      </c>
      <c r="C29" s="13"/>
      <c r="D29" s="13"/>
      <c r="E29" s="13"/>
      <c r="F29" s="13"/>
      <c r="G29" s="13"/>
      <c r="H29" s="13"/>
      <c r="I29" s="13"/>
      <c r="J29" s="13"/>
      <c r="K29" s="49">
        <v>0</v>
      </c>
      <c r="L29" s="6"/>
      <c r="M29" s="6"/>
      <c r="O29" s="6"/>
      <c r="P29" s="6"/>
      <c r="Q29" s="6"/>
    </row>
    <row r="30" spans="1:17" s="5" customFormat="1" x14ac:dyDescent="0.25">
      <c r="A30" s="4">
        <v>19</v>
      </c>
      <c r="B30" s="58" t="s">
        <v>423</v>
      </c>
      <c r="C30" s="13"/>
      <c r="D30" s="13"/>
      <c r="E30" s="13"/>
      <c r="F30" s="13"/>
      <c r="G30" s="13"/>
      <c r="H30" s="13"/>
      <c r="I30" s="13"/>
      <c r="J30" s="13"/>
      <c r="K30" s="49">
        <v>0</v>
      </c>
      <c r="L30" s="6"/>
      <c r="M30" s="6"/>
      <c r="O30" s="6"/>
      <c r="P30" s="6"/>
      <c r="Q30" s="6"/>
    </row>
    <row r="31" spans="1:17" s="5" customFormat="1" x14ac:dyDescent="0.25">
      <c r="A31" s="4">
        <v>20</v>
      </c>
      <c r="B31" s="58" t="s">
        <v>424</v>
      </c>
      <c r="C31" s="13"/>
      <c r="D31" s="13"/>
      <c r="E31" s="13"/>
      <c r="F31" s="13"/>
      <c r="G31" s="13"/>
      <c r="H31" s="13"/>
      <c r="I31" s="13"/>
      <c r="J31" s="13"/>
      <c r="K31" s="49">
        <v>0</v>
      </c>
      <c r="L31" s="6"/>
      <c r="M31" s="6"/>
      <c r="O31" s="6"/>
      <c r="P31" s="6"/>
      <c r="Q31" s="6"/>
    </row>
    <row r="32" spans="1:17" s="5" customFormat="1" x14ac:dyDescent="0.25">
      <c r="A32" s="4">
        <v>21</v>
      </c>
      <c r="B32" s="58" t="s">
        <v>425</v>
      </c>
      <c r="C32" s="13"/>
      <c r="D32" s="13"/>
      <c r="E32" s="13"/>
      <c r="F32" s="13"/>
      <c r="G32" s="13"/>
      <c r="H32" s="13"/>
      <c r="I32" s="13"/>
      <c r="J32" s="13"/>
      <c r="K32" s="49">
        <v>0</v>
      </c>
      <c r="L32" s="6"/>
      <c r="M32" s="6"/>
      <c r="O32" s="6"/>
      <c r="P32" s="6"/>
      <c r="Q32" s="6"/>
    </row>
    <row r="33" spans="1:17" s="5" customFormat="1" x14ac:dyDescent="0.25">
      <c r="A33" s="4">
        <v>22</v>
      </c>
      <c r="B33" s="58" t="s">
        <v>426</v>
      </c>
      <c r="C33" s="13"/>
      <c r="D33" s="13"/>
      <c r="E33" s="13"/>
      <c r="F33" s="13"/>
      <c r="G33" s="13"/>
      <c r="H33" s="13"/>
      <c r="I33" s="13"/>
      <c r="J33" s="13"/>
      <c r="K33" s="49">
        <v>0</v>
      </c>
      <c r="L33" s="6"/>
      <c r="M33" s="6"/>
      <c r="O33" s="6"/>
      <c r="P33" s="6"/>
      <c r="Q33" s="6"/>
    </row>
    <row r="34" spans="1:17" s="5" customFormat="1" x14ac:dyDescent="0.25">
      <c r="A34" s="4">
        <v>23</v>
      </c>
      <c r="B34" s="58" t="s">
        <v>427</v>
      </c>
      <c r="C34" s="13"/>
      <c r="D34" s="13"/>
      <c r="E34" s="13"/>
      <c r="F34" s="13"/>
      <c r="G34" s="13"/>
      <c r="H34" s="13"/>
      <c r="I34" s="13"/>
      <c r="J34" s="13"/>
      <c r="K34" s="49">
        <v>0</v>
      </c>
      <c r="L34" s="6"/>
      <c r="M34" s="6"/>
      <c r="O34" s="6"/>
      <c r="P34" s="6"/>
      <c r="Q34" s="6"/>
    </row>
    <row r="35" spans="1:17" s="5" customFormat="1" x14ac:dyDescent="0.25">
      <c r="A35" s="4">
        <v>24</v>
      </c>
      <c r="B35" s="58" t="s">
        <v>428</v>
      </c>
      <c r="C35" s="13"/>
      <c r="D35" s="13"/>
      <c r="E35" s="13"/>
      <c r="F35" s="13"/>
      <c r="G35" s="13"/>
      <c r="H35" s="13"/>
      <c r="I35" s="13"/>
      <c r="J35" s="13"/>
      <c r="K35" s="49">
        <v>0</v>
      </c>
      <c r="L35" s="6"/>
      <c r="M35" s="6"/>
      <c r="O35" s="6"/>
      <c r="P35" s="6"/>
      <c r="Q35" s="6"/>
    </row>
    <row r="36" spans="1:17" s="5" customFormat="1" x14ac:dyDescent="0.25">
      <c r="A36" s="4">
        <v>25</v>
      </c>
      <c r="B36" s="58" t="s">
        <v>429</v>
      </c>
      <c r="C36" s="13"/>
      <c r="D36" s="13"/>
      <c r="E36" s="13"/>
      <c r="F36" s="13"/>
      <c r="G36" s="13"/>
      <c r="H36" s="13"/>
      <c r="I36" s="13"/>
      <c r="J36" s="13"/>
      <c r="K36" s="49">
        <v>0</v>
      </c>
      <c r="L36" s="6"/>
      <c r="M36" s="6"/>
      <c r="O36" s="6"/>
      <c r="P36" s="6"/>
      <c r="Q36" s="6"/>
    </row>
    <row r="37" spans="1:17" s="5" customFormat="1" x14ac:dyDescent="0.25">
      <c r="A37" s="4">
        <v>26</v>
      </c>
      <c r="B37" s="58" t="s">
        <v>430</v>
      </c>
      <c r="C37" s="13"/>
      <c r="D37" s="13"/>
      <c r="E37" s="13"/>
      <c r="F37" s="13"/>
      <c r="G37" s="13"/>
      <c r="H37" s="13"/>
      <c r="I37" s="13"/>
      <c r="J37" s="13"/>
      <c r="K37" s="49">
        <v>0</v>
      </c>
      <c r="L37" s="6"/>
      <c r="M37" s="6"/>
      <c r="O37" s="6"/>
      <c r="P37" s="6"/>
      <c r="Q37" s="6"/>
    </row>
    <row r="38" spans="1:17" s="5" customFormat="1" x14ac:dyDescent="0.25">
      <c r="A38" s="4">
        <v>27</v>
      </c>
      <c r="B38" s="58" t="s">
        <v>431</v>
      </c>
      <c r="C38" s="13"/>
      <c r="D38" s="13"/>
      <c r="E38" s="13"/>
      <c r="F38" s="13"/>
      <c r="G38" s="13"/>
      <c r="H38" s="13"/>
      <c r="I38" s="13"/>
      <c r="J38" s="13"/>
      <c r="K38" s="49">
        <v>0</v>
      </c>
      <c r="L38" s="6"/>
      <c r="M38" s="6"/>
      <c r="O38" s="6"/>
      <c r="P38" s="6"/>
      <c r="Q38" s="6"/>
    </row>
    <row r="39" spans="1:17" s="5" customFormat="1" x14ac:dyDescent="0.25">
      <c r="A39" s="4">
        <v>28</v>
      </c>
      <c r="B39" s="58" t="s">
        <v>432</v>
      </c>
      <c r="C39" s="13"/>
      <c r="D39" s="13"/>
      <c r="E39" s="13"/>
      <c r="F39" s="13"/>
      <c r="G39" s="13"/>
      <c r="H39" s="13"/>
      <c r="I39" s="13"/>
      <c r="J39" s="13"/>
      <c r="K39" s="49">
        <v>0</v>
      </c>
      <c r="L39" s="6"/>
      <c r="M39" s="6"/>
      <c r="O39" s="6"/>
      <c r="P39" s="6"/>
      <c r="Q39" s="6"/>
    </row>
    <row r="40" spans="1:17" s="5" customFormat="1" x14ac:dyDescent="0.25">
      <c r="A40" s="4">
        <v>29</v>
      </c>
      <c r="B40" s="58" t="s">
        <v>433</v>
      </c>
      <c r="C40" s="13"/>
      <c r="D40" s="13"/>
      <c r="E40" s="13"/>
      <c r="F40" s="13"/>
      <c r="G40" s="13"/>
      <c r="H40" s="13"/>
      <c r="I40" s="13"/>
      <c r="J40" s="13"/>
      <c r="K40" s="49">
        <v>0</v>
      </c>
      <c r="L40" s="6"/>
      <c r="M40" s="6"/>
      <c r="O40" s="6"/>
      <c r="P40" s="6"/>
      <c r="Q40" s="6"/>
    </row>
    <row r="41" spans="1:17" s="5" customFormat="1" x14ac:dyDescent="0.25">
      <c r="A41" s="4">
        <v>30</v>
      </c>
      <c r="B41" s="58" t="s">
        <v>434</v>
      </c>
      <c r="C41" s="13"/>
      <c r="D41" s="13"/>
      <c r="E41" s="13"/>
      <c r="F41" s="13"/>
      <c r="G41" s="13"/>
      <c r="H41" s="13"/>
      <c r="I41" s="13"/>
      <c r="J41" s="13"/>
      <c r="K41" s="49">
        <v>2</v>
      </c>
      <c r="L41" s="6"/>
      <c r="M41" s="6"/>
      <c r="O41" s="6"/>
      <c r="P41" s="6"/>
      <c r="Q41" s="6"/>
    </row>
    <row r="42" spans="1:17" s="5" customFormat="1" x14ac:dyDescent="0.25">
      <c r="A42" s="4">
        <v>31</v>
      </c>
      <c r="B42" s="58" t="s">
        <v>435</v>
      </c>
      <c r="C42" s="13"/>
      <c r="D42" s="13"/>
      <c r="E42" s="13"/>
      <c r="F42" s="13"/>
      <c r="G42" s="13"/>
      <c r="H42" s="13"/>
      <c r="I42" s="13"/>
      <c r="J42" s="13"/>
      <c r="K42" s="49">
        <v>2</v>
      </c>
      <c r="L42" s="6"/>
      <c r="M42" s="6"/>
      <c r="O42" s="6"/>
      <c r="P42" s="6"/>
      <c r="Q42" s="6"/>
    </row>
    <row r="43" spans="1:17" s="5" customFormat="1" x14ac:dyDescent="0.25">
      <c r="A43" s="4">
        <v>32</v>
      </c>
      <c r="B43" s="58" t="s">
        <v>436</v>
      </c>
      <c r="C43" s="13"/>
      <c r="D43" s="13"/>
      <c r="E43" s="13"/>
      <c r="F43" s="13"/>
      <c r="G43" s="13"/>
      <c r="H43" s="13"/>
      <c r="I43" s="13"/>
      <c r="J43" s="13"/>
      <c r="K43" s="49">
        <v>2</v>
      </c>
      <c r="L43" s="6"/>
      <c r="M43" s="6"/>
      <c r="O43" s="6"/>
      <c r="P43" s="6"/>
      <c r="Q43" s="6"/>
    </row>
    <row r="44" spans="1:17" s="5" customFormat="1" x14ac:dyDescent="0.25">
      <c r="A44" s="4">
        <v>33</v>
      </c>
      <c r="B44" s="58" t="s">
        <v>437</v>
      </c>
      <c r="C44" s="13"/>
      <c r="D44" s="13"/>
      <c r="E44" s="13"/>
      <c r="F44" s="13"/>
      <c r="G44" s="13"/>
      <c r="H44" s="13"/>
      <c r="I44" s="13"/>
      <c r="J44" s="13"/>
      <c r="K44" s="49">
        <v>2</v>
      </c>
      <c r="L44" s="6"/>
      <c r="M44" s="6"/>
      <c r="O44" s="6"/>
      <c r="P44" s="6"/>
      <c r="Q44" s="6"/>
    </row>
    <row r="45" spans="1:17" s="5" customFormat="1" x14ac:dyDescent="0.25">
      <c r="A45" s="4">
        <v>34</v>
      </c>
      <c r="B45" s="58" t="s">
        <v>438</v>
      </c>
      <c r="C45" s="13"/>
      <c r="D45" s="13"/>
      <c r="E45" s="13"/>
      <c r="F45" s="13"/>
      <c r="G45" s="13"/>
      <c r="H45" s="13"/>
      <c r="I45" s="13"/>
      <c r="J45" s="13"/>
      <c r="K45" s="49">
        <v>2</v>
      </c>
      <c r="L45" s="6"/>
      <c r="M45" s="6"/>
      <c r="O45" s="6"/>
      <c r="P45" s="6"/>
      <c r="Q45" s="6"/>
    </row>
    <row r="46" spans="1:17" s="5" customFormat="1" x14ac:dyDescent="0.25">
      <c r="A46" s="4">
        <v>35</v>
      </c>
      <c r="B46" s="58" t="s">
        <v>439</v>
      </c>
      <c r="C46" s="13"/>
      <c r="D46" s="13"/>
      <c r="E46" s="13"/>
      <c r="F46" s="13"/>
      <c r="G46" s="13"/>
      <c r="H46" s="13"/>
      <c r="I46" s="13"/>
      <c r="J46" s="13"/>
      <c r="K46" s="49">
        <v>2</v>
      </c>
      <c r="L46" s="6"/>
      <c r="M46" s="6"/>
      <c r="O46" s="6"/>
      <c r="P46" s="6"/>
      <c r="Q46" s="6"/>
    </row>
    <row r="47" spans="1:17" s="5" customFormat="1" x14ac:dyDescent="0.25">
      <c r="A47" s="4">
        <v>36</v>
      </c>
      <c r="B47" s="58" t="s">
        <v>440</v>
      </c>
      <c r="C47" s="13"/>
      <c r="D47" s="13"/>
      <c r="E47" s="13"/>
      <c r="F47" s="13"/>
      <c r="G47" s="13"/>
      <c r="H47" s="13"/>
      <c r="I47" s="13"/>
      <c r="J47" s="13"/>
      <c r="K47" s="49">
        <v>2</v>
      </c>
      <c r="L47" s="6"/>
      <c r="M47" s="6"/>
      <c r="O47" s="6"/>
      <c r="P47" s="6"/>
      <c r="Q47" s="6"/>
    </row>
    <row r="48" spans="1:17" s="5" customFormat="1" x14ac:dyDescent="0.25">
      <c r="A48" s="4">
        <v>37</v>
      </c>
      <c r="B48" s="58" t="s">
        <v>441</v>
      </c>
      <c r="C48" s="13"/>
      <c r="D48" s="13"/>
      <c r="E48" s="13"/>
      <c r="F48" s="13"/>
      <c r="G48" s="13"/>
      <c r="H48" s="13"/>
      <c r="I48" s="13"/>
      <c r="J48" s="13"/>
      <c r="K48" s="49">
        <v>2</v>
      </c>
      <c r="L48" s="6"/>
      <c r="M48" s="6"/>
      <c r="O48" s="6"/>
      <c r="P48" s="6"/>
      <c r="Q48" s="6"/>
    </row>
    <row r="49" spans="1:17" s="5" customFormat="1" x14ac:dyDescent="0.25">
      <c r="A49" s="4">
        <v>38</v>
      </c>
      <c r="B49" s="58" t="s">
        <v>442</v>
      </c>
      <c r="C49" s="13"/>
      <c r="D49" s="13"/>
      <c r="E49" s="13"/>
      <c r="F49" s="13"/>
      <c r="G49" s="13"/>
      <c r="H49" s="13"/>
      <c r="I49" s="13"/>
      <c r="J49" s="13"/>
      <c r="K49" s="49">
        <v>2</v>
      </c>
      <c r="L49" s="6"/>
      <c r="M49" s="6"/>
      <c r="O49" s="6"/>
      <c r="P49" s="6"/>
      <c r="Q49" s="6"/>
    </row>
    <row r="50" spans="1:17" s="5" customFormat="1" x14ac:dyDescent="0.25">
      <c r="A50" s="4">
        <v>39</v>
      </c>
      <c r="B50" s="58" t="s">
        <v>443</v>
      </c>
      <c r="C50" s="13"/>
      <c r="D50" s="13"/>
      <c r="E50" s="13"/>
      <c r="F50" s="13"/>
      <c r="G50" s="13"/>
      <c r="H50" s="13"/>
      <c r="I50" s="13"/>
      <c r="J50" s="13"/>
      <c r="K50" s="49">
        <v>2</v>
      </c>
      <c r="L50" s="6"/>
      <c r="M50" s="6"/>
      <c r="O50" s="6"/>
      <c r="P50" s="6"/>
      <c r="Q50" s="6"/>
    </row>
    <row r="51" spans="1:17" s="5" customFormat="1" x14ac:dyDescent="0.25">
      <c r="A51" s="4">
        <v>40</v>
      </c>
      <c r="B51" s="58" t="s">
        <v>444</v>
      </c>
      <c r="C51" s="13"/>
      <c r="D51" s="13"/>
      <c r="E51" s="13"/>
      <c r="F51" s="13"/>
      <c r="G51" s="13"/>
      <c r="H51" s="13"/>
      <c r="I51" s="13"/>
      <c r="J51" s="13"/>
      <c r="K51" s="49">
        <v>2</v>
      </c>
      <c r="L51" s="6"/>
      <c r="M51" s="6"/>
      <c r="O51" s="6"/>
      <c r="P51" s="6"/>
      <c r="Q51" s="6"/>
    </row>
    <row r="52" spans="1:17" s="5" customFormat="1" x14ac:dyDescent="0.25">
      <c r="A52" s="4">
        <v>41</v>
      </c>
      <c r="B52" s="58" t="s">
        <v>445</v>
      </c>
      <c r="C52" s="13"/>
      <c r="D52" s="13"/>
      <c r="E52" s="13"/>
      <c r="F52" s="13"/>
      <c r="G52" s="13"/>
      <c r="H52" s="13"/>
      <c r="I52" s="13"/>
      <c r="J52" s="13"/>
      <c r="K52" s="49">
        <v>2</v>
      </c>
      <c r="L52" s="6"/>
      <c r="M52" s="6"/>
      <c r="O52" s="6"/>
      <c r="P52" s="6"/>
      <c r="Q52" s="6"/>
    </row>
    <row r="53" spans="1:17" s="5" customFormat="1" x14ac:dyDescent="0.25">
      <c r="A53" s="4">
        <v>42</v>
      </c>
      <c r="B53" s="58" t="s">
        <v>446</v>
      </c>
      <c r="C53" s="13"/>
      <c r="D53" s="13"/>
      <c r="E53" s="13"/>
      <c r="F53" s="13"/>
      <c r="G53" s="13"/>
      <c r="H53" s="13"/>
      <c r="I53" s="13"/>
      <c r="J53" s="13"/>
      <c r="K53" s="49">
        <v>2</v>
      </c>
      <c r="L53" s="6"/>
      <c r="M53" s="6"/>
      <c r="O53" s="6"/>
      <c r="P53" s="6"/>
      <c r="Q53" s="6"/>
    </row>
    <row r="54" spans="1:17" s="5" customFormat="1" x14ac:dyDescent="0.25">
      <c r="A54" s="4">
        <v>43</v>
      </c>
      <c r="B54" s="58" t="s">
        <v>447</v>
      </c>
      <c r="C54" s="13"/>
      <c r="D54" s="13"/>
      <c r="E54" s="13"/>
      <c r="F54" s="13"/>
      <c r="G54" s="13"/>
      <c r="H54" s="13"/>
      <c r="I54" s="13"/>
      <c r="J54" s="13"/>
      <c r="K54" s="49">
        <v>2</v>
      </c>
      <c r="L54" s="6"/>
      <c r="M54" s="6"/>
      <c r="O54" s="6"/>
      <c r="P54" s="6"/>
      <c r="Q54" s="6"/>
    </row>
    <row r="55" spans="1:17" s="5" customFormat="1" x14ac:dyDescent="0.25">
      <c r="A55" s="4">
        <v>44</v>
      </c>
      <c r="B55" s="58" t="s">
        <v>448</v>
      </c>
      <c r="C55" s="13"/>
      <c r="D55" s="13"/>
      <c r="E55" s="13"/>
      <c r="F55" s="13"/>
      <c r="G55" s="13"/>
      <c r="H55" s="13"/>
      <c r="I55" s="13"/>
      <c r="J55" s="13"/>
      <c r="K55" s="49">
        <v>2</v>
      </c>
      <c r="L55" s="6"/>
      <c r="M55" s="6"/>
      <c r="O55" s="6"/>
      <c r="P55" s="6"/>
      <c r="Q55" s="6"/>
    </row>
    <row r="56" spans="1:17" s="5" customFormat="1" x14ac:dyDescent="0.25">
      <c r="A56" s="4">
        <v>45</v>
      </c>
      <c r="B56" s="58" t="s">
        <v>449</v>
      </c>
      <c r="C56" s="13"/>
      <c r="D56" s="13"/>
      <c r="E56" s="13"/>
      <c r="F56" s="13"/>
      <c r="G56" s="13"/>
      <c r="H56" s="13"/>
      <c r="I56" s="13"/>
      <c r="J56" s="13"/>
      <c r="K56" s="49">
        <v>2</v>
      </c>
      <c r="L56" s="6"/>
      <c r="M56" s="6"/>
      <c r="O56" s="6"/>
      <c r="P56" s="6"/>
      <c r="Q56" s="6"/>
    </row>
    <row r="57" spans="1:17" s="5" customFormat="1" x14ac:dyDescent="0.25">
      <c r="A57" s="4">
        <v>46</v>
      </c>
      <c r="B57" s="58" t="s">
        <v>450</v>
      </c>
      <c r="C57" s="13"/>
      <c r="D57" s="13"/>
      <c r="E57" s="13"/>
      <c r="F57" s="13"/>
      <c r="G57" s="13"/>
      <c r="H57" s="13"/>
      <c r="I57" s="13"/>
      <c r="J57" s="13"/>
      <c r="K57" s="49">
        <v>2</v>
      </c>
      <c r="L57" s="6"/>
      <c r="M57" s="6"/>
      <c r="O57" s="6"/>
      <c r="P57" s="6"/>
      <c r="Q57" s="6"/>
    </row>
    <row r="58" spans="1:17" s="5" customFormat="1" x14ac:dyDescent="0.25">
      <c r="A58" s="4">
        <v>47</v>
      </c>
      <c r="B58" s="58" t="s">
        <v>451</v>
      </c>
      <c r="C58" s="13"/>
      <c r="D58" s="13"/>
      <c r="E58" s="13"/>
      <c r="F58" s="13"/>
      <c r="G58" s="13"/>
      <c r="H58" s="13"/>
      <c r="I58" s="13"/>
      <c r="J58" s="13"/>
      <c r="K58" s="49">
        <v>2</v>
      </c>
      <c r="L58" s="6"/>
      <c r="M58" s="6"/>
      <c r="O58" s="6"/>
      <c r="P58" s="6"/>
      <c r="Q58" s="6"/>
    </row>
    <row r="59" spans="1:17" s="5" customFormat="1" x14ac:dyDescent="0.25">
      <c r="A59" s="4">
        <v>48</v>
      </c>
      <c r="B59" s="58" t="s">
        <v>452</v>
      </c>
      <c r="C59" s="13"/>
      <c r="D59" s="13"/>
      <c r="E59" s="13"/>
      <c r="F59" s="13"/>
      <c r="G59" s="13"/>
      <c r="H59" s="13"/>
      <c r="I59" s="13"/>
      <c r="J59" s="13"/>
      <c r="K59" s="49">
        <v>2</v>
      </c>
      <c r="L59" s="6"/>
      <c r="M59" s="6"/>
      <c r="O59" s="6"/>
      <c r="P59" s="6"/>
      <c r="Q59" s="6"/>
    </row>
    <row r="60" spans="1:17" s="5" customFormat="1" x14ac:dyDescent="0.25">
      <c r="A60" s="4">
        <v>49</v>
      </c>
      <c r="B60" s="58" t="s">
        <v>453</v>
      </c>
      <c r="C60" s="13"/>
      <c r="D60" s="13"/>
      <c r="E60" s="13"/>
      <c r="F60" s="13"/>
      <c r="G60" s="13"/>
      <c r="H60" s="13"/>
      <c r="I60" s="13"/>
      <c r="J60" s="13"/>
      <c r="K60" s="49">
        <v>2</v>
      </c>
      <c r="L60" s="6"/>
      <c r="M60" s="6"/>
      <c r="O60" s="6"/>
      <c r="P60" s="6"/>
      <c r="Q60" s="6"/>
    </row>
    <row r="61" spans="1:17" s="5" customFormat="1" ht="15.75" thickBot="1" x14ac:dyDescent="0.3">
      <c r="A61" s="4">
        <v>50</v>
      </c>
      <c r="B61" s="58" t="s">
        <v>454</v>
      </c>
      <c r="C61" s="13"/>
      <c r="D61" s="13"/>
      <c r="E61" s="13"/>
      <c r="F61" s="13"/>
      <c r="G61" s="13"/>
      <c r="H61" s="13"/>
      <c r="I61" s="13"/>
      <c r="J61" s="13"/>
      <c r="K61" s="50">
        <v>2</v>
      </c>
      <c r="L61" s="6"/>
      <c r="M61" s="6"/>
      <c r="O61" s="6"/>
      <c r="P61" s="6"/>
      <c r="Q61" s="6"/>
    </row>
    <row r="62" spans="1:17" s="5" customFormat="1" x14ac:dyDescent="0.25">
      <c r="A62" s="4"/>
      <c r="B62" s="6"/>
      <c r="C62" s="15"/>
      <c r="D62" s="6"/>
      <c r="E62" s="15"/>
      <c r="G62" s="6"/>
      <c r="H62" s="6"/>
      <c r="I62" s="6"/>
      <c r="K62" s="6"/>
      <c r="L62" s="6"/>
      <c r="M62" s="6"/>
      <c r="O62" s="6"/>
      <c r="P62" s="6"/>
      <c r="Q62" s="6"/>
    </row>
    <row r="63" spans="1:17" s="5" customFormat="1" ht="65.25" customHeight="1" x14ac:dyDescent="0.25">
      <c r="A63" s="96" t="s">
        <v>826</v>
      </c>
      <c r="B63" s="96"/>
      <c r="C63" s="96"/>
      <c r="D63" s="96"/>
      <c r="E63" s="96"/>
      <c r="F63" s="96"/>
      <c r="G63" s="96"/>
      <c r="H63" s="96"/>
      <c r="I63" s="96"/>
      <c r="J63" s="96"/>
      <c r="K63" s="96"/>
      <c r="L63" s="96"/>
      <c r="M63" s="96"/>
      <c r="N63" s="96"/>
      <c r="O63" s="96"/>
      <c r="P63" s="96"/>
      <c r="Q63" s="96"/>
    </row>
  </sheetData>
  <mergeCells count="4">
    <mergeCell ref="A63:Q63"/>
    <mergeCell ref="H3:I3"/>
    <mergeCell ref="L3:M3"/>
    <mergeCell ref="P3:Q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1FA-EEC8-4BF3-A133-0C25E2D59684}">
  <dimension ref="A1:Y48"/>
  <sheetViews>
    <sheetView zoomScale="130" zoomScaleNormal="130" workbookViewId="0">
      <selection activeCell="A2" sqref="A2"/>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325</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245</v>
      </c>
      <c r="C2" s="15"/>
      <c r="D2" s="5"/>
      <c r="E2" s="15"/>
      <c r="F2" s="5"/>
      <c r="G2" s="97" t="s">
        <v>1</v>
      </c>
      <c r="H2" s="97"/>
      <c r="I2" s="97"/>
      <c r="J2" s="5"/>
      <c r="K2" s="97" t="s">
        <v>2</v>
      </c>
      <c r="L2" s="97"/>
      <c r="M2" s="97"/>
      <c r="N2" s="5"/>
      <c r="O2" s="97" t="s">
        <v>3</v>
      </c>
      <c r="P2" s="97"/>
      <c r="Q2" s="97"/>
    </row>
    <row r="3" spans="1:25" x14ac:dyDescent="0.25">
      <c r="A3" s="4"/>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5</v>
      </c>
      <c r="C5" s="37">
        <f>IF(COUNTBLANK($K$11:$K$30)=0,SUM($K$11:$K$30),IF(ISNUMBER($E5),$E5,"?"))</f>
        <v>80</v>
      </c>
      <c r="D5" s="5"/>
      <c r="E5" s="54">
        <v>80</v>
      </c>
      <c r="F5" s="5"/>
      <c r="G5" s="20">
        <f>IF(C5="?","?",IF(E5="","?",8.5+16.86*E5^0.3472))</f>
        <v>85.698775857160726</v>
      </c>
      <c r="H5" s="23">
        <f>IF(C5="?","?",IF(E5="","?",0.7+(2.479*E5+0.3564*E5^2)/(1-0.01075*E5+0.003922*E5^2)))</f>
        <v>98.925095876517389</v>
      </c>
      <c r="I5" s="24">
        <f>IF(C5="?","?",IF(E5="","?",0.1+(-0.056*E5+0.0122*E5^2)/(1-0.02507*E5+0.0002724*E5^2)))</f>
        <v>99.861440034699598</v>
      </c>
      <c r="J5" s="5"/>
      <c r="K5" s="20">
        <f>IF(C5="?","?",IF(E5="","?",-12.2+21.062*LN(E5+8.2)))</f>
        <v>82.149481854974454</v>
      </c>
      <c r="L5" s="23">
        <f>IF(C5="?","?",IF(E5="","?",0.5+(2.267*E5+0.5702*E5^2)/(1-0.007792*E5+0.005878*E5^2)))</f>
        <v>101.31735263649917</v>
      </c>
      <c r="M5" s="24">
        <f>IF(C5="?","?",IF(E5="","?",-0.4+(0.048*E5+0.01005*E5^2)/(1-0.02596*E5+0.0002761*E5^2)))</f>
        <v>98.348261474269819</v>
      </c>
      <c r="N5" s="5"/>
      <c r="O5" s="20">
        <f>IF(C5="?","?",IF(E5="","?",11.5+15.2*E5^0.3631))</f>
        <v>86.120054555396294</v>
      </c>
      <c r="P5" s="23">
        <f>IF(C5="?","?",IF(E5="","?",1+(2.223*E5+0.3028*E5^2)/(1-0.01332*E5+0.003412*E5^2)))</f>
        <v>98.181597707062551</v>
      </c>
      <c r="Q5" s="24">
        <f>IF(C5="?","?",IF(E5="","?",-0.7+0.508*E5-0.06465*E5^2+0.003547*E5^3-0.00005007*E5^4+0.0000002162*E5^5))</f>
        <v>99.820959999999786</v>
      </c>
    </row>
    <row r="6" spans="1:25" x14ac:dyDescent="0.25">
      <c r="A6" s="4" t="s">
        <v>326</v>
      </c>
      <c r="B6" s="6" t="s">
        <v>373</v>
      </c>
      <c r="C6" s="37">
        <f>IF(COUNTBLANK($K$11:$K$30)=0,SUM($K$11,$K$12,$K$13,$K$14,$K$16,$K$18,$K$22,$K$23,$K$24,$K$25,$K$27,$K$28,$K$30),IF(ISNUMBER($E6),$E6,"?"))</f>
        <v>52</v>
      </c>
      <c r="D6" s="5"/>
      <c r="E6" s="55">
        <v>32</v>
      </c>
      <c r="F6" s="5"/>
      <c r="G6" s="21">
        <f>IF(C6="?","?",IF(E6="","?",36.9+(6.812*E6+0.4599*E6^2)/(1+0.3935*E6+0.003936*E6^2)))</f>
        <v>75.993375364534728</v>
      </c>
      <c r="H6" s="25">
        <f>IF(C6="?","?",IF(E6="","?",100-EXP(-0.172*(E6-26.5))))</f>
        <v>99.611708914394129</v>
      </c>
      <c r="I6" s="26">
        <f>IF(C6="?","?",IF(E6="","?",-5.3+(108.7/(1+EXP(-0.1301*(E6-24.26))))))</f>
        <v>74.314873463011196</v>
      </c>
      <c r="J6" s="5"/>
      <c r="K6" s="21">
        <f>IF(C6="?","?",IF(E6="","?",37.4+6.619*LN(E6+0.9)+0.493*E6))</f>
        <v>76.299295521788409</v>
      </c>
      <c r="L6" s="25">
        <f>IF(C6="?","?",IF(E6="","?",-121677.5+349537.496*((E6+11.9)^-2.87-1)/-2.87))</f>
        <v>110.21465991981677</v>
      </c>
      <c r="M6" s="26">
        <f>IF(C6="?","?",IF(E6="","?",-0.6+(0.551*E6+0.03501*E6^2)/(1-0.03378*E6+0.000736*E6^2)))</f>
        <v>78.90337741413758</v>
      </c>
      <c r="N6" s="5"/>
      <c r="O6" s="21">
        <f>IF(C6="?","?",IF(E6="","?",36.9+(6.567*E6+0.3861*E6^2)/(1+0.3533*E6+0.003105*E6^2)))</f>
        <v>76.002725713459114</v>
      </c>
      <c r="P6" s="25">
        <f>IF(C6="?","?",IF(E6="","?",100.5-EXP(-0.154*(E6-29.7))))</f>
        <v>99.798265393601511</v>
      </c>
      <c r="Q6" s="26">
        <f>IF(C6="?","?",IF(E6="","?",-4.8+(108.9/(1+EXP(-0.1296*(E6-25.74))))))</f>
        <v>70.600792413392796</v>
      </c>
    </row>
    <row r="7" spans="1:25" ht="15.75" thickBot="1" x14ac:dyDescent="0.3">
      <c r="A7" s="4" t="s">
        <v>327</v>
      </c>
      <c r="B7" s="6" t="s">
        <v>11</v>
      </c>
      <c r="C7" s="37">
        <f>IF(COUNTBLANK($K$11:$K$30)=0,SUM($K$15,$K$17,$K$19,$K$20,$K$21,$K$26,$K$29),IF(ISNUMBER($E7),$E7,"?"))</f>
        <v>28</v>
      </c>
      <c r="D7" s="38"/>
      <c r="E7" s="39">
        <v>28</v>
      </c>
      <c r="F7" s="5"/>
      <c r="G7" s="22">
        <f>IF(C7="?","?",IF(E7="","?",38.4-EXP(-1.144*(E7-1.2))+1.707*E7))</f>
        <v>86.195999999999941</v>
      </c>
      <c r="H7" s="27">
        <f>IF(C7="?","?",IF(E7="","?",-17.3+(118.7/(1+EXP(-0.2947*(E7-5.585))))))</f>
        <v>101.23965907024188</v>
      </c>
      <c r="I7" s="28">
        <f>IF(C7="?","?",IF(E7="","?",-0.9+(109.1/(1+EXP(-0.271*(E7-19.83))))))</f>
        <v>97.454294277411165</v>
      </c>
      <c r="J7" s="5"/>
      <c r="K7" s="22">
        <f>IF(C7="?","?",IF(E7="","?",37.9-EXP(-3.492*(E7-0.4))+1.718*E7))</f>
        <v>86.003999999999991</v>
      </c>
      <c r="L7" s="27">
        <f>IF(C7="?","?",IF(E7="","?",-16.2+(118.1/(1+EXP(-0.312*(E7-5.563))))))</f>
        <v>101.79244182660295</v>
      </c>
      <c r="M7" s="28">
        <f>IF(C7="?","?",IF(E7="","?",-0.6+(108.5/(1+EXP(-0.2767*(E7-19.51))))))</f>
        <v>98.44631537597455</v>
      </c>
      <c r="N7" s="5"/>
      <c r="O7" s="22">
        <f>IF(C7="?","?",IF(E7="","?",39-EXP(-0.666*(E7-2.3))+1.668*E7))</f>
        <v>85.703999963142252</v>
      </c>
      <c r="P7" s="27">
        <f>IF(C7="?","?",IF(E7="","?",-18.6+(120.2/(1+EXP(-0.2813*(E7-5.588))))))</f>
        <v>101.3806671800607</v>
      </c>
      <c r="Q7" s="28">
        <f>IF(C7="?","?",IF(E7="","?",0.6+(-0.271*E7+0.05087*E7^2)/(1-0.06571*E7+0.001501*E7^2)))</f>
        <v>96.455436563531492</v>
      </c>
    </row>
    <row r="8" spans="1:25" s="31" customFormat="1" ht="15.75" thickBot="1" x14ac:dyDescent="0.3">
      <c r="A8" s="29"/>
      <c r="B8" s="19"/>
      <c r="C8" s="34"/>
      <c r="D8" s="30"/>
      <c r="E8" s="34"/>
      <c r="F8" s="30"/>
      <c r="G8" s="19"/>
      <c r="H8" s="19"/>
      <c r="I8" s="19"/>
      <c r="J8" s="30"/>
      <c r="K8" s="19"/>
      <c r="L8" s="19"/>
      <c r="M8" s="19"/>
      <c r="N8" s="30"/>
      <c r="O8" s="19"/>
      <c r="P8" s="19"/>
      <c r="Q8" s="19"/>
      <c r="R8" s="30"/>
      <c r="S8" s="30"/>
      <c r="T8" s="30"/>
      <c r="U8" s="30"/>
      <c r="V8" s="30"/>
      <c r="W8" s="30"/>
      <c r="X8" s="30"/>
      <c r="Y8" s="30"/>
    </row>
    <row r="9" spans="1:25" s="5" customFormat="1" x14ac:dyDescent="0.25">
      <c r="A9" s="4"/>
      <c r="B9" s="6"/>
      <c r="C9" s="15"/>
      <c r="E9" s="15"/>
      <c r="G9" s="6"/>
      <c r="H9" s="6"/>
      <c r="I9" s="6"/>
      <c r="K9" s="6"/>
      <c r="L9" s="6"/>
      <c r="M9" s="6"/>
      <c r="O9" s="6"/>
      <c r="P9" s="6"/>
      <c r="Q9" s="6"/>
    </row>
    <row r="10" spans="1:25" s="5" customFormat="1" ht="16.5" thickBot="1" x14ac:dyDescent="0.3">
      <c r="A10" s="1" t="s">
        <v>15</v>
      </c>
      <c r="B10" s="2" t="s">
        <v>14</v>
      </c>
      <c r="C10" s="14"/>
      <c r="D10" s="2"/>
      <c r="E10" s="14"/>
      <c r="F10" s="3"/>
      <c r="G10" s="2"/>
      <c r="H10" s="2"/>
      <c r="I10" s="2"/>
      <c r="J10" s="3"/>
      <c r="K10" s="2" t="s">
        <v>36</v>
      </c>
      <c r="L10" s="2"/>
      <c r="M10" s="2"/>
      <c r="N10" s="3"/>
      <c r="O10" s="2"/>
      <c r="P10" s="2"/>
      <c r="Q10" s="2"/>
    </row>
    <row r="11" spans="1:25" s="5" customFormat="1" x14ac:dyDescent="0.25">
      <c r="A11" s="4">
        <v>1</v>
      </c>
      <c r="B11" s="57" t="s">
        <v>328</v>
      </c>
      <c r="C11" s="13"/>
      <c r="D11" s="13"/>
      <c r="E11" s="13"/>
      <c r="F11" s="13"/>
      <c r="G11" s="13"/>
      <c r="H11" s="13"/>
      <c r="I11" s="13"/>
      <c r="J11" s="13"/>
      <c r="K11" s="48">
        <v>4</v>
      </c>
      <c r="L11" s="6"/>
      <c r="M11" s="6"/>
      <c r="O11" s="6"/>
      <c r="P11" s="6"/>
      <c r="Q11" s="6"/>
    </row>
    <row r="12" spans="1:25" s="5" customFormat="1" x14ac:dyDescent="0.25">
      <c r="A12" s="4">
        <v>2</v>
      </c>
      <c r="B12" s="57" t="s">
        <v>329</v>
      </c>
      <c r="C12" s="13"/>
      <c r="D12" s="13"/>
      <c r="E12" s="13"/>
      <c r="F12" s="13"/>
      <c r="G12" s="13"/>
      <c r="H12" s="13"/>
      <c r="I12" s="13"/>
      <c r="J12" s="13"/>
      <c r="K12" s="49">
        <v>4</v>
      </c>
      <c r="L12" s="6"/>
      <c r="M12" s="6"/>
      <c r="O12" s="6"/>
      <c r="P12" s="6"/>
      <c r="Q12" s="6"/>
    </row>
    <row r="13" spans="1:25" s="5" customFormat="1" x14ac:dyDescent="0.25">
      <c r="A13" s="4">
        <v>3</v>
      </c>
      <c r="B13" s="57" t="s">
        <v>330</v>
      </c>
      <c r="C13" s="13"/>
      <c r="D13" s="13"/>
      <c r="E13" s="13"/>
      <c r="F13" s="13"/>
      <c r="G13" s="13"/>
      <c r="H13" s="13"/>
      <c r="I13" s="13"/>
      <c r="J13" s="13"/>
      <c r="K13" s="49">
        <v>4</v>
      </c>
      <c r="L13" s="6"/>
      <c r="M13" s="6"/>
      <c r="O13" s="6"/>
      <c r="P13" s="6"/>
      <c r="Q13" s="6"/>
    </row>
    <row r="14" spans="1:25" s="5" customFormat="1" x14ac:dyDescent="0.25">
      <c r="A14" s="4">
        <v>4</v>
      </c>
      <c r="B14" s="57" t="s">
        <v>331</v>
      </c>
      <c r="C14" s="13"/>
      <c r="D14" s="13"/>
      <c r="E14" s="13"/>
      <c r="F14" s="13"/>
      <c r="G14" s="13"/>
      <c r="H14" s="13"/>
      <c r="I14" s="13"/>
      <c r="J14" s="13"/>
      <c r="K14" s="49">
        <v>4</v>
      </c>
      <c r="L14" s="6"/>
      <c r="M14" s="6"/>
      <c r="O14" s="6"/>
      <c r="P14" s="6"/>
      <c r="Q14" s="6"/>
    </row>
    <row r="15" spans="1:25" s="5" customFormat="1" x14ac:dyDescent="0.25">
      <c r="A15" s="4">
        <v>5</v>
      </c>
      <c r="B15" s="57" t="s">
        <v>332</v>
      </c>
      <c r="C15" s="13"/>
      <c r="D15" s="13"/>
      <c r="E15" s="13"/>
      <c r="F15" s="13"/>
      <c r="G15" s="13"/>
      <c r="H15" s="13"/>
      <c r="I15" s="13"/>
      <c r="J15" s="13"/>
      <c r="K15" s="49">
        <v>4</v>
      </c>
      <c r="L15" s="6"/>
      <c r="M15" s="6"/>
      <c r="O15" s="6"/>
      <c r="P15" s="6"/>
      <c r="Q15" s="6"/>
    </row>
    <row r="16" spans="1:25" s="5" customFormat="1" x14ac:dyDescent="0.25">
      <c r="A16" s="4">
        <v>6</v>
      </c>
      <c r="B16" s="57" t="s">
        <v>333</v>
      </c>
      <c r="C16" s="13"/>
      <c r="D16" s="13"/>
      <c r="E16" s="13"/>
      <c r="F16" s="13"/>
      <c r="G16" s="13"/>
      <c r="H16" s="13"/>
      <c r="I16" s="13"/>
      <c r="J16" s="13"/>
      <c r="K16" s="49">
        <v>4</v>
      </c>
      <c r="L16" s="6"/>
      <c r="M16" s="6"/>
      <c r="O16" s="6"/>
      <c r="P16" s="6"/>
      <c r="Q16" s="6"/>
    </row>
    <row r="17" spans="1:17" s="5" customFormat="1" x14ac:dyDescent="0.25">
      <c r="A17" s="4">
        <v>7</v>
      </c>
      <c r="B17" s="57" t="s">
        <v>334</v>
      </c>
      <c r="C17" s="13"/>
      <c r="D17" s="13"/>
      <c r="E17" s="13"/>
      <c r="F17" s="13"/>
      <c r="G17" s="13"/>
      <c r="H17" s="13"/>
      <c r="I17" s="13"/>
      <c r="J17" s="13"/>
      <c r="K17" s="49">
        <v>4</v>
      </c>
      <c r="L17" s="6"/>
      <c r="M17" s="6"/>
      <c r="O17" s="6"/>
      <c r="P17" s="6"/>
      <c r="Q17" s="6"/>
    </row>
    <row r="18" spans="1:17" s="5" customFormat="1" x14ac:dyDescent="0.25">
      <c r="A18" s="4">
        <v>8</v>
      </c>
      <c r="B18" s="57" t="s">
        <v>335</v>
      </c>
      <c r="C18" s="13"/>
      <c r="D18" s="13"/>
      <c r="E18" s="13"/>
      <c r="F18" s="13"/>
      <c r="G18" s="13"/>
      <c r="H18" s="13"/>
      <c r="I18" s="13"/>
      <c r="J18" s="13"/>
      <c r="K18" s="49">
        <v>4</v>
      </c>
      <c r="L18" s="6"/>
      <c r="M18" s="6"/>
      <c r="O18" s="6"/>
      <c r="P18" s="6"/>
      <c r="Q18" s="6"/>
    </row>
    <row r="19" spans="1:17" s="5" customFormat="1" x14ac:dyDescent="0.25">
      <c r="A19" s="4">
        <v>9</v>
      </c>
      <c r="B19" s="57" t="s">
        <v>336</v>
      </c>
      <c r="C19" s="13"/>
      <c r="D19" s="13"/>
      <c r="E19" s="13"/>
      <c r="F19" s="13"/>
      <c r="G19" s="13"/>
      <c r="H19" s="13"/>
      <c r="I19" s="13"/>
      <c r="J19" s="13"/>
      <c r="K19" s="49">
        <v>4</v>
      </c>
      <c r="L19" s="6"/>
      <c r="M19" s="6"/>
      <c r="O19" s="6"/>
      <c r="P19" s="6"/>
      <c r="Q19" s="6"/>
    </row>
    <row r="20" spans="1:17" s="5" customFormat="1" x14ac:dyDescent="0.25">
      <c r="A20" s="4">
        <v>10</v>
      </c>
      <c r="B20" s="57" t="s">
        <v>337</v>
      </c>
      <c r="C20" s="13"/>
      <c r="D20" s="13"/>
      <c r="E20" s="13"/>
      <c r="F20" s="13"/>
      <c r="G20" s="13"/>
      <c r="H20" s="13"/>
      <c r="I20" s="13"/>
      <c r="J20" s="13"/>
      <c r="K20" s="49">
        <v>4</v>
      </c>
      <c r="L20" s="6"/>
      <c r="M20" s="6"/>
      <c r="O20" s="6"/>
      <c r="P20" s="6"/>
      <c r="Q20" s="6"/>
    </row>
    <row r="21" spans="1:17" s="5" customFormat="1" x14ac:dyDescent="0.25">
      <c r="A21" s="4">
        <v>11</v>
      </c>
      <c r="B21" s="57" t="s">
        <v>338</v>
      </c>
      <c r="C21" s="13"/>
      <c r="D21" s="13"/>
      <c r="E21" s="13"/>
      <c r="F21" s="13"/>
      <c r="G21" s="13"/>
      <c r="H21" s="13"/>
      <c r="I21" s="13"/>
      <c r="J21" s="13"/>
      <c r="K21" s="49">
        <v>4</v>
      </c>
      <c r="L21" s="6"/>
      <c r="M21" s="6"/>
      <c r="O21" s="6"/>
      <c r="P21" s="6"/>
      <c r="Q21" s="6"/>
    </row>
    <row r="22" spans="1:17" s="5" customFormat="1" x14ac:dyDescent="0.25">
      <c r="A22" s="4">
        <v>12</v>
      </c>
      <c r="B22" s="57" t="s">
        <v>339</v>
      </c>
      <c r="C22" s="13"/>
      <c r="D22" s="13"/>
      <c r="E22" s="13"/>
      <c r="F22" s="13"/>
      <c r="G22" s="13"/>
      <c r="H22" s="13"/>
      <c r="I22" s="13"/>
      <c r="J22" s="13"/>
      <c r="K22" s="49">
        <v>4</v>
      </c>
      <c r="L22" s="6"/>
      <c r="M22" s="6"/>
      <c r="O22" s="6"/>
      <c r="P22" s="6"/>
      <c r="Q22" s="6"/>
    </row>
    <row r="23" spans="1:17" s="5" customFormat="1" x14ac:dyDescent="0.25">
      <c r="A23" s="4">
        <v>13</v>
      </c>
      <c r="B23" s="57" t="s">
        <v>340</v>
      </c>
      <c r="C23" s="13"/>
      <c r="D23" s="13"/>
      <c r="E23" s="13"/>
      <c r="F23" s="13"/>
      <c r="G23" s="13"/>
      <c r="H23" s="13"/>
      <c r="I23" s="13"/>
      <c r="J23" s="13"/>
      <c r="K23" s="49">
        <v>4</v>
      </c>
      <c r="L23" s="6"/>
      <c r="M23" s="6"/>
      <c r="O23" s="6"/>
      <c r="P23" s="6"/>
      <c r="Q23" s="6"/>
    </row>
    <row r="24" spans="1:17" s="5" customFormat="1" x14ac:dyDescent="0.25">
      <c r="A24" s="4">
        <v>14</v>
      </c>
      <c r="B24" s="57" t="s">
        <v>341</v>
      </c>
      <c r="C24" s="13"/>
      <c r="D24" s="13"/>
      <c r="E24" s="13"/>
      <c r="F24" s="13"/>
      <c r="G24" s="13"/>
      <c r="H24" s="13"/>
      <c r="I24" s="13"/>
      <c r="J24" s="13"/>
      <c r="K24" s="49">
        <v>4</v>
      </c>
      <c r="L24" s="6"/>
      <c r="M24" s="6"/>
      <c r="O24" s="6"/>
      <c r="P24" s="6"/>
      <c r="Q24" s="6"/>
    </row>
    <row r="25" spans="1:17" s="5" customFormat="1" x14ac:dyDescent="0.25">
      <c r="A25" s="4">
        <v>15</v>
      </c>
      <c r="B25" s="57" t="s">
        <v>342</v>
      </c>
      <c r="C25" s="13"/>
      <c r="D25" s="13"/>
      <c r="E25" s="13"/>
      <c r="F25" s="13"/>
      <c r="G25" s="13"/>
      <c r="H25" s="13"/>
      <c r="I25" s="13"/>
      <c r="J25" s="13"/>
      <c r="K25" s="49">
        <v>4</v>
      </c>
      <c r="L25" s="6"/>
      <c r="M25" s="6"/>
      <c r="O25" s="6"/>
      <c r="P25" s="6"/>
      <c r="Q25" s="6"/>
    </row>
    <row r="26" spans="1:17" s="5" customFormat="1" x14ac:dyDescent="0.25">
      <c r="A26" s="4">
        <v>16</v>
      </c>
      <c r="B26" s="57" t="s">
        <v>343</v>
      </c>
      <c r="C26" s="13"/>
      <c r="D26" s="13"/>
      <c r="E26" s="13"/>
      <c r="F26" s="13"/>
      <c r="G26" s="13"/>
      <c r="H26" s="13"/>
      <c r="I26" s="13"/>
      <c r="J26" s="13"/>
      <c r="K26" s="49">
        <v>4</v>
      </c>
      <c r="L26" s="6"/>
      <c r="M26" s="6"/>
      <c r="O26" s="6"/>
      <c r="P26" s="6"/>
      <c r="Q26" s="6"/>
    </row>
    <row r="27" spans="1:17" s="5" customFormat="1" x14ac:dyDescent="0.25">
      <c r="A27" s="4">
        <v>17</v>
      </c>
      <c r="B27" s="57" t="s">
        <v>344</v>
      </c>
      <c r="C27" s="13"/>
      <c r="D27" s="13"/>
      <c r="E27" s="13"/>
      <c r="F27" s="13"/>
      <c r="G27" s="13"/>
      <c r="H27" s="13"/>
      <c r="I27" s="13"/>
      <c r="J27" s="13"/>
      <c r="K27" s="49">
        <v>4</v>
      </c>
      <c r="L27" s="6"/>
      <c r="M27" s="6"/>
      <c r="O27" s="6"/>
      <c r="P27" s="6"/>
      <c r="Q27" s="6"/>
    </row>
    <row r="28" spans="1:17" s="5" customFormat="1" x14ac:dyDescent="0.25">
      <c r="A28" s="4">
        <v>18</v>
      </c>
      <c r="B28" s="57" t="s">
        <v>345</v>
      </c>
      <c r="C28" s="13"/>
      <c r="D28" s="13"/>
      <c r="E28" s="13"/>
      <c r="F28" s="13"/>
      <c r="G28" s="13"/>
      <c r="H28" s="13"/>
      <c r="I28" s="13"/>
      <c r="J28" s="13"/>
      <c r="K28" s="49">
        <v>4</v>
      </c>
      <c r="L28" s="6"/>
      <c r="M28" s="6"/>
      <c r="O28" s="6"/>
      <c r="P28" s="6"/>
      <c r="Q28" s="6"/>
    </row>
    <row r="29" spans="1:17" s="5" customFormat="1" x14ac:dyDescent="0.25">
      <c r="A29" s="4">
        <v>19</v>
      </c>
      <c r="B29" s="57" t="s">
        <v>346</v>
      </c>
      <c r="C29" s="13"/>
      <c r="D29" s="13"/>
      <c r="E29" s="13"/>
      <c r="F29" s="13"/>
      <c r="G29" s="13"/>
      <c r="H29" s="13"/>
      <c r="I29" s="13"/>
      <c r="J29" s="13"/>
      <c r="K29" s="49">
        <v>4</v>
      </c>
      <c r="L29" s="6"/>
      <c r="M29" s="6"/>
      <c r="O29" s="6"/>
      <c r="P29" s="6"/>
      <c r="Q29" s="6"/>
    </row>
    <row r="30" spans="1:17" s="5" customFormat="1" ht="15.75" thickBot="1" x14ac:dyDescent="0.3">
      <c r="A30" s="4">
        <v>20</v>
      </c>
      <c r="B30" s="57" t="s">
        <v>347</v>
      </c>
      <c r="C30" s="13"/>
      <c r="D30" s="13"/>
      <c r="E30" s="13"/>
      <c r="F30" s="13"/>
      <c r="G30" s="13"/>
      <c r="H30" s="13"/>
      <c r="I30" s="13"/>
      <c r="J30" s="13"/>
      <c r="K30" s="50">
        <v>4</v>
      </c>
      <c r="L30" s="6"/>
      <c r="M30" s="6"/>
      <c r="O30" s="6"/>
      <c r="P30" s="6"/>
      <c r="Q30" s="6"/>
    </row>
    <row r="31" spans="1:17" s="5" customFormat="1" x14ac:dyDescent="0.25">
      <c r="A31" s="4"/>
      <c r="B31" s="6"/>
      <c r="C31" s="15"/>
      <c r="D31" s="6"/>
      <c r="E31" s="15"/>
      <c r="G31" s="6"/>
      <c r="H31" s="6"/>
      <c r="I31" s="6"/>
      <c r="K31" s="6"/>
      <c r="L31" s="6"/>
      <c r="M31" s="6"/>
      <c r="O31" s="6"/>
      <c r="P31" s="6"/>
      <c r="Q31" s="6"/>
    </row>
    <row r="32" spans="1:17" s="5" customFormat="1" ht="134.25" customHeight="1" x14ac:dyDescent="0.25">
      <c r="A32" s="96" t="s">
        <v>374</v>
      </c>
      <c r="B32" s="96"/>
      <c r="C32" s="96"/>
      <c r="D32" s="96"/>
      <c r="E32" s="96"/>
      <c r="F32" s="96"/>
      <c r="G32" s="96"/>
      <c r="H32" s="96"/>
      <c r="I32" s="96"/>
      <c r="J32" s="96"/>
      <c r="K32" s="96"/>
      <c r="L32" s="96"/>
      <c r="M32" s="96"/>
      <c r="N32" s="96"/>
      <c r="O32" s="96"/>
      <c r="P32" s="96"/>
      <c r="Q32" s="9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sheetData>
  <sheetProtection sheet="1" objects="1" scenarios="1"/>
  <mergeCells count="7">
    <mergeCell ref="A32:Q32"/>
    <mergeCell ref="G2:I2"/>
    <mergeCell ref="K2:M2"/>
    <mergeCell ref="O2:Q2"/>
    <mergeCell ref="H3:I3"/>
    <mergeCell ref="L3:M3"/>
    <mergeCell ref="P3:Q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5A8B-F959-45B0-98FC-41A3EB092517}">
  <dimension ref="A1:AF148"/>
  <sheetViews>
    <sheetView topLeftCell="A120" zoomScale="110" zoomScaleNormal="110" workbookViewId="0">
      <selection activeCell="O31" sqref="O31"/>
    </sheetView>
  </sheetViews>
  <sheetFormatPr defaultRowHeight="15" x14ac:dyDescent="0.25"/>
  <cols>
    <col min="1" max="1" width="23" style="7" customWidth="1"/>
    <col min="2" max="2" width="9.140625" style="47"/>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18" width="9.140625" style="5"/>
    <col min="19" max="21" width="6.7109375" style="6" customWidth="1"/>
    <col min="22" max="22" width="3.85546875" style="6" customWidth="1"/>
    <col min="23" max="25" width="6.7109375" style="6" customWidth="1"/>
    <col min="26" max="26" width="3.42578125" style="6" customWidth="1"/>
    <col min="27" max="29" width="6.7109375" style="6" customWidth="1"/>
    <col min="30" max="32" width="9.140625" style="5"/>
  </cols>
  <sheetData>
    <row r="1" spans="1:29" s="18" customFormat="1" ht="21" x14ac:dyDescent="0.35">
      <c r="A1" s="35" t="s">
        <v>767</v>
      </c>
      <c r="B1" s="86"/>
      <c r="C1" s="87"/>
      <c r="E1" s="87"/>
      <c r="G1" s="85"/>
      <c r="H1" s="85"/>
      <c r="I1" s="85"/>
      <c r="K1" s="85"/>
      <c r="L1" s="85"/>
      <c r="M1" s="85"/>
      <c r="O1" s="85"/>
      <c r="P1" s="85"/>
      <c r="Q1" s="85"/>
      <c r="S1" s="85"/>
      <c r="T1" s="85"/>
      <c r="U1" s="85"/>
      <c r="V1" s="85"/>
      <c r="W1" s="85"/>
      <c r="X1" s="85"/>
      <c r="Y1" s="85"/>
      <c r="Z1" s="85"/>
      <c r="AA1" s="85"/>
      <c r="AB1" s="85"/>
      <c r="AC1" s="85"/>
    </row>
    <row r="2" spans="1:29" x14ac:dyDescent="0.25">
      <c r="A2" s="13" t="s">
        <v>98</v>
      </c>
      <c r="B2" s="44"/>
      <c r="C2" s="15"/>
      <c r="D2" s="5"/>
      <c r="E2" s="15"/>
      <c r="F2" s="5"/>
      <c r="G2" s="97" t="s">
        <v>1</v>
      </c>
      <c r="H2" s="97"/>
      <c r="I2" s="97"/>
      <c r="J2" s="5"/>
      <c r="K2" s="97" t="s">
        <v>2</v>
      </c>
      <c r="L2" s="97"/>
      <c r="M2" s="97"/>
      <c r="N2" s="5"/>
      <c r="O2" s="97" t="s">
        <v>3</v>
      </c>
      <c r="P2" s="97"/>
      <c r="Q2" s="97"/>
      <c r="S2" s="97" t="s">
        <v>764</v>
      </c>
      <c r="T2" s="97"/>
      <c r="U2" s="97"/>
      <c r="W2" s="97" t="s">
        <v>765</v>
      </c>
      <c r="X2" s="97"/>
      <c r="Y2" s="97"/>
      <c r="AA2" s="97" t="s">
        <v>766</v>
      </c>
      <c r="AB2" s="97"/>
      <c r="AC2" s="97"/>
    </row>
    <row r="3" spans="1:29" x14ac:dyDescent="0.25">
      <c r="A3" s="4"/>
      <c r="B3" s="44"/>
      <c r="C3" s="15"/>
      <c r="D3" s="5"/>
      <c r="E3" s="15"/>
      <c r="F3" s="5"/>
      <c r="G3" s="6" t="s">
        <v>40</v>
      </c>
      <c r="H3" s="97" t="s">
        <v>67</v>
      </c>
      <c r="I3" s="97"/>
      <c r="J3" s="5"/>
      <c r="K3" s="6" t="s">
        <v>40</v>
      </c>
      <c r="L3" s="97" t="s">
        <v>67</v>
      </c>
      <c r="M3" s="97"/>
      <c r="N3" s="5"/>
      <c r="O3" s="6" t="s">
        <v>40</v>
      </c>
      <c r="P3" s="97" t="s">
        <v>67</v>
      </c>
      <c r="Q3" s="97"/>
      <c r="S3" s="6" t="s">
        <v>40</v>
      </c>
      <c r="T3" s="97" t="s">
        <v>67</v>
      </c>
      <c r="U3" s="97"/>
      <c r="W3" s="6" t="s">
        <v>40</v>
      </c>
      <c r="X3" s="97" t="s">
        <v>768</v>
      </c>
      <c r="Y3" s="97"/>
      <c r="AA3" s="6" t="s">
        <v>40</v>
      </c>
      <c r="AB3" s="97" t="s">
        <v>67</v>
      </c>
      <c r="AC3" s="97"/>
    </row>
    <row r="4" spans="1:29" ht="15.75" thickBot="1" x14ac:dyDescent="0.3">
      <c r="A4" s="4" t="s">
        <v>37</v>
      </c>
      <c r="B4" s="44" t="s">
        <v>38</v>
      </c>
      <c r="C4" s="15" t="s">
        <v>64</v>
      </c>
      <c r="D4" s="5"/>
      <c r="E4" s="15" t="s">
        <v>39</v>
      </c>
      <c r="F4" s="5"/>
      <c r="G4" s="6"/>
      <c r="H4" s="6" t="s">
        <v>61</v>
      </c>
      <c r="I4" s="6" t="s">
        <v>62</v>
      </c>
      <c r="J4" s="5"/>
      <c r="K4" s="6"/>
      <c r="L4" s="6" t="s">
        <v>61</v>
      </c>
      <c r="M4" s="6" t="s">
        <v>62</v>
      </c>
      <c r="N4" s="5"/>
      <c r="O4" s="6"/>
      <c r="P4" s="6" t="s">
        <v>61</v>
      </c>
      <c r="Q4" s="6" t="s">
        <v>62</v>
      </c>
      <c r="T4" s="6" t="s">
        <v>61</v>
      </c>
      <c r="U4" s="6" t="s">
        <v>62</v>
      </c>
      <c r="X4" s="6" t="s">
        <v>61</v>
      </c>
      <c r="Y4" s="6" t="s">
        <v>62</v>
      </c>
      <c r="AB4" s="6" t="s">
        <v>61</v>
      </c>
      <c r="AC4" s="6" t="s">
        <v>62</v>
      </c>
    </row>
    <row r="5" spans="1:29" x14ac:dyDescent="0.25">
      <c r="A5" s="4" t="s">
        <v>217</v>
      </c>
      <c r="B5" s="44" t="s">
        <v>238</v>
      </c>
      <c r="C5" s="15">
        <f>IF(COUNTBLANK($K$29:$K$146)=0,AVERAGE(K45,K58,5-K80,5-K95,5-K107,5-K120,5-K134),IF(ISNUMBER($E5),$E5,"?"))</f>
        <v>1.7142857142857142</v>
      </c>
      <c r="D5" s="5"/>
      <c r="E5" s="68">
        <v>1.71</v>
      </c>
      <c r="F5" s="5"/>
      <c r="G5" s="20">
        <f>IF(C5="?","?",IF(E5="","?",11.8+0.00000001367*E5^14.56+10.904*E5))</f>
        <v>30.445873743636334</v>
      </c>
      <c r="H5" s="23">
        <f>IF(C5="?","?",IF(E5="","?",2.3+0.4369*E5^3.922-2.474*E5))</f>
        <v>1.652014366330306</v>
      </c>
      <c r="I5" s="24">
        <f>IF(C5="?","?",IF(E5="","?",-0.1+(-3.03*E5+3.363*E5^2)/(1-0.49*E5+0.0862*E5^2)))</f>
        <v>11.133526372653179</v>
      </c>
      <c r="J5" s="5"/>
      <c r="K5" s="20">
        <f>IF(C5="?","?",IF(E5="","?",11.1+0.000000000003132*E5^20.55+11.288*E5))</f>
        <v>30.402480192261276</v>
      </c>
      <c r="L5" s="23">
        <f>IF(C5="?","?",IF(E5="","?",-21.6+19.5*COSH(-0.9718*(E5-1.467))))</f>
        <v>-1.5537540381487567</v>
      </c>
      <c r="M5" s="24">
        <f>IF(C5="?","?",IF(E5="","?",1.1+(-3.633*E5+3.214*E5^2)/(1-0.5034*E5+0.08687*E5^2)))</f>
        <v>9.2017461923131307</v>
      </c>
      <c r="N5" s="5"/>
      <c r="O5" s="20">
        <f>IF(C5="?","?",IF(E5="","?",36.3+8.117*(E5-2.2)+SINH((E5-2.2)/0.5497)))</f>
        <v>31.308446693254954</v>
      </c>
      <c r="P5" s="23">
        <f>IF(C5="?","?",IF(E5="","?",0.9+0.4594*E5^3.86-1.229*E5))</f>
        <v>2.4422221277148748</v>
      </c>
      <c r="Q5" s="24">
        <f>IF(C5="?","?",IF(E5="","?",-0.5+(-2.995*E5+3.566*E5^2)/(1-0.4841*E5+0.08675*E5^2)))</f>
        <v>11.959392632005269</v>
      </c>
      <c r="S5" s="71">
        <f>IF(C5="?","?",IF(E5="","?",10.1+0.0000000001488*E5^17.74+11.591*E5))</f>
        <v>29.920612022804583</v>
      </c>
      <c r="T5" s="72">
        <f>IF(C5="?","?",IF(E5="","?",-2.2+(207.6/(1+EXP(-1.574*(E5-4.073))))))</f>
        <v>2.7149966224042963</v>
      </c>
      <c r="U5" s="73">
        <f>IF(C5="?","?",IF(E5="","?",-3.9+(-0.384*E5+3.144*E5^2)/(1-0.4761*E5+0.08601*E5^2)))</f>
        <v>15.618288828952823</v>
      </c>
      <c r="W5" s="71">
        <f>IF(C5="?","?",IF(E5="","?",13.1+0.000000514*E5^12.03+10.328*E5))</f>
        <v>30.76120651739803</v>
      </c>
      <c r="X5" s="72">
        <f>IF(C5="?","?",IF(E5="","?",-0.8+(184.5/(1+EXP(-1.888*(E5-3.995))))))</f>
        <v>1.6358099209519554</v>
      </c>
      <c r="Y5" s="73">
        <f>IF(C5="?","?",IF(E5="","?",0.6+(-3.376*E5+3.294*E5^2)/(1-0.4996*E5+0.08725*E5^2)))</f>
        <v>10.228025228054394</v>
      </c>
      <c r="AA5" s="71">
        <f>IF(C5="?","?",IF(E5="","?",12.7+0.0000006647*E5^11.81+10.49*E5))</f>
        <v>30.638275240531556</v>
      </c>
      <c r="AB5" s="72">
        <f>IF(C5="?","?",IF(E5="","?",40.7+(-116.141*E5+35.18*E5^2)/(1+1.277*E5-0.2608*E5^2)))</f>
        <v>1.159019864615594</v>
      </c>
      <c r="AC5" s="73">
        <f>IF(C5="?","?",IF(E5="","?",2.3+(-5.067*E5+3.794*E5^2)/(1-0.4908*E5+0.08624*E5^2)))</f>
        <v>8.1838165117834549</v>
      </c>
    </row>
    <row r="6" spans="1:29" x14ac:dyDescent="0.25">
      <c r="A6" s="4" t="s">
        <v>218</v>
      </c>
      <c r="B6" s="44" t="s">
        <v>238</v>
      </c>
      <c r="C6" s="15">
        <f>IF(COUNTBLANK($K$29:$K$146)=0,AVERAGE(5-K30,K59,5-K69,5-K81,5-K96,5-K108,5-K135),IF(ISNUMBER($E6),$E6,"?"))</f>
        <v>2.5714285714285716</v>
      </c>
      <c r="D6" s="5"/>
      <c r="E6" s="69">
        <v>2.57</v>
      </c>
      <c r="F6" s="5"/>
      <c r="G6" s="21">
        <f>IF(C6="?","?",IF(E6="","?",4.4+(18.156*E6-3.903*E6^2)/(1-0.1055*E6-0.02572*E6^2)))</f>
        <v>41.756855071749321</v>
      </c>
      <c r="H6" s="25">
        <f>IF(C6="?","?",IF(E6="","?",-0.7+(118.5/(1+EXP(-2.296*(E6-3.355))))))</f>
        <v>16.07533712894617</v>
      </c>
      <c r="I6" s="26">
        <f>IF(C6="?","?",IF(E6="","?",2.5+(-5.29*E6+3.901*E6^2)/(1-0.4843*E6+0.08536*E6^2)))</f>
        <v>40.634644446075463</v>
      </c>
      <c r="J6" s="5"/>
      <c r="K6" s="21">
        <f>IF(C6="?","?",IF(E6="","?",40.8+10.049*(E6-2.5)+SINH((E6-2.5)/0.5113)))</f>
        <v>41.640764003654432</v>
      </c>
      <c r="L6" s="25">
        <f>IF(C6="?","?",IF(E6="","?",-0.4+(-0.345*E6+0.4845*E6^2)/(1-0.5023*E6+0.0672*E6^2)))</f>
        <v>14.726520646106389</v>
      </c>
      <c r="M6" s="26">
        <f>IF(C6="?","?",IF(E6="","?",1.7+(-4.287*E6+3.337*E6^2)/(1-0.4932*E6+0.08422*E6^2)))</f>
        <v>39.875990221925043</v>
      </c>
      <c r="N6" s="5"/>
      <c r="O6" s="21">
        <f>IF(C6="?","?",IF(E6="","?",39.4+9.416*(E6-2.4)+SINH((E6-2.4)/0.545)))</f>
        <v>41.317729587429916</v>
      </c>
      <c r="P6" s="25">
        <f>IF(C6="?","?",IF(E6="","?",4.4+(-4.777*E6+2.367*E6^2)/(1-0.447*E6+0.06219*E6^2)))</f>
        <v>17.214156434570803</v>
      </c>
      <c r="Q6" s="26">
        <f>IF(C6="?","?",IF(E6="","?",3+(-5.906*E6+4.234*E6^2)/(1-0.4795*E6+0.08612*E6^2)))</f>
        <v>40.999301798791713</v>
      </c>
      <c r="S6" s="75">
        <f>IF(C6="?","?",IF(E6="","?",-0.3+(23.725*E6-5.163*E6^2)/(1-0.02723*E6-0.04405*E6^2)))</f>
        <v>41.748637616242483</v>
      </c>
      <c r="T6" s="76">
        <f>IF(C6="?","?",IF(E6="","?",-1.2+(111.6/(1+EXP(-2.228*(E6-3.136))))))</f>
        <v>23.440558797499225</v>
      </c>
      <c r="U6" s="77">
        <f>IF(C6="?","?",IF(E6="","?",-4.6+(112/(1+EXP(-1.89*(E6-2.666))))))</f>
        <v>46.333571482077993</v>
      </c>
      <c r="W6" s="75">
        <f>IF(C6="?","?",IF(E6="","?",19.5+(5.988*E6)/(1-0.12*E6)))</f>
        <v>41.751532677848473</v>
      </c>
      <c r="X6" s="76">
        <f>IF(C6="?","?",IF(E6="","?",-0.6+(116.3/(1+EXP(-2.687*(E6-3.398))))))</f>
        <v>10.74416630843991</v>
      </c>
      <c r="Y6" s="77">
        <f>IF(C6="?","?",IF(E6="","?",3.6+(-6.344*E6+4.291*E6^2)/(1-0.4868*E6+0.08766*E6^2)))</f>
        <v>40.309960070877338</v>
      </c>
      <c r="AA6" s="75">
        <f>IF(C6="?","?",IF(E6="","?",14.3+(8.087*E6)/(1-0.09*E6)))</f>
        <v>41.337322752699357</v>
      </c>
      <c r="AB6" s="76">
        <f>IF(C6="?","?",IF(E6="","?",-0.3+(127.3/(1+EXP(-2.171*(E6-3.489))))))</f>
        <v>14.939488767532449</v>
      </c>
      <c r="AC6" s="77">
        <f>IF(C6="?","?",IF(E6="","?",3.2+(-5.324*E6+3.489*E6^2)/(1-0.4882*E6+0.08212*E6^2)))</f>
        <v>35.737896132685606</v>
      </c>
    </row>
    <row r="7" spans="1:29" x14ac:dyDescent="0.25">
      <c r="A7" s="4" t="s">
        <v>219</v>
      </c>
      <c r="B7" s="44" t="s">
        <v>238</v>
      </c>
      <c r="C7" s="15">
        <f>IF(COUNTBLANK($K$29:$K$146)=0,AVERAGE(5-K34,5-K48,K61,5-K85,5-K98,K112,5-K124,5-K139),IF(ISNUMBER($E7),$E7,"?"))</f>
        <v>2.375</v>
      </c>
      <c r="D7" s="5"/>
      <c r="E7" s="69">
        <v>2.38</v>
      </c>
      <c r="F7" s="5"/>
      <c r="G7" s="21">
        <f>IF(C7="?","?",IF(E7="","?",10+0.0000001413*E7^12.93+11.398*E7))</f>
        <v>37.137693993279974</v>
      </c>
      <c r="H7" s="25">
        <f>IF(C7="?","?",IF(E7="","?",37.7-12.573*(E7+3)+SINH((E7+3)/1.234)))</f>
        <v>9.1718274208500077</v>
      </c>
      <c r="I7" s="26">
        <f>IF(C7="?","?",IF(E7="","?",7.2+(-12.639*E7+8.6*E7^2)/(1-0.5437*E7+0.1327*E7^2)))</f>
        <v>47.913684581659183</v>
      </c>
      <c r="J7" s="5"/>
      <c r="K7" s="21">
        <f>IF(C7="?","?",IF(E7="","?",10.1+0.000000000008872*E7^19.83+11.6*E7))</f>
        <v>37.708260341013712</v>
      </c>
      <c r="L7" s="25">
        <f>IF(C7="?","?",IF(E7="","?",-0.1-2.153*(E7-0.2)+SINH((E7-0.2)/0.7192)))</f>
        <v>5.5428095229789127</v>
      </c>
      <c r="M7" s="26">
        <f>IF(C7="?","?",IF(E7="","?",9.2+(-13.908*E7+8.552*E7^2)/(1-0.5229*E7+0.1247*E7^2)))</f>
        <v>42.416309722916154</v>
      </c>
      <c r="N7" s="5"/>
      <c r="O7" s="21">
        <f>IF(C7="?","?",IF(E7="","?",10.7+0.000004347*E7^10.52+11.038*E7))</f>
        <v>37.010230484605955</v>
      </c>
      <c r="P7" s="25">
        <f>IF(C7="?","?",IF(E7="","?",216.9-30.062*(E7+7.8)+SINH((E7+7.8)/1.925)))</f>
        <v>9.8707360630615568</v>
      </c>
      <c r="Q7" s="26">
        <f>IF(C7="?","?",IF(E7="","?",6.1+(-11.828*E7+8.514*E7^2)/(1-0.5543*E7+0.1359*E7^2)))</f>
        <v>50.658221987688329</v>
      </c>
      <c r="S7" s="75">
        <f>IF(C7="?","?",IF(E7="","?",37+6.813*(E7-2.2)+SINH((E7-2.2)/0.5228)))</f>
        <v>38.577482714564525</v>
      </c>
      <c r="T7" s="76">
        <f>IF(C7="?","?",IF(E7="","?",-19.8+19.2*COSH(-0.8687*(E7-1.126))))</f>
        <v>11.96424960847445</v>
      </c>
      <c r="U7" s="77">
        <f>IF(C7="?","?",IF(E7="","?",4.4+(-12.59*E7+10.2*E7^2)/(1-0.5586*E7+0.1516*E7^2)))</f>
        <v>56.95061907393454</v>
      </c>
      <c r="W7" s="75">
        <f>IF(C7="?","?",IF(E7="","?",8.2+0.00000008648*E7^13.23+11.982*E7))</f>
        <v>36.725459058440109</v>
      </c>
      <c r="X7" s="76">
        <f>IF(C7="?","?",IF(E7="","?",1.8+0.1712*E7^4.597-1.429*E7))</f>
        <v>7.6167959396500295</v>
      </c>
      <c r="Y7" s="77">
        <f>IF(C7="?","?",IF(E7="","?",9.3+(-13.921*E7+8.763*E7^2)/(1-0.5518*E7+0.1343*E7^2)))</f>
        <v>46.187573111792176</v>
      </c>
      <c r="AA7" s="75">
        <f>IF(C7="?","?",IF(E7="","?",7.4+0.00000002709*E7^14.06+12.27*E7))</f>
        <v>36.607939259403977</v>
      </c>
      <c r="AB7" s="76">
        <f>IF(C7="?","?",IF(E7="","?",-21.1+20*COSH(0.9324*(E7-1.395))))</f>
        <v>7.9446540340494636</v>
      </c>
      <c r="AC7" s="77">
        <f>IF(C7="?","?",IF(E7="","?",8.3+(-12.233*E7+7.589*E7^2)/(1-0.5392*E7+0.1224*E7^2)))</f>
        <v>42.133397524296953</v>
      </c>
    </row>
    <row r="8" spans="1:29" x14ac:dyDescent="0.25">
      <c r="A8" s="4" t="s">
        <v>220</v>
      </c>
      <c r="B8" s="44" t="s">
        <v>238</v>
      </c>
      <c r="C8" s="15">
        <f>IF(COUNTBLANK($K$29:$K$146)=0,AVERAGE(K32,5-K71,5-K83,5-K97,5-K110,5-K122,5-K137),IF(ISNUMBER($E8),$E8,"?"))</f>
        <v>3.1428571428571428</v>
      </c>
      <c r="D8" s="5"/>
      <c r="E8" s="69">
        <v>3.14</v>
      </c>
      <c r="F8" s="5"/>
      <c r="G8" s="21">
        <f>IF(C8="?","?",IF(E8="","?",-7.4+(39.428*E8-8.584*E8^2)/(1+0.2253*E8-0.1008*E8^2)))</f>
        <v>47.489889818629713</v>
      </c>
      <c r="H8" s="25">
        <f>IF(C8="?","?",IF(E8="","?",6+1.473*E8^3.141-7.035*E8))</f>
        <v>37.497016976831887</v>
      </c>
      <c r="I8" s="26">
        <f>IF(C8="?","?",IF(E8="","?",10.1+(-13.689*E8+8.042*E8^2)/(1-0.5467*E8+0.1261*E8^2)))</f>
        <v>79.039375331477231</v>
      </c>
      <c r="J8" s="5"/>
      <c r="K8" s="21">
        <f>IF(C8="?","?",IF(E8="","?",-1.3+(24.926*E8-5.9*E8^2)/(1-0.03712*E8-0.04809*E8^2)))</f>
        <v>47.799056261214957</v>
      </c>
      <c r="L8" s="25">
        <f>IF(C8="?","?",IF(E8="","?",-1.3+(145.9/(1+EXP(-1.912*(E8-3.713))))))</f>
        <v>35.258124505514786</v>
      </c>
      <c r="M8" s="26">
        <f>IF(C8="?","?",IF(E8="","?",8.9+(-12.049*E8+7.181*E8^2)/(1-0.5481*E8+0.1208*E8^2)))</f>
        <v>79.043679114686455</v>
      </c>
      <c r="N8" s="5"/>
      <c r="O8" s="21">
        <f>IF(C8="?","?",IF(E8="","?",40+7.985*(E8-2.5)+SINH((E8-2.5)/0.5067)))</f>
        <v>46.737147470227484</v>
      </c>
      <c r="P8" s="25">
        <f>IF(C8="?","?",IF(E8="","?",250.4-29.821*(E8+9.4)+SINH((E8+9.4)/2.172)))</f>
        <v>37.2707857325058</v>
      </c>
      <c r="Q8" s="26">
        <f>IF(C8="?","?",IF(E8="","?",10.8+(-14.637*E8+8.521*E8^2)/(1-0.5468*E8+0.1292*E8^2)))</f>
        <v>79.129867293058211</v>
      </c>
      <c r="S8" s="75">
        <f>IF(C8="?","?",IF(E8="","?",12.4+0.00000000000006239*E8^23.21+11.301*E8))</f>
        <v>47.906463187088761</v>
      </c>
      <c r="T8" s="76">
        <f>IF(C8="?","?",IF(E8="","?",8.9+(-10.992*E8+5.141*E8^2)/(1-0.357*E8+0.05483*E8^2)))</f>
        <v>47.442613799145469</v>
      </c>
      <c r="U8" s="77">
        <f>IF(C8="?","?",IF(E8="","?",10.7+(-15.896*E8+9.935*E8^2)/(1-0.5762*E8+0.1485*E8^2)))</f>
        <v>84.059234158916468</v>
      </c>
      <c r="W8" s="75">
        <f>IF(C8="?","?",IF(E8="","?",-0.4+(24.847*E8-5.753*E8^2)/(1-0.01403*E8-0.05181*E8^2)))</f>
        <v>47.446209643044433</v>
      </c>
      <c r="X8" s="76">
        <f>IF(C8="?","?",IF(E8="","?",7.3-5.263*(E8+1.2)+SINH((E8+1.2)/0.9687)))</f>
        <v>28.580453714248012</v>
      </c>
      <c r="Y8" s="77">
        <f>IF(C8="?","?",IF(E8="","?",10.7+(-13.646*E8+7.732*E8^2)/(1-0.5542*E8+0.1249*E8^2)))</f>
        <v>78.657694822650001</v>
      </c>
      <c r="AA8" s="75">
        <f>IF(C8="?","?",IF(E8="","?",42.9+8.174*(E8-2.7)+SINH((E8-2.7)/0.4391)))</f>
        <v>47.674926435002305</v>
      </c>
      <c r="AB8" s="76">
        <f>IF(C8="?","?",IF(E8="","?",709.6-52.858*(E8+14.9)+SINH((E8+14.9)/2.852)))</f>
        <v>35.327390161677044</v>
      </c>
      <c r="AC8" s="77">
        <f>IF(C8="?","?",IF(E8="","?",10+(-12.769*E8+7.188*E8^2)/(1-0.5284*E8+0.1147*E8^2)))</f>
        <v>75.242383131760405</v>
      </c>
    </row>
    <row r="9" spans="1:29" x14ac:dyDescent="0.25">
      <c r="A9" s="4" t="s">
        <v>221</v>
      </c>
      <c r="B9" s="44" t="s">
        <v>238</v>
      </c>
      <c r="C9" s="15">
        <f>IF(COUNTBLANK($K$29:$K$146)=0,AVERAGE(K33,K47,5-K84,5-K111,5-K123,5-K138,5-K146),IF(ISNUMBER($E9),$E9,"?"))</f>
        <v>2.1428571428571428</v>
      </c>
      <c r="D9" s="5"/>
      <c r="E9" s="69">
        <v>2.14</v>
      </c>
      <c r="F9" s="5"/>
      <c r="G9" s="21">
        <f>IF(C9="?","?",IF(E9="","?",39.4+8.9*(E9-2.5)+SINH((E9-2.5)/0.4952)))</f>
        <v>35.403272896932442</v>
      </c>
      <c r="H9" s="25">
        <f>IF(C9="?","?",IF(E9="","?",806.5-58.405*(E9+15.3)+SINH((E9+15.3)/2.87)))</f>
        <v>5.7005506125823331</v>
      </c>
      <c r="I9" s="26">
        <f>IF(C9="?","?",IF(E9="","?",11.1+(-14.209*E9+8.029*E9^2)/(1-0.544*E9+0.1246*E9^2)))</f>
        <v>26.753144717281607</v>
      </c>
      <c r="J9" s="5"/>
      <c r="K9" s="21">
        <f>IF(C9="?","?",IF(E9="","?",41.3+8.39*(E9-2.6)+SINH((E9-2.6)/0.4532)))</f>
        <v>36.242112627942319</v>
      </c>
      <c r="L9" s="25">
        <f>IF(C9="?","?",IF(E9="","?",-645.4+643.5*COSH(-0.2151*(E9-1.461))))</f>
        <v>4.975603098516217</v>
      </c>
      <c r="M9" s="26">
        <f>IF(C9="?","?",IF(E9="","?",11.7+(-14.844*E9+8.418*E9^2)/(1-0.5602*E9+0.1313*E9^2)))</f>
        <v>28.558036956869813</v>
      </c>
      <c r="N9" s="5"/>
      <c r="O9" s="21">
        <f>IF(C9="?","?",IF(E9="","?",9.7+0.00000000677*E9^14.94+11.827*E9))</f>
        <v>35.010364750285497</v>
      </c>
      <c r="P9" s="25">
        <f>IF(C9="?","?",IF(E9="","?",4.5+(-5.978*E9+2.896*E9^2)/(1-0.3283*E9+0.03553*E9^2)))</f>
        <v>5.5205376238211494</v>
      </c>
      <c r="Q9" s="26">
        <f>IF(C9="?","?",IF(E9="","?",10.7+(-13.863*E9+7.816*E9^2)/(1-0.5364*E9+0.1212*E9^2)))</f>
        <v>25.749271092000342</v>
      </c>
      <c r="S9" s="75">
        <f>IF(C9="?","?",IF(E9="","?",12.2+0.000001012*E9^11.5+10.752*E9))</f>
        <v>35.215661737053715</v>
      </c>
      <c r="T9" s="76">
        <f>IF(C9="?","?",IF(E9="","?",17.3+(-22.098*E9+8.672*E9^2)/(1-0.2699*E9+0.04412*E9^2)))</f>
        <v>5.1689482176924262</v>
      </c>
      <c r="U9" s="77">
        <f>IF(C9="?","?",IF(E9="","?",10.5+(-14.514*E9+8.783*E9^2)/(1-0.5713*E9+0.1385*E9^2)))</f>
        <v>32.756088158980759</v>
      </c>
      <c r="W9" s="75">
        <f>IF(C9="?","?",IF(E9="","?",39.5+9.089*(E9-2.5)+SINH((E9-2.5)/0.507)))</f>
        <v>35.456711745114532</v>
      </c>
      <c r="X9" s="76">
        <f>IF(C9="?","?",IF(E9="","?",4.9+0.5156*E9^3.844-4.832*E9))</f>
        <v>4.1628853937343315</v>
      </c>
      <c r="Y9" s="77">
        <f>IF(C9="?","?",IF(E9="","?",9.3+(-12.048*E9+6.866*E9^2)/(1-0.542*E9+0.1161*E9^2)))</f>
        <v>24.524953199411019</v>
      </c>
      <c r="AA9" s="75">
        <f>IF(C9="?","?",IF(E9="","?",40.1+9.149*(E9-2.5)+SINH((E9-2.5)/0.4946)))</f>
        <v>36.012507201971879</v>
      </c>
      <c r="AB9" s="76">
        <f>IF(C9="?","?",IF(E9="","?",-2.3+(204.7/(1+EXP(-1.581*(E9-4.095))))))</f>
        <v>6.6015959351594189</v>
      </c>
      <c r="AC9" s="77">
        <f>IF(C9="?","?",IF(E9="","?",13.8+(-16.89*E9+8.91*E9^2)/(1-0.5242*E9+0.1242*E9^2)))</f>
        <v>24.224280789243231</v>
      </c>
    </row>
    <row r="10" spans="1:29" x14ac:dyDescent="0.25">
      <c r="A10" s="4" t="s">
        <v>222</v>
      </c>
      <c r="B10" s="44" t="s">
        <v>238</v>
      </c>
      <c r="C10" s="15">
        <f>IF(COUNTBLANK($K$29:$K$146)=0,AVERAGE(K38,5-K52,5-K75,5-K89,5-K101,5-K114,5-K128),IF(ISNUMBER($E10),$E10,"?"))</f>
        <v>2.4285714285714284</v>
      </c>
      <c r="D10" s="5"/>
      <c r="E10" s="69">
        <v>2.34</v>
      </c>
      <c r="F10" s="5"/>
      <c r="G10" s="21">
        <f>IF(C10="?","?",IF(E10="","?",37.3+8.313*(E10-2.3)+SINH((E10-2.3)/0.5433)))</f>
        <v>37.70621068022043</v>
      </c>
      <c r="H10" s="25">
        <f>IF(C10="?","?",IF(E10="","?",11.4+(-20.555*E10+8.411*E10^2)/(1+0.1539*E10-0.06066*E10^2)))</f>
        <v>9.4121829758019331</v>
      </c>
      <c r="I10" s="26">
        <f>IF(C10="?","?",IF(E10="","?",9.8+(-14.182*E10+8.749*E10^2)/(1-0.5684*E10+0.1383*E10^2)))</f>
        <v>44.255695700018165</v>
      </c>
      <c r="J10" s="5"/>
      <c r="K10" s="21">
        <f>IF(C10="?","?",IF(E10="","?",12.7+0.0000004192*E10^11.99+10.609*E10))</f>
        <v>37.536262614831877</v>
      </c>
      <c r="L10" s="25">
        <f>IF(C10="?","?",IF(E10="","?",1.9+0.4175*E10^3.981-2.212*E10))</f>
        <v>9.0409162207735392</v>
      </c>
      <c r="M10" s="26">
        <f>IF(C10="?","?",IF(E10="","?",12.6+(-16.695*E10+9.907*E10^2)/(1-0.5872*E10+0.151*E10^2)))</f>
        <v>46.128170301938553</v>
      </c>
      <c r="N10" s="5"/>
      <c r="O10" s="21">
        <f>IF(C10="?","?",IF(E10="","?",37.7+8.312*(E10-2.4)+SINH((E10-2.4)/0.5283)))</f>
        <v>37.087463856090864</v>
      </c>
      <c r="P10" s="25">
        <f>IF(C10="?","?",IF(E10="","?",33.8+(-116.503*E10+36.23*E10^2)/(1+1.773*E10-0.381*E10^2)))</f>
        <v>9.5605843160769233</v>
      </c>
      <c r="Q10" s="26">
        <f>IF(C10="?","?",IF(E10="","?",8.4+(-12.836*E10+8.129*E10^2)/(1-0.5593*E10+0.132*E10^2)))</f>
        <v>43.362103989882534</v>
      </c>
      <c r="S10" s="75">
        <f>IF(C10="?","?",IF(E10="","?",24+(3.708*E10)/(1-0.15*E10)))</f>
        <v>37.36936825885978</v>
      </c>
      <c r="T10" s="76">
        <f>IF(C10="?","?",IF(E10="","?",5.4+0.4*E10^4.061-5.291*E10))</f>
        <v>5.6502884021729702</v>
      </c>
      <c r="U10" s="77">
        <f>IF(C10="?","?",IF(E10="","?",7.8+(-11.423*E10+7.313*E10^2)/(1-0.5837*E10+0.1325*E10^2)))</f>
        <v>44.816292654987073</v>
      </c>
      <c r="W10" s="75">
        <f>IF(C10="?","?",IF(E10="","?",11.3+0.000000003301*E10^15.43+11.098*E10))</f>
        <v>37.270963032689494</v>
      </c>
      <c r="X10" s="76">
        <f>IF(C10="?","?",IF(E10="","?",-1.6-0.619*(E10+0.3)+SINH((E10+0.3)/0.8193)))</f>
        <v>9.2883179412736894</v>
      </c>
      <c r="Y10" s="77">
        <f>IF(C10="?","?",IF(E10="","?",9.8+(-14.309*E10+8.777*E10^2)/(1-0.5578*E10+0.1359*E10^2)))</f>
        <v>43.012298229382992</v>
      </c>
      <c r="AA10" s="75">
        <f>IF(C10="?","?",IF(E10="","?",37.5+8.7*(E10-2.4)+SINH((E10-2.4)/0.5428)))</f>
        <v>36.867236807191965</v>
      </c>
      <c r="AB10" s="76">
        <f>IF(C10="?","?",IF(E10="","?",13.5-6.412*(E10+3.2)+SINH((E10+3.2)/1.301)))</f>
        <v>13.313988780918265</v>
      </c>
      <c r="AC10" s="77">
        <f>IF(C10="?","?",IF(E10="","?",12.6+(-17.795*E10+10.6*E10^2)/(1-0.5656*E10+0.1501*E10^2)))</f>
        <v>45.508509261421025</v>
      </c>
    </row>
    <row r="11" spans="1:29" x14ac:dyDescent="0.25">
      <c r="A11" s="4" t="s">
        <v>223</v>
      </c>
      <c r="B11" s="44" t="s">
        <v>238</v>
      </c>
      <c r="C11" s="15">
        <f>IF(COUNTBLANK($K$29:$K$146)=0,AVERAGE(K37,5-K51,K63,5-K74,5-K88,5-K100,5-K142),IF(ISNUMBER($E11),$E11,"?"))</f>
        <v>2</v>
      </c>
      <c r="D11" s="5"/>
      <c r="E11" s="69">
        <v>2</v>
      </c>
      <c r="F11" s="5"/>
      <c r="G11" s="21">
        <f>IF(C11="?","?",IF(E11="","?",33.3+9.988*(E11-2.2)+SINH((E11-2.2)/0.6129)))</f>
        <v>30.97026036397979</v>
      </c>
      <c r="H11" s="25">
        <f>IF(C11="?","?",IF(E11="","?",-0.9+(0.105*E11+0.2024*E11^2)/(1-0.4718*E11+0.05783*E11^2)))</f>
        <v>2.6437230640900884</v>
      </c>
      <c r="I11" s="26">
        <f>IF(C11="?","?",IF(E11="","?",6.8+(-10.72*E11+6.628*E11^2)/(1-0.4968*E11+0.1045*E11^2)))</f>
        <v>18.750989632422243</v>
      </c>
      <c r="J11" s="5"/>
      <c r="K11" s="21">
        <f>IF(C11="?","?",IF(E11="","?",13.5+(6.423*E11)/(1-0.11*E11)))</f>
        <v>29.969230769230769</v>
      </c>
      <c r="L11" s="25">
        <f>IF(C11="?","?",IF(E11="","?",7.9+0.2058*E11^4.583-5.903*E11))</f>
        <v>1.0264857648719481</v>
      </c>
      <c r="M11" s="26">
        <f>IF(C11="?","?",IF(E11="","?",9.2+(-14.145*E11+8.456*E11^2)/(1-0.4955*E11+0.1159*E11^2)))</f>
        <v>20.909691070672871</v>
      </c>
      <c r="N11" s="5"/>
      <c r="O11" s="21">
        <f>IF(C11="?","?",IF(E11="","?",35+9.433*(E11-2.3)+SINH((E11-2.3)/0.5759)))</f>
        <v>31.625294711820871</v>
      </c>
      <c r="P11" s="25">
        <f>IF(C11="?","?",IF(E11="","?",-1.4+(0.324*E11+0.1569*E11^2)/(1-0.4619*E11+0.05546*E11^2)))</f>
        <v>2.879962421151522</v>
      </c>
      <c r="Q11" s="26">
        <f>IF(C11="?","?",IF(E11="","?",6+(-9.429*E11+5.899*E11^2)/(1-0.4989*E11+0.1004*E11^2)))</f>
        <v>17.733531451213473</v>
      </c>
      <c r="S11" s="75">
        <f>IF(C11="?","?",IF(E11="","?",0.3-0.819*LN(E11-1.7)+14.998*E11))</f>
        <v>31.282053726742941</v>
      </c>
      <c r="T11" s="76">
        <f>IF(C11="?","?",IF(E11="","?",-3.5+(0.897*E11+0.05657*E11^2)/(1-0.459*E11+0.05508*E11^2)))</f>
        <v>3.1825879862397484</v>
      </c>
      <c r="U11" s="77">
        <f>IF(C11="?","?",IF(E11="","?",6.2+(-9.899*E11+6.408*E11^2)/(1-0.5242*E11+0.111*E11^2)))</f>
        <v>20.947219413549046</v>
      </c>
      <c r="W11" s="75">
        <f>IF(C11="?","?",IF(E11="","?",36.7+10.007*(E11-2.4)+SINH((E11-2.4)/0.5328)))</f>
        <v>31.873911051785072</v>
      </c>
      <c r="X11" s="76">
        <f>IF(C11="?","?",IF(E11="","?",0.7+(-0.272*E11+0.1994*E11^2)/(1-0.5003*E11+0.06396*E11^2)))</f>
        <v>1.6935746748158591</v>
      </c>
      <c r="Y11" s="77">
        <f>IF(C11="?","?",IF(E11="","?",4.7+(-8.128*E11+5.208*E11^2)/(1-0.49*E11+0.09382*E11^2)))</f>
        <v>16.276603926330704</v>
      </c>
      <c r="AA11" s="75">
        <f>IF(C11="?","?",IF(E11="","?",15.1+(5.71*E11)/(1-0.13*E11)))</f>
        <v>30.532432432432433</v>
      </c>
      <c r="AB11" s="76">
        <f>IF(C11="?","?",IF(E11="","?",-0.6+(266.9/(1+EXP(-1.805*(E11-4.339))))))</f>
        <v>3.2590259798059678</v>
      </c>
      <c r="AC11" s="77">
        <f>IF(C11="?","?",IF(E11="","?",11.2+(-16.189*E11+9.21*E11^2)/(1-0.4861*E11+0.1177*E11^2)))</f>
        <v>20.14905736060971</v>
      </c>
    </row>
    <row r="12" spans="1:29" x14ac:dyDescent="0.25">
      <c r="A12" s="4" t="s">
        <v>224</v>
      </c>
      <c r="B12" s="44" t="s">
        <v>238</v>
      </c>
      <c r="C12" s="15">
        <f>IF(COUNTBLANK($K$29:$K$146)=0,AVERAGE(5-K42,5-K66,5-K78,5-K92,K104,5-K118,5-K131),IF(ISNUMBER($E12),$E12,"?"))</f>
        <v>2.7142857142857144</v>
      </c>
      <c r="D12" s="5"/>
      <c r="E12" s="69">
        <v>2.7142857142857144</v>
      </c>
      <c r="F12" s="5"/>
      <c r="G12" s="21">
        <f>IF(C12="?","?",IF(E12="","?",35.9+10.402*(E12-2.4)+SINH((E12-2.4)/0.5264)))</f>
        <v>39.802356064225215</v>
      </c>
      <c r="H12" s="25">
        <f>IF(C12="?","?",IF(E12="","?",-1.2+(116.8/(1+EXP(-2.705*(E12-3.496))))))</f>
        <v>11.378413485097861</v>
      </c>
      <c r="I12" s="26">
        <f>IF(C12="?","?",IF(E12="","?",3.6+(-4.903*E12+2.874*E12^2)/(1-0.4902*E12+0.0775*E12^2)))</f>
        <v>36.315242468741801</v>
      </c>
      <c r="J12" s="5"/>
      <c r="K12" s="21">
        <f>IF(C12="?","?",IF(E12="","?",4.1+0.00003644*E12^8.802+13.003*E12))</f>
        <v>39.632976434601986</v>
      </c>
      <c r="L12" s="25">
        <f>IF(C12="?","?",IF(E12="","?",6.9+(-5.319*E12+2.033*E12^2)/(1-0.502*E12+0.07101*E12^2)))</f>
        <v>10.266032882554862</v>
      </c>
      <c r="M12" s="26">
        <f>IF(C12="?","?",IF(E12="","?",4.4+(-6.427*E12+3.841*E12^2)/(1-0.5096*E12+0.08847*E12^2)))</f>
        <v>44.808422847425781</v>
      </c>
      <c r="N12" s="5"/>
      <c r="O12" s="21">
        <f>IF(C12="?","?",IF(E12="","?",15.8+(5.678*E12)/(1-0.13*E12)))</f>
        <v>39.615011037527594</v>
      </c>
      <c r="P12" s="25">
        <f>IF(C12="?","?",IF(E12="","?",-1.4+(126.1/(1+EXP(-2.453*(E12-3.585))))))</f>
        <v>11.923695989476794</v>
      </c>
      <c r="Q12" s="26">
        <f>IF(C12="?","?",IF(E12="","?",3.5+(-4.337*E12+2.459*E12^2)/(1-0.4882*E12+0.07418*E12^2)))</f>
        <v>32.156628916022527</v>
      </c>
      <c r="S12" s="75">
        <f>IF(C12="?","?",IF(E12="","?",36.8+10.234*(E12-2.5)+SINH((E12-2.5)/0.5077)))</f>
        <v>39.427715234803237</v>
      </c>
      <c r="T12" s="76">
        <f>IF(C12="?","?",IF(E12="","?",12.5+(-10.862*E12+4.309*E12^2)/(1-0.4736*E12+0.07528*E12^2)))</f>
        <v>20.909846458102074</v>
      </c>
      <c r="U12" s="77">
        <f>IF(C12="?","?",IF(E12="","?",3.5+(-5.734*E12+3.654*E12^2)/(1-0.4895*E12+0.08322*E12^2)))</f>
        <v>43.422174745245698</v>
      </c>
      <c r="W12" s="75">
        <f>IF(C12="?","?",IF(E12="","?",14.5+(6.292*E12)/(1-0.12*E12)))</f>
        <v>39.827966101694919</v>
      </c>
      <c r="X12" s="76">
        <f>IF(C12="?","?",IF(E12="","?",-0.7+(113.4/(1+EXP(-2.885*(E12-3.534))))))</f>
        <v>9.0399953775332769</v>
      </c>
      <c r="Y12" s="77">
        <f>IF(C12="?","?",IF(E12="","?",3.4+(-4.951*E12+2.898*E12^2)/(1-0.4865*E12+0.07661*E12^2)))</f>
        <v>35.838454413636221</v>
      </c>
      <c r="AA12" s="75">
        <f>IF(C12="?","?",IF(E12="","?",16.8+(5.143*E12)/(1-0.14*E12)))</f>
        <v>39.315437788018443</v>
      </c>
      <c r="AB12" s="76">
        <f>IF(C12="?","?",IF(E12="","?",-0.9+(112.2/(1+EXP(-3.487*(E12-3.538))))))</f>
        <v>5.1072332368720348</v>
      </c>
      <c r="AC12" s="77">
        <f>IF(C12="?","?",IF(E12="","?",-1+(108.6/(1+EXP(-2.448*(E12-3.088))))))</f>
        <v>30.060455580554066</v>
      </c>
    </row>
    <row r="13" spans="1:29" x14ac:dyDescent="0.25">
      <c r="A13" s="4" t="s">
        <v>225</v>
      </c>
      <c r="B13" s="44" t="s">
        <v>238</v>
      </c>
      <c r="C13" s="15">
        <f>IF(COUNTBLANK($K$29:$K$146)=0,AVERAGE(K43,5-K56,5-K67,5-K93,5-K105,K119,5-K132,5-K145),IF(ISNUMBER($E13),$E13,"?"))</f>
        <v>2.75</v>
      </c>
      <c r="D13" s="5"/>
      <c r="E13" s="69">
        <v>2.75</v>
      </c>
      <c r="F13" s="5"/>
      <c r="G13" s="21">
        <f>IF(C13="?","?",IF(E13="","?",14.8+(4.87*E13)/(1-0.15*E13)))</f>
        <v>37.595744680851062</v>
      </c>
      <c r="H13" s="25">
        <f>IF(C13="?","?",IF(E13="","?",-0.8+(128.4/(1+EXP(-2.956*(E13-3.703))))))</f>
        <v>6.4428888730002711</v>
      </c>
      <c r="I13" s="26">
        <f>IF(C13="?","?",IF(E13="","?",-1+(120.1/(1+EXP(-2.277*(E13-3.33))))))</f>
        <v>24.30609176692095</v>
      </c>
      <c r="J13" s="5"/>
      <c r="K13" s="21">
        <f>IF(C13="?","?",IF(E13="","?",12.8+(5.547*E13)/(1-0.13*E13)))</f>
        <v>36.542023346303502</v>
      </c>
      <c r="L13" s="25">
        <f>IF(C13="?","?",IF(E13="","?",1+(107.4/(1+EXP(-4.156*(E13-3.549))))))</f>
        <v>4.7450088915240318</v>
      </c>
      <c r="M13" s="26">
        <f>IF(C13="?","?",IF(E13="","?",1.5+(-2.698*E13+1.781*E13^2)/(1-0.4938*E13+0.07235*E13^2)))</f>
        <v>33.473638570933041</v>
      </c>
      <c r="N13" s="5"/>
      <c r="O13" s="21">
        <f>IF(C13="?","?",IF(E13="","?",18.7+(3.771*E13)/(1-0.16*E13)))</f>
        <v>37.218303571428571</v>
      </c>
      <c r="P13" s="25">
        <f>IF(C13="?","?",IF(E13="","?",6.8+0.1282*E13^4.858-6.053*E13))</f>
        <v>7.6191559718314359</v>
      </c>
      <c r="Q13" s="26">
        <f>IF(C13="?","?",IF(E13="","?",3+(-3.09*E13+1.539*E13^2)/(1-0.4721*E13+0.06368*E13^2)))</f>
        <v>20.136398352472664</v>
      </c>
      <c r="S13" s="75">
        <f>IF(C13="?","?",IF(E13="","?",14.7+(4.742*E13)/(1-0.15*E13)))</f>
        <v>36.896595744680852</v>
      </c>
      <c r="T13" s="76">
        <f>IF(C13="?","?",IF(E13="","?",-0.4+(117.2/(1+EXP(-2.958*(E13-3.549))))))</f>
        <v>9.6795802496937409</v>
      </c>
      <c r="U13" s="77">
        <f>IF(C13="?","?",IF(E13="","?",2.6+(-3.454*E13+1.965*E13^2)/(1-0.4752*E13+0.06784*E13^2)))</f>
        <v>28.597927172226541</v>
      </c>
      <c r="W13" s="75">
        <f>IF(C13="?","?",IF(E13="","?",-0.1+0.0000000006588*E13^16.68+13.773*E13))</f>
        <v>37.789772418469965</v>
      </c>
      <c r="X13" s="76">
        <f>IF(C13="?","?",IF(E13="","?",-1.2+(146.8/(1+EXP(-3.004*(E13-3.833))))))</f>
        <v>4.2620376626037766</v>
      </c>
      <c r="Y13" s="77">
        <f>IF(C13="?","?",IF(E13="","?",-1.2+(119.4/(1+EXP(-2.253*(E13-3.315))))))</f>
        <v>24.919171898068864</v>
      </c>
      <c r="AA13" s="75">
        <f>IF(C13="?","?",IF(E13="","?",20.6+(3.211*E13)/(1-0.17*E13)))</f>
        <v>37.182629107981221</v>
      </c>
      <c r="AB13" s="76">
        <f>IF(C13="?","?",IF(E13="","?",-0.7+(132.9/(1+EXP(-3.005*(E13-3.75))))))</f>
        <v>5.5729464949227401</v>
      </c>
      <c r="AC13" s="77">
        <f>IF(C13="?","?",IF(E13="","?",-0.5+(119.9/(1+EXP(-2.481*(E13-3.399))))))</f>
        <v>19.471161661290473</v>
      </c>
    </row>
    <row r="14" spans="1:29" x14ac:dyDescent="0.25">
      <c r="A14" s="4" t="s">
        <v>226</v>
      </c>
      <c r="B14" s="44" t="s">
        <v>238</v>
      </c>
      <c r="C14" s="15">
        <f>IF(COUNTBLANK($K$29:$K$146)=0,AVERAGE(5-K40,5-K54,K64,5-K77,K91,K115,5-K127),IF(ISNUMBER($E14),$E14,"?"))</f>
        <v>2.8571428571428572</v>
      </c>
      <c r="D14" s="5"/>
      <c r="E14" s="69">
        <v>2.8571428571428572</v>
      </c>
      <c r="F14" s="5"/>
      <c r="G14" s="21">
        <f>IF(C14="?","?",IF(E14="","?",15.9+(8.62*E14)/(1-0.07*E14)))</f>
        <v>46.685714285714283</v>
      </c>
      <c r="H14" s="25">
        <f>IF(C14="?","?",IF(E14="","?",-2.3+(123.6/(1+EXP(-1.857*(E14-3.37))))))</f>
        <v>32.111141997491842</v>
      </c>
      <c r="I14" s="26">
        <f>IF(C14="?","?",IF(E14="","?",-4.4+(110.6/(1+EXP(-1.891*(E14-2.702))))))</f>
        <v>58.954137782291028</v>
      </c>
      <c r="J14" s="5"/>
      <c r="K14" s="21">
        <f>IF(C14="?","?",IF(E14="","?",29.2+6.321*(E14-1)+SINH((E14-1)/0.8529)))</f>
        <v>45.29420112473246</v>
      </c>
      <c r="L14" s="25">
        <f>IF(C14="?","?",IF(E14="","?",-3.1+(119.9/(1+EXP(-1.933*(E14-3.232))))))</f>
        <v>36.033092481931682</v>
      </c>
      <c r="M14" s="26">
        <f>IF(C14="?","?",IF(E14="","?",4.8+(-8.239*E14+5.757*E14^2)/(1-0.4988*E14+0.1017*E14^2)))</f>
        <v>62.707093913744473</v>
      </c>
      <c r="N14" s="5"/>
      <c r="O14" s="21">
        <f>IF(C14="?","?",IF(E14="","?",14.2+(9.569*E14)/(1-0.05*E14)))</f>
        <v>46.096666666666671</v>
      </c>
      <c r="P14" s="25">
        <f>IF(C14="?","?",IF(E14="","?",22.8+14.32*E14^1.958-36.151*E14))</f>
        <v>31.367042840176609</v>
      </c>
      <c r="Q14" s="26">
        <f>IF(C14="?","?",IF(E14="","?",4.7+(-7.895*E14+5.323*E14^2)/(1-0.472*E14+0.09152*E14^2)))</f>
        <v>57.132404752150762</v>
      </c>
      <c r="S14" s="75">
        <f>IF(C14="?","?",IF(E14="","?",11.4+0.0000000000006011*E14^21.62+11.875*E14))</f>
        <v>45.332898515391548</v>
      </c>
      <c r="T14" s="76">
        <f>IF(C14="?","?",IF(E14="","?",-0.9+(107.1/(1+EXP(-2.407*(E14-3.229))))))</f>
        <v>30.166143185554368</v>
      </c>
      <c r="U14" s="77">
        <f>IF(C14="?","?",IF(E14="","?",-3.7+(107.8/(1+EXP(-2.043*(E14-2.63))))))</f>
        <v>62.48652494517485</v>
      </c>
      <c r="W14" s="75">
        <f>IF(C14="?","?",IF(E14="","?",24.7+(4.275*E14)/(1-0.14*E14)))</f>
        <v>45.057142857142864</v>
      </c>
      <c r="X14" s="76">
        <f>IF(C14="?","?",IF(E14="","?",-957+956.4*COSH(0.1583*(E14-1.24))))</f>
        <v>30.909288147527036</v>
      </c>
      <c r="Y14" s="77">
        <f>IF(C14="?","?",IF(E14="","?",5.9+(-9.342*E14+5.989*E14^2)/(1-0.4708*E14+0.09477*E14^2)))</f>
        <v>57.706058296818455</v>
      </c>
      <c r="AA14" s="75">
        <f>IF(C14="?","?",IF(E14="","?",42+7.859*(E14-2.4)+SINH((E14-2.4)/0.5064)))</f>
        <v>46.623119688022015</v>
      </c>
      <c r="AB14" s="76">
        <f>IF(C14="?","?",IF(E14="","?",3.2+(-5.103*E14+3.141*E14^2)/(1-0.3963*E14+0.05683*E14^2)))</f>
        <v>36.552615384615393</v>
      </c>
      <c r="AC14" s="77">
        <f>IF(C14="?","?",IF(E14="","?",3.7+(-7.149*E14+5.228*E14^2)/(1-0.462*E14+0.08973*E14^2)))</f>
        <v>57.645181080546209</v>
      </c>
    </row>
    <row r="15" spans="1:29" x14ac:dyDescent="0.25">
      <c r="A15" s="4" t="s">
        <v>227</v>
      </c>
      <c r="B15" s="44" t="s">
        <v>238</v>
      </c>
      <c r="C15" s="15">
        <f>IF(COUNTBLANK($K$29:$K$146)=0,AVERAGE(K41,5-K55,5-K65,5-K103,5-K116,5-K130,K144),IF(ISNUMBER($E15),$E15,"?"))</f>
        <v>2.4285714285714284</v>
      </c>
      <c r="D15" s="5"/>
      <c r="E15" s="69">
        <v>2.4285714285714284</v>
      </c>
      <c r="F15" s="5"/>
      <c r="G15" s="21">
        <f>IF(C15="?","?",IF(E15="","?",40.1+8.18*(E15-2.6)+SINH((E15-2.6)/0.4655)))</f>
        <v>38.32106591011938</v>
      </c>
      <c r="H15" s="25">
        <f>IF(C15="?","?",IF(E15="","?",10.6+1.697*E15^3.107-11.46*E15))</f>
        <v>9.4966063905673472</v>
      </c>
      <c r="I15" s="26">
        <f>IF(C15="?","?",IF(E15="","?",8.4+(-11.918*E15+7.325*E15^2)/(1-0.545*E15+0.1218*E15^2)))</f>
        <v>44.516607737319852</v>
      </c>
      <c r="J15" s="5"/>
      <c r="K15" s="21">
        <f>IF(C15="?","?",IF(E15="","?",-68.9+(178.691*E15-39.35*E15^2)/(1+1.056*E15-0.2859*E15^2)))</f>
        <v>38.577153681758475</v>
      </c>
      <c r="L15" s="25">
        <f>IF(C15="?","?",IF(E15="","?",-63.1+61*COSH(-0.6209*(E15-1.414))))</f>
        <v>10.409014886339754</v>
      </c>
      <c r="M15" s="26">
        <f>IF(C15="?","?",IF(E15="","?",9+(-13.243*E15+8.311*E15^2)/(1-0.5363*E15+0.1267*E15^2)))</f>
        <v>46.894075222741144</v>
      </c>
      <c r="N15" s="5"/>
      <c r="O15" s="21">
        <f>IF(C15="?","?",IF(E15="","?",39.8+8.144*(E15-2.6)+SINH((E15-2.6)/0.4662)))</f>
        <v>38.027828157318112</v>
      </c>
      <c r="P15" s="25">
        <f>IF(C15="?","?",IF(E15="","?",10.1+1.432*E15^3.199-10.461*E15))</f>
        <v>9.1673354540823304</v>
      </c>
      <c r="Q15" s="26">
        <f>IF(C15="?","?",IF(E15="","?",8.4+(-11.462*E15+6.929*E15^2)/(1-0.5502*E15+0.1202*E15^2)))</f>
        <v>43.359647393780122</v>
      </c>
      <c r="S15" s="75">
        <f>IF(C15="?","?",IF(E15="","?",40.4+7.339*(E15-2.6)+SINH((E15-2.6)/0.4382)))</f>
        <v>38.740619409473027</v>
      </c>
      <c r="T15" s="76">
        <f>IF(C15="?","?",IF(E15="","?",6.5+0.8369*E15^3.521-6.826*E15))</f>
        <v>8.9549917864165423</v>
      </c>
      <c r="U15" s="77">
        <f>IF(C15="?","?",IF(E15="","?",8.5+(-11.444*E15+7.035*E15^2)/(1-0.5748*E15+0.1274*E15^2)))</f>
        <v>47.040712161401785</v>
      </c>
      <c r="W15" s="75">
        <f>IF(C15="?","?",IF(E15="","?",-127.2+(409.534*E15-90.17*E15^2)/(1+1.872*E15-0.4661*E15^2)))</f>
        <v>38.235373410153258</v>
      </c>
      <c r="X15" s="76">
        <f>IF(C15="?","?",IF(E15="","?",4.3+(-5.14*E15+2.313*E15^2)/(1-0.398*E15+0.04901*E15^2)))</f>
        <v>7.8943168823476215</v>
      </c>
      <c r="Y15" s="77">
        <f>IF(C15="?","?",IF(E15="","?",8.6+(-11.717*E15+7.039*E15^2)/(1-0.5392*E15+0.1179*E15^2)))</f>
        <v>42.444819470814373</v>
      </c>
      <c r="AA15" s="75">
        <f>IF(C15="?","?",IF(E15="","?",19.1+(5.506*E15)/(1-0.12*E15)))</f>
        <v>37.971370967741933</v>
      </c>
      <c r="AB15" s="76">
        <f>IF(C15="?","?",IF(E15="","?",14.4+4.462*E15^2.541-18.543*E15))</f>
        <v>11.898054980030658</v>
      </c>
      <c r="AC15" s="77">
        <f>IF(C15="?","?",IF(E15="","?",7.9+(-12.273*E15+7.844*E15^2)/(1-0.5228*E15+0.1207*E15^2)))</f>
        <v>45.115620399555134</v>
      </c>
    </row>
    <row r="16" spans="1:29" x14ac:dyDescent="0.25">
      <c r="A16" s="4" t="s">
        <v>228</v>
      </c>
      <c r="B16" s="44" t="s">
        <v>238</v>
      </c>
      <c r="C16" s="15">
        <f>IF(COUNTBLANK($K$29:$K$146)=0,AVERAGE(5-K35,5-K49,5-K62,K72,5-K86,5-K99,5-K125,K140),IF(ISNUMBER($E16),$E16,"?"))</f>
        <v>3.25</v>
      </c>
      <c r="D16" s="5"/>
      <c r="E16" s="69">
        <v>3.25</v>
      </c>
      <c r="F16" s="5"/>
      <c r="G16" s="21">
        <f>IF(C16="?","?",IF(E16="","?",40.1+10.327*(E16-2.6)+SINH((E16-2.6)/0.4803)))</f>
        <v>48.618487964343927</v>
      </c>
      <c r="H16" s="25">
        <f>IF(C16="?","?",IF(E16="","?",5.8+(-5.743*E16+2.579*E16^2)/(1-0.4272*E16+0.057*E16^2)))</f>
        <v>45.937775697654018</v>
      </c>
      <c r="I16" s="26">
        <f>IF(C16="?","?",IF(E16="","?",8.5+(-10.172*E16+5.726*E16^2)/(1-0.5597*E16+0.1126*E16^2)))</f>
        <v>82.550632911392327</v>
      </c>
      <c r="J16" s="5"/>
      <c r="K16" s="21">
        <f>IF(C16="?","?",IF(E16="","?",40.3+9.632*(E16-2.6)+SINH((E16-2.6)/0.4631)))</f>
        <v>48.472823731467585</v>
      </c>
      <c r="L16" s="25">
        <f>IF(C16="?","?",IF(E16="","?",-1.4+(127.1/(1+EXP(-2.124*(E16-3.427))))))</f>
        <v>50.342989669512797</v>
      </c>
      <c r="M16" s="26">
        <f>IF(C16="?","?",IF(E16="","?",10.1+(-11.357*E16+6.235*E16^2)/(1-0.5712*E16+0.1185*E16^2)))</f>
        <v>83.335875460539881</v>
      </c>
      <c r="N16" s="5"/>
      <c r="O16" s="21">
        <f>IF(C16="?","?",IF(E16="","?",39.7+10.798*(E16-2.5)+SINH((E16-2.5)/0.4961)))</f>
        <v>49.955667699690117</v>
      </c>
      <c r="P16" s="25">
        <f>IF(C16="?","?",IF(E16="","?",6.5+(-6.365*E16+2.749*E16^2)/(1-0.4137*E16+0.05381*E16^2)))</f>
        <v>43.803189454668306</v>
      </c>
      <c r="Q16" s="26">
        <f>IF(C16="?","?",IF(E16="","?",8.1+(-9.83*E16+5.565*E16^2)/(1-0.5552*E16+0.1104*E16^2)))</f>
        <v>82.285270942770268</v>
      </c>
      <c r="S16" s="75">
        <f>IF(C16="?","?",IF(E16="","?",6.6+0.000000004278*E16^15.28+13.044*E16))</f>
        <v>49.276673349050128</v>
      </c>
      <c r="T16" s="76">
        <f>IF(C16="?","?",IF(E16="","?",-0.7+(125.2/(1+EXP(-2.281*(E16-3.455))))))</f>
        <v>47.524944704221468</v>
      </c>
      <c r="U16" s="77">
        <f>IF(C16="?","?",IF(E16="","?",10.5+(-12.269*E16+6.859*E16^2)/(1-0.5901*E16+0.1277*E16^2)))</f>
        <v>86.076485259784477</v>
      </c>
      <c r="W16" s="75">
        <f>IF(C16="?","?",IF(E16="","?",40.8+9.645*(E16-2.6)+SINH((E16-2.6)/0.4585)))</f>
        <v>49.011849074712565</v>
      </c>
      <c r="X16" s="76">
        <f>IF(C16="?","?",IF(E16="","?",5.4+(-5.292*E16+2.308*E16^2)/(1-0.4224*E16+0.05393*E16^2)))</f>
        <v>41.873326411314011</v>
      </c>
      <c r="Y16" s="77">
        <f>IF(C16="?","?",IF(E16="","?",8.8+(-9.68*E16+5.247*E16^2)/(1-0.5573*E16+0.1081*E16^2)))</f>
        <v>81.282748189741568</v>
      </c>
      <c r="AA16" s="75">
        <f>IF(C16="?","?",IF(E16="","?",3.2+(14.54*E16-3.497*E16^2)/(1-0.2333*E16-0.001974*E16^2)))</f>
        <v>49.903428827818544</v>
      </c>
      <c r="AB16" s="76">
        <f>IF(C16="?","?",IF(E16="","?",6.4+(-7.579*E16+3.451*E16^2)/(1-0.3964*E16+0.05387*E16^2)))</f>
        <v>48.506728001015325</v>
      </c>
      <c r="AC16" s="77">
        <f>IF(C16="?","?",IF(E16="","?",7.5+(-9.605*E16+5.598*E16^2)/(1-0.5449*E16+0.1088*E16^2)))</f>
        <v>81.289240631815488</v>
      </c>
    </row>
    <row r="17" spans="1:32" x14ac:dyDescent="0.25">
      <c r="A17" s="4" t="s">
        <v>229</v>
      </c>
      <c r="B17" s="44" t="s">
        <v>238</v>
      </c>
      <c r="C17" s="15">
        <f>IF(COUNTBLANK($K$29:$K$146)=0,AVERAGE(5-K31,5-K46,5-K60,5-K70,5-K82,5-K109,5-K121,5-K136),IF(ISNUMBER($E17),$E17,"?"))</f>
        <v>2.625</v>
      </c>
      <c r="D17" s="5"/>
      <c r="E17" s="69">
        <v>2.625</v>
      </c>
      <c r="F17" s="5"/>
      <c r="G17" s="21">
        <f>IF(C17="?","?",IF(E17="","?",7.2+0.00000001935*E17^14.46+10.175*E17))</f>
        <v>33.931622988906483</v>
      </c>
      <c r="H17" s="25">
        <f>IF(C17="?","?",IF(E17="","?",4.2+(-5.932*E17+2.304*E17^2)/(1-0.009963*E17-0.04908*E17^2)))</f>
        <v>4.6790332495483975</v>
      </c>
      <c r="I17" s="26">
        <f>IF(C17="?","?",IF(E17="","?",46.5+(-227.113*E17+65.07*E17^2)/(1+3.159*E17-0.6478*E17^2)))</f>
        <v>15.89117024051215</v>
      </c>
      <c r="J17" s="5"/>
      <c r="K17" s="21">
        <f>IF(C17="?","?",IF(E17="","?",6.1+0.0000000000399*E17^18.86+10.735*E17))</f>
        <v>34.282579436277132</v>
      </c>
      <c r="L17" s="25">
        <f>IF(C17="?","?",IF(E17="","?",2.6+(-3.153*E17+1.336*E17^2)/(1-0.299*E17+0.01888*E17^2)))</f>
        <v>5.2917617750999408</v>
      </c>
      <c r="M17" s="26">
        <f>IF(C17="?","?",IF(E17="","?",9.5+(-17.925*E17+8.211*E17^2)/(1+0.1253*E17-0.04741*E17^2)))</f>
        <v>19.004620876706099</v>
      </c>
      <c r="N17" s="5"/>
      <c r="O17" s="21">
        <f>IF(C17="?","?",IF(E17="","?",7.8+0.0000001036*E17^13.28+9.919*E17))</f>
        <v>33.875516429176351</v>
      </c>
      <c r="P17" s="25">
        <f>IF(C17="?","?",IF(E17="","?",6.1+(-11.604*E17+4.144*E17^2)/(1+0.4658*E17-0.1614*E17^2)))</f>
        <v>4.3840018571408521</v>
      </c>
      <c r="Q17" s="26">
        <f>IF(C17="?","?",IF(E17="","?",53.2+(-333.277*E17+91.22*E17^2)/(1+4.504*E17-0.9446*E17^2)))</f>
        <v>14.193854543168889</v>
      </c>
      <c r="S17" s="75">
        <f>IF(C17="?","?",IF(E17="","?",10.9+0.0000001956*E17^12.88+8.945*E17))</f>
        <v>34.429575184625129</v>
      </c>
      <c r="T17" s="76">
        <f>IF(C17="?","?",IF(E17="","?",3.3+(-4.79*E17+2.047*E17^2)/(1-0.119*E17-0.02196*E17^2)))</f>
        <v>6.1553789749572028</v>
      </c>
      <c r="U17" s="77">
        <f>IF(C17="?","?",IF(E17="","?",53.2+(-428.645*E17+118.6*E17^2)/(1+6.047*E17-1.225*E17^2)))</f>
        <v>16.678193195483907</v>
      </c>
      <c r="W17" s="75">
        <f>IF(C17="?","?",IF(E17="","?",19.9+(2.76*E17)/(1-0.18*E17)))</f>
        <v>33.634597156398101</v>
      </c>
      <c r="X17" s="76">
        <f>IF(C17="?","?",IF(E17="","?",4.6+(-5.563*E17+1.96*E17^2)/(1-0.1314*E17-0.02189*E17^2)))</f>
        <v>2.4239495080924844</v>
      </c>
      <c r="Y17" s="77">
        <f>IF(C17="?","?",IF(E17="","?",47.5+(-238.398*E17+67.84*E17^2)/(1+3.293*E17-0.6781*E17^2)))</f>
        <v>15.652104189458928</v>
      </c>
      <c r="AA17" s="75">
        <f>IF(C17="?","?",IF(E17="","?",12.4+(5.033*E17)/(1-0.13*E17)))</f>
        <v>32.455597722960157</v>
      </c>
      <c r="AB17" s="76">
        <f>IF(C17="?","?",IF(E17="","?",-4.2+(1.508*E17)/(1-0.23*E17)))</f>
        <v>5.7899053627760244</v>
      </c>
      <c r="AC17" s="77">
        <f>IF(C17="?","?",IF(E17="","?",12.9+(-25.054*E17+9.928*E17^2)/(1+0.2991*E17-0.08809*E17^2)))</f>
        <v>15.143680497541753</v>
      </c>
    </row>
    <row r="18" spans="1:32" x14ac:dyDescent="0.25">
      <c r="A18" s="4" t="s">
        <v>230</v>
      </c>
      <c r="B18" s="44" t="s">
        <v>238</v>
      </c>
      <c r="C18" s="15">
        <f>IF(COUNTBLANK($K$29:$K$146)=0,AVERAGE(K29,5-K44,K57,5-K68,5-K79,5-K94,5-K106,5-K133),IF(ISNUMBER($E18),$E18,"?"))</f>
        <v>2</v>
      </c>
      <c r="D18" s="5"/>
      <c r="E18" s="69">
        <v>2</v>
      </c>
      <c r="F18" s="5"/>
      <c r="G18" s="21">
        <f>IF(C18="?","?",IF(E18="","?",-2.8+(23.404*E18-5.155*E18^2)/(1-0.1005*E18-0.02783*E18^2)))</f>
        <v>35.281665891112148</v>
      </c>
      <c r="H18" s="25">
        <f>IF(C18="?","?",IF(E18="","?",-1.3+(109.5/(1+EXP(-2.539*(E18-3.051))))))</f>
        <v>5.802011600125641</v>
      </c>
      <c r="I18" s="26">
        <f>IF(C18="?","?",IF(E18="","?",8.5+(-11.373*E18+7.084*E18^2)/(1-0.6161*E18+0.1382*E18^2)))</f>
        <v>25.936057392389269</v>
      </c>
      <c r="J18" s="5"/>
      <c r="K18" s="21">
        <f>IF(C18="?","?",IF(E18="","?",44+12.181*(E18-2.6)+SINH((E18-2.6)/0.5043)))</f>
        <v>35.200386587838842</v>
      </c>
      <c r="L18" s="25">
        <f>IF(C18="?","?",IF(E18="","?",-1.6+(113.3/(1+EXP(-2.568*(E18-3.185))))))</f>
        <v>3.5570955437055196</v>
      </c>
      <c r="M18" s="26">
        <f>IF(C18="?","?",IF(E18="","?",9.9+(-12.18*E18+7.308*E18^2)/(1-0.6241*E18+0.141*E18^2)))</f>
        <v>25.327485750474985</v>
      </c>
      <c r="N18" s="5"/>
      <c r="O18" s="21">
        <f>IF(C18="?","?",IF(E18="","?",0.6+(18.471*E18-4.383*E18^2)/(1-0.1961*E18-0.0101*E18^2)))</f>
        <v>34.808671131476913</v>
      </c>
      <c r="P18" s="25">
        <f>IF(C18="?","?",IF(E18="","?",-1.1+(108.5/(1+EXP(-2.537*(E18-2.993))))))</f>
        <v>6.9854497528327641</v>
      </c>
      <c r="Q18" s="26">
        <f>IF(C18="?","?",IF(E18="","?",7.8+(-10.908*E18+6.941*E18^2)/(1-0.6122*E18+0.1366*E18^2)))</f>
        <v>26.272049689440991</v>
      </c>
      <c r="S18" s="75">
        <f>IF(C18="?","?",IF(E18="","?",43.9+11.621*(E18-2.5)+SINH((E18-2.5)/0.5046)))</f>
        <v>36.928317095099906</v>
      </c>
      <c r="T18" s="76">
        <f>IF(C18="?","?",IF(E18="","?",-0.4+(103.3/(1+EXP(-3.152*(E18-2.904))))))</f>
        <v>5.251742009188308</v>
      </c>
      <c r="U18" s="77">
        <f>IF(C18="?","?",IF(E18="","?",10.3+(-13.744*E18+8.723*E18^2)/(1-0.6498*E18+0.1592*E18^2)))</f>
        <v>32.257295373665499</v>
      </c>
      <c r="W18" s="75">
        <f>IF(C18="?","?",IF(E18="","?",0.7+(18.572*E18-4.29*E18^2)/(1-0.1825*E18-0.01179*E18^2)))</f>
        <v>34.695645073489381</v>
      </c>
      <c r="X18" s="76">
        <f>IF(C18="?","?",IF(E18="","?",9.2+(-7.887*E18+3.51*E18^2)/(1-0.5032*E18+0.08025*E18^2)))</f>
        <v>3.6882390336935789</v>
      </c>
      <c r="Y18" s="77">
        <f>IF(C18="?","?",IF(E18="","?",-3.2+(104.5/(1+EXP(-2.631*(E18-2.395))))))</f>
        <v>24.10540043506553</v>
      </c>
      <c r="AA18" s="75">
        <f>IF(C18="?","?",IF(E18="","?",41+13.307*(E18-2.4)+SINH((E18-2.4)/0.6004)))</f>
        <v>34.960588026378751</v>
      </c>
      <c r="AB18" s="76">
        <f>IF(C18="?","?",IF(E18="","?",-2.2+(128/(1+EXP(-1.952*(E18-3.277))))))</f>
        <v>7.5755189954380393</v>
      </c>
      <c r="AC18" s="77">
        <f>IF(C18="?","?",IF(E18="","?",9.2+(-11.278*E18+6.683*E18^2)/(1-0.6034*E18+0.131*E18^2)))</f>
        <v>22.365195460277427</v>
      </c>
    </row>
    <row r="19" spans="1:32" x14ac:dyDescent="0.25">
      <c r="A19" s="4" t="s">
        <v>231</v>
      </c>
      <c r="B19" s="44" t="s">
        <v>238</v>
      </c>
      <c r="C19" s="15">
        <f>IF(COUNTBLANK($K$29:$K$146)=0,AVERAGE(K39,5-K53,5-K76,5-K90,5-K102,K117,5-K129,5-K143),IF(ISNUMBER($E19),$E19,"?"))</f>
        <v>2.625</v>
      </c>
      <c r="D19" s="5"/>
      <c r="E19" s="69">
        <v>2.625</v>
      </c>
      <c r="F19" s="5"/>
      <c r="G19" s="21">
        <f>IF(C19="?","?",IF(E19="","?",-8.9+(24.111*E19-5.335*E19^2)/(1-0.09149*E19-0.03032*E19^2)))</f>
        <v>39.256050615793725</v>
      </c>
      <c r="H19" s="25">
        <f>IF(C19="?","?",IF(E19="","?",-1.2+(125.7/(1+EXP(-2.467*(E19-3.509))))))</f>
        <v>11.556714890322507</v>
      </c>
      <c r="I19" s="26">
        <f>IF(C19="?","?",IF(E19="","?",4.7+(-5.416*E19+2.977*E19^2)/(1-0.5098*E19+0.0822*E19^2)))</f>
        <v>32.293434585518838</v>
      </c>
      <c r="J19" s="5"/>
      <c r="K19" s="21">
        <f>IF(C19="?","?",IF(E19="","?",37.2+11.261*(E19-2.5)+SINH((E19-2.5)/0.4985)))</f>
        <v>38.861013275844151</v>
      </c>
      <c r="L19" s="25">
        <f>IF(C19="?","?",IF(E19="","?",-1.5+(117.8/(1+EXP(-2.794*(E19-3.389))))))</f>
        <v>10.960598349832821</v>
      </c>
      <c r="M19" s="26">
        <f>IF(C19="?","?",IF(E19="","?",-1.3+(107.7/(1+EXP(-2.406*(E19-2.913))))))</f>
        <v>34.605245913014059</v>
      </c>
      <c r="N19" s="5"/>
      <c r="O19" s="21">
        <f>IF(C19="?","?",IF(E19="","?",-6.4+(20.944*E19-4.684*E19^2)/(1-0.1369*E19-0.0206*E19^2)))</f>
        <v>39.123840557459836</v>
      </c>
      <c r="P19" s="25">
        <f>IF(C19="?","?",IF(E19="","?",-1.1+(135.5/(1+EXP(-2.283*(E19-3.606))))))</f>
        <v>11.941648702735106</v>
      </c>
      <c r="Q19" s="26">
        <f>IF(C19="?","?",IF(E19="","?",5+(-5.706*E19+3.045*E19^2)/(1-0.5058*E19+0.08119*E19^2)))</f>
        <v>30.908758973971697</v>
      </c>
      <c r="S19" s="75">
        <f>IF(C19="?","?",IF(E19="","?",0.5+0.0000000006399*E19^16.59+14.698*E19))</f>
        <v>39.087997345767377</v>
      </c>
      <c r="T19" s="76">
        <f>IF(C19="?","?",IF(E19="","?",-2+(116.5/(1+EXP(-2.74*(E19-3.378))))))</f>
        <v>11.132273081926522</v>
      </c>
      <c r="U19" s="77">
        <f>IF(C19="?","?",IF(E19="","?",4.7+(-5.565*E19+3.063*E19^2)/(1-0.5083*E19+0.08226*E19^2)))</f>
        <v>32.643538145416073</v>
      </c>
      <c r="W19" s="75">
        <f>IF(C19="?","?",IF(E19="","?",-5+(19.856*E19-4.446*E19^2)/(1-0.1477*E19-0.01823*E19^2)))</f>
        <v>39.149463013577261</v>
      </c>
      <c r="X19" s="76">
        <f>IF(C19="?","?",IF(E19="","?",-0.5+(132/(1+EXP(-2.585*(E19-3.579))))))</f>
        <v>9.8316204893756431</v>
      </c>
      <c r="Y19" s="77">
        <f>IF(C19="?","?",IF(E19="","?",-1.1+(107.3/(1+EXP(-2.488*(E19-2.969))))))</f>
        <v>30.89713083111835</v>
      </c>
      <c r="AA19" s="75">
        <f>IF(C19="?","?",IF(E19="","?",40.9+11.196*(E19-2.7)+SINH((E19-2.7)/0.4292)))</f>
        <v>39.884665621556216</v>
      </c>
      <c r="AB19" s="76">
        <f>IF(C19="?","?",IF(E19="","?",-1+(133.9/(1+EXP(-2.193*(E19-3.586))))))</f>
        <v>13.511091693539139</v>
      </c>
      <c r="AC19" s="77">
        <f>IF(C19="?","?",IF(E19="","?",4.6+(-5.658*E19+3.19*E19^2)/(1-0.4988*E19+0.08101*E19^2)))</f>
        <v>33.246054720879812</v>
      </c>
    </row>
    <row r="20" spans="1:32" x14ac:dyDescent="0.25">
      <c r="A20" s="4" t="s">
        <v>232</v>
      </c>
      <c r="B20" s="44" t="s">
        <v>238</v>
      </c>
      <c r="C20" s="15">
        <f>IF(COUNTBLANK($K$29:$K$146)=0,AVERAGE(K36,5-K50,5-K73,5-K87,K113,5-K126,5-K141),IF(ISNUMBER($E20),$E20,"?"))</f>
        <v>3</v>
      </c>
      <c r="D20" s="5"/>
      <c r="E20" s="69">
        <v>3</v>
      </c>
      <c r="F20" s="5"/>
      <c r="G20" s="21">
        <f>IF(C20="?","?",IF(E20="","?",11.1+(6.93*E20)/(1-0.12*E20)))</f>
        <v>43.584375000000001</v>
      </c>
      <c r="H20" s="25">
        <f>IF(C20="?","?",IF(E20="","?",-1.2+(116.5/(1+EXP(-2.916*(E20-3.481))))))</f>
        <v>21.797622920060817</v>
      </c>
      <c r="I20" s="26">
        <f>IF(C20="?","?",IF(E20="","?",-1+(110.1/(1+EXP(-2.59*(E20-3.233))))))</f>
        <v>37.925878594678416</v>
      </c>
      <c r="J20" s="5"/>
      <c r="K20" s="21">
        <f>IF(C20="?","?",IF(E20="","?",11.9+(6.795*E20)/(1-0.12*E20)))</f>
        <v>43.751562499999999</v>
      </c>
      <c r="L20" s="25">
        <f>IF(C20="?","?",IF(E20="","?",-0.9+(111.2/(1+EXP(-3.175*(E20-3.381))))))</f>
        <v>24.649151984354713</v>
      </c>
      <c r="M20" s="26">
        <f>IF(C20="?","?",IF(E20="","?",-0.7+(106.1/(1+EXP(-2.722*(E20-3.079))))))</f>
        <v>46.667995486661027</v>
      </c>
      <c r="N20" s="5"/>
      <c r="O20" s="21">
        <f>IF(C20="?","?",IF(E20="","?",10.5+(7.11*E20)/(1-0.12*E20)))</f>
        <v>43.828125</v>
      </c>
      <c r="P20" s="25">
        <f>IF(C20="?","?",IF(E20="","?",-1.3+(120.6/(1+EXP(-2.799*(E20-3.538))))))</f>
        <v>20.595274238651641</v>
      </c>
      <c r="Q20" s="26">
        <f>IF(C20="?","?",IF(E20="","?",5.6+(-4.829*E20+2.138*E20^2)/(1-0.4855*E20+0.0692*E20^2)))</f>
        <v>34.192904389657222</v>
      </c>
      <c r="S20" s="75">
        <f>IF(C20="?","?",IF(E20="","?",-23.5-6.122*LN(E20-1.8)+22.704*E20))</f>
        <v>43.495827429307404</v>
      </c>
      <c r="T20" s="76">
        <f>IF(C20="?","?",IF(E20="","?",-0.7+(109.7/(1+EXP(-3.229*(E20-3.385))))))</f>
        <v>23.860245075928017</v>
      </c>
      <c r="U20" s="77">
        <f>IF(C20="?","?",IF(E20="","?",5.3+(-4.709*E20+2.114*E20^2)/(1-0.4814*E20+0.0683*E20^2)))</f>
        <v>34.033137829912015</v>
      </c>
      <c r="W20" s="75">
        <f>IF(C20="?","?",IF(E20="","?",8.3+(7.777*E20)/(1-0.11*E20)))</f>
        <v>43.122388059701493</v>
      </c>
      <c r="X20" s="76">
        <f>IF(C20="?","?",IF(E20="","?",5.2+(-4.837*E20+1.964*E20^2)/(1-0.441*E20+0.05634*E20^2)))</f>
        <v>22.395479734869049</v>
      </c>
      <c r="Y20" s="77">
        <f>IF(C20="?","?",IF(E20="","?",-1.2+(109.3/(1+EXP(-2.598*(E20-3.202))))))</f>
        <v>39.430247931224564</v>
      </c>
      <c r="AA20" s="75">
        <f>IF(C20="?","?",IF(E20="","?",12+(6.492*E20)/(1-0.12*E20)))</f>
        <v>42.431249999999999</v>
      </c>
      <c r="AB20" s="76">
        <f>IF(C20="?","?",IF(E20="","?",-0.8+(112.8/(1+EXP(-3.229*(E20-3.465))))))</f>
        <v>19.75262764253749</v>
      </c>
      <c r="AC20" s="77">
        <f>IF(C20="?","?",IF(E20="","?",-1+(110.5/(1+EXP(-2.618*(E20-3.202))))))</f>
        <v>39.97211968576228</v>
      </c>
    </row>
    <row r="21" spans="1:32" x14ac:dyDescent="0.25">
      <c r="A21" s="4" t="s">
        <v>233</v>
      </c>
      <c r="B21" s="44" t="s">
        <v>271</v>
      </c>
      <c r="C21" s="15">
        <f>IF(COUNTBLANK($K$29:$K$146)=0,SUM(0.16*$C$18, 0.73*$C$5, 0.43*$C$6, 0.18*$C$17, 0.16*$C$8, 0.06*$C$9, 0.05*$C$16),IF(ISNUMBER($E21),$E21,"?"))</f>
        <v>3.9435714285714285</v>
      </c>
      <c r="D21" s="5"/>
      <c r="E21" s="69">
        <v>3.9435714285714285</v>
      </c>
      <c r="F21" s="5"/>
      <c r="G21" s="21">
        <f>IF(C21="?","?",IF(E21="","?",-20.8+(22.842*E21-2.994*E21^2)/(1+0.0493*E21-0.02456*E21^2)))</f>
        <v>32.761688972065258</v>
      </c>
      <c r="H21" s="25">
        <f>IF(C21="?","?",IF(E21="","?",-8.1+(0.908*E21-0.02243*E21^2)/(1-0.2602*E21+0.01776*E21^2)))</f>
        <v>4.8235144839701771</v>
      </c>
      <c r="I21" s="26">
        <f>IF(C21="?","?",IF(E21="","?",-3.2+(109.8/(1+EXP(-1.363*(E21-4.838))))))</f>
        <v>21.844698260534834</v>
      </c>
      <c r="J21" s="5"/>
      <c r="K21" s="21">
        <f>IF(C21="?","?",IF(E21="","?",-9.6+1.711E-31*E21^37.75+10.02*E21))</f>
        <v>29.914585719632427</v>
      </c>
      <c r="L21" s="25">
        <f>IF(C21="?","?",IF(E21="","?",21.2+(-7.365*E21+1.428*E21^2)/(1-0.2305*E21+0.01729*E21^2)))</f>
        <v>2.2042779160318631</v>
      </c>
      <c r="M21" s="26">
        <f>IF(C21="?","?",IF(E21="","?",4.5+(-3.227*E21+1.08*E21^2)/(1-0.3109*E21+0.0305*E21^2)))</f>
        <v>20.893262077061141</v>
      </c>
      <c r="N21" s="5"/>
      <c r="O21" s="21">
        <f>IF(C21="?","?",IF(E21="","?",-60.7+(83.422*E21-10.59*E21^2)/(1+0.523*E21-0.0851*E21^2)))</f>
        <v>33.770594197965906</v>
      </c>
      <c r="P21" s="25">
        <f>IF(C21="?","?",IF(E21="","?",-12.4+(2.109*E21-0.2566*E21^2)/(1-0.2636*E21+0.01765*E21^2)))</f>
        <v>6.0131569016136037</v>
      </c>
      <c r="Q21" s="26">
        <f>IF(C21="?","?",IF(E21="","?",7.2+(-4.491*E21+1.405*E21^2)/(1-0.3115*E21+0.03227*E21^2)))</f>
        <v>22.33951349584407</v>
      </c>
      <c r="S21" s="75">
        <f>IF(C21="?","?",IF(E21="","?",41.4+6.216*(E21-4.8)+SINH((E21-4.8)/0.6402)))</f>
        <v>34.302424334599536</v>
      </c>
      <c r="T21" s="76">
        <f>IF(C21="?","?",IF(E21="","?",-7.8+(0.963*E21-0.02509*E21^2)/(1-0.2698*E21+0.01919*E21^2)))</f>
        <v>6.7330874289164937</v>
      </c>
      <c r="U21" s="77">
        <f>IF(C21="?","?",IF(E21="","?",3.9+(-3.486*E21+1.301*E21^2)/(1-0.314*E21+0.0328*E21^2)))</f>
        <v>27.760038927256247</v>
      </c>
      <c r="W21" s="75">
        <f>IF(C21="?","?",IF(E21="","?",5.1+(5.961*E21-0.8014*E21^2)/(1-0.1561*E21+0.002605*E21^2)))</f>
        <v>31.09178889486175</v>
      </c>
      <c r="X21" s="76">
        <f>IF(C21="?","?",IF(E21="","?",-2.3+(-0.245*E21+0.1462*E21^2)/(1-0.2636*E21+0.01831*E21^2)))</f>
        <v>3.0317559452202936</v>
      </c>
      <c r="Y21" s="77">
        <f>IF(C21="?","?",IF(E21="","?",8.5+(-4.632*E21+1.376*E21^2)/(1-0.3171*E21+0.0327*E21^2)))</f>
        <v>20.640143142357886</v>
      </c>
      <c r="AA21" s="75">
        <f>IF(C21="?","?",IF(E21="","?",-109.2+(153.133*E21-20.35*E21^2)/(1+0.7015*E21-0.1121*E21^2)))</f>
        <v>32.868051413704265</v>
      </c>
      <c r="AB21" s="76">
        <f>IF(C21="?","?",IF(E21="","?",-7.6+(459.6/(1+EXP(-0.7781*(E21-8.526))))))</f>
        <v>5.0401849401033019</v>
      </c>
      <c r="AC21" s="77">
        <f>IF(C21="?","?",IF(E21="","?",3.9+(-3.219*E21+1.055*E21^2)/(1-0.3019*E21+0.02889*E21^2)))</f>
        <v>18.250106543387908</v>
      </c>
    </row>
    <row r="22" spans="1:32" x14ac:dyDescent="0.25">
      <c r="A22" s="4" t="s">
        <v>234</v>
      </c>
      <c r="B22" s="44" t="s">
        <v>272</v>
      </c>
      <c r="C22" s="15">
        <f>IF(COUNTBLANK($K$29:$K$146)=0,SUM(0.14*$C$18, 0.23*$C$8, 0.08*$C$9, 0.3*$C$7, 0.39*$C$11, 0.33*$C$10),IF(ISNUMBER($E22),$E22,"?"))</f>
        <v>3.4682142857142857</v>
      </c>
      <c r="D22" s="5"/>
      <c r="E22" s="69">
        <v>3.4682142857142857</v>
      </c>
      <c r="F22" s="5"/>
      <c r="G22" s="21">
        <f>IF(C22="?","?",IF(E22="","?",-16+(23.49*E22-3.775*E22^2)/(1+0.0256*E22-0.0311*E22^2)))</f>
        <v>34.455780782480232</v>
      </c>
      <c r="H22" s="25">
        <f>IF(C22="?","?",IF(E22="","?",-9.7+(1.753*E22-0.2149*E22^2)/(1-0.3176*E22+0.02583*E22^2)))</f>
        <v>7.006470823588888</v>
      </c>
      <c r="I22" s="26">
        <f>IF(C22="?","?",IF(E22="","?",18.7+(-10.401*E22+3.487*E22^2)/(1-0.447*E22+0.06838*E22^2)))</f>
        <v>40.2655251145069</v>
      </c>
      <c r="J22" s="5"/>
      <c r="K22" s="21">
        <f>IF(C22="?","?",IF(E22="","?",14.1+(3.763*E22-0.6414*E22^2)/(1-0.2629*E22+0.0157*E22^2)))</f>
        <v>33.359069918724209</v>
      </c>
      <c r="L22" s="25">
        <f>IF(C22="?","?",IF(E22="","?",-0.8+(178.5/(1+EXP(-1.614*(E22-5.59))))))</f>
        <v>4.8292818612183437</v>
      </c>
      <c r="M22" s="26">
        <f>IF(C22="?","?",IF(E22="","?",23.8+(-12.449*E22+4.013*E22^2)/(1-0.4576*E22+0.0738*E22^2)))</f>
        <v>40.745370976001922</v>
      </c>
      <c r="N22" s="5"/>
      <c r="O22" s="21">
        <f>IF(C22="?","?",IF(E22="","?",0.9+7.033E-18*E22^24.03+9.737*E22))</f>
        <v>34.67006947087016</v>
      </c>
      <c r="P22" s="25">
        <f>IF(C22="?","?",IF(E22="","?",-14.3+(2.918*E22-0.4649*E22^2)/(1-0.3171*E22+0.02528*E22^2)))</f>
        <v>7.8633548428253093</v>
      </c>
      <c r="Q22" s="26">
        <f>IF(C22="?","?",IF(E22="","?",16.4+(-9.472*E22+3.24*E22^2)/(1-0.4424*E22+0.06604*E22^2)))</f>
        <v>39.941782303835311</v>
      </c>
      <c r="S22" s="75">
        <f>IF(C22="?","?",IF(E22="","?",-134.6+(222.548*E22-36.24*E22^2)/(1+0.8791*E22-0.1714*E22^2)))</f>
        <v>34.445627866722276</v>
      </c>
      <c r="T22" s="76">
        <f>IF(C22="?","?",IF(E22="","?",-5.8+(268.6/(1+EXP(-1.141*(E22-6.073))))))</f>
        <v>7.2819392409094776</v>
      </c>
      <c r="U22" s="77">
        <f>IF(C22="?","?",IF(E22="","?",19.5+(-10.106*E22+3.467*E22^2)/(1-0.4748*E22+0.07407*E22^2)))</f>
        <v>46.739490714135727</v>
      </c>
      <c r="W22" s="75">
        <f>IF(C22="?","?",IF(E22="","?",16.2+(3.476*E22-0.5462*E22^2)/(1-0.2409*E22+0.01276*E22^2)))</f>
        <v>33.450617233099564</v>
      </c>
      <c r="X22" s="76">
        <f>IF(C22="?","?",IF(E22="","?",1.1+(-0.519*E22+0.2103*E22^2)/(1-0.3296*E22+0.02833*E22^2)))</f>
        <v>4.7914427708496374</v>
      </c>
      <c r="Y22" s="77">
        <f>IF(C22="?","?",IF(E22="","?",19.3+(-10.462*E22+3.432*E22^2)/(1-0.4417*E22+0.06679*E22^2)))</f>
        <v>37.708357442999215</v>
      </c>
      <c r="AA22" s="75">
        <f>IF(C22="?","?",IF(E22="","?",-8.5+(16.32*E22-2.774*E22^2)/(1-0.08279*E22-0.01505*E22^2)))</f>
        <v>35.186598412165473</v>
      </c>
      <c r="AB22" s="76">
        <f>IF(C22="?","?",IF(E22="","?",56.9+(-119.278*E22+23.06*E22^2)/(1+1.06*E22-0.157*E22^2)))</f>
        <v>8.0074328725581765</v>
      </c>
      <c r="AC22" s="77">
        <f>IF(C22="?","?",IF(E22="","?",15+(-9.526*E22+3.285*E22^2)/(1-0.4244*E22+0.06285*E22^2)))</f>
        <v>37.794310355077506</v>
      </c>
    </row>
    <row r="23" spans="1:32" x14ac:dyDescent="0.25">
      <c r="A23" s="4" t="s">
        <v>235</v>
      </c>
      <c r="B23" s="44" t="s">
        <v>274</v>
      </c>
      <c r="C23" s="15">
        <f>IF(COUNTBLANK($K$29:$K$146)=0,SUM(0.14*$C$6, -0.08*$C$10, 0.06*$C$15, 0.73*$C$12, 0.69*$C$13),IF(ISNUMBER($E23),$E23,"?"))</f>
        <v>4.1903571428571436</v>
      </c>
      <c r="D23" s="5"/>
      <c r="E23" s="69">
        <v>4.1903571428571436</v>
      </c>
      <c r="F23" s="5"/>
      <c r="G23" s="21">
        <f>IF(C23="?","?",IF(E23="","?",30.3+9.008*(E23-3.7)+SINH((E23-3.7)/0.7168)))</f>
        <v>35.455848756534252</v>
      </c>
      <c r="H23" s="25">
        <f>IF(C23="?","?",IF(E23="","?",5.9+(-2.188*E23+0.5343*E23^2)/(1-0.3176*E23+0.02716*E23^2)))</f>
        <v>7.3606336928982694</v>
      </c>
      <c r="I23" s="26">
        <f>IF(C23="?","?",IF(E23="","?",-1.3+(113.1/(1+EXP(-1.614*(E23-4.809))))))</f>
        <v>29.150873589098687</v>
      </c>
      <c r="J23" s="5"/>
      <c r="K23" s="21">
        <f>IF(C23="?","?",IF(E23="","?",-17.5+37.2*COSH(0.3223*(E23-1.518))))</f>
        <v>34.372582170516957</v>
      </c>
      <c r="L23" s="25">
        <f>IF(C23="?","?",IF(E23="","?",4.1+(-1.684*E23+0.4152*E23^2)/(1-0.333*E23+0.02921*E23^2)))</f>
        <v>6.0910615531791574</v>
      </c>
      <c r="M23" s="26">
        <f>IF(C23="?","?",IF(E23="","?",0.4+(-1.949*E23+0.8551*E23^2)/(1-0.3363*E23+0.03369*E23^2)))</f>
        <v>37.953176996678842</v>
      </c>
      <c r="N23" s="5"/>
      <c r="O23" s="21">
        <f>IF(C23="?","?",IF(E23="","?",-16.4+7.97E-26*E23^33.08+12.398*E23))</f>
        <v>35.552078443144154</v>
      </c>
      <c r="P23" s="25">
        <f>IF(C23="?","?",IF(E23="","?",-2+(144/(1+EXP(-1.724*(E23-5.69))))))</f>
        <v>8.0922410069227215</v>
      </c>
      <c r="Q23" s="26">
        <f>IF(C23="?","?",IF(E23="","?",5.9+(-3.037*E23+0.9174*E23^2)/(1-0.3288*E23+0.03156*E23^2)))</f>
        <v>25.078380095910696</v>
      </c>
      <c r="S23" s="75">
        <f>IF(C23="?","?",IF(E23="","?",32+9.431*(E23-3.6)+SINH((E23-3.6)/0.792)))</f>
        <v>38.384028641072611</v>
      </c>
      <c r="T23" s="76">
        <f>IF(C23="?","?",IF(E23="","?",13.2+(-4.637*E23+1.105*E23^2)/(1-0.3269*E23+0.03083*E23^2)))</f>
        <v>13.037403965497644</v>
      </c>
      <c r="U23" s="77">
        <f>IF(C23="?","?",IF(E23="","?",3.7+(-3.189*E23+1.146*E23^2)/(1-0.3302*E23+0.03378*E23^2)))</f>
        <v>35.967240113219752</v>
      </c>
      <c r="W23" s="75">
        <f>IF(C23="?","?",IF(E23="","?",-17+0.0000000000001562*E23^17.55+12.111*E23))</f>
        <v>33.762422645547858</v>
      </c>
      <c r="X23" s="76">
        <f>IF(C23="?","?",IF(E23="","?",8.9+(-2.452*E23+0.5513*E23^2)/(1-0.3176*E23+0.02695*E23^2)))</f>
        <v>4.7244786456573076</v>
      </c>
      <c r="Y23" s="77">
        <f>IF(C23="?","?",IF(E23="","?",-1.1+(112.4/(1+EXP(-1.625*(E23-4.807))))))</f>
        <v>29.083852181268362</v>
      </c>
      <c r="AA23" s="75">
        <f>IF(C23="?","?",IF(E23="","?",-27.6+4.065E-18*E23^23.23+14.258*E23))</f>
        <v>32.14727079266396</v>
      </c>
      <c r="AB23" s="76">
        <f>IF(C23="?","?",IF(E23="","?",4.1+(-1.346*E23+0.3226*E23^2)/(1-0.3256*E23+0.02763*E23^2)))</f>
        <v>4.3015498909822858</v>
      </c>
      <c r="AC23" s="77">
        <f>IF(C23="?","?",IF(E23="","?",6+(-2.895*E23+0.85*E23^2)/(1-0.3341*E23+0.03196*E23^2)))</f>
        <v>23.334450494127495</v>
      </c>
    </row>
    <row r="24" spans="1:32" x14ac:dyDescent="0.25">
      <c r="A24" s="4" t="s">
        <v>236</v>
      </c>
      <c r="B24" s="44" t="s">
        <v>273</v>
      </c>
      <c r="C24" s="15">
        <f>IF(COUNTBLANK($K$29:$K$146)=0,SUM(0.18*$C$19, 0.26*$C$16, 0.36*$C$14, 0.72*$C$15),IF(ISNUMBER($E24),$E24,"?"))</f>
        <v>4.0946428571428566</v>
      </c>
      <c r="D24" s="5"/>
      <c r="E24" s="69">
        <v>4.0946428571428566</v>
      </c>
      <c r="F24" s="5"/>
      <c r="G24" s="21">
        <f>IF(C24="?","?",IF(E24="","?",-27.4+(27.743*E24-4.381*E24^2)/(1+0.01414*E24-0.02761*E24^2)))</f>
        <v>40.072809298467213</v>
      </c>
      <c r="H24" s="25">
        <f>IF(C24="?","?",IF(E24="","?",102.1+27.65*E24^1.661-91.105*E24))</f>
        <v>16.523212839982932</v>
      </c>
      <c r="I24" s="26">
        <f>IF(C24="?","?",IF(E24="","?",17.7+(-9.224*E24+2.907*E24^2)/(1-0.4028*E24+0.05615*E24^2)))</f>
        <v>55.256584904552639</v>
      </c>
      <c r="J24" s="5"/>
      <c r="K24" s="21">
        <f>IF(C24="?","?",IF(E24="","?",-153+(188.661*E24-30.26*E24^2)/(1+0.574*E24-0.1181*E24^2)))</f>
        <v>40.510309780162316</v>
      </c>
      <c r="L24" s="25">
        <f>IF(C24="?","?",IF(E24="","?",274.1+(-197.429*E24+19.28*E24^2)/(1+0.05285*E24+0.04066*E24^2)))</f>
        <v>18.503406963976801</v>
      </c>
      <c r="M24" s="26">
        <f>IF(C24="?","?",IF(E24="","?",16.6+(-9.465*E24+3.091*E24^2)/(1-0.3996*E24+0.05694*E24^2)))</f>
        <v>57.637935186421686</v>
      </c>
      <c r="N24" s="5"/>
      <c r="O24" s="21">
        <f>IF(C24="?","?",IF(E24="","?",-16.7+(21.116*E24-3.301*E24^2)/(1-0.02016*E24-0.02185*E24^2)))</f>
        <v>39.763190488618974</v>
      </c>
      <c r="P24" s="25">
        <f>IF(C24="?","?",IF(E24="","?",61.6+4.137*E24^2.315-37.71*E24))</f>
        <v>15.325853647520773</v>
      </c>
      <c r="Q24" s="26">
        <f>IF(C24="?","?",IF(E24="","?",19+(-9.331*E24+2.87*E24^2)/(1-0.4058*E24+0.05631*E24^2)))</f>
        <v>54.08615763003845</v>
      </c>
      <c r="S24" s="75">
        <f>IF(C24="?","?",IF(E24="","?",-7.3+(13.046*E24-2.08*E24^2)/(1-0.1231*E24-0.00602*E24^2)))</f>
        <v>39.647845348131781</v>
      </c>
      <c r="T24" s="76">
        <f>IF(C24="?","?",IF(E24="","?",38+(-16.015*E24+3.341*E24^2)/(1-0.2412*E24+0.02392*E24^2)))</f>
        <v>14.87526428052842</v>
      </c>
      <c r="U24" s="77">
        <f>IF(C24="?","?",IF(E24="","?",19.1+(-9.11*E24+2.857*E24^2)/(1-0.4245*E24+0.05981*E24^2)))</f>
        <v>59.154305206244757</v>
      </c>
      <c r="W24" s="75">
        <f>IF(C24="?","?",IF(E24="","?",-25.6+(22.363*E24-3.64*E24^2)/(1-0.0594*E24-0.01695*E24^2)))</f>
        <v>39.0220015273839</v>
      </c>
      <c r="X24" s="76">
        <f>IF(C24="?","?",IF(E24="","?",155.1+(-94.908*E24+13.57*E24^2)/(1-0.02044*E24+0.01342*E24^2)))</f>
        <v>13.947402900298755</v>
      </c>
      <c r="Y24" s="77">
        <f>IF(C24="?","?",IF(E24="","?",19.1+(-9.42*E24+2.883*E24^2)/(1-0.4013*E24+0.05544*E24^2)))</f>
        <v>53.204175870916721</v>
      </c>
      <c r="AA24" s="75">
        <f>IF(C24="?","?",IF(E24="","?",-27.1+(33.631*E24-5.094*E24^2)/(1+0.1091*E24-0.04065*E24^2)))</f>
        <v>41.250160974309814</v>
      </c>
      <c r="AB24" s="76">
        <f>IF(C24="?","?",IF(E24="","?",64.5+14.4*E24^1.815-56.379*E24))</f>
        <v>19.657397812460033</v>
      </c>
      <c r="AC24" s="77">
        <f>IF(C24="?","?",IF(E24="","?",13.7+(-8.759*E24+2.936*E24^2)/(1-0.3815*E24+0.05301*E24^2)))</f>
        <v>54.599100705852067</v>
      </c>
    </row>
    <row r="25" spans="1:32" ht="15.75" thickBot="1" x14ac:dyDescent="0.3">
      <c r="A25" s="4" t="s">
        <v>237</v>
      </c>
      <c r="B25" s="44" t="s">
        <v>275</v>
      </c>
      <c r="C25" s="15">
        <f>IF(COUNTBLANK($K$29:$K$146)=0,SUM(0.27*$C$18, 0.32*$C$17, 0.94*$C$20, 0.38*$C$19, -0.16*$C$8, 0.11*$C$16),IF(ISNUMBER($E25),$E25,"?"))</f>
        <v>5.052142857142857</v>
      </c>
      <c r="D25" s="38"/>
      <c r="E25" s="70">
        <v>5.052142857142857</v>
      </c>
      <c r="F25" s="5"/>
      <c r="G25" s="22">
        <f>IF(C25="?","?",IF(E25="","?",-22.9+6.851E-22*E25^25.59+11.565*E25))</f>
        <v>35.528720311920225</v>
      </c>
      <c r="H25" s="27">
        <f>IF(C25="?","?",IF(E25="","?",1504.3-1550*E25+641.6*E25^2-133.1*E25^3+13.73*E25^4-0.5546*E25^5))</f>
        <v>5.7579585216660689</v>
      </c>
      <c r="I25" s="28">
        <f>IF(C25="?","?",IF(E25="","?",9.3+(-3.098*E25+0.7037*E25^2)/(1-0.2902*E25+0.0241*E25^2)))</f>
        <v>24.802030163561504</v>
      </c>
      <c r="J25" s="5"/>
      <c r="K25" s="22">
        <f>IF(C25="?","?",IF(E25="","?",-28+8.054E-25*E25^28.92+12.613*E25))</f>
        <v>35.7228559008487</v>
      </c>
      <c r="L25" s="27">
        <f>IF(C25="?","?",IF(E25="","?",-673.5+628.7*E25-209.9*E25^2+29.53*E25^3-1.45*E25^4))</f>
        <v>8.5565215366430039</v>
      </c>
      <c r="M25" s="28">
        <f>IF(C25="?","?",IF(E25="","?",-0.2+(106/(1+EXP(-1.681*(E25-5.607))))))</f>
        <v>29.731670880542449</v>
      </c>
      <c r="N25" s="5"/>
      <c r="O25" s="22">
        <f>IF(C25="?","?",IF(E25="","?",-19.1+4.868E-18*E25^21.17+10.814*E25))</f>
        <v>35.537674133949878</v>
      </c>
      <c r="P25" s="27">
        <f>IF(C25="?","?",IF(E25="","?",2120.4-2175*E25+889.4*E25^2-180.8*E25^3+18.21*E25^4-0.7182*E25^5))</f>
        <v>18.329166478989464</v>
      </c>
      <c r="Q25" s="28">
        <f>IF(C25="?","?",IF(E25="","?",9.6+(-3.19*E25+0.7063*E25^2)/(1-0.2863*E25+0.02346*E25^2)))</f>
        <v>22.1444295360767</v>
      </c>
      <c r="S25" s="78">
        <f>IF(C25="?","?",IF(E25="","?",-5306.6+4694*E25-1655*E25^2+291.5*E25^3-25.59*E25^4+0.8962*E25^5))</f>
        <v>33.405701423340815</v>
      </c>
      <c r="T25" s="79">
        <f>IF(C25="?","?",IF(E25="","?",-910.1+831.6*E25-272.7*E25^2+37.89*E25^3-1.855*E25^4))</f>
        <v>8.3052996121589331</v>
      </c>
      <c r="U25" s="80">
        <f>IF(C25="?","?",IF(E25="","?",12.1+(-3.774*E25+0.8193*E25^2)/(1-0.2901*E25+0.02445*E25^2)))</f>
        <v>23.745804572385634</v>
      </c>
      <c r="W25" s="78">
        <f>IF(C25="?","?",IF(E25="","?",-16.2+6.018E-18*E25^21.14+10.253*E25))</f>
        <v>35.604097093196643</v>
      </c>
      <c r="X25" s="79">
        <f>IF(C25="?","?",IF(E25="","?",-7+(0.253*E25+0.02823*E25^2)/(1-0.2629*E25+0.01786*E25^2)))</f>
        <v>8.6576040981975169</v>
      </c>
      <c r="Y25" s="80">
        <f>IF(C25="?","?",IF(E25="","?",-0.7+(108.2/(1+EXP(-1.652*(E25-5.78))))))</f>
        <v>24.299068106000615</v>
      </c>
      <c r="AA25" s="78">
        <f>IF(C25="?","?",IF(E25="","?",-20.6+3.267E-19*E25^22.47+11.152*E25))</f>
        <v>35.743592443614148</v>
      </c>
      <c r="AB25" s="79">
        <f>IF(C25="?","?",IF(E25="","?",-1815.5+1427*E25-414.3*E25^2+52.22*E25^3-2.375*E25^4))</f>
        <v>5.8381744295386397</v>
      </c>
      <c r="AC25" s="80">
        <f>IF(C25="?","?",IF(E25="","?",8.8+(-3.132*E25+0.724*E25^2)/(1-0.2888*E25+0.02405*E25^2)))</f>
        <v>25.959074329990237</v>
      </c>
    </row>
    <row r="26" spans="1:32" s="31" customFormat="1" ht="15.75" thickBot="1" x14ac:dyDescent="0.3">
      <c r="A26" s="29"/>
      <c r="B26" s="45"/>
      <c r="C26" s="34"/>
      <c r="D26" s="30"/>
      <c r="E26" s="34"/>
      <c r="F26" s="30"/>
      <c r="G26" s="19"/>
      <c r="H26" s="19"/>
      <c r="I26" s="19"/>
      <c r="J26" s="30"/>
      <c r="K26" s="19"/>
      <c r="L26" s="19"/>
      <c r="M26" s="19"/>
      <c r="N26" s="30"/>
      <c r="O26" s="19"/>
      <c r="P26" s="19"/>
      <c r="Q26" s="19"/>
      <c r="R26" s="30"/>
      <c r="S26" s="19"/>
      <c r="T26" s="19"/>
      <c r="U26" s="19"/>
      <c r="V26" s="19"/>
      <c r="W26" s="19"/>
      <c r="X26" s="19"/>
      <c r="Y26" s="19"/>
      <c r="Z26" s="19"/>
      <c r="AA26" s="19"/>
      <c r="AB26" s="19"/>
      <c r="AC26" s="19"/>
      <c r="AD26" s="30"/>
      <c r="AE26" s="30"/>
      <c r="AF26" s="30"/>
    </row>
    <row r="27" spans="1:32" s="5" customFormat="1" x14ac:dyDescent="0.25">
      <c r="A27" s="4"/>
      <c r="B27" s="44"/>
      <c r="C27" s="15"/>
      <c r="E27" s="15"/>
      <c r="G27" s="6"/>
      <c r="H27" s="6"/>
      <c r="I27" s="6"/>
      <c r="K27" s="6"/>
      <c r="L27" s="6"/>
      <c r="M27" s="6"/>
      <c r="O27" s="6"/>
      <c r="P27" s="6"/>
      <c r="Q27" s="6"/>
      <c r="S27" s="6"/>
      <c r="T27" s="6"/>
      <c r="U27" s="6"/>
      <c r="V27" s="6"/>
      <c r="W27" s="6"/>
      <c r="X27" s="6"/>
      <c r="Y27" s="6"/>
      <c r="Z27" s="6"/>
      <c r="AA27" s="6"/>
      <c r="AB27" s="6"/>
      <c r="AC27" s="6"/>
    </row>
    <row r="28" spans="1:32" s="5" customFormat="1" ht="16.5" thickBot="1" x14ac:dyDescent="0.3">
      <c r="A28" s="1" t="s">
        <v>15</v>
      </c>
      <c r="B28" s="46" t="s">
        <v>14</v>
      </c>
      <c r="C28" s="14"/>
      <c r="D28" s="2"/>
      <c r="E28" s="14"/>
      <c r="F28" s="3"/>
      <c r="G28" s="2"/>
      <c r="H28" s="2"/>
      <c r="I28" s="2"/>
      <c r="J28" s="3"/>
      <c r="K28" s="2" t="s">
        <v>36</v>
      </c>
      <c r="L28" s="2"/>
      <c r="M28" s="2"/>
      <c r="N28" s="3"/>
      <c r="O28" s="2"/>
      <c r="P28" s="2"/>
      <c r="Q28" s="2"/>
      <c r="S28" s="6"/>
      <c r="T28" s="6"/>
      <c r="U28" s="6"/>
      <c r="V28" s="6"/>
      <c r="W28" s="6"/>
      <c r="X28" s="6"/>
      <c r="Y28" s="6"/>
      <c r="Z28" s="6"/>
      <c r="AA28" s="6"/>
      <c r="AB28" s="6"/>
      <c r="AC28" s="6"/>
    </row>
    <row r="29" spans="1:32" s="5" customFormat="1" x14ac:dyDescent="0.25">
      <c r="A29" s="4" t="s">
        <v>41</v>
      </c>
      <c r="B29" s="52" t="s">
        <v>99</v>
      </c>
      <c r="C29" s="13"/>
      <c r="D29" s="13"/>
      <c r="E29" s="13"/>
      <c r="F29" s="13"/>
      <c r="G29" s="13"/>
      <c r="H29" s="13"/>
      <c r="I29" s="13"/>
      <c r="J29" s="13"/>
      <c r="K29" s="48">
        <v>1</v>
      </c>
      <c r="L29" s="6"/>
      <c r="M29" s="6"/>
      <c r="O29" s="6"/>
      <c r="P29" s="6"/>
      <c r="Q29" s="6"/>
      <c r="S29" s="6"/>
      <c r="T29" s="6"/>
      <c r="U29" s="6"/>
      <c r="V29" s="6"/>
      <c r="W29" s="6"/>
      <c r="X29" s="6"/>
      <c r="Y29" s="6"/>
      <c r="Z29" s="6"/>
      <c r="AA29" s="6"/>
      <c r="AB29" s="6"/>
      <c r="AC29" s="6"/>
    </row>
    <row r="30" spans="1:32" s="5" customFormat="1" x14ac:dyDescent="0.25">
      <c r="A30" s="4" t="s">
        <v>42</v>
      </c>
      <c r="B30" s="52" t="s">
        <v>100</v>
      </c>
      <c r="C30" s="13"/>
      <c r="D30" s="13"/>
      <c r="E30" s="13"/>
      <c r="F30" s="13"/>
      <c r="G30" s="13"/>
      <c r="H30" s="13"/>
      <c r="I30" s="13"/>
      <c r="J30" s="13"/>
      <c r="K30" s="49">
        <v>2</v>
      </c>
      <c r="L30" s="6"/>
      <c r="M30" s="6"/>
      <c r="O30" s="6"/>
      <c r="P30" s="6"/>
      <c r="Q30" s="6"/>
      <c r="S30" s="6"/>
      <c r="T30" s="6"/>
      <c r="U30" s="6"/>
      <c r="V30" s="6"/>
      <c r="W30" s="6"/>
      <c r="X30" s="6"/>
      <c r="Y30" s="6"/>
      <c r="Z30" s="6"/>
      <c r="AA30" s="6"/>
      <c r="AB30" s="6"/>
      <c r="AC30" s="6"/>
    </row>
    <row r="31" spans="1:32" s="5" customFormat="1" x14ac:dyDescent="0.25">
      <c r="A31" s="4">
        <v>3</v>
      </c>
      <c r="B31" s="52" t="s">
        <v>101</v>
      </c>
      <c r="C31" s="13"/>
      <c r="D31" s="13"/>
      <c r="E31" s="13"/>
      <c r="F31" s="13"/>
      <c r="G31" s="13"/>
      <c r="H31" s="13"/>
      <c r="I31" s="13"/>
      <c r="J31" s="13"/>
      <c r="K31" s="49">
        <v>3</v>
      </c>
      <c r="L31" s="6"/>
      <c r="M31" s="6"/>
      <c r="O31" s="6"/>
      <c r="P31" s="6"/>
      <c r="Q31" s="6"/>
      <c r="S31" s="6"/>
      <c r="T31" s="6"/>
      <c r="U31" s="6"/>
      <c r="V31" s="6"/>
      <c r="W31" s="6"/>
      <c r="X31" s="6"/>
      <c r="Y31" s="6"/>
      <c r="Z31" s="6"/>
      <c r="AA31" s="6"/>
      <c r="AB31" s="6"/>
      <c r="AC31" s="6"/>
    </row>
    <row r="32" spans="1:32" s="5" customFormat="1" x14ac:dyDescent="0.25">
      <c r="A32" s="4">
        <v>4</v>
      </c>
      <c r="B32" s="52" t="s">
        <v>102</v>
      </c>
      <c r="C32" s="13"/>
      <c r="D32" s="13"/>
      <c r="E32" s="13"/>
      <c r="F32" s="13"/>
      <c r="G32" s="13"/>
      <c r="H32" s="13"/>
      <c r="I32" s="13"/>
      <c r="J32" s="13"/>
      <c r="K32" s="49">
        <v>4</v>
      </c>
      <c r="L32" s="6"/>
      <c r="M32" s="6"/>
      <c r="O32" s="6"/>
      <c r="P32" s="6"/>
      <c r="Q32" s="6"/>
      <c r="S32" s="6"/>
      <c r="T32" s="6"/>
      <c r="U32" s="6"/>
      <c r="V32" s="6"/>
      <c r="W32" s="6"/>
      <c r="X32" s="6"/>
      <c r="Y32" s="6"/>
      <c r="Z32" s="6"/>
      <c r="AA32" s="6"/>
      <c r="AB32" s="6"/>
      <c r="AC32" s="6"/>
    </row>
    <row r="33" spans="1:29" s="5" customFormat="1" x14ac:dyDescent="0.25">
      <c r="A33" s="4">
        <v>5</v>
      </c>
      <c r="B33" s="52" t="s">
        <v>103</v>
      </c>
      <c r="C33" s="13"/>
      <c r="D33" s="13"/>
      <c r="E33" s="13"/>
      <c r="F33" s="13"/>
      <c r="G33" s="13"/>
      <c r="H33" s="13"/>
      <c r="I33" s="13"/>
      <c r="J33" s="13"/>
      <c r="K33" s="49">
        <v>1</v>
      </c>
      <c r="L33" s="6"/>
      <c r="M33" s="6"/>
      <c r="O33" s="6"/>
      <c r="P33" s="6"/>
      <c r="Q33" s="6"/>
      <c r="S33" s="6"/>
      <c r="T33" s="6"/>
      <c r="U33" s="6"/>
      <c r="V33" s="6"/>
      <c r="W33" s="6"/>
      <c r="X33" s="6"/>
      <c r="Y33" s="6"/>
      <c r="Z33" s="6"/>
      <c r="AA33" s="6"/>
      <c r="AB33" s="6"/>
      <c r="AC33" s="6"/>
    </row>
    <row r="34" spans="1:29" s="5" customFormat="1" x14ac:dyDescent="0.25">
      <c r="A34" s="4">
        <v>6</v>
      </c>
      <c r="B34" s="52" t="s">
        <v>104</v>
      </c>
      <c r="C34" s="13"/>
      <c r="D34" s="13"/>
      <c r="E34" s="13"/>
      <c r="F34" s="13"/>
      <c r="G34" s="13"/>
      <c r="H34" s="13"/>
      <c r="I34" s="13"/>
      <c r="J34" s="13"/>
      <c r="K34" s="49">
        <v>2</v>
      </c>
      <c r="L34" s="6"/>
      <c r="M34" s="6"/>
      <c r="O34" s="6"/>
      <c r="P34" s="6"/>
      <c r="Q34" s="6"/>
      <c r="S34" s="6"/>
      <c r="T34" s="6"/>
      <c r="U34" s="6"/>
      <c r="V34" s="6"/>
      <c r="W34" s="6"/>
      <c r="X34" s="6"/>
      <c r="Y34" s="6"/>
      <c r="Z34" s="6"/>
      <c r="AA34" s="6"/>
      <c r="AB34" s="6"/>
      <c r="AC34" s="6"/>
    </row>
    <row r="35" spans="1:29" s="5" customFormat="1" x14ac:dyDescent="0.25">
      <c r="A35" s="4">
        <v>7</v>
      </c>
      <c r="B35" s="52" t="s">
        <v>105</v>
      </c>
      <c r="C35" s="13"/>
      <c r="D35" s="13"/>
      <c r="E35" s="13"/>
      <c r="F35" s="13"/>
      <c r="G35" s="13"/>
      <c r="H35" s="13"/>
      <c r="I35" s="13"/>
      <c r="J35" s="13"/>
      <c r="K35" s="49">
        <v>3</v>
      </c>
      <c r="L35" s="6"/>
      <c r="M35" s="6"/>
      <c r="O35" s="6"/>
      <c r="P35" s="6"/>
      <c r="Q35" s="6"/>
      <c r="S35" s="6"/>
      <c r="T35" s="6"/>
      <c r="U35" s="6"/>
      <c r="V35" s="6"/>
      <c r="W35" s="6"/>
      <c r="X35" s="6"/>
      <c r="Y35" s="6"/>
      <c r="Z35" s="6"/>
      <c r="AA35" s="6"/>
      <c r="AB35" s="6"/>
      <c r="AC35" s="6"/>
    </row>
    <row r="36" spans="1:29" s="5" customFormat="1" x14ac:dyDescent="0.25">
      <c r="A36" s="4">
        <v>8</v>
      </c>
      <c r="B36" s="52" t="s">
        <v>106</v>
      </c>
      <c r="C36" s="13"/>
      <c r="D36" s="13"/>
      <c r="E36" s="13"/>
      <c r="F36" s="13"/>
      <c r="G36" s="13"/>
      <c r="H36" s="13"/>
      <c r="I36" s="13"/>
      <c r="J36" s="13"/>
      <c r="K36" s="49">
        <v>4</v>
      </c>
      <c r="L36" s="6"/>
      <c r="M36" s="6"/>
      <c r="O36" s="6"/>
      <c r="P36" s="6"/>
      <c r="Q36" s="6"/>
      <c r="S36" s="6"/>
      <c r="T36" s="6"/>
      <c r="U36" s="6"/>
      <c r="V36" s="6"/>
      <c r="W36" s="6"/>
      <c r="X36" s="6"/>
      <c r="Y36" s="6"/>
      <c r="Z36" s="6"/>
      <c r="AA36" s="6"/>
      <c r="AB36" s="6"/>
      <c r="AC36" s="6"/>
    </row>
    <row r="37" spans="1:29" s="5" customFormat="1" x14ac:dyDescent="0.25">
      <c r="A37" s="4">
        <v>9</v>
      </c>
      <c r="B37" s="52" t="s">
        <v>107</v>
      </c>
      <c r="C37" s="13"/>
      <c r="D37" s="13"/>
      <c r="E37" s="13"/>
      <c r="F37" s="13"/>
      <c r="G37" s="13"/>
      <c r="H37" s="13"/>
      <c r="I37" s="13"/>
      <c r="J37" s="13"/>
      <c r="K37" s="49">
        <v>1</v>
      </c>
      <c r="L37" s="6"/>
      <c r="M37" s="6"/>
      <c r="O37" s="6"/>
      <c r="P37" s="6"/>
      <c r="Q37" s="6"/>
      <c r="S37" s="6"/>
      <c r="T37" s="6"/>
      <c r="U37" s="6"/>
      <c r="V37" s="6"/>
      <c r="W37" s="6"/>
      <c r="X37" s="6"/>
      <c r="Y37" s="6"/>
      <c r="Z37" s="6"/>
      <c r="AA37" s="6"/>
      <c r="AB37" s="6"/>
      <c r="AC37" s="6"/>
    </row>
    <row r="38" spans="1:29" s="5" customFormat="1" x14ac:dyDescent="0.25">
      <c r="A38" s="4">
        <v>10</v>
      </c>
      <c r="B38" s="52" t="s">
        <v>108</v>
      </c>
      <c r="C38" s="13"/>
      <c r="D38" s="13"/>
      <c r="E38" s="13"/>
      <c r="F38" s="13"/>
      <c r="G38" s="13"/>
      <c r="H38" s="13"/>
      <c r="I38" s="13"/>
      <c r="J38" s="13"/>
      <c r="K38" s="49">
        <v>2</v>
      </c>
      <c r="L38" s="6"/>
      <c r="M38" s="6"/>
      <c r="O38" s="6"/>
      <c r="P38" s="6"/>
      <c r="Q38" s="6"/>
      <c r="S38" s="6"/>
      <c r="T38" s="6"/>
      <c r="U38" s="6"/>
      <c r="V38" s="6"/>
      <c r="W38" s="6"/>
      <c r="X38" s="6"/>
      <c r="Y38" s="6"/>
      <c r="Z38" s="6"/>
      <c r="AA38" s="6"/>
      <c r="AB38" s="6"/>
      <c r="AC38" s="6"/>
    </row>
    <row r="39" spans="1:29" s="5" customFormat="1" x14ac:dyDescent="0.25">
      <c r="A39" s="4">
        <v>11</v>
      </c>
      <c r="B39" s="52" t="s">
        <v>109</v>
      </c>
      <c r="C39" s="13"/>
      <c r="D39" s="13"/>
      <c r="E39" s="13"/>
      <c r="F39" s="13"/>
      <c r="G39" s="13"/>
      <c r="H39" s="13"/>
      <c r="I39" s="13"/>
      <c r="J39" s="13"/>
      <c r="K39" s="49">
        <v>3</v>
      </c>
      <c r="L39" s="6"/>
      <c r="M39" s="6"/>
      <c r="O39" s="6"/>
      <c r="P39" s="6"/>
      <c r="Q39" s="6"/>
      <c r="S39" s="6"/>
      <c r="T39" s="6"/>
      <c r="U39" s="6"/>
      <c r="V39" s="6"/>
      <c r="W39" s="6"/>
      <c r="X39" s="6"/>
      <c r="Y39" s="6"/>
      <c r="Z39" s="6"/>
      <c r="AA39" s="6"/>
      <c r="AB39" s="6"/>
      <c r="AC39" s="6"/>
    </row>
    <row r="40" spans="1:29" s="5" customFormat="1" x14ac:dyDescent="0.25">
      <c r="A40" s="4">
        <v>12</v>
      </c>
      <c r="B40" s="52" t="s">
        <v>110</v>
      </c>
      <c r="C40" s="13"/>
      <c r="D40" s="13"/>
      <c r="E40" s="13"/>
      <c r="F40" s="13"/>
      <c r="G40" s="13"/>
      <c r="H40" s="13"/>
      <c r="I40" s="13"/>
      <c r="J40" s="13"/>
      <c r="K40" s="49">
        <v>4</v>
      </c>
      <c r="L40" s="6"/>
      <c r="M40" s="6"/>
      <c r="O40" s="6"/>
      <c r="P40" s="6"/>
      <c r="Q40" s="6"/>
      <c r="S40" s="6"/>
      <c r="T40" s="6"/>
      <c r="U40" s="6"/>
      <c r="V40" s="6"/>
      <c r="W40" s="6"/>
      <c r="X40" s="6"/>
      <c r="Y40" s="6"/>
      <c r="Z40" s="6"/>
      <c r="AA40" s="6"/>
      <c r="AB40" s="6"/>
      <c r="AC40" s="6"/>
    </row>
    <row r="41" spans="1:29" s="5" customFormat="1" x14ac:dyDescent="0.25">
      <c r="A41" s="4">
        <v>13</v>
      </c>
      <c r="B41" s="52" t="s">
        <v>111</v>
      </c>
      <c r="C41" s="13"/>
      <c r="D41" s="13"/>
      <c r="E41" s="13"/>
      <c r="F41" s="13"/>
      <c r="G41" s="13"/>
      <c r="H41" s="13"/>
      <c r="I41" s="13"/>
      <c r="J41" s="13"/>
      <c r="K41" s="49">
        <v>1</v>
      </c>
      <c r="L41" s="6"/>
      <c r="M41" s="6"/>
      <c r="O41" s="6"/>
      <c r="P41" s="6"/>
      <c r="Q41" s="6"/>
      <c r="S41" s="6"/>
      <c r="T41" s="6"/>
      <c r="U41" s="6"/>
      <c r="V41" s="6"/>
      <c r="W41" s="6"/>
      <c r="X41" s="6"/>
      <c r="Y41" s="6"/>
      <c r="Z41" s="6"/>
      <c r="AA41" s="6"/>
      <c r="AB41" s="6"/>
      <c r="AC41" s="6"/>
    </row>
    <row r="42" spans="1:29" s="5" customFormat="1" x14ac:dyDescent="0.25">
      <c r="A42" s="4">
        <v>14</v>
      </c>
      <c r="B42" s="52" t="s">
        <v>112</v>
      </c>
      <c r="C42" s="13"/>
      <c r="D42" s="13"/>
      <c r="E42" s="13"/>
      <c r="F42" s="13"/>
      <c r="G42" s="13"/>
      <c r="H42" s="13"/>
      <c r="I42" s="13"/>
      <c r="J42" s="13"/>
      <c r="K42" s="49">
        <v>2</v>
      </c>
      <c r="L42" s="6"/>
      <c r="M42" s="6"/>
      <c r="O42" s="6"/>
      <c r="P42" s="6"/>
      <c r="Q42" s="6"/>
      <c r="S42" s="6"/>
      <c r="T42" s="6"/>
      <c r="U42" s="6"/>
      <c r="V42" s="6"/>
      <c r="W42" s="6"/>
      <c r="X42" s="6"/>
      <c r="Y42" s="6"/>
      <c r="Z42" s="6"/>
      <c r="AA42" s="6"/>
      <c r="AB42" s="6"/>
      <c r="AC42" s="6"/>
    </row>
    <row r="43" spans="1:29" s="5" customFormat="1" x14ac:dyDescent="0.25">
      <c r="A43" s="4">
        <v>15</v>
      </c>
      <c r="B43" s="52" t="s">
        <v>113</v>
      </c>
      <c r="C43" s="13"/>
      <c r="D43" s="13"/>
      <c r="E43" s="13"/>
      <c r="F43" s="13"/>
      <c r="G43" s="13"/>
      <c r="H43" s="13"/>
      <c r="I43" s="13"/>
      <c r="J43" s="13"/>
      <c r="K43" s="49">
        <v>3</v>
      </c>
      <c r="L43" s="6"/>
      <c r="M43" s="6"/>
      <c r="O43" s="6"/>
      <c r="P43" s="6"/>
      <c r="Q43" s="6"/>
      <c r="S43" s="6"/>
      <c r="T43" s="6"/>
      <c r="U43" s="6"/>
      <c r="V43" s="6"/>
      <c r="W43" s="6"/>
      <c r="X43" s="6"/>
      <c r="Y43" s="6"/>
      <c r="Z43" s="6"/>
      <c r="AA43" s="6"/>
      <c r="AB43" s="6"/>
      <c r="AC43" s="6"/>
    </row>
    <row r="44" spans="1:29" s="5" customFormat="1" x14ac:dyDescent="0.25">
      <c r="A44" s="4">
        <v>16</v>
      </c>
      <c r="B44" s="52" t="s">
        <v>216</v>
      </c>
      <c r="C44" s="13"/>
      <c r="D44" s="13"/>
      <c r="E44" s="13"/>
      <c r="F44" s="13"/>
      <c r="G44" s="13"/>
      <c r="H44" s="13"/>
      <c r="I44" s="13"/>
      <c r="J44" s="13"/>
      <c r="K44" s="49">
        <v>4</v>
      </c>
      <c r="L44" s="6"/>
      <c r="M44" s="6"/>
      <c r="O44" s="6"/>
      <c r="P44" s="6"/>
      <c r="Q44" s="6"/>
      <c r="S44" s="6"/>
      <c r="T44" s="6"/>
      <c r="U44" s="6"/>
      <c r="V44" s="6"/>
      <c r="W44" s="6"/>
      <c r="X44" s="6"/>
      <c r="Y44" s="6"/>
      <c r="Z44" s="6"/>
      <c r="AA44" s="6"/>
      <c r="AB44" s="6"/>
      <c r="AC44" s="6"/>
    </row>
    <row r="45" spans="1:29" s="5" customFormat="1" x14ac:dyDescent="0.25">
      <c r="A45" s="4">
        <v>17</v>
      </c>
      <c r="B45" s="52" t="s">
        <v>114</v>
      </c>
      <c r="C45" s="13"/>
      <c r="D45" s="13"/>
      <c r="E45" s="13"/>
      <c r="F45" s="13"/>
      <c r="G45" s="13"/>
      <c r="H45" s="13"/>
      <c r="I45" s="13"/>
      <c r="J45" s="13"/>
      <c r="K45" s="49">
        <v>1</v>
      </c>
      <c r="L45" s="6"/>
      <c r="M45" s="6"/>
      <c r="O45" s="6"/>
      <c r="P45" s="6"/>
      <c r="Q45" s="6"/>
      <c r="S45" s="6"/>
      <c r="T45" s="6"/>
      <c r="U45" s="6"/>
      <c r="V45" s="6"/>
      <c r="W45" s="6"/>
      <c r="X45" s="6"/>
      <c r="Y45" s="6"/>
      <c r="Z45" s="6"/>
      <c r="AA45" s="6"/>
      <c r="AB45" s="6"/>
      <c r="AC45" s="6"/>
    </row>
    <row r="46" spans="1:29" s="5" customFormat="1" x14ac:dyDescent="0.25">
      <c r="A46" s="4">
        <v>18</v>
      </c>
      <c r="B46" s="52" t="s">
        <v>115</v>
      </c>
      <c r="C46" s="13"/>
      <c r="D46" s="13"/>
      <c r="E46" s="13"/>
      <c r="F46" s="13"/>
      <c r="G46" s="13"/>
      <c r="H46" s="13"/>
      <c r="I46" s="13"/>
      <c r="J46" s="13"/>
      <c r="K46" s="49">
        <v>2</v>
      </c>
      <c r="L46" s="6"/>
      <c r="M46" s="6"/>
      <c r="O46" s="6"/>
      <c r="P46" s="6"/>
      <c r="Q46" s="6"/>
      <c r="S46" s="6"/>
      <c r="T46" s="6"/>
      <c r="U46" s="6"/>
      <c r="V46" s="6"/>
      <c r="W46" s="6"/>
      <c r="X46" s="6"/>
      <c r="Y46" s="6"/>
      <c r="Z46" s="6"/>
      <c r="AA46" s="6"/>
      <c r="AB46" s="6"/>
      <c r="AC46" s="6"/>
    </row>
    <row r="47" spans="1:29" s="5" customFormat="1" x14ac:dyDescent="0.25">
      <c r="A47" s="4">
        <v>19</v>
      </c>
      <c r="B47" s="52" t="s">
        <v>116</v>
      </c>
      <c r="C47" s="13"/>
      <c r="D47" s="13"/>
      <c r="E47" s="13"/>
      <c r="F47" s="13"/>
      <c r="G47" s="13"/>
      <c r="H47" s="13"/>
      <c r="I47" s="13"/>
      <c r="J47" s="13"/>
      <c r="K47" s="49">
        <v>3</v>
      </c>
      <c r="L47" s="6"/>
      <c r="M47" s="6"/>
      <c r="O47" s="6"/>
      <c r="P47" s="6"/>
      <c r="Q47" s="6"/>
      <c r="S47" s="6"/>
      <c r="T47" s="6"/>
      <c r="U47" s="6"/>
      <c r="V47" s="6"/>
      <c r="W47" s="6"/>
      <c r="X47" s="6"/>
      <c r="Y47" s="6"/>
      <c r="Z47" s="6"/>
      <c r="AA47" s="6"/>
      <c r="AB47" s="6"/>
      <c r="AC47" s="6"/>
    </row>
    <row r="48" spans="1:29" s="5" customFormat="1" x14ac:dyDescent="0.25">
      <c r="A48" s="4">
        <v>20</v>
      </c>
      <c r="B48" s="52" t="s">
        <v>117</v>
      </c>
      <c r="C48" s="13"/>
      <c r="D48" s="13"/>
      <c r="E48" s="13"/>
      <c r="F48" s="13"/>
      <c r="G48" s="13"/>
      <c r="H48" s="13"/>
      <c r="I48" s="13"/>
      <c r="J48" s="13"/>
      <c r="K48" s="49">
        <v>4</v>
      </c>
      <c r="L48" s="6"/>
      <c r="M48" s="6"/>
      <c r="O48" s="6"/>
      <c r="P48" s="6"/>
      <c r="Q48" s="6"/>
      <c r="S48" s="6"/>
      <c r="T48" s="6"/>
      <c r="U48" s="6"/>
      <c r="V48" s="6"/>
      <c r="W48" s="6"/>
      <c r="X48" s="6"/>
      <c r="Y48" s="6"/>
      <c r="Z48" s="6"/>
      <c r="AA48" s="6"/>
      <c r="AB48" s="6"/>
      <c r="AC48" s="6"/>
    </row>
    <row r="49" spans="1:29" s="5" customFormat="1" x14ac:dyDescent="0.25">
      <c r="A49" s="4">
        <v>21</v>
      </c>
      <c r="B49" s="52" t="s">
        <v>118</v>
      </c>
      <c r="C49" s="13"/>
      <c r="D49" s="13"/>
      <c r="E49" s="13"/>
      <c r="F49" s="13"/>
      <c r="G49" s="13"/>
      <c r="H49" s="13"/>
      <c r="I49" s="13"/>
      <c r="J49" s="13"/>
      <c r="K49" s="49">
        <v>1</v>
      </c>
      <c r="L49" s="6"/>
      <c r="M49" s="6"/>
      <c r="O49" s="6"/>
      <c r="P49" s="6"/>
      <c r="Q49" s="6"/>
      <c r="S49" s="6"/>
      <c r="T49" s="6"/>
      <c r="U49" s="6"/>
      <c r="V49" s="6"/>
      <c r="W49" s="6"/>
      <c r="X49" s="6"/>
      <c r="Y49" s="6"/>
      <c r="Z49" s="6"/>
      <c r="AA49" s="6"/>
      <c r="AB49" s="6"/>
      <c r="AC49" s="6"/>
    </row>
    <row r="50" spans="1:29" s="5" customFormat="1" x14ac:dyDescent="0.25">
      <c r="A50" s="4">
        <v>22</v>
      </c>
      <c r="B50" s="52" t="s">
        <v>215</v>
      </c>
      <c r="C50" s="13"/>
      <c r="D50" s="13"/>
      <c r="E50" s="13"/>
      <c r="F50" s="13"/>
      <c r="G50" s="13"/>
      <c r="H50" s="13"/>
      <c r="I50" s="13"/>
      <c r="J50" s="13"/>
      <c r="K50" s="49">
        <v>2</v>
      </c>
      <c r="L50" s="6"/>
      <c r="M50" s="6"/>
      <c r="O50" s="6"/>
      <c r="P50" s="6"/>
      <c r="Q50" s="6"/>
      <c r="S50" s="6"/>
      <c r="T50" s="6"/>
      <c r="U50" s="6"/>
      <c r="V50" s="6"/>
      <c r="W50" s="6"/>
      <c r="X50" s="6"/>
      <c r="Y50" s="6"/>
      <c r="Z50" s="6"/>
      <c r="AA50" s="6"/>
      <c r="AB50" s="6"/>
      <c r="AC50" s="6"/>
    </row>
    <row r="51" spans="1:29" s="5" customFormat="1" x14ac:dyDescent="0.25">
      <c r="A51" s="4">
        <v>23</v>
      </c>
      <c r="B51" s="52" t="s">
        <v>119</v>
      </c>
      <c r="C51" s="13"/>
      <c r="D51" s="13"/>
      <c r="E51" s="13"/>
      <c r="F51" s="13"/>
      <c r="G51" s="13"/>
      <c r="H51" s="13"/>
      <c r="I51" s="13"/>
      <c r="J51" s="13"/>
      <c r="K51" s="49">
        <v>3</v>
      </c>
      <c r="L51" s="6"/>
      <c r="M51" s="6"/>
      <c r="O51" s="6"/>
      <c r="P51" s="6"/>
      <c r="Q51" s="6"/>
      <c r="S51" s="6"/>
      <c r="T51" s="6"/>
      <c r="U51" s="6"/>
      <c r="V51" s="6"/>
      <c r="W51" s="6"/>
      <c r="X51" s="6"/>
      <c r="Y51" s="6"/>
      <c r="Z51" s="6"/>
      <c r="AA51" s="6"/>
      <c r="AB51" s="6"/>
      <c r="AC51" s="6"/>
    </row>
    <row r="52" spans="1:29" s="5" customFormat="1" x14ac:dyDescent="0.25">
      <c r="A52" s="4">
        <v>24</v>
      </c>
      <c r="B52" s="52" t="s">
        <v>120</v>
      </c>
      <c r="C52" s="13"/>
      <c r="D52" s="13"/>
      <c r="E52" s="13"/>
      <c r="F52" s="13"/>
      <c r="G52" s="13"/>
      <c r="H52" s="13"/>
      <c r="I52" s="13"/>
      <c r="J52" s="13"/>
      <c r="K52" s="49">
        <v>4</v>
      </c>
      <c r="L52" s="6"/>
      <c r="M52" s="6"/>
      <c r="O52" s="6"/>
      <c r="P52" s="6"/>
      <c r="Q52" s="6"/>
      <c r="S52" s="6"/>
      <c r="T52" s="6"/>
      <c r="U52" s="6"/>
      <c r="V52" s="6"/>
      <c r="W52" s="6"/>
      <c r="X52" s="6"/>
      <c r="Y52" s="6"/>
      <c r="Z52" s="6"/>
      <c r="AA52" s="6"/>
      <c r="AB52" s="6"/>
      <c r="AC52" s="6"/>
    </row>
    <row r="53" spans="1:29" s="5" customFormat="1" x14ac:dyDescent="0.25">
      <c r="A53" s="4">
        <v>25</v>
      </c>
      <c r="B53" s="52" t="s">
        <v>121</v>
      </c>
      <c r="C53" s="13"/>
      <c r="D53" s="13"/>
      <c r="E53" s="13"/>
      <c r="F53" s="13"/>
      <c r="G53" s="13"/>
      <c r="H53" s="13"/>
      <c r="I53" s="13"/>
      <c r="J53" s="13"/>
      <c r="K53" s="49">
        <v>1</v>
      </c>
      <c r="L53" s="6"/>
      <c r="M53" s="6"/>
      <c r="O53" s="6"/>
      <c r="P53" s="6"/>
      <c r="Q53" s="6"/>
      <c r="S53" s="6"/>
      <c r="T53" s="6"/>
      <c r="U53" s="6"/>
      <c r="V53" s="6"/>
      <c r="W53" s="6"/>
      <c r="X53" s="6"/>
      <c r="Y53" s="6"/>
      <c r="Z53" s="6"/>
      <c r="AA53" s="6"/>
      <c r="AB53" s="6"/>
      <c r="AC53" s="6"/>
    </row>
    <row r="54" spans="1:29" s="5" customFormat="1" x14ac:dyDescent="0.25">
      <c r="A54" s="4">
        <v>26</v>
      </c>
      <c r="B54" s="52" t="s">
        <v>122</v>
      </c>
      <c r="C54" s="13"/>
      <c r="D54" s="13"/>
      <c r="E54" s="13"/>
      <c r="F54" s="13"/>
      <c r="G54" s="13"/>
      <c r="H54" s="13"/>
      <c r="I54" s="13"/>
      <c r="J54" s="13"/>
      <c r="K54" s="49">
        <v>2</v>
      </c>
      <c r="L54" s="6"/>
      <c r="M54" s="6"/>
      <c r="O54" s="6"/>
      <c r="P54" s="6"/>
      <c r="Q54" s="6"/>
      <c r="S54" s="6"/>
      <c r="T54" s="6"/>
      <c r="U54" s="6"/>
      <c r="V54" s="6"/>
      <c r="W54" s="6"/>
      <c r="X54" s="6"/>
      <c r="Y54" s="6"/>
      <c r="Z54" s="6"/>
      <c r="AA54" s="6"/>
      <c r="AB54" s="6"/>
      <c r="AC54" s="6"/>
    </row>
    <row r="55" spans="1:29" s="5" customFormat="1" x14ac:dyDescent="0.25">
      <c r="A55" s="4">
        <v>27</v>
      </c>
      <c r="B55" s="52" t="s">
        <v>123</v>
      </c>
      <c r="C55" s="13"/>
      <c r="D55" s="13"/>
      <c r="E55" s="13"/>
      <c r="F55" s="13"/>
      <c r="G55" s="13"/>
      <c r="H55" s="13"/>
      <c r="I55" s="13"/>
      <c r="J55" s="13"/>
      <c r="K55" s="49">
        <v>3</v>
      </c>
      <c r="L55" s="6"/>
      <c r="M55" s="6"/>
      <c r="O55" s="6"/>
      <c r="P55" s="6"/>
      <c r="Q55" s="6"/>
      <c r="S55" s="6"/>
      <c r="T55" s="6"/>
      <c r="U55" s="6"/>
      <c r="V55" s="6"/>
      <c r="W55" s="6"/>
      <c r="X55" s="6"/>
      <c r="Y55" s="6"/>
      <c r="Z55" s="6"/>
      <c r="AA55" s="6"/>
      <c r="AB55" s="6"/>
      <c r="AC55" s="6"/>
    </row>
    <row r="56" spans="1:29" s="5" customFormat="1" x14ac:dyDescent="0.25">
      <c r="A56" s="4">
        <v>28</v>
      </c>
      <c r="B56" s="52" t="s">
        <v>124</v>
      </c>
      <c r="C56" s="13"/>
      <c r="D56" s="13"/>
      <c r="E56" s="13"/>
      <c r="F56" s="13"/>
      <c r="G56" s="13"/>
      <c r="H56" s="13"/>
      <c r="I56" s="13"/>
      <c r="J56" s="13"/>
      <c r="K56" s="49">
        <v>4</v>
      </c>
      <c r="L56" s="6"/>
      <c r="M56" s="6"/>
      <c r="O56" s="6"/>
      <c r="P56" s="6"/>
      <c r="Q56" s="6"/>
      <c r="S56" s="6"/>
      <c r="T56" s="6"/>
      <c r="U56" s="6"/>
      <c r="V56" s="6"/>
      <c r="W56" s="6"/>
      <c r="X56" s="6"/>
      <c r="Y56" s="6"/>
      <c r="Z56" s="6"/>
      <c r="AA56" s="6"/>
      <c r="AB56" s="6"/>
      <c r="AC56" s="6"/>
    </row>
    <row r="57" spans="1:29" s="5" customFormat="1" x14ac:dyDescent="0.25">
      <c r="A57" s="4">
        <v>29</v>
      </c>
      <c r="B57" s="52" t="s">
        <v>125</v>
      </c>
      <c r="C57" s="13"/>
      <c r="D57" s="13"/>
      <c r="E57" s="13"/>
      <c r="F57" s="13"/>
      <c r="G57" s="13"/>
      <c r="H57" s="13"/>
      <c r="I57" s="13"/>
      <c r="J57" s="13"/>
      <c r="K57" s="49">
        <v>1</v>
      </c>
      <c r="L57" s="6"/>
      <c r="M57" s="6"/>
      <c r="O57" s="6"/>
      <c r="P57" s="6"/>
      <c r="Q57" s="6"/>
      <c r="S57" s="6"/>
      <c r="T57" s="6"/>
      <c r="U57" s="6"/>
      <c r="V57" s="6"/>
      <c r="W57" s="6"/>
      <c r="X57" s="6"/>
      <c r="Y57" s="6"/>
      <c r="Z57" s="6"/>
      <c r="AA57" s="6"/>
      <c r="AB57" s="6"/>
      <c r="AC57" s="6"/>
    </row>
    <row r="58" spans="1:29" s="5" customFormat="1" x14ac:dyDescent="0.25">
      <c r="A58" s="4">
        <v>30</v>
      </c>
      <c r="B58" s="52" t="s">
        <v>126</v>
      </c>
      <c r="C58" s="13"/>
      <c r="D58" s="13"/>
      <c r="E58" s="13"/>
      <c r="F58" s="13"/>
      <c r="G58" s="13"/>
      <c r="H58" s="13"/>
      <c r="I58" s="13"/>
      <c r="J58" s="13"/>
      <c r="K58" s="49">
        <v>2</v>
      </c>
      <c r="L58" s="6"/>
      <c r="M58" s="6"/>
      <c r="O58" s="6"/>
      <c r="P58" s="6"/>
      <c r="Q58" s="6"/>
      <c r="S58" s="6"/>
      <c r="T58" s="6"/>
      <c r="U58" s="6"/>
      <c r="V58" s="6"/>
      <c r="W58" s="6"/>
      <c r="X58" s="6"/>
      <c r="Y58" s="6"/>
      <c r="Z58" s="6"/>
      <c r="AA58" s="6"/>
      <c r="AB58" s="6"/>
      <c r="AC58" s="6"/>
    </row>
    <row r="59" spans="1:29" s="5" customFormat="1" x14ac:dyDescent="0.25">
      <c r="A59" s="4">
        <v>31</v>
      </c>
      <c r="B59" s="52" t="s">
        <v>127</v>
      </c>
      <c r="C59" s="13"/>
      <c r="D59" s="13"/>
      <c r="E59" s="13"/>
      <c r="F59" s="13"/>
      <c r="G59" s="13"/>
      <c r="H59" s="13"/>
      <c r="I59" s="13"/>
      <c r="J59" s="13"/>
      <c r="K59" s="49">
        <v>3</v>
      </c>
      <c r="L59" s="6"/>
      <c r="M59" s="6"/>
      <c r="O59" s="6"/>
      <c r="P59" s="6"/>
      <c r="Q59" s="6"/>
      <c r="S59" s="6"/>
      <c r="T59" s="6"/>
      <c r="U59" s="6"/>
      <c r="V59" s="6"/>
      <c r="W59" s="6"/>
      <c r="X59" s="6"/>
      <c r="Y59" s="6"/>
      <c r="Z59" s="6"/>
      <c r="AA59" s="6"/>
      <c r="AB59" s="6"/>
      <c r="AC59" s="6"/>
    </row>
    <row r="60" spans="1:29" s="5" customFormat="1" x14ac:dyDescent="0.25">
      <c r="A60" s="4">
        <v>32</v>
      </c>
      <c r="B60" s="52" t="s">
        <v>128</v>
      </c>
      <c r="C60" s="13"/>
      <c r="D60" s="13"/>
      <c r="E60" s="13"/>
      <c r="F60" s="13"/>
      <c r="G60" s="13"/>
      <c r="H60" s="13"/>
      <c r="I60" s="13"/>
      <c r="J60" s="13"/>
      <c r="K60" s="49">
        <v>4</v>
      </c>
      <c r="L60" s="6"/>
      <c r="M60" s="6"/>
      <c r="O60" s="6"/>
      <c r="P60" s="6"/>
      <c r="Q60" s="6"/>
      <c r="S60" s="6"/>
      <c r="T60" s="6"/>
      <c r="U60" s="6"/>
      <c r="V60" s="6"/>
      <c r="W60" s="6"/>
      <c r="X60" s="6"/>
      <c r="Y60" s="6"/>
      <c r="Z60" s="6"/>
      <c r="AA60" s="6"/>
      <c r="AB60" s="6"/>
      <c r="AC60" s="6"/>
    </row>
    <row r="61" spans="1:29" s="5" customFormat="1" x14ac:dyDescent="0.25">
      <c r="A61" s="4">
        <v>33</v>
      </c>
      <c r="B61" s="52" t="s">
        <v>129</v>
      </c>
      <c r="C61" s="13"/>
      <c r="D61" s="13"/>
      <c r="E61" s="13"/>
      <c r="F61" s="13"/>
      <c r="G61" s="13"/>
      <c r="H61" s="13"/>
      <c r="I61" s="13"/>
      <c r="J61" s="13"/>
      <c r="K61" s="49">
        <v>1</v>
      </c>
      <c r="L61" s="6"/>
      <c r="M61" s="6"/>
      <c r="O61" s="6"/>
      <c r="P61" s="6"/>
      <c r="Q61" s="6"/>
      <c r="S61" s="6"/>
      <c r="T61" s="6"/>
      <c r="U61" s="6"/>
      <c r="V61" s="6"/>
      <c r="W61" s="6"/>
      <c r="X61" s="6"/>
      <c r="Y61" s="6"/>
      <c r="Z61" s="6"/>
      <c r="AA61" s="6"/>
      <c r="AB61" s="6"/>
      <c r="AC61" s="6"/>
    </row>
    <row r="62" spans="1:29" s="5" customFormat="1" x14ac:dyDescent="0.25">
      <c r="A62" s="4">
        <v>34</v>
      </c>
      <c r="B62" s="52" t="s">
        <v>214</v>
      </c>
      <c r="C62" s="13"/>
      <c r="D62" s="13"/>
      <c r="E62" s="13"/>
      <c r="F62" s="13"/>
      <c r="G62" s="13"/>
      <c r="H62" s="13"/>
      <c r="I62" s="13"/>
      <c r="J62" s="13"/>
      <c r="K62" s="49">
        <v>2</v>
      </c>
      <c r="L62" s="6"/>
      <c r="M62" s="6"/>
      <c r="O62" s="6"/>
      <c r="P62" s="6"/>
      <c r="Q62" s="6"/>
      <c r="S62" s="6"/>
      <c r="T62" s="6"/>
      <c r="U62" s="6"/>
      <c r="V62" s="6"/>
      <c r="W62" s="6"/>
      <c r="X62" s="6"/>
      <c r="Y62" s="6"/>
      <c r="Z62" s="6"/>
      <c r="AA62" s="6"/>
      <c r="AB62" s="6"/>
      <c r="AC62" s="6"/>
    </row>
    <row r="63" spans="1:29" s="5" customFormat="1" x14ac:dyDescent="0.25">
      <c r="A63" s="4">
        <v>35</v>
      </c>
      <c r="B63" s="52" t="s">
        <v>130</v>
      </c>
      <c r="C63" s="13"/>
      <c r="D63" s="13"/>
      <c r="E63" s="13"/>
      <c r="F63" s="13"/>
      <c r="G63" s="13"/>
      <c r="H63" s="13"/>
      <c r="I63" s="13"/>
      <c r="J63" s="13"/>
      <c r="K63" s="49">
        <v>3</v>
      </c>
      <c r="L63" s="6"/>
      <c r="M63" s="6"/>
      <c r="O63" s="6"/>
      <c r="P63" s="6"/>
      <c r="Q63" s="6"/>
      <c r="S63" s="6"/>
      <c r="T63" s="6"/>
      <c r="U63" s="6"/>
      <c r="V63" s="6"/>
      <c r="W63" s="6"/>
      <c r="X63" s="6"/>
      <c r="Y63" s="6"/>
      <c r="Z63" s="6"/>
      <c r="AA63" s="6"/>
      <c r="AB63" s="6"/>
      <c r="AC63" s="6"/>
    </row>
    <row r="64" spans="1:29" s="5" customFormat="1" x14ac:dyDescent="0.25">
      <c r="A64" s="4">
        <v>36</v>
      </c>
      <c r="B64" s="52" t="s">
        <v>131</v>
      </c>
      <c r="C64" s="13"/>
      <c r="D64" s="13"/>
      <c r="E64" s="13"/>
      <c r="F64" s="13"/>
      <c r="G64" s="13"/>
      <c r="H64" s="13"/>
      <c r="I64" s="13"/>
      <c r="J64" s="13"/>
      <c r="K64" s="49">
        <v>4</v>
      </c>
      <c r="L64" s="6"/>
      <c r="M64" s="6"/>
      <c r="O64" s="6"/>
      <c r="P64" s="6"/>
      <c r="Q64" s="6"/>
      <c r="S64" s="6"/>
      <c r="T64" s="6"/>
      <c r="U64" s="6"/>
      <c r="V64" s="6"/>
      <c r="W64" s="6"/>
      <c r="X64" s="6"/>
      <c r="Y64" s="6"/>
      <c r="Z64" s="6"/>
      <c r="AA64" s="6"/>
      <c r="AB64" s="6"/>
      <c r="AC64" s="6"/>
    </row>
    <row r="65" spans="1:29" s="5" customFormat="1" x14ac:dyDescent="0.25">
      <c r="A65" s="4">
        <v>37</v>
      </c>
      <c r="B65" s="52" t="s">
        <v>132</v>
      </c>
      <c r="C65" s="13"/>
      <c r="D65" s="13"/>
      <c r="E65" s="13"/>
      <c r="F65" s="13"/>
      <c r="G65" s="13"/>
      <c r="H65" s="13"/>
      <c r="I65" s="13"/>
      <c r="J65" s="13"/>
      <c r="K65" s="49">
        <v>1</v>
      </c>
      <c r="L65" s="6"/>
      <c r="M65" s="6"/>
      <c r="O65" s="6"/>
      <c r="P65" s="6"/>
      <c r="Q65" s="6"/>
      <c r="S65" s="6"/>
      <c r="T65" s="6"/>
      <c r="U65" s="6"/>
      <c r="V65" s="6"/>
      <c r="W65" s="6"/>
      <c r="X65" s="6"/>
      <c r="Y65" s="6"/>
      <c r="Z65" s="6"/>
      <c r="AA65" s="6"/>
      <c r="AB65" s="6"/>
      <c r="AC65" s="6"/>
    </row>
    <row r="66" spans="1:29" s="5" customFormat="1" x14ac:dyDescent="0.25">
      <c r="A66" s="4">
        <v>38</v>
      </c>
      <c r="B66" s="52" t="s">
        <v>133</v>
      </c>
      <c r="C66" s="13"/>
      <c r="D66" s="13"/>
      <c r="E66" s="13"/>
      <c r="F66" s="13"/>
      <c r="G66" s="13"/>
      <c r="H66" s="13"/>
      <c r="I66" s="13"/>
      <c r="J66" s="13"/>
      <c r="K66" s="49">
        <v>2</v>
      </c>
      <c r="L66" s="6"/>
      <c r="M66" s="6"/>
      <c r="O66" s="6"/>
      <c r="P66" s="6"/>
      <c r="Q66" s="6"/>
      <c r="S66" s="6"/>
      <c r="T66" s="6"/>
      <c r="U66" s="6"/>
      <c r="V66" s="6"/>
      <c r="W66" s="6"/>
      <c r="X66" s="6"/>
      <c r="Y66" s="6"/>
      <c r="Z66" s="6"/>
      <c r="AA66" s="6"/>
      <c r="AB66" s="6"/>
      <c r="AC66" s="6"/>
    </row>
    <row r="67" spans="1:29" s="5" customFormat="1" x14ac:dyDescent="0.25">
      <c r="A67" s="4">
        <v>39</v>
      </c>
      <c r="B67" s="52" t="s">
        <v>134</v>
      </c>
      <c r="C67" s="13"/>
      <c r="D67" s="13"/>
      <c r="E67" s="13"/>
      <c r="F67" s="13"/>
      <c r="G67" s="13"/>
      <c r="H67" s="13"/>
      <c r="I67" s="13"/>
      <c r="J67" s="13"/>
      <c r="K67" s="49">
        <v>3</v>
      </c>
      <c r="L67" s="6"/>
      <c r="M67" s="6"/>
      <c r="O67" s="6"/>
      <c r="P67" s="6"/>
      <c r="Q67" s="6"/>
      <c r="S67" s="6"/>
      <c r="T67" s="6"/>
      <c r="U67" s="6"/>
      <c r="V67" s="6"/>
      <c r="W67" s="6"/>
      <c r="X67" s="6"/>
      <c r="Y67" s="6"/>
      <c r="Z67" s="6"/>
      <c r="AA67" s="6"/>
      <c r="AB67" s="6"/>
      <c r="AC67" s="6"/>
    </row>
    <row r="68" spans="1:29" s="5" customFormat="1" x14ac:dyDescent="0.25">
      <c r="A68" s="4">
        <v>40</v>
      </c>
      <c r="B68" s="52" t="s">
        <v>135</v>
      </c>
      <c r="C68" s="13"/>
      <c r="D68" s="13"/>
      <c r="E68" s="13"/>
      <c r="F68" s="13"/>
      <c r="G68" s="13"/>
      <c r="H68" s="13"/>
      <c r="I68" s="13"/>
      <c r="J68" s="13"/>
      <c r="K68" s="49">
        <v>4</v>
      </c>
      <c r="L68" s="6"/>
      <c r="M68" s="6"/>
      <c r="O68" s="6"/>
      <c r="P68" s="6"/>
      <c r="Q68" s="6"/>
      <c r="S68" s="6"/>
      <c r="T68" s="6"/>
      <c r="U68" s="6"/>
      <c r="V68" s="6"/>
      <c r="W68" s="6"/>
      <c r="X68" s="6"/>
      <c r="Y68" s="6"/>
      <c r="Z68" s="6"/>
      <c r="AA68" s="6"/>
      <c r="AB68" s="6"/>
      <c r="AC68" s="6"/>
    </row>
    <row r="69" spans="1:29" s="5" customFormat="1" x14ac:dyDescent="0.25">
      <c r="A69" s="4">
        <v>41</v>
      </c>
      <c r="B69" s="52" t="s">
        <v>136</v>
      </c>
      <c r="C69" s="13"/>
      <c r="D69" s="13"/>
      <c r="E69" s="13"/>
      <c r="F69" s="13"/>
      <c r="G69" s="13"/>
      <c r="H69" s="13"/>
      <c r="I69" s="13"/>
      <c r="J69" s="13"/>
      <c r="K69" s="49">
        <v>1</v>
      </c>
      <c r="L69" s="6"/>
      <c r="M69" s="6"/>
      <c r="O69" s="6"/>
      <c r="P69" s="6"/>
      <c r="Q69" s="6"/>
      <c r="S69" s="6"/>
      <c r="T69" s="6"/>
      <c r="U69" s="6"/>
      <c r="V69" s="6"/>
      <c r="W69" s="6"/>
      <c r="X69" s="6"/>
      <c r="Y69" s="6"/>
      <c r="Z69" s="6"/>
      <c r="AA69" s="6"/>
      <c r="AB69" s="6"/>
      <c r="AC69" s="6"/>
    </row>
    <row r="70" spans="1:29" s="5" customFormat="1" x14ac:dyDescent="0.25">
      <c r="A70" s="4">
        <v>42</v>
      </c>
      <c r="B70" s="52" t="s">
        <v>137</v>
      </c>
      <c r="C70" s="13"/>
      <c r="D70" s="13"/>
      <c r="E70" s="13"/>
      <c r="F70" s="13"/>
      <c r="G70" s="13"/>
      <c r="H70" s="13"/>
      <c r="I70" s="13"/>
      <c r="J70" s="13"/>
      <c r="K70" s="49">
        <v>2</v>
      </c>
      <c r="L70" s="6"/>
      <c r="M70" s="6"/>
      <c r="O70" s="6"/>
      <c r="P70" s="6"/>
      <c r="Q70" s="6"/>
      <c r="S70" s="6"/>
      <c r="T70" s="6"/>
      <c r="U70" s="6"/>
      <c r="V70" s="6"/>
      <c r="W70" s="6"/>
      <c r="X70" s="6"/>
      <c r="Y70" s="6"/>
      <c r="Z70" s="6"/>
      <c r="AA70" s="6"/>
      <c r="AB70" s="6"/>
      <c r="AC70" s="6"/>
    </row>
    <row r="71" spans="1:29" s="5" customFormat="1" x14ac:dyDescent="0.25">
      <c r="A71" s="4">
        <v>43</v>
      </c>
      <c r="B71" s="52" t="s">
        <v>138</v>
      </c>
      <c r="C71" s="13"/>
      <c r="D71" s="13"/>
      <c r="E71" s="13"/>
      <c r="F71" s="13"/>
      <c r="G71" s="13"/>
      <c r="H71" s="13"/>
      <c r="I71" s="13"/>
      <c r="J71" s="13"/>
      <c r="K71" s="49">
        <v>3</v>
      </c>
      <c r="L71" s="6"/>
      <c r="M71" s="6"/>
      <c r="O71" s="6"/>
      <c r="P71" s="6"/>
      <c r="Q71" s="6"/>
      <c r="S71" s="6"/>
      <c r="T71" s="6"/>
      <c r="U71" s="6"/>
      <c r="V71" s="6"/>
      <c r="W71" s="6"/>
      <c r="X71" s="6"/>
      <c r="Y71" s="6"/>
      <c r="Z71" s="6"/>
      <c r="AA71" s="6"/>
      <c r="AB71" s="6"/>
      <c r="AC71" s="6"/>
    </row>
    <row r="72" spans="1:29" s="5" customFormat="1" x14ac:dyDescent="0.25">
      <c r="A72" s="4">
        <v>44</v>
      </c>
      <c r="B72" s="52" t="s">
        <v>139</v>
      </c>
      <c r="C72" s="13"/>
      <c r="D72" s="13"/>
      <c r="E72" s="13"/>
      <c r="F72" s="13"/>
      <c r="G72" s="13"/>
      <c r="H72" s="13"/>
      <c r="I72" s="13"/>
      <c r="J72" s="13"/>
      <c r="K72" s="49">
        <v>4</v>
      </c>
      <c r="L72" s="6"/>
      <c r="M72" s="6"/>
      <c r="O72" s="6"/>
      <c r="P72" s="6"/>
      <c r="Q72" s="6"/>
      <c r="S72" s="6"/>
      <c r="T72" s="6"/>
      <c r="U72" s="6"/>
      <c r="V72" s="6"/>
      <c r="W72" s="6"/>
      <c r="X72" s="6"/>
      <c r="Y72" s="6"/>
      <c r="Z72" s="6"/>
      <c r="AA72" s="6"/>
      <c r="AB72" s="6"/>
      <c r="AC72" s="6"/>
    </row>
    <row r="73" spans="1:29" s="5" customFormat="1" x14ac:dyDescent="0.25">
      <c r="A73" s="4">
        <v>45</v>
      </c>
      <c r="B73" s="52" t="s">
        <v>140</v>
      </c>
      <c r="C73" s="13"/>
      <c r="D73" s="13"/>
      <c r="E73" s="13"/>
      <c r="F73" s="13"/>
      <c r="G73" s="13"/>
      <c r="H73" s="13"/>
      <c r="I73" s="13"/>
      <c r="J73" s="13"/>
      <c r="K73" s="49">
        <v>1</v>
      </c>
      <c r="L73" s="6"/>
      <c r="M73" s="6"/>
      <c r="O73" s="6"/>
      <c r="P73" s="6"/>
      <c r="Q73" s="6"/>
      <c r="S73" s="6"/>
      <c r="T73" s="6"/>
      <c r="U73" s="6"/>
      <c r="V73" s="6"/>
      <c r="W73" s="6"/>
      <c r="X73" s="6"/>
      <c r="Y73" s="6"/>
      <c r="Z73" s="6"/>
      <c r="AA73" s="6"/>
      <c r="AB73" s="6"/>
      <c r="AC73" s="6"/>
    </row>
    <row r="74" spans="1:29" s="5" customFormat="1" x14ac:dyDescent="0.25">
      <c r="A74" s="4">
        <v>46</v>
      </c>
      <c r="B74" s="52" t="s">
        <v>141</v>
      </c>
      <c r="C74" s="13"/>
      <c r="D74" s="13"/>
      <c r="E74" s="13"/>
      <c r="F74" s="13"/>
      <c r="G74" s="13"/>
      <c r="H74" s="13"/>
      <c r="I74" s="13"/>
      <c r="J74" s="13"/>
      <c r="K74" s="49">
        <v>2</v>
      </c>
      <c r="L74" s="6"/>
      <c r="M74" s="6"/>
      <c r="O74" s="6"/>
      <c r="P74" s="6"/>
      <c r="Q74" s="6"/>
      <c r="S74" s="6"/>
      <c r="T74" s="6"/>
      <c r="U74" s="6"/>
      <c r="V74" s="6"/>
      <c r="W74" s="6"/>
      <c r="X74" s="6"/>
      <c r="Y74" s="6"/>
      <c r="Z74" s="6"/>
      <c r="AA74" s="6"/>
      <c r="AB74" s="6"/>
      <c r="AC74" s="6"/>
    </row>
    <row r="75" spans="1:29" s="5" customFormat="1" x14ac:dyDescent="0.25">
      <c r="A75" s="4">
        <v>47</v>
      </c>
      <c r="B75" s="52" t="s">
        <v>142</v>
      </c>
      <c r="C75" s="13"/>
      <c r="D75" s="13"/>
      <c r="E75" s="13"/>
      <c r="F75" s="13"/>
      <c r="G75" s="13"/>
      <c r="H75" s="13"/>
      <c r="I75" s="13"/>
      <c r="J75" s="13"/>
      <c r="K75" s="49">
        <v>3</v>
      </c>
      <c r="L75" s="6"/>
      <c r="M75" s="6"/>
      <c r="O75" s="6"/>
      <c r="P75" s="6"/>
      <c r="Q75" s="6"/>
      <c r="S75" s="6"/>
      <c r="T75" s="6"/>
      <c r="U75" s="6"/>
      <c r="V75" s="6"/>
      <c r="W75" s="6"/>
      <c r="X75" s="6"/>
      <c r="Y75" s="6"/>
      <c r="Z75" s="6"/>
      <c r="AA75" s="6"/>
      <c r="AB75" s="6"/>
      <c r="AC75" s="6"/>
    </row>
    <row r="76" spans="1:29" s="5" customFormat="1" x14ac:dyDescent="0.25">
      <c r="A76" s="4">
        <v>48</v>
      </c>
      <c r="B76" s="52" t="s">
        <v>143</v>
      </c>
      <c r="C76" s="13"/>
      <c r="D76" s="13"/>
      <c r="E76" s="13"/>
      <c r="F76" s="13"/>
      <c r="G76" s="13"/>
      <c r="H76" s="13"/>
      <c r="I76" s="13"/>
      <c r="J76" s="13"/>
      <c r="K76" s="49">
        <v>4</v>
      </c>
      <c r="L76" s="6"/>
      <c r="M76" s="6"/>
      <c r="O76" s="6"/>
      <c r="P76" s="6"/>
      <c r="Q76" s="6"/>
      <c r="S76" s="6"/>
      <c r="T76" s="6"/>
      <c r="U76" s="6"/>
      <c r="V76" s="6"/>
      <c r="W76" s="6"/>
      <c r="X76" s="6"/>
      <c r="Y76" s="6"/>
      <c r="Z76" s="6"/>
      <c r="AA76" s="6"/>
      <c r="AB76" s="6"/>
      <c r="AC76" s="6"/>
    </row>
    <row r="77" spans="1:29" s="5" customFormat="1" x14ac:dyDescent="0.25">
      <c r="A77" s="4">
        <v>49</v>
      </c>
      <c r="B77" s="52" t="s">
        <v>144</v>
      </c>
      <c r="C77" s="13"/>
      <c r="D77" s="13"/>
      <c r="E77" s="13"/>
      <c r="F77" s="13"/>
      <c r="G77" s="13"/>
      <c r="H77" s="13"/>
      <c r="I77" s="13"/>
      <c r="J77" s="13"/>
      <c r="K77" s="49">
        <v>1</v>
      </c>
      <c r="L77" s="6"/>
      <c r="M77" s="6"/>
      <c r="O77" s="6"/>
      <c r="P77" s="6"/>
      <c r="Q77" s="6"/>
      <c r="S77" s="6"/>
      <c r="T77" s="6"/>
      <c r="U77" s="6"/>
      <c r="V77" s="6"/>
      <c r="W77" s="6"/>
      <c r="X77" s="6"/>
      <c r="Y77" s="6"/>
      <c r="Z77" s="6"/>
      <c r="AA77" s="6"/>
      <c r="AB77" s="6"/>
      <c r="AC77" s="6"/>
    </row>
    <row r="78" spans="1:29" s="5" customFormat="1" x14ac:dyDescent="0.25">
      <c r="A78" s="4">
        <v>50</v>
      </c>
      <c r="B78" s="52" t="s">
        <v>145</v>
      </c>
      <c r="C78" s="13"/>
      <c r="D78" s="13"/>
      <c r="E78" s="13"/>
      <c r="F78" s="13"/>
      <c r="G78" s="13"/>
      <c r="H78" s="13"/>
      <c r="I78" s="13"/>
      <c r="J78" s="13"/>
      <c r="K78" s="49">
        <v>2</v>
      </c>
      <c r="L78" s="6"/>
      <c r="M78" s="6"/>
      <c r="O78" s="6"/>
      <c r="P78" s="6"/>
      <c r="Q78" s="6"/>
      <c r="S78" s="6"/>
      <c r="T78" s="6"/>
      <c r="U78" s="6"/>
      <c r="V78" s="6"/>
      <c r="W78" s="6"/>
      <c r="X78" s="6"/>
      <c r="Y78" s="6"/>
      <c r="Z78" s="6"/>
      <c r="AA78" s="6"/>
      <c r="AB78" s="6"/>
      <c r="AC78" s="6"/>
    </row>
    <row r="79" spans="1:29" s="5" customFormat="1" x14ac:dyDescent="0.25">
      <c r="A79" s="4">
        <v>51</v>
      </c>
      <c r="B79" s="52" t="s">
        <v>146</v>
      </c>
      <c r="C79" s="13"/>
      <c r="D79" s="13"/>
      <c r="E79" s="13"/>
      <c r="F79" s="13"/>
      <c r="G79" s="13"/>
      <c r="H79" s="13"/>
      <c r="I79" s="13"/>
      <c r="J79" s="13"/>
      <c r="K79" s="49">
        <v>3</v>
      </c>
      <c r="L79" s="6"/>
      <c r="M79" s="6"/>
      <c r="O79" s="6"/>
      <c r="P79" s="6"/>
      <c r="Q79" s="6"/>
      <c r="S79" s="6"/>
      <c r="T79" s="6"/>
      <c r="U79" s="6"/>
      <c r="V79" s="6"/>
      <c r="W79" s="6"/>
      <c r="X79" s="6"/>
      <c r="Y79" s="6"/>
      <c r="Z79" s="6"/>
      <c r="AA79" s="6"/>
      <c r="AB79" s="6"/>
      <c r="AC79" s="6"/>
    </row>
    <row r="80" spans="1:29" s="5" customFormat="1" x14ac:dyDescent="0.25">
      <c r="A80" s="4">
        <v>52</v>
      </c>
      <c r="B80" s="52" t="s">
        <v>147</v>
      </c>
      <c r="C80" s="13"/>
      <c r="D80" s="13"/>
      <c r="E80" s="13"/>
      <c r="F80" s="13"/>
      <c r="G80" s="13"/>
      <c r="H80" s="13"/>
      <c r="I80" s="13"/>
      <c r="J80" s="13"/>
      <c r="K80" s="49">
        <v>4</v>
      </c>
      <c r="L80" s="6"/>
      <c r="M80" s="6"/>
      <c r="O80" s="6"/>
      <c r="P80" s="6"/>
      <c r="Q80" s="6"/>
      <c r="S80" s="6"/>
      <c r="T80" s="6"/>
      <c r="U80" s="6"/>
      <c r="V80" s="6"/>
      <c r="W80" s="6"/>
      <c r="X80" s="6"/>
      <c r="Y80" s="6"/>
      <c r="Z80" s="6"/>
      <c r="AA80" s="6"/>
      <c r="AB80" s="6"/>
      <c r="AC80" s="6"/>
    </row>
    <row r="81" spans="1:29" s="5" customFormat="1" x14ac:dyDescent="0.25">
      <c r="A81" s="4">
        <v>53</v>
      </c>
      <c r="B81" s="52" t="s">
        <v>148</v>
      </c>
      <c r="C81" s="13"/>
      <c r="D81" s="13"/>
      <c r="E81" s="13"/>
      <c r="F81" s="13"/>
      <c r="G81" s="13"/>
      <c r="H81" s="13"/>
      <c r="I81" s="13"/>
      <c r="J81" s="13"/>
      <c r="K81" s="49">
        <v>1</v>
      </c>
      <c r="L81" s="6"/>
      <c r="M81" s="6"/>
      <c r="O81" s="6"/>
      <c r="P81" s="6"/>
      <c r="Q81" s="6"/>
      <c r="S81" s="6"/>
      <c r="T81" s="6"/>
      <c r="U81" s="6"/>
      <c r="V81" s="6"/>
      <c r="W81" s="6"/>
      <c r="X81" s="6"/>
      <c r="Y81" s="6"/>
      <c r="Z81" s="6"/>
      <c r="AA81" s="6"/>
      <c r="AB81" s="6"/>
      <c r="AC81" s="6"/>
    </row>
    <row r="82" spans="1:29" s="5" customFormat="1" x14ac:dyDescent="0.25">
      <c r="A82" s="4">
        <v>54</v>
      </c>
      <c r="B82" s="52" t="s">
        <v>149</v>
      </c>
      <c r="C82" s="13"/>
      <c r="D82" s="13"/>
      <c r="E82" s="13"/>
      <c r="F82" s="13"/>
      <c r="G82" s="13"/>
      <c r="H82" s="13"/>
      <c r="I82" s="13"/>
      <c r="J82" s="13"/>
      <c r="K82" s="49">
        <v>2</v>
      </c>
      <c r="L82" s="6"/>
      <c r="M82" s="6"/>
      <c r="O82" s="6"/>
      <c r="P82" s="6"/>
      <c r="Q82" s="6"/>
      <c r="S82" s="6"/>
      <c r="T82" s="6"/>
      <c r="U82" s="6"/>
      <c r="V82" s="6"/>
      <c r="W82" s="6"/>
      <c r="X82" s="6"/>
      <c r="Y82" s="6"/>
      <c r="Z82" s="6"/>
      <c r="AA82" s="6"/>
      <c r="AB82" s="6"/>
      <c r="AC82" s="6"/>
    </row>
    <row r="83" spans="1:29" s="5" customFormat="1" x14ac:dyDescent="0.25">
      <c r="A83" s="4">
        <v>55</v>
      </c>
      <c r="B83" s="52" t="s">
        <v>150</v>
      </c>
      <c r="C83" s="13"/>
      <c r="D83" s="13"/>
      <c r="E83" s="13"/>
      <c r="F83" s="13"/>
      <c r="G83" s="13"/>
      <c r="H83" s="13"/>
      <c r="I83" s="13"/>
      <c r="J83" s="13"/>
      <c r="K83" s="49">
        <v>3</v>
      </c>
      <c r="L83" s="6"/>
      <c r="M83" s="6"/>
      <c r="O83" s="6"/>
      <c r="P83" s="6"/>
      <c r="Q83" s="6"/>
      <c r="S83" s="6"/>
      <c r="T83" s="6"/>
      <c r="U83" s="6"/>
      <c r="V83" s="6"/>
      <c r="W83" s="6"/>
      <c r="X83" s="6"/>
      <c r="Y83" s="6"/>
      <c r="Z83" s="6"/>
      <c r="AA83" s="6"/>
      <c r="AB83" s="6"/>
      <c r="AC83" s="6"/>
    </row>
    <row r="84" spans="1:29" s="5" customFormat="1" x14ac:dyDescent="0.25">
      <c r="A84" s="4">
        <v>56</v>
      </c>
      <c r="B84" s="52" t="s">
        <v>151</v>
      </c>
      <c r="C84" s="13"/>
      <c r="D84" s="13"/>
      <c r="E84" s="13"/>
      <c r="F84" s="13"/>
      <c r="G84" s="13"/>
      <c r="H84" s="13"/>
      <c r="I84" s="13"/>
      <c r="J84" s="13"/>
      <c r="K84" s="49">
        <v>4</v>
      </c>
      <c r="L84" s="6"/>
      <c r="M84" s="6"/>
      <c r="O84" s="6"/>
      <c r="P84" s="6"/>
      <c r="Q84" s="6"/>
      <c r="S84" s="6"/>
      <c r="T84" s="6"/>
      <c r="U84" s="6"/>
      <c r="V84" s="6"/>
      <c r="W84" s="6"/>
      <c r="X84" s="6"/>
      <c r="Y84" s="6"/>
      <c r="Z84" s="6"/>
      <c r="AA84" s="6"/>
      <c r="AB84" s="6"/>
      <c r="AC84" s="6"/>
    </row>
    <row r="85" spans="1:29" s="5" customFormat="1" x14ac:dyDescent="0.25">
      <c r="A85" s="4">
        <v>57</v>
      </c>
      <c r="B85" s="52" t="s">
        <v>152</v>
      </c>
      <c r="C85" s="13"/>
      <c r="D85" s="13"/>
      <c r="E85" s="13"/>
      <c r="F85" s="13"/>
      <c r="G85" s="13"/>
      <c r="H85" s="13"/>
      <c r="I85" s="13"/>
      <c r="J85" s="13"/>
      <c r="K85" s="49">
        <v>1</v>
      </c>
      <c r="L85" s="6"/>
      <c r="M85" s="6"/>
      <c r="O85" s="6"/>
      <c r="P85" s="6"/>
      <c r="Q85" s="6"/>
      <c r="S85" s="6"/>
      <c r="T85" s="6"/>
      <c r="U85" s="6"/>
      <c r="V85" s="6"/>
      <c r="W85" s="6"/>
      <c r="X85" s="6"/>
      <c r="Y85" s="6"/>
      <c r="Z85" s="6"/>
      <c r="AA85" s="6"/>
      <c r="AB85" s="6"/>
      <c r="AC85" s="6"/>
    </row>
    <row r="86" spans="1:29" s="5" customFormat="1" x14ac:dyDescent="0.25">
      <c r="A86" s="4">
        <v>58</v>
      </c>
      <c r="B86" s="52" t="s">
        <v>153</v>
      </c>
      <c r="C86" s="13"/>
      <c r="D86" s="13"/>
      <c r="E86" s="13"/>
      <c r="F86" s="13"/>
      <c r="G86" s="13"/>
      <c r="H86" s="13"/>
      <c r="I86" s="13"/>
      <c r="J86" s="13"/>
      <c r="K86" s="49">
        <v>2</v>
      </c>
      <c r="L86" s="6"/>
      <c r="M86" s="6"/>
      <c r="O86" s="6"/>
      <c r="P86" s="6"/>
      <c r="Q86" s="6"/>
      <c r="S86" s="6"/>
      <c r="T86" s="6"/>
      <c r="U86" s="6"/>
      <c r="V86" s="6"/>
      <c r="W86" s="6"/>
      <c r="X86" s="6"/>
      <c r="Y86" s="6"/>
      <c r="Z86" s="6"/>
      <c r="AA86" s="6"/>
      <c r="AB86" s="6"/>
      <c r="AC86" s="6"/>
    </row>
    <row r="87" spans="1:29" s="5" customFormat="1" x14ac:dyDescent="0.25">
      <c r="A87" s="4">
        <v>59</v>
      </c>
      <c r="B87" s="52" t="s">
        <v>154</v>
      </c>
      <c r="C87" s="13"/>
      <c r="D87" s="13"/>
      <c r="E87" s="13"/>
      <c r="F87" s="13"/>
      <c r="G87" s="13"/>
      <c r="H87" s="13"/>
      <c r="I87" s="13"/>
      <c r="J87" s="13"/>
      <c r="K87" s="49">
        <v>3</v>
      </c>
      <c r="L87" s="6"/>
      <c r="M87" s="6"/>
      <c r="O87" s="6"/>
      <c r="P87" s="6"/>
      <c r="Q87" s="6"/>
      <c r="S87" s="6"/>
      <c r="T87" s="6"/>
      <c r="U87" s="6"/>
      <c r="V87" s="6"/>
      <c r="W87" s="6"/>
      <c r="X87" s="6"/>
      <c r="Y87" s="6"/>
      <c r="Z87" s="6"/>
      <c r="AA87" s="6"/>
      <c r="AB87" s="6"/>
      <c r="AC87" s="6"/>
    </row>
    <row r="88" spans="1:29" s="5" customFormat="1" x14ac:dyDescent="0.25">
      <c r="A88" s="4">
        <v>60</v>
      </c>
      <c r="B88" s="52" t="s">
        <v>155</v>
      </c>
      <c r="C88" s="13"/>
      <c r="D88" s="13"/>
      <c r="E88" s="13"/>
      <c r="F88" s="13"/>
      <c r="G88" s="13"/>
      <c r="H88" s="13"/>
      <c r="I88" s="13"/>
      <c r="J88" s="13"/>
      <c r="K88" s="49">
        <v>4</v>
      </c>
      <c r="L88" s="6"/>
      <c r="M88" s="6"/>
      <c r="O88" s="6"/>
      <c r="P88" s="6"/>
      <c r="Q88" s="6"/>
      <c r="S88" s="6"/>
      <c r="T88" s="6"/>
      <c r="U88" s="6"/>
      <c r="V88" s="6"/>
      <c r="W88" s="6"/>
      <c r="X88" s="6"/>
      <c r="Y88" s="6"/>
      <c r="Z88" s="6"/>
      <c r="AA88" s="6"/>
      <c r="AB88" s="6"/>
      <c r="AC88" s="6"/>
    </row>
    <row r="89" spans="1:29" s="5" customFormat="1" x14ac:dyDescent="0.25">
      <c r="A89" s="4">
        <v>61</v>
      </c>
      <c r="B89" s="52" t="s">
        <v>212</v>
      </c>
      <c r="C89" s="13"/>
      <c r="D89" s="13"/>
      <c r="E89" s="13"/>
      <c r="F89" s="13"/>
      <c r="G89" s="13"/>
      <c r="H89" s="13"/>
      <c r="I89" s="13"/>
      <c r="J89" s="13"/>
      <c r="K89" s="49">
        <v>1</v>
      </c>
      <c r="L89" s="6"/>
      <c r="M89" s="6"/>
      <c r="O89" s="6"/>
      <c r="P89" s="6"/>
      <c r="Q89" s="6"/>
      <c r="S89" s="6"/>
      <c r="T89" s="6"/>
      <c r="U89" s="6"/>
      <c r="V89" s="6"/>
      <c r="W89" s="6"/>
      <c r="X89" s="6"/>
      <c r="Y89" s="6"/>
      <c r="Z89" s="6"/>
      <c r="AA89" s="6"/>
      <c r="AB89" s="6"/>
      <c r="AC89" s="6"/>
    </row>
    <row r="90" spans="1:29" s="5" customFormat="1" x14ac:dyDescent="0.25">
      <c r="A90" s="4">
        <v>62</v>
      </c>
      <c r="B90" s="52" t="s">
        <v>213</v>
      </c>
      <c r="C90" s="13"/>
      <c r="D90" s="13"/>
      <c r="E90" s="13"/>
      <c r="F90" s="13"/>
      <c r="G90" s="13"/>
      <c r="H90" s="13"/>
      <c r="I90" s="13"/>
      <c r="J90" s="13"/>
      <c r="K90" s="49">
        <v>2</v>
      </c>
      <c r="L90" s="6"/>
      <c r="M90" s="6"/>
      <c r="O90" s="6"/>
      <c r="P90" s="6"/>
      <c r="Q90" s="6"/>
      <c r="S90" s="6"/>
      <c r="T90" s="6"/>
      <c r="U90" s="6"/>
      <c r="V90" s="6"/>
      <c r="W90" s="6"/>
      <c r="X90" s="6"/>
      <c r="Y90" s="6"/>
      <c r="Z90" s="6"/>
      <c r="AA90" s="6"/>
      <c r="AB90" s="6"/>
      <c r="AC90" s="6"/>
    </row>
    <row r="91" spans="1:29" s="5" customFormat="1" x14ac:dyDescent="0.25">
      <c r="A91" s="4">
        <v>63</v>
      </c>
      <c r="B91" s="52" t="s">
        <v>156</v>
      </c>
      <c r="C91" s="13"/>
      <c r="D91" s="13"/>
      <c r="E91" s="13"/>
      <c r="F91" s="13"/>
      <c r="G91" s="13"/>
      <c r="H91" s="13"/>
      <c r="I91" s="13"/>
      <c r="J91" s="13"/>
      <c r="K91" s="49">
        <v>3</v>
      </c>
      <c r="L91" s="6"/>
      <c r="M91" s="6"/>
      <c r="O91" s="6"/>
      <c r="P91" s="6"/>
      <c r="Q91" s="6"/>
      <c r="S91" s="6"/>
      <c r="T91" s="6"/>
      <c r="U91" s="6"/>
      <c r="V91" s="6"/>
      <c r="W91" s="6"/>
      <c r="X91" s="6"/>
      <c r="Y91" s="6"/>
      <c r="Z91" s="6"/>
      <c r="AA91" s="6"/>
      <c r="AB91" s="6"/>
      <c r="AC91" s="6"/>
    </row>
    <row r="92" spans="1:29" s="5" customFormat="1" x14ac:dyDescent="0.25">
      <c r="A92" s="4">
        <v>64</v>
      </c>
      <c r="B92" s="52" t="s">
        <v>157</v>
      </c>
      <c r="C92" s="13"/>
      <c r="D92" s="13"/>
      <c r="E92" s="13"/>
      <c r="F92" s="13"/>
      <c r="G92" s="13"/>
      <c r="H92" s="13"/>
      <c r="I92" s="13"/>
      <c r="J92" s="13"/>
      <c r="K92" s="49">
        <v>4</v>
      </c>
      <c r="L92" s="6"/>
      <c r="M92" s="6"/>
      <c r="O92" s="6"/>
      <c r="P92" s="6"/>
      <c r="Q92" s="6"/>
      <c r="S92" s="6"/>
      <c r="T92" s="6"/>
      <c r="U92" s="6"/>
      <c r="V92" s="6"/>
      <c r="W92" s="6"/>
      <c r="X92" s="6"/>
      <c r="Y92" s="6"/>
      <c r="Z92" s="6"/>
      <c r="AA92" s="6"/>
      <c r="AB92" s="6"/>
      <c r="AC92" s="6"/>
    </row>
    <row r="93" spans="1:29" s="5" customFormat="1" x14ac:dyDescent="0.25">
      <c r="A93" s="4">
        <v>65</v>
      </c>
      <c r="B93" s="52" t="s">
        <v>158</v>
      </c>
      <c r="C93" s="13"/>
      <c r="D93" s="13"/>
      <c r="E93" s="13"/>
      <c r="F93" s="13"/>
      <c r="G93" s="13"/>
      <c r="H93" s="13"/>
      <c r="I93" s="13"/>
      <c r="J93" s="13"/>
      <c r="K93" s="49">
        <v>1</v>
      </c>
      <c r="L93" s="6"/>
      <c r="M93" s="6"/>
      <c r="O93" s="6"/>
      <c r="P93" s="6"/>
      <c r="Q93" s="6"/>
      <c r="S93" s="6"/>
      <c r="T93" s="6"/>
      <c r="U93" s="6"/>
      <c r="V93" s="6"/>
      <c r="W93" s="6"/>
      <c r="X93" s="6"/>
      <c r="Y93" s="6"/>
      <c r="Z93" s="6"/>
      <c r="AA93" s="6"/>
      <c r="AB93" s="6"/>
      <c r="AC93" s="6"/>
    </row>
    <row r="94" spans="1:29" s="5" customFormat="1" x14ac:dyDescent="0.25">
      <c r="A94" s="4">
        <v>66</v>
      </c>
      <c r="B94" s="52" t="s">
        <v>159</v>
      </c>
      <c r="C94" s="13"/>
      <c r="D94" s="13"/>
      <c r="E94" s="13"/>
      <c r="F94" s="13"/>
      <c r="G94" s="13"/>
      <c r="H94" s="13"/>
      <c r="I94" s="13"/>
      <c r="J94" s="13"/>
      <c r="K94" s="49">
        <v>2</v>
      </c>
      <c r="L94" s="6"/>
      <c r="M94" s="6"/>
      <c r="O94" s="6"/>
      <c r="P94" s="6"/>
      <c r="Q94" s="6"/>
      <c r="S94" s="6"/>
      <c r="T94" s="6"/>
      <c r="U94" s="6"/>
      <c r="V94" s="6"/>
      <c r="W94" s="6"/>
      <c r="X94" s="6"/>
      <c r="Y94" s="6"/>
      <c r="Z94" s="6"/>
      <c r="AA94" s="6"/>
      <c r="AB94" s="6"/>
      <c r="AC94" s="6"/>
    </row>
    <row r="95" spans="1:29" s="5" customFormat="1" x14ac:dyDescent="0.25">
      <c r="A95" s="4">
        <v>67</v>
      </c>
      <c r="B95" s="52" t="s">
        <v>160</v>
      </c>
      <c r="C95" s="13"/>
      <c r="D95" s="13"/>
      <c r="E95" s="13"/>
      <c r="F95" s="13"/>
      <c r="G95" s="13"/>
      <c r="H95" s="13"/>
      <c r="I95" s="13"/>
      <c r="J95" s="13"/>
      <c r="K95" s="49">
        <v>3</v>
      </c>
      <c r="L95" s="6"/>
      <c r="M95" s="6"/>
      <c r="O95" s="6"/>
      <c r="P95" s="6"/>
      <c r="Q95" s="6"/>
      <c r="S95" s="6"/>
      <c r="T95" s="6"/>
      <c r="U95" s="6"/>
      <c r="V95" s="6"/>
      <c r="W95" s="6"/>
      <c r="X95" s="6"/>
      <c r="Y95" s="6"/>
      <c r="Z95" s="6"/>
      <c r="AA95" s="6"/>
      <c r="AB95" s="6"/>
      <c r="AC95" s="6"/>
    </row>
    <row r="96" spans="1:29" s="5" customFormat="1" x14ac:dyDescent="0.25">
      <c r="A96" s="4">
        <v>68</v>
      </c>
      <c r="B96" s="52" t="s">
        <v>161</v>
      </c>
      <c r="C96" s="13"/>
      <c r="D96" s="13"/>
      <c r="E96" s="13"/>
      <c r="F96" s="13"/>
      <c r="G96" s="13"/>
      <c r="H96" s="13"/>
      <c r="I96" s="13"/>
      <c r="J96" s="13"/>
      <c r="K96" s="49">
        <v>4</v>
      </c>
      <c r="L96" s="6"/>
      <c r="M96" s="6"/>
      <c r="O96" s="6"/>
      <c r="P96" s="6"/>
      <c r="Q96" s="6"/>
      <c r="S96" s="6"/>
      <c r="T96" s="6"/>
      <c r="U96" s="6"/>
      <c r="V96" s="6"/>
      <c r="W96" s="6"/>
      <c r="X96" s="6"/>
      <c r="Y96" s="6"/>
      <c r="Z96" s="6"/>
      <c r="AA96" s="6"/>
      <c r="AB96" s="6"/>
      <c r="AC96" s="6"/>
    </row>
    <row r="97" spans="1:29" s="5" customFormat="1" x14ac:dyDescent="0.25">
      <c r="A97" s="4">
        <v>69</v>
      </c>
      <c r="B97" s="52" t="s">
        <v>162</v>
      </c>
      <c r="C97" s="13"/>
      <c r="D97" s="13"/>
      <c r="E97" s="13"/>
      <c r="F97" s="13"/>
      <c r="G97" s="13"/>
      <c r="H97" s="13"/>
      <c r="I97" s="13"/>
      <c r="J97" s="13"/>
      <c r="K97" s="49">
        <v>1</v>
      </c>
      <c r="L97" s="6"/>
      <c r="M97" s="6"/>
      <c r="O97" s="6"/>
      <c r="P97" s="6"/>
      <c r="Q97" s="6"/>
      <c r="S97" s="6"/>
      <c r="T97" s="6"/>
      <c r="U97" s="6"/>
      <c r="V97" s="6"/>
      <c r="W97" s="6"/>
      <c r="X97" s="6"/>
      <c r="Y97" s="6"/>
      <c r="Z97" s="6"/>
      <c r="AA97" s="6"/>
      <c r="AB97" s="6"/>
      <c r="AC97" s="6"/>
    </row>
    <row r="98" spans="1:29" s="5" customFormat="1" x14ac:dyDescent="0.25">
      <c r="A98" s="4">
        <v>70</v>
      </c>
      <c r="B98" s="52" t="s">
        <v>163</v>
      </c>
      <c r="C98" s="13"/>
      <c r="D98" s="13"/>
      <c r="E98" s="13"/>
      <c r="F98" s="13"/>
      <c r="G98" s="13"/>
      <c r="H98" s="13"/>
      <c r="I98" s="13"/>
      <c r="J98" s="13"/>
      <c r="K98" s="49">
        <v>2</v>
      </c>
      <c r="L98" s="6"/>
      <c r="M98" s="6"/>
      <c r="O98" s="6"/>
      <c r="P98" s="6"/>
      <c r="Q98" s="6"/>
      <c r="S98" s="6"/>
      <c r="T98" s="6"/>
      <c r="U98" s="6"/>
      <c r="V98" s="6"/>
      <c r="W98" s="6"/>
      <c r="X98" s="6"/>
      <c r="Y98" s="6"/>
      <c r="Z98" s="6"/>
      <c r="AA98" s="6"/>
      <c r="AB98" s="6"/>
      <c r="AC98" s="6"/>
    </row>
    <row r="99" spans="1:29" s="5" customFormat="1" x14ac:dyDescent="0.25">
      <c r="A99" s="4">
        <v>71</v>
      </c>
      <c r="B99" s="52" t="s">
        <v>164</v>
      </c>
      <c r="C99" s="13"/>
      <c r="D99" s="13"/>
      <c r="E99" s="13"/>
      <c r="F99" s="13"/>
      <c r="G99" s="13"/>
      <c r="H99" s="13"/>
      <c r="I99" s="13"/>
      <c r="J99" s="13"/>
      <c r="K99" s="49">
        <v>3</v>
      </c>
      <c r="L99" s="6"/>
      <c r="M99" s="6"/>
      <c r="O99" s="6"/>
      <c r="P99" s="6"/>
      <c r="Q99" s="6"/>
      <c r="S99" s="6"/>
      <c r="T99" s="6"/>
      <c r="U99" s="6"/>
      <c r="V99" s="6"/>
      <c r="W99" s="6"/>
      <c r="X99" s="6"/>
      <c r="Y99" s="6"/>
      <c r="Z99" s="6"/>
      <c r="AA99" s="6"/>
      <c r="AB99" s="6"/>
      <c r="AC99" s="6"/>
    </row>
    <row r="100" spans="1:29" s="5" customFormat="1" x14ac:dyDescent="0.25">
      <c r="A100" s="4">
        <v>72</v>
      </c>
      <c r="B100" s="52" t="s">
        <v>165</v>
      </c>
      <c r="C100" s="13"/>
      <c r="D100" s="13"/>
      <c r="E100" s="13"/>
      <c r="F100" s="13"/>
      <c r="G100" s="13"/>
      <c r="H100" s="13"/>
      <c r="I100" s="13"/>
      <c r="J100" s="13"/>
      <c r="K100" s="49">
        <v>4</v>
      </c>
      <c r="L100" s="6"/>
      <c r="M100" s="6"/>
      <c r="O100" s="6"/>
      <c r="P100" s="6"/>
      <c r="Q100" s="6"/>
      <c r="S100" s="6"/>
      <c r="T100" s="6"/>
      <c r="U100" s="6"/>
      <c r="V100" s="6"/>
      <c r="W100" s="6"/>
      <c r="X100" s="6"/>
      <c r="Y100" s="6"/>
      <c r="Z100" s="6"/>
      <c r="AA100" s="6"/>
      <c r="AB100" s="6"/>
      <c r="AC100" s="6"/>
    </row>
    <row r="101" spans="1:29" s="5" customFormat="1" x14ac:dyDescent="0.25">
      <c r="A101" s="4">
        <v>73</v>
      </c>
      <c r="B101" s="52" t="s">
        <v>166</v>
      </c>
      <c r="C101" s="13"/>
      <c r="D101" s="13"/>
      <c r="E101" s="13"/>
      <c r="F101" s="13"/>
      <c r="G101" s="13"/>
      <c r="H101" s="13"/>
      <c r="I101" s="13"/>
      <c r="J101" s="13"/>
      <c r="K101" s="49">
        <v>1</v>
      </c>
      <c r="L101" s="6"/>
      <c r="M101" s="6"/>
      <c r="O101" s="6"/>
      <c r="P101" s="6"/>
      <c r="Q101" s="6"/>
      <c r="S101" s="6"/>
      <c r="T101" s="6"/>
      <c r="U101" s="6"/>
      <c r="V101" s="6"/>
      <c r="W101" s="6"/>
      <c r="X101" s="6"/>
      <c r="Y101" s="6"/>
      <c r="Z101" s="6"/>
      <c r="AA101" s="6"/>
      <c r="AB101" s="6"/>
      <c r="AC101" s="6"/>
    </row>
    <row r="102" spans="1:29" s="5" customFormat="1" x14ac:dyDescent="0.25">
      <c r="A102" s="4">
        <v>74</v>
      </c>
      <c r="B102" s="52" t="s">
        <v>167</v>
      </c>
      <c r="C102" s="13"/>
      <c r="D102" s="13"/>
      <c r="E102" s="13"/>
      <c r="F102" s="13"/>
      <c r="G102" s="13"/>
      <c r="H102" s="13"/>
      <c r="I102" s="13"/>
      <c r="J102" s="13"/>
      <c r="K102" s="49">
        <v>2</v>
      </c>
      <c r="L102" s="6"/>
      <c r="M102" s="6"/>
      <c r="O102" s="6"/>
      <c r="P102" s="6"/>
      <c r="Q102" s="6"/>
      <c r="S102" s="6"/>
      <c r="T102" s="6"/>
      <c r="U102" s="6"/>
      <c r="V102" s="6"/>
      <c r="W102" s="6"/>
      <c r="X102" s="6"/>
      <c r="Y102" s="6"/>
      <c r="Z102" s="6"/>
      <c r="AA102" s="6"/>
      <c r="AB102" s="6"/>
      <c r="AC102" s="6"/>
    </row>
    <row r="103" spans="1:29" s="5" customFormat="1" x14ac:dyDescent="0.25">
      <c r="A103" s="4">
        <v>75</v>
      </c>
      <c r="B103" s="52" t="s">
        <v>168</v>
      </c>
      <c r="C103" s="13"/>
      <c r="D103" s="13"/>
      <c r="E103" s="13"/>
      <c r="F103" s="13"/>
      <c r="G103" s="13"/>
      <c r="H103" s="13"/>
      <c r="I103" s="13"/>
      <c r="J103" s="13"/>
      <c r="K103" s="49">
        <v>3</v>
      </c>
      <c r="L103" s="6"/>
      <c r="M103" s="6"/>
      <c r="O103" s="6"/>
      <c r="P103" s="6"/>
      <c r="Q103" s="6"/>
      <c r="S103" s="6"/>
      <c r="T103" s="6"/>
      <c r="U103" s="6"/>
      <c r="V103" s="6"/>
      <c r="W103" s="6"/>
      <c r="X103" s="6"/>
      <c r="Y103" s="6"/>
      <c r="Z103" s="6"/>
      <c r="AA103" s="6"/>
      <c r="AB103" s="6"/>
      <c r="AC103" s="6"/>
    </row>
    <row r="104" spans="1:29" s="5" customFormat="1" x14ac:dyDescent="0.25">
      <c r="A104" s="4">
        <v>76</v>
      </c>
      <c r="B104" s="52" t="s">
        <v>169</v>
      </c>
      <c r="C104" s="13"/>
      <c r="D104" s="13"/>
      <c r="E104" s="13"/>
      <c r="F104" s="13"/>
      <c r="G104" s="13"/>
      <c r="H104" s="13"/>
      <c r="I104" s="13"/>
      <c r="J104" s="13"/>
      <c r="K104" s="49">
        <v>4</v>
      </c>
      <c r="L104" s="6"/>
      <c r="M104" s="6"/>
      <c r="O104" s="6"/>
      <c r="P104" s="6"/>
      <c r="Q104" s="6"/>
      <c r="S104" s="6"/>
      <c r="T104" s="6"/>
      <c r="U104" s="6"/>
      <c r="V104" s="6"/>
      <c r="W104" s="6"/>
      <c r="X104" s="6"/>
      <c r="Y104" s="6"/>
      <c r="Z104" s="6"/>
      <c r="AA104" s="6"/>
      <c r="AB104" s="6"/>
      <c r="AC104" s="6"/>
    </row>
    <row r="105" spans="1:29" s="5" customFormat="1" x14ac:dyDescent="0.25">
      <c r="A105" s="4">
        <v>77</v>
      </c>
      <c r="B105" s="52" t="s">
        <v>170</v>
      </c>
      <c r="C105" s="13"/>
      <c r="D105" s="13"/>
      <c r="E105" s="13"/>
      <c r="F105" s="13"/>
      <c r="G105" s="13"/>
      <c r="H105" s="13"/>
      <c r="I105" s="13"/>
      <c r="J105" s="13"/>
      <c r="K105" s="49">
        <v>1</v>
      </c>
      <c r="L105" s="6"/>
      <c r="M105" s="6"/>
      <c r="O105" s="6"/>
      <c r="P105" s="6"/>
      <c r="Q105" s="6"/>
      <c r="S105" s="6"/>
      <c r="T105" s="6"/>
      <c r="U105" s="6"/>
      <c r="V105" s="6"/>
      <c r="W105" s="6"/>
      <c r="X105" s="6"/>
      <c r="Y105" s="6"/>
      <c r="Z105" s="6"/>
      <c r="AA105" s="6"/>
      <c r="AB105" s="6"/>
      <c r="AC105" s="6"/>
    </row>
    <row r="106" spans="1:29" s="5" customFormat="1" x14ac:dyDescent="0.25">
      <c r="A106" s="4">
        <v>78</v>
      </c>
      <c r="B106" s="52" t="s">
        <v>171</v>
      </c>
      <c r="C106" s="13"/>
      <c r="D106" s="13"/>
      <c r="E106" s="13"/>
      <c r="F106" s="13"/>
      <c r="G106" s="13"/>
      <c r="H106" s="13"/>
      <c r="I106" s="13"/>
      <c r="J106" s="13"/>
      <c r="K106" s="49">
        <v>2</v>
      </c>
      <c r="L106" s="6"/>
      <c r="M106" s="6"/>
      <c r="O106" s="6"/>
      <c r="P106" s="6"/>
      <c r="Q106" s="6"/>
      <c r="S106" s="6"/>
      <c r="T106" s="6"/>
      <c r="U106" s="6"/>
      <c r="V106" s="6"/>
      <c r="W106" s="6"/>
      <c r="X106" s="6"/>
      <c r="Y106" s="6"/>
      <c r="Z106" s="6"/>
      <c r="AA106" s="6"/>
      <c r="AB106" s="6"/>
      <c r="AC106" s="6"/>
    </row>
    <row r="107" spans="1:29" s="5" customFormat="1" x14ac:dyDescent="0.25">
      <c r="A107" s="4">
        <v>79</v>
      </c>
      <c r="B107" s="52" t="s">
        <v>172</v>
      </c>
      <c r="C107" s="13"/>
      <c r="D107" s="13"/>
      <c r="E107" s="13"/>
      <c r="F107" s="13"/>
      <c r="G107" s="13"/>
      <c r="H107" s="13"/>
      <c r="I107" s="13"/>
      <c r="J107" s="13"/>
      <c r="K107" s="49">
        <v>3</v>
      </c>
      <c r="L107" s="6"/>
      <c r="M107" s="6"/>
      <c r="O107" s="6"/>
      <c r="P107" s="6"/>
      <c r="Q107" s="6"/>
      <c r="S107" s="6"/>
      <c r="T107" s="6"/>
      <c r="U107" s="6"/>
      <c r="V107" s="6"/>
      <c r="W107" s="6"/>
      <c r="X107" s="6"/>
      <c r="Y107" s="6"/>
      <c r="Z107" s="6"/>
      <c r="AA107" s="6"/>
      <c r="AB107" s="6"/>
      <c r="AC107" s="6"/>
    </row>
    <row r="108" spans="1:29" s="5" customFormat="1" x14ac:dyDescent="0.25">
      <c r="A108" s="4">
        <v>80</v>
      </c>
      <c r="B108" s="52" t="s">
        <v>173</v>
      </c>
      <c r="C108" s="13"/>
      <c r="D108" s="13"/>
      <c r="E108" s="13"/>
      <c r="F108" s="13"/>
      <c r="G108" s="13"/>
      <c r="H108" s="13"/>
      <c r="I108" s="13"/>
      <c r="J108" s="13"/>
      <c r="K108" s="49">
        <v>4</v>
      </c>
      <c r="L108" s="6"/>
      <c r="M108" s="6"/>
      <c r="O108" s="6"/>
      <c r="P108" s="6"/>
      <c r="Q108" s="6"/>
      <c r="S108" s="6"/>
      <c r="T108" s="6"/>
      <c r="U108" s="6"/>
      <c r="V108" s="6"/>
      <c r="W108" s="6"/>
      <c r="X108" s="6"/>
      <c r="Y108" s="6"/>
      <c r="Z108" s="6"/>
      <c r="AA108" s="6"/>
      <c r="AB108" s="6"/>
      <c r="AC108" s="6"/>
    </row>
    <row r="109" spans="1:29" s="5" customFormat="1" x14ac:dyDescent="0.25">
      <c r="A109" s="4">
        <v>81</v>
      </c>
      <c r="B109" s="52" t="s">
        <v>174</v>
      </c>
      <c r="C109" s="13"/>
      <c r="D109" s="13"/>
      <c r="E109" s="13"/>
      <c r="F109" s="13"/>
      <c r="G109" s="13"/>
      <c r="H109" s="13"/>
      <c r="I109" s="13"/>
      <c r="J109" s="13"/>
      <c r="K109" s="49">
        <v>1</v>
      </c>
      <c r="L109" s="6"/>
      <c r="M109" s="6"/>
      <c r="O109" s="6"/>
      <c r="P109" s="6"/>
      <c r="Q109" s="6"/>
      <c r="S109" s="6"/>
      <c r="T109" s="6"/>
      <c r="U109" s="6"/>
      <c r="V109" s="6"/>
      <c r="W109" s="6"/>
      <c r="X109" s="6"/>
      <c r="Y109" s="6"/>
      <c r="Z109" s="6"/>
      <c r="AA109" s="6"/>
      <c r="AB109" s="6"/>
      <c r="AC109" s="6"/>
    </row>
    <row r="110" spans="1:29" s="5" customFormat="1" x14ac:dyDescent="0.25">
      <c r="A110" s="4">
        <v>82</v>
      </c>
      <c r="B110" s="52" t="s">
        <v>175</v>
      </c>
      <c r="C110" s="13"/>
      <c r="D110" s="13"/>
      <c r="E110" s="13"/>
      <c r="F110" s="13"/>
      <c r="G110" s="13"/>
      <c r="H110" s="13"/>
      <c r="I110" s="13"/>
      <c r="J110" s="13"/>
      <c r="K110" s="49">
        <v>2</v>
      </c>
      <c r="L110" s="6"/>
      <c r="M110" s="6"/>
      <c r="O110" s="6"/>
      <c r="P110" s="6"/>
      <c r="Q110" s="6"/>
      <c r="S110" s="6"/>
      <c r="T110" s="6"/>
      <c r="U110" s="6"/>
      <c r="V110" s="6"/>
      <c r="W110" s="6"/>
      <c r="X110" s="6"/>
      <c r="Y110" s="6"/>
      <c r="Z110" s="6"/>
      <c r="AA110" s="6"/>
      <c r="AB110" s="6"/>
      <c r="AC110" s="6"/>
    </row>
    <row r="111" spans="1:29" s="5" customFormat="1" x14ac:dyDescent="0.25">
      <c r="A111" s="4">
        <v>83</v>
      </c>
      <c r="B111" s="52" t="s">
        <v>176</v>
      </c>
      <c r="C111" s="13"/>
      <c r="D111" s="13"/>
      <c r="E111" s="13"/>
      <c r="F111" s="13"/>
      <c r="G111" s="13"/>
      <c r="H111" s="13"/>
      <c r="I111" s="13"/>
      <c r="J111" s="13"/>
      <c r="K111" s="49">
        <v>3</v>
      </c>
      <c r="L111" s="6"/>
      <c r="M111" s="6"/>
      <c r="O111" s="6"/>
      <c r="P111" s="6"/>
      <c r="Q111" s="6"/>
      <c r="S111" s="6"/>
      <c r="T111" s="6"/>
      <c r="U111" s="6"/>
      <c r="V111" s="6"/>
      <c r="W111" s="6"/>
      <c r="X111" s="6"/>
      <c r="Y111" s="6"/>
      <c r="Z111" s="6"/>
      <c r="AA111" s="6"/>
      <c r="AB111" s="6"/>
      <c r="AC111" s="6"/>
    </row>
    <row r="112" spans="1:29" s="5" customFormat="1" x14ac:dyDescent="0.25">
      <c r="A112" s="4">
        <v>84</v>
      </c>
      <c r="B112" s="52" t="s">
        <v>177</v>
      </c>
      <c r="C112" s="13"/>
      <c r="D112" s="13"/>
      <c r="E112" s="13"/>
      <c r="F112" s="13"/>
      <c r="G112" s="13"/>
      <c r="H112" s="13"/>
      <c r="I112" s="13"/>
      <c r="J112" s="13"/>
      <c r="K112" s="49">
        <v>4</v>
      </c>
      <c r="L112" s="6"/>
      <c r="M112" s="6"/>
      <c r="O112" s="6"/>
      <c r="P112" s="6"/>
      <c r="Q112" s="6"/>
      <c r="S112" s="6"/>
      <c r="T112" s="6"/>
      <c r="U112" s="6"/>
      <c r="V112" s="6"/>
      <c r="W112" s="6"/>
      <c r="X112" s="6"/>
      <c r="Y112" s="6"/>
      <c r="Z112" s="6"/>
      <c r="AA112" s="6"/>
      <c r="AB112" s="6"/>
      <c r="AC112" s="6"/>
    </row>
    <row r="113" spans="1:29" s="5" customFormat="1" x14ac:dyDescent="0.25">
      <c r="A113" s="4">
        <v>85</v>
      </c>
      <c r="B113" s="52" t="s">
        <v>178</v>
      </c>
      <c r="C113" s="13"/>
      <c r="D113" s="13"/>
      <c r="E113" s="13"/>
      <c r="F113" s="13"/>
      <c r="G113" s="13"/>
      <c r="H113" s="13"/>
      <c r="I113" s="13"/>
      <c r="J113" s="13"/>
      <c r="K113" s="49">
        <v>1</v>
      </c>
      <c r="L113" s="6"/>
      <c r="M113" s="6"/>
      <c r="O113" s="6"/>
      <c r="P113" s="6"/>
      <c r="Q113" s="6"/>
      <c r="S113" s="6"/>
      <c r="T113" s="6"/>
      <c r="U113" s="6"/>
      <c r="V113" s="6"/>
      <c r="W113" s="6"/>
      <c r="X113" s="6"/>
      <c r="Y113" s="6"/>
      <c r="Z113" s="6"/>
      <c r="AA113" s="6"/>
      <c r="AB113" s="6"/>
      <c r="AC113" s="6"/>
    </row>
    <row r="114" spans="1:29" s="5" customFormat="1" x14ac:dyDescent="0.25">
      <c r="A114" s="4">
        <v>86</v>
      </c>
      <c r="B114" s="52" t="s">
        <v>179</v>
      </c>
      <c r="C114" s="13"/>
      <c r="D114" s="13"/>
      <c r="E114" s="13"/>
      <c r="F114" s="13"/>
      <c r="G114" s="13"/>
      <c r="H114" s="13"/>
      <c r="I114" s="13"/>
      <c r="J114" s="13"/>
      <c r="K114" s="49">
        <v>2</v>
      </c>
      <c r="L114" s="6"/>
      <c r="M114" s="6"/>
      <c r="O114" s="6"/>
      <c r="P114" s="6"/>
      <c r="Q114" s="6"/>
      <c r="S114" s="6"/>
      <c r="T114" s="6"/>
      <c r="U114" s="6"/>
      <c r="V114" s="6"/>
      <c r="W114" s="6"/>
      <c r="X114" s="6"/>
      <c r="Y114" s="6"/>
      <c r="Z114" s="6"/>
      <c r="AA114" s="6"/>
      <c r="AB114" s="6"/>
      <c r="AC114" s="6"/>
    </row>
    <row r="115" spans="1:29" s="5" customFormat="1" x14ac:dyDescent="0.25">
      <c r="A115" s="4">
        <v>87</v>
      </c>
      <c r="B115" s="52" t="s">
        <v>180</v>
      </c>
      <c r="C115" s="13"/>
      <c r="D115" s="13"/>
      <c r="E115" s="13"/>
      <c r="F115" s="13"/>
      <c r="G115" s="13"/>
      <c r="H115" s="13"/>
      <c r="I115" s="13"/>
      <c r="J115" s="13"/>
      <c r="K115" s="49">
        <v>3</v>
      </c>
      <c r="L115" s="6"/>
      <c r="M115" s="6"/>
      <c r="O115" s="6"/>
      <c r="P115" s="6"/>
      <c r="Q115" s="6"/>
      <c r="S115" s="6"/>
      <c r="T115" s="6"/>
      <c r="U115" s="6"/>
      <c r="V115" s="6"/>
      <c r="W115" s="6"/>
      <c r="X115" s="6"/>
      <c r="Y115" s="6"/>
      <c r="Z115" s="6"/>
      <c r="AA115" s="6"/>
      <c r="AB115" s="6"/>
      <c r="AC115" s="6"/>
    </row>
    <row r="116" spans="1:29" s="5" customFormat="1" x14ac:dyDescent="0.25">
      <c r="A116" s="4">
        <v>88</v>
      </c>
      <c r="B116" s="52" t="s">
        <v>181</v>
      </c>
      <c r="C116" s="13"/>
      <c r="D116" s="13"/>
      <c r="E116" s="13"/>
      <c r="F116" s="13"/>
      <c r="G116" s="13"/>
      <c r="H116" s="13"/>
      <c r="I116" s="13"/>
      <c r="J116" s="13"/>
      <c r="K116" s="49">
        <v>4</v>
      </c>
      <c r="L116" s="6"/>
      <c r="M116" s="6"/>
      <c r="O116" s="6"/>
      <c r="P116" s="6"/>
      <c r="Q116" s="6"/>
      <c r="S116" s="6"/>
      <c r="T116" s="6"/>
      <c r="U116" s="6"/>
      <c r="V116" s="6"/>
      <c r="W116" s="6"/>
      <c r="X116" s="6"/>
      <c r="Y116" s="6"/>
      <c r="Z116" s="6"/>
      <c r="AA116" s="6"/>
      <c r="AB116" s="6"/>
      <c r="AC116" s="6"/>
    </row>
    <row r="117" spans="1:29" s="5" customFormat="1" x14ac:dyDescent="0.25">
      <c r="A117" s="4">
        <v>89</v>
      </c>
      <c r="B117" s="52" t="s">
        <v>211</v>
      </c>
      <c r="C117" s="13"/>
      <c r="D117" s="13"/>
      <c r="E117" s="13"/>
      <c r="F117" s="13"/>
      <c r="G117" s="13"/>
      <c r="H117" s="13"/>
      <c r="I117" s="13"/>
      <c r="J117" s="13"/>
      <c r="K117" s="49">
        <v>1</v>
      </c>
      <c r="L117" s="6"/>
      <c r="M117" s="6"/>
      <c r="O117" s="6"/>
      <c r="P117" s="6"/>
      <c r="Q117" s="6"/>
      <c r="S117" s="6"/>
      <c r="T117" s="6"/>
      <c r="U117" s="6"/>
      <c r="V117" s="6"/>
      <c r="W117" s="6"/>
      <c r="X117" s="6"/>
      <c r="Y117" s="6"/>
      <c r="Z117" s="6"/>
      <c r="AA117" s="6"/>
      <c r="AB117" s="6"/>
      <c r="AC117" s="6"/>
    </row>
    <row r="118" spans="1:29" s="5" customFormat="1" x14ac:dyDescent="0.25">
      <c r="A118" s="4">
        <v>90</v>
      </c>
      <c r="B118" s="52" t="s">
        <v>182</v>
      </c>
      <c r="C118" s="13"/>
      <c r="D118" s="13"/>
      <c r="E118" s="13"/>
      <c r="F118" s="13"/>
      <c r="G118" s="13"/>
      <c r="H118" s="13"/>
      <c r="I118" s="13"/>
      <c r="J118" s="13"/>
      <c r="K118" s="49">
        <v>2</v>
      </c>
      <c r="L118" s="6"/>
      <c r="M118" s="6"/>
      <c r="O118" s="6"/>
      <c r="P118" s="6"/>
      <c r="Q118" s="6"/>
      <c r="S118" s="6"/>
      <c r="T118" s="6"/>
      <c r="U118" s="6"/>
      <c r="V118" s="6"/>
      <c r="W118" s="6"/>
      <c r="X118" s="6"/>
      <c r="Y118" s="6"/>
      <c r="Z118" s="6"/>
      <c r="AA118" s="6"/>
      <c r="AB118" s="6"/>
      <c r="AC118" s="6"/>
    </row>
    <row r="119" spans="1:29" s="5" customFormat="1" x14ac:dyDescent="0.25">
      <c r="A119" s="4">
        <v>91</v>
      </c>
      <c r="B119" s="52" t="s">
        <v>183</v>
      </c>
      <c r="C119" s="13"/>
      <c r="D119" s="13"/>
      <c r="E119" s="13"/>
      <c r="F119" s="13"/>
      <c r="G119" s="13"/>
      <c r="H119" s="13"/>
      <c r="I119" s="13"/>
      <c r="J119" s="13"/>
      <c r="K119" s="49">
        <v>3</v>
      </c>
      <c r="L119" s="6"/>
      <c r="M119" s="6"/>
      <c r="O119" s="6"/>
      <c r="P119" s="6"/>
      <c r="Q119" s="6"/>
      <c r="S119" s="6"/>
      <c r="T119" s="6"/>
      <c r="U119" s="6"/>
      <c r="V119" s="6"/>
      <c r="W119" s="6"/>
      <c r="X119" s="6"/>
      <c r="Y119" s="6"/>
      <c r="Z119" s="6"/>
      <c r="AA119" s="6"/>
      <c r="AB119" s="6"/>
      <c r="AC119" s="6"/>
    </row>
    <row r="120" spans="1:29" s="5" customFormat="1" x14ac:dyDescent="0.25">
      <c r="A120" s="4">
        <v>92</v>
      </c>
      <c r="B120" s="52" t="s">
        <v>184</v>
      </c>
      <c r="C120" s="13"/>
      <c r="D120" s="13"/>
      <c r="E120" s="13"/>
      <c r="F120" s="13"/>
      <c r="G120" s="13"/>
      <c r="H120" s="13"/>
      <c r="I120" s="13"/>
      <c r="J120" s="13"/>
      <c r="K120" s="49">
        <v>4</v>
      </c>
      <c r="L120" s="6"/>
      <c r="M120" s="6"/>
      <c r="O120" s="6"/>
      <c r="P120" s="6"/>
      <c r="Q120" s="6"/>
      <c r="S120" s="6"/>
      <c r="T120" s="6"/>
      <c r="U120" s="6"/>
      <c r="V120" s="6"/>
      <c r="W120" s="6"/>
      <c r="X120" s="6"/>
      <c r="Y120" s="6"/>
      <c r="Z120" s="6"/>
      <c r="AA120" s="6"/>
      <c r="AB120" s="6"/>
      <c r="AC120" s="6"/>
    </row>
    <row r="121" spans="1:29" s="5" customFormat="1" x14ac:dyDescent="0.25">
      <c r="A121" s="4">
        <v>93</v>
      </c>
      <c r="B121" s="52" t="s">
        <v>185</v>
      </c>
      <c r="C121" s="13"/>
      <c r="D121" s="13"/>
      <c r="E121" s="13"/>
      <c r="F121" s="13"/>
      <c r="G121" s="13"/>
      <c r="H121" s="13"/>
      <c r="I121" s="13"/>
      <c r="J121" s="13"/>
      <c r="K121" s="49">
        <v>1</v>
      </c>
      <c r="L121" s="6"/>
      <c r="M121" s="6"/>
      <c r="O121" s="6"/>
      <c r="P121" s="6"/>
      <c r="Q121" s="6"/>
      <c r="S121" s="6"/>
      <c r="T121" s="6"/>
      <c r="U121" s="6"/>
      <c r="V121" s="6"/>
      <c r="W121" s="6"/>
      <c r="X121" s="6"/>
      <c r="Y121" s="6"/>
      <c r="Z121" s="6"/>
      <c r="AA121" s="6"/>
      <c r="AB121" s="6"/>
      <c r="AC121" s="6"/>
    </row>
    <row r="122" spans="1:29" s="5" customFormat="1" x14ac:dyDescent="0.25">
      <c r="A122" s="4">
        <v>94</v>
      </c>
      <c r="B122" s="52" t="s">
        <v>186</v>
      </c>
      <c r="C122" s="13"/>
      <c r="D122" s="13"/>
      <c r="E122" s="13"/>
      <c r="F122" s="13"/>
      <c r="G122" s="13"/>
      <c r="H122" s="13"/>
      <c r="I122" s="13"/>
      <c r="J122" s="13"/>
      <c r="K122" s="49">
        <v>2</v>
      </c>
      <c r="L122" s="6"/>
      <c r="M122" s="6"/>
      <c r="O122" s="6"/>
      <c r="P122" s="6"/>
      <c r="Q122" s="6"/>
      <c r="S122" s="6"/>
      <c r="T122" s="6"/>
      <c r="U122" s="6"/>
      <c r="V122" s="6"/>
      <c r="W122" s="6"/>
      <c r="X122" s="6"/>
      <c r="Y122" s="6"/>
      <c r="Z122" s="6"/>
      <c r="AA122" s="6"/>
      <c r="AB122" s="6"/>
      <c r="AC122" s="6"/>
    </row>
    <row r="123" spans="1:29" s="5" customFormat="1" x14ac:dyDescent="0.25">
      <c r="A123" s="4">
        <v>95</v>
      </c>
      <c r="B123" s="52" t="s">
        <v>187</v>
      </c>
      <c r="C123" s="13"/>
      <c r="D123" s="13"/>
      <c r="E123" s="13"/>
      <c r="F123" s="13"/>
      <c r="G123" s="13"/>
      <c r="H123" s="13"/>
      <c r="I123" s="13"/>
      <c r="J123" s="13"/>
      <c r="K123" s="49">
        <v>3</v>
      </c>
      <c r="L123" s="6"/>
      <c r="M123" s="6"/>
      <c r="O123" s="6"/>
      <c r="P123" s="6"/>
      <c r="Q123" s="6"/>
      <c r="S123" s="6"/>
      <c r="T123" s="6"/>
      <c r="U123" s="6"/>
      <c r="V123" s="6"/>
      <c r="W123" s="6"/>
      <c r="X123" s="6"/>
      <c r="Y123" s="6"/>
      <c r="Z123" s="6"/>
      <c r="AA123" s="6"/>
      <c r="AB123" s="6"/>
      <c r="AC123" s="6"/>
    </row>
    <row r="124" spans="1:29" s="5" customFormat="1" x14ac:dyDescent="0.25">
      <c r="A124" s="4">
        <v>96</v>
      </c>
      <c r="B124" s="52" t="s">
        <v>188</v>
      </c>
      <c r="C124" s="13"/>
      <c r="D124" s="13"/>
      <c r="E124" s="13"/>
      <c r="F124" s="13"/>
      <c r="G124" s="13"/>
      <c r="H124" s="13"/>
      <c r="I124" s="13"/>
      <c r="J124" s="13"/>
      <c r="K124" s="49">
        <v>4</v>
      </c>
      <c r="L124" s="6"/>
      <c r="M124" s="6"/>
      <c r="O124" s="6"/>
      <c r="P124" s="6"/>
      <c r="Q124" s="6"/>
      <c r="S124" s="6"/>
      <c r="T124" s="6"/>
      <c r="U124" s="6"/>
      <c r="V124" s="6"/>
      <c r="W124" s="6"/>
      <c r="X124" s="6"/>
      <c r="Y124" s="6"/>
      <c r="Z124" s="6"/>
      <c r="AA124" s="6"/>
      <c r="AB124" s="6"/>
      <c r="AC124" s="6"/>
    </row>
    <row r="125" spans="1:29" s="5" customFormat="1" x14ac:dyDescent="0.25">
      <c r="A125" s="4">
        <v>97</v>
      </c>
      <c r="B125" s="52" t="s">
        <v>189</v>
      </c>
      <c r="C125" s="13"/>
      <c r="D125" s="13"/>
      <c r="E125" s="13"/>
      <c r="F125" s="13"/>
      <c r="G125" s="13"/>
      <c r="H125" s="13"/>
      <c r="I125" s="13"/>
      <c r="J125" s="13"/>
      <c r="K125" s="49">
        <v>1</v>
      </c>
      <c r="L125" s="6"/>
      <c r="M125" s="6"/>
      <c r="O125" s="6"/>
      <c r="P125" s="6"/>
      <c r="Q125" s="6"/>
      <c r="S125" s="6"/>
      <c r="T125" s="6"/>
      <c r="U125" s="6"/>
      <c r="V125" s="6"/>
      <c r="W125" s="6"/>
      <c r="X125" s="6"/>
      <c r="Y125" s="6"/>
      <c r="Z125" s="6"/>
      <c r="AA125" s="6"/>
      <c r="AB125" s="6"/>
      <c r="AC125" s="6"/>
    </row>
    <row r="126" spans="1:29" s="5" customFormat="1" x14ac:dyDescent="0.25">
      <c r="A126" s="4">
        <v>98</v>
      </c>
      <c r="B126" s="52" t="s">
        <v>210</v>
      </c>
      <c r="C126" s="13"/>
      <c r="D126" s="13"/>
      <c r="E126" s="13"/>
      <c r="F126" s="13"/>
      <c r="G126" s="13"/>
      <c r="H126" s="13"/>
      <c r="I126" s="13"/>
      <c r="J126" s="13"/>
      <c r="K126" s="49">
        <v>2</v>
      </c>
      <c r="L126" s="6"/>
      <c r="M126" s="6"/>
      <c r="O126" s="6"/>
      <c r="P126" s="6"/>
      <c r="Q126" s="6"/>
      <c r="S126" s="6"/>
      <c r="T126" s="6"/>
      <c r="U126" s="6"/>
      <c r="V126" s="6"/>
      <c r="W126" s="6"/>
      <c r="X126" s="6"/>
      <c r="Y126" s="6"/>
      <c r="Z126" s="6"/>
      <c r="AA126" s="6"/>
      <c r="AB126" s="6"/>
      <c r="AC126" s="6"/>
    </row>
    <row r="127" spans="1:29" s="5" customFormat="1" x14ac:dyDescent="0.25">
      <c r="A127" s="4">
        <v>99</v>
      </c>
      <c r="B127" s="52" t="s">
        <v>190</v>
      </c>
      <c r="C127" s="13"/>
      <c r="D127" s="13"/>
      <c r="E127" s="13"/>
      <c r="F127" s="13"/>
      <c r="G127" s="13"/>
      <c r="H127" s="13"/>
      <c r="I127" s="13"/>
      <c r="J127" s="13"/>
      <c r="K127" s="49">
        <v>3</v>
      </c>
      <c r="L127" s="6"/>
      <c r="M127" s="6"/>
      <c r="O127" s="6"/>
      <c r="P127" s="6"/>
      <c r="Q127" s="6"/>
      <c r="S127" s="6"/>
      <c r="T127" s="6"/>
      <c r="U127" s="6"/>
      <c r="V127" s="6"/>
      <c r="W127" s="6"/>
      <c r="X127" s="6"/>
      <c r="Y127" s="6"/>
      <c r="Z127" s="6"/>
      <c r="AA127" s="6"/>
      <c r="AB127" s="6"/>
      <c r="AC127" s="6"/>
    </row>
    <row r="128" spans="1:29" s="5" customFormat="1" x14ac:dyDescent="0.25">
      <c r="A128" s="4">
        <v>100</v>
      </c>
      <c r="B128" s="52" t="s">
        <v>191</v>
      </c>
      <c r="C128" s="13"/>
      <c r="D128" s="13"/>
      <c r="E128" s="13"/>
      <c r="F128" s="13"/>
      <c r="G128" s="13"/>
      <c r="H128" s="13"/>
      <c r="I128" s="13"/>
      <c r="J128" s="13"/>
      <c r="K128" s="49">
        <v>4</v>
      </c>
      <c r="L128" s="6"/>
      <c r="M128" s="6"/>
      <c r="O128" s="6"/>
      <c r="P128" s="6"/>
      <c r="Q128" s="6"/>
      <c r="S128" s="6"/>
      <c r="T128" s="6"/>
      <c r="U128" s="6"/>
      <c r="V128" s="6"/>
      <c r="W128" s="6"/>
      <c r="X128" s="6"/>
      <c r="Y128" s="6"/>
      <c r="Z128" s="6"/>
      <c r="AA128" s="6"/>
      <c r="AB128" s="6"/>
      <c r="AC128" s="6"/>
    </row>
    <row r="129" spans="1:29" s="5" customFormat="1" x14ac:dyDescent="0.25">
      <c r="A129" s="4">
        <v>101</v>
      </c>
      <c r="B129" s="52" t="s">
        <v>192</v>
      </c>
      <c r="C129" s="13"/>
      <c r="D129" s="13"/>
      <c r="E129" s="13"/>
      <c r="F129" s="13"/>
      <c r="G129" s="13"/>
      <c r="H129" s="13"/>
      <c r="I129" s="13"/>
      <c r="J129" s="13"/>
      <c r="K129" s="49">
        <v>1</v>
      </c>
      <c r="L129" s="6"/>
      <c r="M129" s="6"/>
      <c r="O129" s="6"/>
      <c r="P129" s="6"/>
      <c r="Q129" s="6"/>
      <c r="S129" s="6"/>
      <c r="T129" s="6"/>
      <c r="U129" s="6"/>
      <c r="V129" s="6"/>
      <c r="W129" s="6"/>
      <c r="X129" s="6"/>
      <c r="Y129" s="6"/>
      <c r="Z129" s="6"/>
      <c r="AA129" s="6"/>
      <c r="AB129" s="6"/>
      <c r="AC129" s="6"/>
    </row>
    <row r="130" spans="1:29" s="5" customFormat="1" x14ac:dyDescent="0.25">
      <c r="A130" s="4">
        <v>102</v>
      </c>
      <c r="B130" s="52" t="s">
        <v>193</v>
      </c>
      <c r="C130" s="13"/>
      <c r="D130" s="13"/>
      <c r="E130" s="13"/>
      <c r="F130" s="13"/>
      <c r="G130" s="13"/>
      <c r="H130" s="13"/>
      <c r="I130" s="13"/>
      <c r="J130" s="13"/>
      <c r="K130" s="49">
        <v>2</v>
      </c>
      <c r="L130" s="6"/>
      <c r="M130" s="6"/>
      <c r="O130" s="6"/>
      <c r="P130" s="6"/>
      <c r="Q130" s="6"/>
      <c r="S130" s="6"/>
      <c r="T130" s="6"/>
      <c r="U130" s="6"/>
      <c r="V130" s="6"/>
      <c r="W130" s="6"/>
      <c r="X130" s="6"/>
      <c r="Y130" s="6"/>
      <c r="Z130" s="6"/>
      <c r="AA130" s="6"/>
      <c r="AB130" s="6"/>
      <c r="AC130" s="6"/>
    </row>
    <row r="131" spans="1:29" s="5" customFormat="1" x14ac:dyDescent="0.25">
      <c r="A131" s="4">
        <v>103</v>
      </c>
      <c r="B131" s="52" t="s">
        <v>194</v>
      </c>
      <c r="C131" s="13"/>
      <c r="D131" s="13"/>
      <c r="E131" s="13"/>
      <c r="F131" s="13"/>
      <c r="G131" s="13"/>
      <c r="H131" s="13"/>
      <c r="I131" s="13"/>
      <c r="J131" s="13"/>
      <c r="K131" s="49">
        <v>3</v>
      </c>
      <c r="L131" s="6"/>
      <c r="M131" s="6"/>
      <c r="O131" s="6"/>
      <c r="P131" s="6"/>
      <c r="Q131" s="6"/>
      <c r="S131" s="6"/>
      <c r="T131" s="6"/>
      <c r="U131" s="6"/>
      <c r="V131" s="6"/>
      <c r="W131" s="6"/>
      <c r="X131" s="6"/>
      <c r="Y131" s="6"/>
      <c r="Z131" s="6"/>
      <c r="AA131" s="6"/>
      <c r="AB131" s="6"/>
      <c r="AC131" s="6"/>
    </row>
    <row r="132" spans="1:29" s="5" customFormat="1" x14ac:dyDescent="0.25">
      <c r="A132" s="4">
        <v>104</v>
      </c>
      <c r="B132" s="52" t="s">
        <v>195</v>
      </c>
      <c r="C132" s="13"/>
      <c r="D132" s="13"/>
      <c r="E132" s="13"/>
      <c r="F132" s="13"/>
      <c r="G132" s="13"/>
      <c r="H132" s="13"/>
      <c r="I132" s="13"/>
      <c r="J132" s="13"/>
      <c r="K132" s="51">
        <v>4</v>
      </c>
      <c r="L132" s="6"/>
      <c r="M132" s="6"/>
      <c r="O132" s="6"/>
      <c r="P132" s="6"/>
      <c r="Q132" s="6"/>
      <c r="S132" s="6"/>
      <c r="T132" s="6"/>
      <c r="U132" s="6"/>
      <c r="V132" s="6"/>
      <c r="W132" s="6"/>
      <c r="X132" s="6"/>
      <c r="Y132" s="6"/>
      <c r="Z132" s="6"/>
      <c r="AA132" s="6"/>
      <c r="AB132" s="6"/>
      <c r="AC132" s="6"/>
    </row>
    <row r="133" spans="1:29" s="5" customFormat="1" x14ac:dyDescent="0.25">
      <c r="A133" s="4">
        <v>105</v>
      </c>
      <c r="B133" s="52" t="s">
        <v>196</v>
      </c>
      <c r="C133" s="13"/>
      <c r="D133" s="13"/>
      <c r="E133" s="13"/>
      <c r="F133" s="13"/>
      <c r="G133" s="13"/>
      <c r="H133" s="13"/>
      <c r="I133" s="13"/>
      <c r="J133" s="13"/>
      <c r="K133" s="51">
        <v>1</v>
      </c>
      <c r="L133" s="6"/>
      <c r="M133" s="6"/>
      <c r="O133" s="6"/>
      <c r="P133" s="6"/>
      <c r="Q133" s="6"/>
      <c r="S133" s="6"/>
      <c r="T133" s="6"/>
      <c r="U133" s="6"/>
      <c r="V133" s="6"/>
      <c r="W133" s="6"/>
      <c r="X133" s="6"/>
      <c r="Y133" s="6"/>
      <c r="Z133" s="6"/>
      <c r="AA133" s="6"/>
      <c r="AB133" s="6"/>
      <c r="AC133" s="6"/>
    </row>
    <row r="134" spans="1:29" s="5" customFormat="1" x14ac:dyDescent="0.25">
      <c r="A134" s="4">
        <v>106</v>
      </c>
      <c r="B134" s="52" t="s">
        <v>197</v>
      </c>
      <c r="C134" s="13"/>
      <c r="D134" s="13"/>
      <c r="E134" s="13"/>
      <c r="F134" s="13"/>
      <c r="G134" s="13"/>
      <c r="H134" s="13"/>
      <c r="I134" s="13"/>
      <c r="J134" s="13"/>
      <c r="K134" s="51">
        <v>2</v>
      </c>
      <c r="L134" s="6"/>
      <c r="M134" s="6"/>
      <c r="O134" s="6"/>
      <c r="P134" s="6"/>
      <c r="Q134" s="6"/>
      <c r="S134" s="6"/>
      <c r="T134" s="6"/>
      <c r="U134" s="6"/>
      <c r="V134" s="6"/>
      <c r="W134" s="6"/>
      <c r="X134" s="6"/>
      <c r="Y134" s="6"/>
      <c r="Z134" s="6"/>
      <c r="AA134" s="6"/>
      <c r="AB134" s="6"/>
      <c r="AC134" s="6"/>
    </row>
    <row r="135" spans="1:29" s="5" customFormat="1" x14ac:dyDescent="0.25">
      <c r="A135" s="4">
        <v>107</v>
      </c>
      <c r="B135" s="52" t="s">
        <v>198</v>
      </c>
      <c r="C135" s="13"/>
      <c r="D135" s="13"/>
      <c r="E135" s="13"/>
      <c r="F135" s="13"/>
      <c r="G135" s="13"/>
      <c r="H135" s="13"/>
      <c r="I135" s="13"/>
      <c r="J135" s="13"/>
      <c r="K135" s="51">
        <v>3</v>
      </c>
      <c r="L135" s="6"/>
      <c r="M135" s="6"/>
      <c r="O135" s="6"/>
      <c r="P135" s="6"/>
      <c r="Q135" s="6"/>
      <c r="S135" s="6"/>
      <c r="T135" s="6"/>
      <c r="U135" s="6"/>
      <c r="V135" s="6"/>
      <c r="W135" s="6"/>
      <c r="X135" s="6"/>
      <c r="Y135" s="6"/>
      <c r="Z135" s="6"/>
      <c r="AA135" s="6"/>
      <c r="AB135" s="6"/>
      <c r="AC135" s="6"/>
    </row>
    <row r="136" spans="1:29" s="5" customFormat="1" x14ac:dyDescent="0.25">
      <c r="A136" s="4">
        <v>108</v>
      </c>
      <c r="B136" s="52" t="s">
        <v>199</v>
      </c>
      <c r="C136" s="13"/>
      <c r="D136" s="13"/>
      <c r="E136" s="13"/>
      <c r="F136" s="13"/>
      <c r="G136" s="13"/>
      <c r="H136" s="13"/>
      <c r="I136" s="13"/>
      <c r="J136" s="13"/>
      <c r="K136" s="51">
        <v>4</v>
      </c>
      <c r="L136" s="6"/>
      <c r="M136" s="6"/>
      <c r="O136" s="6"/>
      <c r="P136" s="6"/>
      <c r="Q136" s="6"/>
      <c r="S136" s="6"/>
      <c r="T136" s="6"/>
      <c r="U136" s="6"/>
      <c r="V136" s="6"/>
      <c r="W136" s="6"/>
      <c r="X136" s="6"/>
      <c r="Y136" s="6"/>
      <c r="Z136" s="6"/>
      <c r="AA136" s="6"/>
      <c r="AB136" s="6"/>
      <c r="AC136" s="6"/>
    </row>
    <row r="137" spans="1:29" s="5" customFormat="1" x14ac:dyDescent="0.25">
      <c r="A137" s="4">
        <v>109</v>
      </c>
      <c r="B137" s="52" t="s">
        <v>200</v>
      </c>
      <c r="C137" s="13"/>
      <c r="D137" s="13"/>
      <c r="E137" s="13"/>
      <c r="F137" s="13"/>
      <c r="G137" s="13"/>
      <c r="H137" s="13"/>
      <c r="I137" s="13"/>
      <c r="J137" s="13"/>
      <c r="K137" s="51">
        <v>1</v>
      </c>
      <c r="L137" s="6"/>
      <c r="M137" s="6"/>
      <c r="O137" s="6"/>
      <c r="P137" s="6"/>
      <c r="Q137" s="6"/>
      <c r="S137" s="6"/>
      <c r="T137" s="6"/>
      <c r="U137" s="6"/>
      <c r="V137" s="6"/>
      <c r="W137" s="6"/>
      <c r="X137" s="6"/>
      <c r="Y137" s="6"/>
      <c r="Z137" s="6"/>
      <c r="AA137" s="6"/>
      <c r="AB137" s="6"/>
      <c r="AC137" s="6"/>
    </row>
    <row r="138" spans="1:29" s="5" customFormat="1" x14ac:dyDescent="0.25">
      <c r="A138" s="4">
        <v>110</v>
      </c>
      <c r="B138" s="52" t="s">
        <v>201</v>
      </c>
      <c r="C138" s="13"/>
      <c r="D138" s="13"/>
      <c r="E138" s="13"/>
      <c r="F138" s="13"/>
      <c r="G138" s="13"/>
      <c r="H138" s="13"/>
      <c r="I138" s="13"/>
      <c r="J138" s="13"/>
      <c r="K138" s="51">
        <v>2</v>
      </c>
      <c r="L138" s="6"/>
      <c r="M138" s="6"/>
      <c r="O138" s="6"/>
      <c r="P138" s="6"/>
      <c r="Q138" s="6"/>
      <c r="S138" s="6"/>
      <c r="T138" s="6"/>
      <c r="U138" s="6"/>
      <c r="V138" s="6"/>
      <c r="W138" s="6"/>
      <c r="X138" s="6"/>
      <c r="Y138" s="6"/>
      <c r="Z138" s="6"/>
      <c r="AA138" s="6"/>
      <c r="AB138" s="6"/>
      <c r="AC138" s="6"/>
    </row>
    <row r="139" spans="1:29" s="5" customFormat="1" x14ac:dyDescent="0.25">
      <c r="A139" s="4">
        <v>111</v>
      </c>
      <c r="B139" s="52" t="s">
        <v>202</v>
      </c>
      <c r="C139" s="13"/>
      <c r="D139" s="13"/>
      <c r="E139" s="13"/>
      <c r="F139" s="13"/>
      <c r="G139" s="13"/>
      <c r="H139" s="13"/>
      <c r="I139" s="13"/>
      <c r="J139" s="13"/>
      <c r="K139" s="51">
        <v>3</v>
      </c>
      <c r="L139" s="6"/>
      <c r="M139" s="6"/>
      <c r="O139" s="6"/>
      <c r="P139" s="6"/>
      <c r="Q139" s="6"/>
      <c r="S139" s="6"/>
      <c r="T139" s="6"/>
      <c r="U139" s="6"/>
      <c r="V139" s="6"/>
      <c r="W139" s="6"/>
      <c r="X139" s="6"/>
      <c r="Y139" s="6"/>
      <c r="Z139" s="6"/>
      <c r="AA139" s="6"/>
      <c r="AB139" s="6"/>
      <c r="AC139" s="6"/>
    </row>
    <row r="140" spans="1:29" s="5" customFormat="1" x14ac:dyDescent="0.25">
      <c r="A140" s="4">
        <v>112</v>
      </c>
      <c r="B140" s="52" t="s">
        <v>209</v>
      </c>
      <c r="C140" s="13"/>
      <c r="D140" s="13"/>
      <c r="E140" s="13"/>
      <c r="F140" s="13"/>
      <c r="G140" s="13"/>
      <c r="H140" s="13"/>
      <c r="I140" s="13"/>
      <c r="J140" s="13"/>
      <c r="K140" s="51">
        <v>4</v>
      </c>
      <c r="L140" s="6"/>
      <c r="M140" s="6"/>
      <c r="O140" s="6"/>
      <c r="P140" s="6"/>
      <c r="Q140" s="6"/>
      <c r="S140" s="6"/>
      <c r="T140" s="6"/>
      <c r="U140" s="6"/>
      <c r="V140" s="6"/>
      <c r="W140" s="6"/>
      <c r="X140" s="6"/>
      <c r="Y140" s="6"/>
      <c r="Z140" s="6"/>
      <c r="AA140" s="6"/>
      <c r="AB140" s="6"/>
      <c r="AC140" s="6"/>
    </row>
    <row r="141" spans="1:29" s="5" customFormat="1" x14ac:dyDescent="0.25">
      <c r="A141" s="4">
        <v>113</v>
      </c>
      <c r="B141" s="52" t="s">
        <v>203</v>
      </c>
      <c r="C141" s="13"/>
      <c r="D141" s="13"/>
      <c r="E141" s="13"/>
      <c r="F141" s="13"/>
      <c r="G141" s="13"/>
      <c r="H141" s="13"/>
      <c r="I141" s="13"/>
      <c r="J141" s="13"/>
      <c r="K141" s="51">
        <v>1</v>
      </c>
      <c r="L141" s="6"/>
      <c r="M141" s="6"/>
      <c r="O141" s="6"/>
      <c r="P141" s="6"/>
      <c r="Q141" s="6"/>
      <c r="S141" s="6"/>
      <c r="T141" s="6"/>
      <c r="U141" s="6"/>
      <c r="V141" s="6"/>
      <c r="W141" s="6"/>
      <c r="X141" s="6"/>
      <c r="Y141" s="6"/>
      <c r="Z141" s="6"/>
      <c r="AA141" s="6"/>
      <c r="AB141" s="6"/>
      <c r="AC141" s="6"/>
    </row>
    <row r="142" spans="1:29" s="5" customFormat="1" x14ac:dyDescent="0.25">
      <c r="A142" s="4">
        <v>114</v>
      </c>
      <c r="B142" s="52" t="s">
        <v>208</v>
      </c>
      <c r="C142" s="13"/>
      <c r="D142" s="13"/>
      <c r="E142" s="13"/>
      <c r="F142" s="13"/>
      <c r="G142" s="13"/>
      <c r="H142" s="13"/>
      <c r="I142" s="13"/>
      <c r="J142" s="13"/>
      <c r="K142" s="51">
        <v>2</v>
      </c>
      <c r="L142" s="6"/>
      <c r="M142" s="6"/>
      <c r="O142" s="6"/>
      <c r="P142" s="6"/>
      <c r="Q142" s="6"/>
      <c r="S142" s="6"/>
      <c r="T142" s="6"/>
      <c r="U142" s="6"/>
      <c r="V142" s="6"/>
      <c r="W142" s="6"/>
      <c r="X142" s="6"/>
      <c r="Y142" s="6"/>
      <c r="Z142" s="6"/>
      <c r="AA142" s="6"/>
      <c r="AB142" s="6"/>
      <c r="AC142" s="6"/>
    </row>
    <row r="143" spans="1:29" s="5" customFormat="1" x14ac:dyDescent="0.25">
      <c r="A143" s="4">
        <v>115</v>
      </c>
      <c r="B143" s="52" t="s">
        <v>204</v>
      </c>
      <c r="C143" s="13"/>
      <c r="D143" s="13"/>
      <c r="E143" s="13"/>
      <c r="F143" s="13"/>
      <c r="G143" s="13"/>
      <c r="H143" s="13"/>
      <c r="I143" s="13"/>
      <c r="J143" s="13"/>
      <c r="K143" s="51">
        <v>3</v>
      </c>
      <c r="L143" s="6"/>
      <c r="M143" s="6"/>
      <c r="O143" s="6"/>
      <c r="P143" s="6"/>
      <c r="Q143" s="6"/>
      <c r="S143" s="6"/>
      <c r="T143" s="6"/>
      <c r="U143" s="6"/>
      <c r="V143" s="6"/>
      <c r="W143" s="6"/>
      <c r="X143" s="6"/>
      <c r="Y143" s="6"/>
      <c r="Z143" s="6"/>
      <c r="AA143" s="6"/>
      <c r="AB143" s="6"/>
      <c r="AC143" s="6"/>
    </row>
    <row r="144" spans="1:29" s="5" customFormat="1" x14ac:dyDescent="0.25">
      <c r="A144" s="4">
        <v>116</v>
      </c>
      <c r="B144" s="52" t="s">
        <v>205</v>
      </c>
      <c r="C144" s="13"/>
      <c r="D144" s="13"/>
      <c r="E144" s="13"/>
      <c r="F144" s="13"/>
      <c r="G144" s="13"/>
      <c r="H144" s="13"/>
      <c r="I144" s="13"/>
      <c r="J144" s="13"/>
      <c r="K144" s="51">
        <v>4</v>
      </c>
      <c r="L144" s="6"/>
      <c r="M144" s="6"/>
      <c r="O144" s="6"/>
      <c r="P144" s="6"/>
      <c r="Q144" s="6"/>
      <c r="S144" s="6"/>
      <c r="T144" s="6"/>
      <c r="U144" s="6"/>
      <c r="V144" s="6"/>
      <c r="W144" s="6"/>
      <c r="X144" s="6"/>
      <c r="Y144" s="6"/>
      <c r="Z144" s="6"/>
      <c r="AA144" s="6"/>
      <c r="AB144" s="6"/>
      <c r="AC144" s="6"/>
    </row>
    <row r="145" spans="1:29" s="5" customFormat="1" x14ac:dyDescent="0.25">
      <c r="A145" s="4">
        <v>117</v>
      </c>
      <c r="B145" s="52" t="s">
        <v>206</v>
      </c>
      <c r="C145" s="13"/>
      <c r="D145" s="13"/>
      <c r="E145" s="13"/>
      <c r="F145" s="13"/>
      <c r="G145" s="13"/>
      <c r="H145" s="13"/>
      <c r="I145" s="13"/>
      <c r="J145" s="13"/>
      <c r="K145" s="51">
        <v>1</v>
      </c>
      <c r="L145" s="6"/>
      <c r="M145" s="6"/>
      <c r="O145" s="6"/>
      <c r="P145" s="6"/>
      <c r="Q145" s="6"/>
      <c r="S145" s="6"/>
      <c r="T145" s="6"/>
      <c r="U145" s="6"/>
      <c r="V145" s="6"/>
      <c r="W145" s="6"/>
      <c r="X145" s="6"/>
      <c r="Y145" s="6"/>
      <c r="Z145" s="6"/>
      <c r="AA145" s="6"/>
      <c r="AB145" s="6"/>
      <c r="AC145" s="6"/>
    </row>
    <row r="146" spans="1:29" s="5" customFormat="1" ht="15.75" thickBot="1" x14ac:dyDescent="0.3">
      <c r="A146" s="4">
        <v>118</v>
      </c>
      <c r="B146" s="52" t="s">
        <v>207</v>
      </c>
      <c r="C146" s="13"/>
      <c r="D146" s="13"/>
      <c r="E146" s="13"/>
      <c r="F146" s="13"/>
      <c r="G146" s="13"/>
      <c r="H146" s="13"/>
      <c r="I146" s="13"/>
      <c r="J146" s="13"/>
      <c r="K146" s="50">
        <v>2</v>
      </c>
      <c r="L146" s="6"/>
      <c r="M146" s="6"/>
      <c r="O146" s="6"/>
      <c r="P146" s="6"/>
      <c r="Q146" s="6"/>
      <c r="S146" s="6"/>
      <c r="T146" s="6"/>
      <c r="U146" s="6"/>
      <c r="V146" s="6"/>
      <c r="W146" s="6"/>
      <c r="X146" s="6"/>
      <c r="Y146" s="6"/>
      <c r="Z146" s="6"/>
      <c r="AA146" s="6"/>
      <c r="AB146" s="6"/>
      <c r="AC146" s="6"/>
    </row>
    <row r="147" spans="1:29" s="5" customFormat="1" x14ac:dyDescent="0.25">
      <c r="A147" s="4"/>
      <c r="B147" s="44"/>
      <c r="C147" s="15"/>
      <c r="D147" s="6"/>
      <c r="E147" s="15"/>
      <c r="G147" s="6"/>
      <c r="H147" s="6"/>
      <c r="I147" s="6"/>
      <c r="K147" s="6"/>
      <c r="L147" s="6"/>
      <c r="M147" s="6"/>
      <c r="O147" s="6"/>
      <c r="P147" s="6"/>
      <c r="Q147" s="6"/>
      <c r="S147" s="6"/>
      <c r="T147" s="6"/>
      <c r="U147" s="6"/>
      <c r="V147" s="6"/>
      <c r="W147" s="6"/>
      <c r="X147" s="6"/>
      <c r="Y147" s="6"/>
      <c r="Z147" s="6"/>
      <c r="AA147" s="6"/>
      <c r="AB147" s="6"/>
      <c r="AC147" s="6"/>
    </row>
    <row r="148" spans="1:29" s="5" customFormat="1" ht="64.5" customHeight="1" x14ac:dyDescent="0.25">
      <c r="A148" s="96" t="s">
        <v>300</v>
      </c>
      <c r="B148" s="96"/>
      <c r="C148" s="96"/>
      <c r="D148" s="96"/>
      <c r="E148" s="96"/>
      <c r="F148" s="96"/>
      <c r="G148" s="96"/>
      <c r="H148" s="96"/>
      <c r="I148" s="96"/>
      <c r="J148" s="96"/>
      <c r="K148" s="96"/>
      <c r="L148" s="96"/>
      <c r="M148" s="96"/>
      <c r="N148" s="96"/>
      <c r="O148" s="96"/>
      <c r="P148" s="96"/>
      <c r="Q148" s="96"/>
      <c r="S148" s="6"/>
      <c r="T148" s="6"/>
      <c r="U148" s="6"/>
      <c r="V148" s="6"/>
      <c r="W148" s="6"/>
      <c r="X148" s="6"/>
      <c r="Y148" s="6"/>
      <c r="Z148" s="6"/>
      <c r="AA148" s="6"/>
      <c r="AB148" s="6"/>
      <c r="AC148" s="6"/>
    </row>
  </sheetData>
  <sheetProtection selectLockedCells="1" selectUnlockedCells="1"/>
  <mergeCells count="13">
    <mergeCell ref="A148:Q148"/>
    <mergeCell ref="G2:I2"/>
    <mergeCell ref="H3:I3"/>
    <mergeCell ref="L3:M3"/>
    <mergeCell ref="P3:Q3"/>
    <mergeCell ref="K2:M2"/>
    <mergeCell ref="O2:Q2"/>
    <mergeCell ref="S2:U2"/>
    <mergeCell ref="W2:Y2"/>
    <mergeCell ref="AA2:AC2"/>
    <mergeCell ref="T3:U3"/>
    <mergeCell ref="X3:Y3"/>
    <mergeCell ref="AB3:AC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019E-6995-4072-9551-6F156580FD99}">
  <dimension ref="A1:Y42"/>
  <sheetViews>
    <sheetView topLeftCell="A8" zoomScale="130" zoomScaleNormal="130" workbookViewId="0">
      <selection activeCell="A26" sqref="A26:Q26"/>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680</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527</v>
      </c>
      <c r="B2" s="6"/>
      <c r="C2" s="15"/>
      <c r="D2" s="5"/>
      <c r="E2" s="15"/>
      <c r="F2" s="5"/>
      <c r="G2" s="97" t="s">
        <v>1</v>
      </c>
      <c r="H2" s="97"/>
      <c r="I2" s="97"/>
      <c r="J2" s="5"/>
      <c r="K2" s="97" t="s">
        <v>2</v>
      </c>
      <c r="L2" s="97"/>
      <c r="M2" s="97"/>
      <c r="N2" s="5"/>
      <c r="O2" s="97" t="s">
        <v>3</v>
      </c>
      <c r="P2" s="97"/>
      <c r="Q2" s="97"/>
    </row>
    <row r="3" spans="1:25" x14ac:dyDescent="0.25">
      <c r="A3" s="4"/>
      <c r="B3" s="6"/>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81</v>
      </c>
      <c r="B5" s="44" t="s">
        <v>786</v>
      </c>
      <c r="C5" s="15">
        <f>IF(COUNTBLANK($K$11:$K$24)=0,AVERAGE($K$11:$K$24),IF(ISNUMBER($E5),$E5,"?"))</f>
        <v>2</v>
      </c>
      <c r="D5" s="63"/>
      <c r="E5" s="32">
        <v>2</v>
      </c>
      <c r="F5" s="5"/>
      <c r="G5" s="20">
        <f>IF(C5="?","?",IF(E5="","?",44.3-EXP(-4.996*(E5-1.5))+11.18*E5))</f>
        <v>66.577750667099352</v>
      </c>
      <c r="H5" s="23">
        <f>IF(C5="?","?",IF(E5="","?",63.9+147.464*((E5-0.2)^-4.013-1)/-4.013))</f>
        <v>97.172745827737316</v>
      </c>
      <c r="I5" s="24">
        <f>IF(C5="?","?",IF(E5="","?",-9.9+(111.9/(1+EXP(-1.984*(E5-2.104))))))</f>
        <v>40.298142826217244</v>
      </c>
      <c r="J5" s="5"/>
      <c r="K5" s="20">
        <f>IF(C5="?","?",IF(E5="","?",44.3-EXP(-4.965*(E5-1.5))+11.186*E5))</f>
        <v>66.588465870992138</v>
      </c>
      <c r="L5" s="23">
        <f>IF(C5="?","?",IF(E5="","?",98.5-EXP(-4.15*(E5-2.1))))</f>
        <v>96.985629259307956</v>
      </c>
      <c r="M5" s="24">
        <f>IF(C5="?","?",IF(E5="","?",-5.8+(107/(1+EXP(-2.102*(E5-2.188))))))</f>
        <v>37.264494103658961</v>
      </c>
      <c r="N5" s="5"/>
      <c r="O5" s="20">
        <f>IF(C5="?","?",IF(E5="","?",65.5+11.915*LN(E5-0.9)))</f>
        <v>66.635620792368528</v>
      </c>
      <c r="P5" s="23">
        <f>IF(C5="?","?",IF(E5="","?",90.9+28.759*((E5-0.6)^-2.611-1)/-2.611))</f>
        <v>97.339179727626444</v>
      </c>
      <c r="Q5" s="24">
        <f>IF(C5="?","?",IF(E5="","?",47.8+(-48.537*E5+25.01*E5^2)/(1-0.905*E5+0.4083*E5^2)))</f>
        <v>51.403012633624883</v>
      </c>
    </row>
    <row r="6" spans="1:25" x14ac:dyDescent="0.25">
      <c r="A6" s="4" t="s">
        <v>691</v>
      </c>
      <c r="B6" s="44" t="s">
        <v>786</v>
      </c>
      <c r="C6" s="15">
        <f>IF(COUNTBLANK($K$11:$K$24)=0,AVERAGE($K$11,$K$12,$K$13,$K$14,$K$15,$K$17,$K$20),IF(ISNUMBER($E6),$E6,"?"))</f>
        <v>2</v>
      </c>
      <c r="D6" s="63"/>
      <c r="E6" s="33">
        <v>2</v>
      </c>
      <c r="F6" s="5"/>
      <c r="G6" s="21">
        <f>IF(C6="?","?",IF(E6="","?",63.2+13.593*LN(E6-0.8)))</f>
        <v>65.678296921500234</v>
      </c>
      <c r="H6" s="25">
        <f>IF(C6="?","?",IF(E6="","?",98.3-EXP(-4.425*(E6-2))))</f>
        <v>97.3</v>
      </c>
      <c r="I6" s="26">
        <f>IF(C6="?","?",IF(E6="","?",-22.2+(124.5/(1+EXP(-1.681*(E6-1.895))))))</f>
        <v>45.529499804384344</v>
      </c>
      <c r="J6" s="5"/>
      <c r="K6" s="21">
        <f>IF(C6="?","?",IF(E6="","?",62.9+13.249*LN(E6-0.8)))</f>
        <v>65.315578305963101</v>
      </c>
      <c r="L6" s="25">
        <f>IF(C6="?","?",IF(E6="","?",98.1-EXP(-4.295*(E6-2))))</f>
        <v>97.1</v>
      </c>
      <c r="M6" s="26">
        <f>IF(C6="?","?",IF(E6="","?",-20.3+(123.5/(1+EXP(-1.706*(E6-1.93))))))</f>
        <v>45.132716895914257</v>
      </c>
      <c r="N6" s="5"/>
      <c r="O6" s="21">
        <f>IF(C6="?","?",IF(E6="","?",63.9+12.757*LN(E6-0.8)))</f>
        <v>66.225876100020471</v>
      </c>
      <c r="P6" s="25">
        <f>IF(C6="?","?",IF(E6="","?",98.4-EXP(-4.656*(E6-2))))</f>
        <v>97.4</v>
      </c>
      <c r="Q6" s="26">
        <f>IF(C6="?","?",IF(E6="","?",10.4+(-32.245*E6+25.15*E6^2)/(1-0.5661*E6+0.277*E6^2)))</f>
        <v>47.405533920885425</v>
      </c>
    </row>
    <row r="7" spans="1:25" ht="15.75" thickBot="1" x14ac:dyDescent="0.3">
      <c r="A7" s="4" t="s">
        <v>692</v>
      </c>
      <c r="B7" s="44" t="s">
        <v>786</v>
      </c>
      <c r="C7" s="15">
        <f>IF(COUNTBLANK($K$11:$K$24)=0,AVERAGE($K$16,$K$18,$K$19,$K$21,$K$22,$K$23,$K$24),IF(ISNUMBER($E7),$E7,"?"))</f>
        <v>2</v>
      </c>
      <c r="D7" s="63"/>
      <c r="E7" s="53">
        <v>2</v>
      </c>
      <c r="F7" s="5"/>
      <c r="G7" s="22">
        <f>IF(C7="?","?",IF(E7="","?",46.9-EXP(-4.64*(E7-1.5))+8.614*E7))</f>
        <v>64.02972641439564</v>
      </c>
      <c r="H7" s="27">
        <f>IF(C7="?","?",IF(E7="","?",118.2+25.947*LN(E7-1)-11.91*E7))</f>
        <v>94.38</v>
      </c>
      <c r="I7" s="28">
        <f>IF(C7="?","?",IF(E7="","?",-17.8+(9.25*E7+5.786*E7^2)/(1-0.3465*E7+0.09457*E7^2)))</f>
        <v>42.969320569694133</v>
      </c>
      <c r="J7" s="5"/>
      <c r="K7" s="22">
        <f>IF(C7="?","?",IF(E7="","?",46.6-EXP(-4.476*(E7-1.6))+8.81*E7))</f>
        <v>64.053106601045798</v>
      </c>
      <c r="L7" s="27">
        <f>IF(C7="?","?",IF(E7="","?",98.2-EXP(-3.925*(E7-2.1))))</f>
        <v>96.719322134718965</v>
      </c>
      <c r="M7" s="28">
        <f>IF(C7="?","?",IF(E7="","?",-13.9+(7.533*E7+4.761*E7^2)/(1-0.3556*E7+0.08658*E7^2)))</f>
        <v>39.806386194734863</v>
      </c>
      <c r="N7" s="5"/>
      <c r="O7" s="22">
        <f>IF(C7="?","?",IF(E7="","?",69.1-EXP(-1.824*(E7-2.8))))</f>
        <v>64.797483861737788</v>
      </c>
      <c r="P7" s="27">
        <f>IF(C7="?","?",IF(E7="","?",93.8+15.232*LN(E7-1)))</f>
        <v>93.8</v>
      </c>
      <c r="Q7" s="28">
        <f>IF(C7="?","?",IF(E7="","?",-34.7+(136.7/(1+EXP(-1.713*(E7-1.617))))))</f>
        <v>55.30041489838392</v>
      </c>
    </row>
    <row r="8" spans="1:25" s="31" customFormat="1" ht="15.75" thickBot="1" x14ac:dyDescent="0.3">
      <c r="A8" s="29"/>
      <c r="B8" s="19"/>
      <c r="C8" s="34"/>
      <c r="D8" s="30"/>
      <c r="E8" s="34"/>
      <c r="F8" s="30"/>
      <c r="G8" s="19"/>
      <c r="H8" s="19"/>
      <c r="I8" s="19"/>
      <c r="J8" s="30"/>
      <c r="K8" s="19"/>
      <c r="L8" s="19"/>
      <c r="M8" s="19"/>
      <c r="N8" s="30"/>
      <c r="O8" s="19"/>
      <c r="P8" s="19"/>
      <c r="Q8" s="19"/>
      <c r="R8" s="30"/>
      <c r="S8" s="30"/>
      <c r="T8" s="30"/>
      <c r="U8" s="30"/>
      <c r="V8" s="30"/>
      <c r="W8" s="30"/>
      <c r="X8" s="30"/>
      <c r="Y8" s="30"/>
    </row>
    <row r="9" spans="1:25" s="5" customFormat="1" x14ac:dyDescent="0.25">
      <c r="A9" s="4"/>
      <c r="B9" s="6"/>
      <c r="C9" s="15"/>
      <c r="E9" s="15"/>
      <c r="G9" s="6"/>
      <c r="H9" s="6"/>
      <c r="I9" s="6"/>
      <c r="K9" s="6"/>
      <c r="L9" s="6"/>
      <c r="M9" s="6"/>
      <c r="O9" s="6"/>
      <c r="P9" s="6"/>
      <c r="Q9" s="6"/>
    </row>
    <row r="10" spans="1:25" s="5" customFormat="1" ht="16.5" thickBot="1" x14ac:dyDescent="0.3">
      <c r="A10" s="1" t="s">
        <v>15</v>
      </c>
      <c r="B10" s="2" t="s">
        <v>14</v>
      </c>
      <c r="C10" s="14"/>
      <c r="D10" s="2"/>
      <c r="E10" s="14"/>
      <c r="F10" s="3"/>
      <c r="G10" s="2"/>
      <c r="H10" s="2"/>
      <c r="I10" s="2"/>
      <c r="J10" s="3"/>
      <c r="K10" s="2" t="s">
        <v>36</v>
      </c>
      <c r="L10" s="2"/>
      <c r="M10" s="2"/>
      <c r="N10" s="3"/>
      <c r="O10" s="2"/>
      <c r="P10" s="2"/>
      <c r="Q10" s="2"/>
    </row>
    <row r="11" spans="1:25" s="5" customFormat="1" x14ac:dyDescent="0.25">
      <c r="A11" s="4">
        <v>1</v>
      </c>
      <c r="B11" s="13" t="s">
        <v>681</v>
      </c>
      <c r="C11" s="13"/>
      <c r="D11" s="13"/>
      <c r="E11" s="13"/>
      <c r="F11" s="13"/>
      <c r="G11" s="13"/>
      <c r="H11" s="13"/>
      <c r="I11" s="13"/>
      <c r="J11" s="13"/>
      <c r="K11" s="48">
        <v>2</v>
      </c>
      <c r="L11" s="6"/>
      <c r="M11" s="6"/>
      <c r="O11" s="6"/>
      <c r="P11" s="6"/>
      <c r="Q11" s="6"/>
    </row>
    <row r="12" spans="1:25" s="5" customFormat="1" x14ac:dyDescent="0.25">
      <c r="A12" s="4">
        <v>2</v>
      </c>
      <c r="B12" s="13" t="s">
        <v>483</v>
      </c>
      <c r="C12" s="13"/>
      <c r="D12" s="13"/>
      <c r="E12" s="13"/>
      <c r="F12" s="13"/>
      <c r="G12" s="13"/>
      <c r="H12" s="13"/>
      <c r="I12" s="13"/>
      <c r="J12" s="13"/>
      <c r="K12" s="49">
        <v>2</v>
      </c>
      <c r="L12" s="6"/>
      <c r="M12" s="6"/>
      <c r="O12" s="6"/>
      <c r="P12" s="6"/>
      <c r="Q12" s="6"/>
    </row>
    <row r="13" spans="1:25" s="5" customFormat="1" x14ac:dyDescent="0.25">
      <c r="A13" s="4">
        <v>3</v>
      </c>
      <c r="B13" s="13" t="s">
        <v>682</v>
      </c>
      <c r="C13" s="13"/>
      <c r="D13" s="13"/>
      <c r="E13" s="13"/>
      <c r="F13" s="13"/>
      <c r="G13" s="13"/>
      <c r="H13" s="13"/>
      <c r="I13" s="13"/>
      <c r="J13" s="13"/>
      <c r="K13" s="49">
        <v>2</v>
      </c>
      <c r="L13" s="6"/>
      <c r="M13" s="6"/>
      <c r="O13" s="6"/>
      <c r="P13" s="6"/>
      <c r="Q13" s="6"/>
    </row>
    <row r="14" spans="1:25" s="5" customFormat="1" x14ac:dyDescent="0.25">
      <c r="A14" s="4">
        <v>4</v>
      </c>
      <c r="B14" s="13" t="s">
        <v>683</v>
      </c>
      <c r="C14" s="13"/>
      <c r="D14" s="13"/>
      <c r="E14" s="13"/>
      <c r="F14" s="13"/>
      <c r="G14" s="13"/>
      <c r="H14" s="13"/>
      <c r="I14" s="13"/>
      <c r="J14" s="13"/>
      <c r="K14" s="49">
        <v>2</v>
      </c>
      <c r="L14" s="6"/>
      <c r="M14" s="6"/>
      <c r="O14" s="6"/>
      <c r="P14" s="6"/>
      <c r="Q14" s="6"/>
    </row>
    <row r="15" spans="1:25" s="5" customFormat="1" x14ac:dyDescent="0.25">
      <c r="A15" s="4">
        <v>5</v>
      </c>
      <c r="B15" s="13" t="s">
        <v>488</v>
      </c>
      <c r="C15" s="13"/>
      <c r="D15" s="13"/>
      <c r="E15" s="13"/>
      <c r="F15" s="13"/>
      <c r="G15" s="13"/>
      <c r="H15" s="13"/>
      <c r="I15" s="13"/>
      <c r="J15" s="13"/>
      <c r="K15" s="49">
        <v>2</v>
      </c>
      <c r="L15" s="6"/>
      <c r="M15" s="6"/>
      <c r="O15" s="6"/>
      <c r="P15" s="6"/>
      <c r="Q15" s="6"/>
    </row>
    <row r="16" spans="1:25" s="5" customFormat="1" x14ac:dyDescent="0.25">
      <c r="A16" s="4">
        <v>6</v>
      </c>
      <c r="B16" s="13" t="s">
        <v>684</v>
      </c>
      <c r="C16" s="13"/>
      <c r="D16" s="13"/>
      <c r="E16" s="13"/>
      <c r="F16" s="13"/>
      <c r="G16" s="13"/>
      <c r="H16" s="13"/>
      <c r="I16" s="13"/>
      <c r="J16" s="13"/>
      <c r="K16" s="49">
        <v>2</v>
      </c>
      <c r="L16" s="6"/>
      <c r="M16" s="6"/>
      <c r="O16" s="6"/>
      <c r="P16" s="6"/>
      <c r="Q16" s="6"/>
    </row>
    <row r="17" spans="1:17" s="5" customFormat="1" x14ac:dyDescent="0.25">
      <c r="A17" s="4">
        <v>7</v>
      </c>
      <c r="B17" s="13" t="s">
        <v>685</v>
      </c>
      <c r="C17" s="13"/>
      <c r="D17" s="13"/>
      <c r="E17" s="13"/>
      <c r="F17" s="13"/>
      <c r="G17" s="13"/>
      <c r="H17" s="13"/>
      <c r="I17" s="13"/>
      <c r="J17" s="13"/>
      <c r="K17" s="49">
        <v>2</v>
      </c>
      <c r="L17" s="6"/>
      <c r="M17" s="6"/>
      <c r="O17" s="6"/>
      <c r="P17" s="6"/>
      <c r="Q17" s="6"/>
    </row>
    <row r="18" spans="1:17" s="5" customFormat="1" x14ac:dyDescent="0.25">
      <c r="A18" s="4">
        <v>8</v>
      </c>
      <c r="B18" s="13" t="s">
        <v>686</v>
      </c>
      <c r="C18" s="13"/>
      <c r="D18" s="13"/>
      <c r="E18" s="13"/>
      <c r="F18" s="13"/>
      <c r="G18" s="13"/>
      <c r="H18" s="13"/>
      <c r="I18" s="13"/>
      <c r="J18" s="13"/>
      <c r="K18" s="49">
        <v>2</v>
      </c>
      <c r="L18" s="6"/>
      <c r="M18" s="6"/>
      <c r="O18" s="6"/>
      <c r="P18" s="6"/>
      <c r="Q18" s="6"/>
    </row>
    <row r="19" spans="1:17" s="5" customFormat="1" x14ac:dyDescent="0.25">
      <c r="A19" s="4">
        <v>9</v>
      </c>
      <c r="B19" s="13" t="s">
        <v>687</v>
      </c>
      <c r="C19" s="13"/>
      <c r="D19" s="13"/>
      <c r="E19" s="13"/>
      <c r="F19" s="13"/>
      <c r="G19" s="13"/>
      <c r="H19" s="13"/>
      <c r="I19" s="13"/>
      <c r="J19" s="13"/>
      <c r="K19" s="49">
        <v>2</v>
      </c>
      <c r="L19" s="6"/>
      <c r="M19" s="6"/>
      <c r="O19" s="6"/>
      <c r="P19" s="6"/>
      <c r="Q19" s="6"/>
    </row>
    <row r="20" spans="1:17" s="5" customFormat="1" x14ac:dyDescent="0.25">
      <c r="A20" s="4">
        <v>10</v>
      </c>
      <c r="B20" s="13" t="s">
        <v>688</v>
      </c>
      <c r="C20" s="13"/>
      <c r="D20" s="13"/>
      <c r="E20" s="13"/>
      <c r="F20" s="13"/>
      <c r="G20" s="13"/>
      <c r="H20" s="13"/>
      <c r="I20" s="13"/>
      <c r="J20" s="13"/>
      <c r="K20" s="49">
        <v>2</v>
      </c>
      <c r="L20" s="6"/>
      <c r="M20" s="6"/>
      <c r="O20" s="6"/>
      <c r="P20" s="6"/>
      <c r="Q20" s="6"/>
    </row>
    <row r="21" spans="1:17" s="5" customFormat="1" x14ac:dyDescent="0.25">
      <c r="A21" s="4">
        <v>11</v>
      </c>
      <c r="B21" s="13" t="s">
        <v>479</v>
      </c>
      <c r="C21" s="13"/>
      <c r="D21" s="13"/>
      <c r="E21" s="13"/>
      <c r="F21" s="13"/>
      <c r="G21" s="13"/>
      <c r="H21" s="13"/>
      <c r="I21" s="13"/>
      <c r="J21" s="13"/>
      <c r="K21" s="49">
        <v>2</v>
      </c>
      <c r="L21" s="6"/>
      <c r="M21" s="6"/>
      <c r="O21" s="6"/>
      <c r="P21" s="6"/>
      <c r="Q21" s="6"/>
    </row>
    <row r="22" spans="1:17" s="5" customFormat="1" x14ac:dyDescent="0.25">
      <c r="A22" s="4">
        <v>12</v>
      </c>
      <c r="B22" s="13" t="s">
        <v>484</v>
      </c>
      <c r="C22" s="13"/>
      <c r="D22" s="13"/>
      <c r="E22" s="13"/>
      <c r="F22" s="13"/>
      <c r="G22" s="13"/>
      <c r="H22" s="13"/>
      <c r="I22" s="13"/>
      <c r="J22" s="13"/>
      <c r="K22" s="49">
        <v>2</v>
      </c>
      <c r="L22" s="6"/>
      <c r="M22" s="6"/>
      <c r="O22" s="6"/>
      <c r="P22" s="6"/>
      <c r="Q22" s="6"/>
    </row>
    <row r="23" spans="1:17" s="5" customFormat="1" x14ac:dyDescent="0.25">
      <c r="A23" s="4">
        <v>13</v>
      </c>
      <c r="B23" s="13" t="s">
        <v>689</v>
      </c>
      <c r="C23" s="13"/>
      <c r="D23" s="13"/>
      <c r="E23" s="13"/>
      <c r="F23" s="13"/>
      <c r="G23" s="13"/>
      <c r="H23" s="13"/>
      <c r="I23" s="13"/>
      <c r="J23" s="13"/>
      <c r="K23" s="49">
        <v>2</v>
      </c>
      <c r="L23" s="6"/>
      <c r="M23" s="6"/>
      <c r="O23" s="6"/>
      <c r="P23" s="6"/>
      <c r="Q23" s="6"/>
    </row>
    <row r="24" spans="1:17" s="5" customFormat="1" ht="15.75" thickBot="1" x14ac:dyDescent="0.3">
      <c r="A24" s="4">
        <v>14</v>
      </c>
      <c r="B24" s="13" t="s">
        <v>690</v>
      </c>
      <c r="C24" s="13"/>
      <c r="D24" s="13"/>
      <c r="E24" s="13"/>
      <c r="F24" s="13"/>
      <c r="G24" s="13"/>
      <c r="H24" s="13"/>
      <c r="I24" s="13"/>
      <c r="J24" s="13"/>
      <c r="K24" s="50">
        <v>2</v>
      </c>
      <c r="L24" s="6"/>
      <c r="M24" s="6"/>
      <c r="O24" s="6"/>
      <c r="P24" s="6"/>
      <c r="Q24" s="6"/>
    </row>
    <row r="25" spans="1:17" s="5" customFormat="1" x14ac:dyDescent="0.25">
      <c r="A25" s="4"/>
      <c r="B25" s="6"/>
      <c r="C25" s="15"/>
      <c r="D25" s="6"/>
      <c r="E25" s="15"/>
      <c r="G25" s="6"/>
      <c r="H25" s="6"/>
      <c r="I25" s="6"/>
      <c r="K25" s="6"/>
      <c r="L25" s="6"/>
      <c r="M25" s="6"/>
      <c r="O25" s="6"/>
      <c r="P25" s="6"/>
      <c r="Q25" s="6"/>
    </row>
    <row r="26" spans="1:17" s="5" customFormat="1" ht="134.25" customHeight="1" x14ac:dyDescent="0.25">
      <c r="A26" s="96" t="s">
        <v>827</v>
      </c>
      <c r="B26" s="96"/>
      <c r="C26" s="96"/>
      <c r="D26" s="96"/>
      <c r="E26" s="96"/>
      <c r="F26" s="96"/>
      <c r="G26" s="96"/>
      <c r="H26" s="96"/>
      <c r="I26" s="96"/>
      <c r="J26" s="96"/>
      <c r="K26" s="96"/>
      <c r="L26" s="96"/>
      <c r="M26" s="96"/>
      <c r="N26" s="96"/>
      <c r="O26" s="96"/>
      <c r="P26" s="96"/>
      <c r="Q26" s="9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sheetData>
  <mergeCells count="7">
    <mergeCell ref="A26:Q26"/>
    <mergeCell ref="G2:I2"/>
    <mergeCell ref="K2:M2"/>
    <mergeCell ref="O2:Q2"/>
    <mergeCell ref="H3:I3"/>
    <mergeCell ref="L3:M3"/>
    <mergeCell ref="P3: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8C49-46AD-4DD2-943B-3E949C8036B2}">
  <dimension ref="A1:Y50"/>
  <sheetViews>
    <sheetView topLeftCell="A25" zoomScale="130" zoomScaleNormal="130" workbookViewId="0">
      <selection activeCell="A34" sqref="A34:Q34"/>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377</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266</v>
      </c>
      <c r="B2" s="6"/>
      <c r="C2" s="15"/>
      <c r="D2" s="5"/>
      <c r="E2" s="15"/>
      <c r="F2" s="5"/>
      <c r="G2" s="97" t="s">
        <v>1</v>
      </c>
      <c r="H2" s="97"/>
      <c r="I2" s="97"/>
      <c r="J2" s="5"/>
      <c r="K2" s="97" t="s">
        <v>2</v>
      </c>
      <c r="L2" s="97"/>
      <c r="M2" s="97"/>
      <c r="N2" s="5"/>
      <c r="O2" s="97" t="s">
        <v>3</v>
      </c>
      <c r="P2" s="97"/>
      <c r="Q2" s="97"/>
    </row>
    <row r="3" spans="1:25" x14ac:dyDescent="0.25">
      <c r="A3" s="4"/>
      <c r="B3" s="6"/>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378</v>
      </c>
      <c r="C5" s="37">
        <f>IF(COUNTBLANK($K$12:$K$32)=0,SUM($K$19:$K$39),IF(ISNUMBER($E5),$E5,"?"))</f>
        <v>14</v>
      </c>
      <c r="D5" s="5"/>
      <c r="E5" s="54">
        <v>14</v>
      </c>
      <c r="F5" s="5"/>
      <c r="G5" s="20">
        <f>IF(C5="?","?",IF(E5="","?",35.5+(3.79*E5-0.0162*E5^2)/(1+0.1234*E5-0.001352*E5^2)))</f>
        <v>55.756898377654913</v>
      </c>
      <c r="H5" s="23">
        <f>IF(C5="?","?",IF(E5="","?",3.2+(10.459*E5-0.006743*E5^2)/(1+0.0757*E5+0.0001899*E5^2)))</f>
        <v>72.395498527339072</v>
      </c>
      <c r="I5" s="24">
        <f>IF(C5="?","?",IF(E5="","?",0.4+(0.435*E5+0.0319*E5^2)/(1-0.029*E5+0.0005992*E5^2)))</f>
        <v>17.748398297994836</v>
      </c>
      <c r="J5" s="5"/>
      <c r="K5" s="20">
        <f>IF(C5="?","?",IF(E5="","?",35.4+(4.013*E5-0.0146*E5^2)/(1+0.1342*E5-0.001431*E5^2)))</f>
        <v>55.921074354083629</v>
      </c>
      <c r="L5" s="23">
        <f>IF(C5="?","?",IF(E5="","?",3.4+(11.735*E5+0.1726*E5^2)/(1+0.09484*E5+0.001942*E5^2)))</f>
        <v>76.550267760353762</v>
      </c>
      <c r="M5" s="24">
        <f>IF(C5="?","?",IF(E5="","?",-5.7+(107.7/(1+EXP(-0.1207*(E5-23.69))))))</f>
        <v>19.817400553269668</v>
      </c>
      <c r="N5" s="5"/>
      <c r="O5" s="20">
        <f>IF(C5="?","?",IF(E5="","?",35.2+(4.149*E5-0.001249*E5^2)/(1+0.1505*E5-0.001341*E5^2)))</f>
        <v>55.536800550179251</v>
      </c>
      <c r="P5" s="23">
        <f>IF(C5="?","?",IF(E5="","?",3.1+(9.349*E5-0.04781*E5^2)/(1+0.06242*E5-0.0002029*E5^2)))</f>
        <v>69.352915035268296</v>
      </c>
      <c r="Q5" s="24">
        <f>IF(C5="?","?",IF(E5="","?",0.3+(0.413*E5+0.02894*E5^2)/(1-0.02893*E5+0.0005644*E5^2)))</f>
        <v>16.533278118101638</v>
      </c>
    </row>
    <row r="6" spans="1:25" x14ac:dyDescent="0.25">
      <c r="A6" s="4" t="s">
        <v>70</v>
      </c>
      <c r="B6" s="6" t="s">
        <v>379</v>
      </c>
      <c r="C6" s="37">
        <f>IF(COUNTBLANK($K$12:$K$32)=0,SUM($K$14,$K$16,$K$17,$K$18,$K$19,$K$24,$K$25),IF(ISNUMBER($E6),$E6,"?"))</f>
        <v>7</v>
      </c>
      <c r="D6" s="5"/>
      <c r="E6" s="55">
        <v>7</v>
      </c>
      <c r="F6" s="5"/>
      <c r="G6" s="21">
        <f>IF(C6="?","?",IF(E6="","?",41.2+(8.674*E6-0.07746*E6^2)/(1+0.3665*E6-0.0113*E6^2)))</f>
        <v>60.099814064678931</v>
      </c>
      <c r="H6" s="25">
        <f>IF(C6="?","?",IF(E6="","?",9.9+(47.784*E6)/(1+0.48*E6)))</f>
        <v>86.617431192660561</v>
      </c>
      <c r="I6" s="26">
        <f>IF(C6="?","?",IF(E6="","?",1.3+(4.789*E6+0.003118*E6^2)/(1-0.04314*E6+0.00214*E6^2)))</f>
        <v>43.243730071741723</v>
      </c>
      <c r="J6" s="5"/>
      <c r="K6" s="21">
        <f>IF(C6="?","?",IF(E6="","?",41.2+(8.463*E6-0.1106*E6^2)/(1+0.3407*E6-0.01115*E6^2)))</f>
        <v>60.160948371527716</v>
      </c>
      <c r="L6" s="25">
        <f>IF(C6="?","?",IF(E6="","?",10.2+(58.931*E6)/(1+0.6*E6)))</f>
        <v>89.530192307692303</v>
      </c>
      <c r="M6" s="26">
        <f>IF(C6="?","?",IF(E6="","?",1.6+(5.229*E6+0.04308*E6^2)/(1-0.0428*E6+0.002753*E6^2)))</f>
        <v>47.947490772743116</v>
      </c>
      <c r="N6" s="5"/>
      <c r="O6" s="21">
        <f>IF(C6="?","?",IF(E6="","?",41.2+(8.717*E6-0.06413*E6^2)/(1+0.3748*E6-0.01131*E6^2)))</f>
        <v>60.055946256772479</v>
      </c>
      <c r="P6" s="25">
        <f>IF(C6="?","?",IF(E6="","?",32+28.931*LN(E6+0.4)-0.951*E6))</f>
        <v>83.247817886079119</v>
      </c>
      <c r="Q6" s="26">
        <f>IF(C6="?","?",IF(E6="","?",1.2+(4.587*E6-0.02703*E6^2)/(1-0.04496*E6+0.00182*E6^2)))</f>
        <v>40.94967073832089</v>
      </c>
    </row>
    <row r="7" spans="1:25" x14ac:dyDescent="0.25">
      <c r="A7" s="4" t="s">
        <v>69</v>
      </c>
      <c r="B7" s="6" t="s">
        <v>380</v>
      </c>
      <c r="C7" s="37">
        <f>IF(COUNTBLANK($K$12:$K$32)=0,SUM($K$21,$K$22,$K$26,$K$27,$K$28,$K$29,$K$30,$K$31,$K$32),IF(ISNUMBER($E7),$E7,"?"))</f>
        <v>9</v>
      </c>
      <c r="D7" s="5"/>
      <c r="E7" s="55">
        <v>9</v>
      </c>
      <c r="F7" s="5"/>
      <c r="G7" s="21">
        <f>IF(C7="?","?",IF(E7="","?",36.1+(5.567*E7-0.0216*E7^2)/(1+0.1889*E7-0.004443*E7^2)))</f>
        <v>56.761930068878229</v>
      </c>
      <c r="H7" s="25">
        <f>IF(C7="?","?",IF(E7="","?",95.6-0.509*(E7-42.4)+SINH((E7-42.4)/7.816)))</f>
        <v>76.729062319797464</v>
      </c>
      <c r="I7" s="26">
        <f>IF(C7="?","?",IF(E7="","?",0.5+(0.819*E7+0.122*E7^2)/(1-0.06911*E7+0.002725*E7^2)))</f>
        <v>29.315753213024124</v>
      </c>
      <c r="J7" s="5"/>
      <c r="K7" s="21">
        <f>IF(C7="?","?",IF(E7="","?",36.2+(5.343*E7-0.04935*E7^2)/(1+0.161*E7-0.004153*E7^2)))</f>
        <v>57.069783163645681</v>
      </c>
      <c r="L7" s="25">
        <f>IF(C7="?","?",IF(E7="","?",101.6-EXP(-0.174*(E7-26.3))))</f>
        <v>81.30854218899897</v>
      </c>
      <c r="M7" s="26">
        <f>IF(C7="?","?",IF(E7="","?",0.6+(1.061*E7+0.1558*E7^2)/(1-0.06792*E7+0.003116*E7^2)))</f>
        <v>35.178453821149368</v>
      </c>
      <c r="N7" s="5"/>
      <c r="O7" s="21">
        <f>IF(C7="?","?",IF(E7="","?",36.1+(5.653*E7-0.001855*E7^2)/(1+0.2042*E7-0.004526*E7^2)))</f>
        <v>56.627220849516469</v>
      </c>
      <c r="P7" s="25">
        <f>IF(C7="?","?",IF(E7="","?",74.1-1.16*(E7-57.5)+SINH((E7-57.5)/10.23)))</f>
        <v>73.092425955928675</v>
      </c>
      <c r="Q7" s="26">
        <f>IF(C7="?","?",IF(E7="","?",0.5+(0.667*E7+0.1097*E7^2)/(1-0.07063*E7+0.002599*E7^2)))</f>
        <v>26.400192920227745</v>
      </c>
    </row>
    <row r="8" spans="1:25" ht="15.75" thickBot="1" x14ac:dyDescent="0.3">
      <c r="A8" s="4" t="s">
        <v>381</v>
      </c>
      <c r="B8" s="6" t="s">
        <v>382</v>
      </c>
      <c r="C8" s="37">
        <f>IF(COUNTBLANK($K$12:$K$32)=0,SUM($K$12,$K$13,$K$15,$K$20,$K$23),IF(ISNUMBER($E8),$E8,"?"))</f>
        <v>5</v>
      </c>
      <c r="D8" s="38"/>
      <c r="E8" s="39">
        <v>5</v>
      </c>
      <c r="F8" s="5"/>
      <c r="G8" s="22">
        <f>IF(C8="?","?",IF(E8="","?",41.8+(9.859*E8+0.05078*E8^2)/(1+0.3936*E8-0.013*E8^2)))</f>
        <v>60.931479379492998</v>
      </c>
      <c r="H8" s="27">
        <f>IF(C8="?","?",IF(E8="","?",97.3+0.063*(E8-10.6)+SINH((E8-10.6)/2.058)))</f>
        <v>89.381674526540223</v>
      </c>
      <c r="I8" s="28">
        <f>IF(C8="?","?",IF(E8="","?",2+(4.337*E8+0.7993*E8^2)/(1-0.06902*E8+0.01127*E8^2)))</f>
        <v>46.485667004750979</v>
      </c>
      <c r="J8" s="5"/>
      <c r="K8" s="22">
        <f>IF(C8="?","?",IF(E8="","?",41.8+(9.839*E8+0.1306*E8^2)/(1+0.4124*E8-0.01223*E8^2)))</f>
        <v>60.833106575963718</v>
      </c>
      <c r="L8" s="27">
        <f>IF(C8="?","?",IF(E8="","?",98.5-EXP(-0.477*(E8-9.3))))</f>
        <v>90.723549501172471</v>
      </c>
      <c r="M8" s="28">
        <f>IF(C8="?","?",IF(E8="","?",2+(3.607*E8+0.7249*E8^2)/(1-0.08115*E8+0.01082*E8^2)))</f>
        <v>43.81266261925412</v>
      </c>
      <c r="N8" s="5"/>
      <c r="O8" s="22">
        <f>IF(C8="?","?",IF(E8="","?",41.8+(9.923*E8+0.005729*E8^2)/(1+0.386*E8-0.01355*E8^2)))</f>
        <v>61.002402315484801</v>
      </c>
      <c r="P8" s="27">
        <f>IF(C8="?","?",IF(E8="","?",97.4+0.116*(E8-10.6)+SINH((E8-10.6)/2.073)))</f>
        <v>89.333674718640054</v>
      </c>
      <c r="Q8" s="28">
        <f>IF(C8="?","?",IF(E8="","?",2+(4.724*E8+0.857*E8^2)/(1-0.06173*E8+0.01164*E8^2)))</f>
        <v>47.854328905176359</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383</v>
      </c>
      <c r="C12" s="13"/>
      <c r="D12" s="13"/>
      <c r="E12" s="13"/>
      <c r="F12" s="13"/>
      <c r="G12" s="13"/>
      <c r="H12" s="13"/>
      <c r="I12" s="13"/>
      <c r="J12" s="13"/>
      <c r="K12" s="48">
        <v>1</v>
      </c>
      <c r="L12" s="6"/>
      <c r="M12" s="6"/>
      <c r="O12" s="6"/>
      <c r="P12" s="6"/>
      <c r="Q12" s="6"/>
    </row>
    <row r="13" spans="1:25" s="5" customFormat="1" x14ac:dyDescent="0.25">
      <c r="A13" s="4">
        <v>2</v>
      </c>
      <c r="B13" s="13" t="s">
        <v>384</v>
      </c>
      <c r="C13" s="13"/>
      <c r="D13" s="13"/>
      <c r="E13" s="13"/>
      <c r="F13" s="13"/>
      <c r="G13" s="13"/>
      <c r="H13" s="13"/>
      <c r="I13" s="13"/>
      <c r="J13" s="13"/>
      <c r="K13" s="49">
        <v>1</v>
      </c>
      <c r="L13" s="6"/>
      <c r="M13" s="6"/>
      <c r="O13" s="6"/>
      <c r="P13" s="6"/>
      <c r="Q13" s="6"/>
    </row>
    <row r="14" spans="1:25" s="5" customFormat="1" x14ac:dyDescent="0.25">
      <c r="A14" s="4">
        <v>3</v>
      </c>
      <c r="B14" s="13" t="s">
        <v>385</v>
      </c>
      <c r="C14" s="13"/>
      <c r="D14" s="13"/>
      <c r="E14" s="13"/>
      <c r="F14" s="13"/>
      <c r="G14" s="13"/>
      <c r="H14" s="13"/>
      <c r="I14" s="13"/>
      <c r="J14" s="13"/>
      <c r="K14" s="49">
        <v>1</v>
      </c>
      <c r="L14" s="6"/>
      <c r="M14" s="6"/>
      <c r="O14" s="6"/>
      <c r="P14" s="6"/>
      <c r="Q14" s="6"/>
    </row>
    <row r="15" spans="1:25" s="5" customFormat="1" x14ac:dyDescent="0.25">
      <c r="A15" s="4">
        <v>4</v>
      </c>
      <c r="B15" s="13" t="s">
        <v>386</v>
      </c>
      <c r="C15" s="13"/>
      <c r="D15" s="13"/>
      <c r="E15" s="13"/>
      <c r="F15" s="13"/>
      <c r="G15" s="13"/>
      <c r="H15" s="13"/>
      <c r="I15" s="13"/>
      <c r="J15" s="13"/>
      <c r="K15" s="49">
        <v>1</v>
      </c>
      <c r="L15" s="6"/>
      <c r="M15" s="6"/>
      <c r="O15" s="6"/>
      <c r="P15" s="6"/>
      <c r="Q15" s="6"/>
    </row>
    <row r="16" spans="1:25" s="5" customFormat="1" x14ac:dyDescent="0.25">
      <c r="A16" s="4">
        <v>5</v>
      </c>
      <c r="B16" s="13" t="s">
        <v>388</v>
      </c>
      <c r="C16" s="13"/>
      <c r="D16" s="13"/>
      <c r="E16" s="13"/>
      <c r="F16" s="13"/>
      <c r="G16" s="13"/>
      <c r="H16" s="13"/>
      <c r="I16" s="13"/>
      <c r="J16" s="13"/>
      <c r="K16" s="49">
        <v>1</v>
      </c>
      <c r="L16" s="6"/>
      <c r="M16" s="6"/>
      <c r="O16" s="6"/>
      <c r="P16" s="6"/>
      <c r="Q16" s="6"/>
    </row>
    <row r="17" spans="1:17" s="5" customFormat="1" x14ac:dyDescent="0.25">
      <c r="A17" s="4">
        <v>6</v>
      </c>
      <c r="B17" s="13" t="s">
        <v>387</v>
      </c>
      <c r="C17" s="13"/>
      <c r="D17" s="13"/>
      <c r="E17" s="13"/>
      <c r="F17" s="13"/>
      <c r="G17" s="13"/>
      <c r="H17" s="13"/>
      <c r="I17" s="13"/>
      <c r="J17" s="13"/>
      <c r="K17" s="49">
        <v>1</v>
      </c>
      <c r="L17" s="6"/>
      <c r="M17" s="6"/>
      <c r="O17" s="6"/>
      <c r="P17" s="6"/>
      <c r="Q17" s="6"/>
    </row>
    <row r="18" spans="1:17" s="5" customFormat="1" x14ac:dyDescent="0.25">
      <c r="A18" s="4">
        <v>7</v>
      </c>
      <c r="B18" s="13" t="s">
        <v>389</v>
      </c>
      <c r="C18" s="13"/>
      <c r="D18" s="13"/>
      <c r="E18" s="13"/>
      <c r="F18" s="13"/>
      <c r="G18" s="13"/>
      <c r="H18" s="13"/>
      <c r="I18" s="13"/>
      <c r="J18" s="13"/>
      <c r="K18" s="49">
        <v>1</v>
      </c>
      <c r="L18" s="6"/>
      <c r="M18" s="6"/>
      <c r="O18" s="6"/>
      <c r="P18" s="6"/>
      <c r="Q18" s="6"/>
    </row>
    <row r="19" spans="1:17" s="5" customFormat="1" x14ac:dyDescent="0.25">
      <c r="A19" s="4">
        <v>8</v>
      </c>
      <c r="B19" s="13" t="s">
        <v>390</v>
      </c>
      <c r="C19" s="13"/>
      <c r="D19" s="13"/>
      <c r="E19" s="13"/>
      <c r="F19" s="13"/>
      <c r="G19" s="13"/>
      <c r="H19" s="13"/>
      <c r="I19" s="13"/>
      <c r="J19" s="13"/>
      <c r="K19" s="49">
        <v>1</v>
      </c>
      <c r="L19" s="6"/>
      <c r="M19" s="6"/>
      <c r="O19" s="6"/>
      <c r="P19" s="6"/>
      <c r="Q19" s="6"/>
    </row>
    <row r="20" spans="1:17" s="5" customFormat="1" x14ac:dyDescent="0.25">
      <c r="A20" s="4">
        <v>9</v>
      </c>
      <c r="B20" s="13" t="s">
        <v>391</v>
      </c>
      <c r="C20" s="13"/>
      <c r="D20" s="13"/>
      <c r="E20" s="13"/>
      <c r="F20" s="13"/>
      <c r="G20" s="13"/>
      <c r="H20" s="13"/>
      <c r="I20" s="13"/>
      <c r="J20" s="13"/>
      <c r="K20" s="49">
        <v>1</v>
      </c>
      <c r="L20" s="6"/>
      <c r="M20" s="6"/>
      <c r="O20" s="6"/>
      <c r="P20" s="6"/>
      <c r="Q20" s="6"/>
    </row>
    <row r="21" spans="1:17" s="5" customFormat="1" x14ac:dyDescent="0.25">
      <c r="A21" s="4">
        <v>10</v>
      </c>
      <c r="B21" s="13" t="s">
        <v>392</v>
      </c>
      <c r="C21" s="13"/>
      <c r="D21" s="13"/>
      <c r="E21" s="13"/>
      <c r="F21" s="13"/>
      <c r="G21" s="13"/>
      <c r="H21" s="13"/>
      <c r="I21" s="13"/>
      <c r="J21" s="13"/>
      <c r="K21" s="49">
        <v>1</v>
      </c>
      <c r="L21" s="6"/>
      <c r="M21" s="6"/>
      <c r="O21" s="6"/>
      <c r="P21" s="6"/>
      <c r="Q21" s="6"/>
    </row>
    <row r="22" spans="1:17" s="5" customFormat="1" x14ac:dyDescent="0.25">
      <c r="A22" s="4">
        <v>11</v>
      </c>
      <c r="B22" s="13" t="s">
        <v>393</v>
      </c>
      <c r="C22" s="13"/>
      <c r="D22" s="13"/>
      <c r="E22" s="13"/>
      <c r="F22" s="13"/>
      <c r="G22" s="13"/>
      <c r="H22" s="13"/>
      <c r="I22" s="13"/>
      <c r="J22" s="13"/>
      <c r="K22" s="49">
        <v>1</v>
      </c>
      <c r="L22" s="6"/>
      <c r="M22" s="6"/>
      <c r="O22" s="6"/>
      <c r="P22" s="6"/>
      <c r="Q22" s="6"/>
    </row>
    <row r="23" spans="1:17" s="5" customFormat="1" x14ac:dyDescent="0.25">
      <c r="A23" s="4">
        <v>12</v>
      </c>
      <c r="B23" s="13" t="s">
        <v>394</v>
      </c>
      <c r="C23" s="13"/>
      <c r="D23" s="13"/>
      <c r="E23" s="13"/>
      <c r="F23" s="13"/>
      <c r="G23" s="13"/>
      <c r="H23" s="13"/>
      <c r="I23" s="13"/>
      <c r="J23" s="13"/>
      <c r="K23" s="49">
        <v>1</v>
      </c>
      <c r="L23" s="6"/>
      <c r="M23" s="6"/>
      <c r="O23" s="6"/>
      <c r="P23" s="6"/>
      <c r="Q23" s="6"/>
    </row>
    <row r="24" spans="1:17" s="5" customFormat="1" x14ac:dyDescent="0.25">
      <c r="A24" s="4">
        <v>13</v>
      </c>
      <c r="B24" s="13" t="s">
        <v>395</v>
      </c>
      <c r="C24" s="13"/>
      <c r="D24" s="13"/>
      <c r="E24" s="13"/>
      <c r="F24" s="13"/>
      <c r="G24" s="13"/>
      <c r="H24" s="13"/>
      <c r="I24" s="13"/>
      <c r="J24" s="13"/>
      <c r="K24" s="49">
        <v>1</v>
      </c>
      <c r="L24" s="6"/>
      <c r="M24" s="6"/>
      <c r="O24" s="6"/>
      <c r="P24" s="6"/>
      <c r="Q24" s="6"/>
    </row>
    <row r="25" spans="1:17" s="5" customFormat="1" x14ac:dyDescent="0.25">
      <c r="A25" s="4">
        <v>14</v>
      </c>
      <c r="B25" s="13" t="s">
        <v>396</v>
      </c>
      <c r="C25" s="13"/>
      <c r="D25" s="13"/>
      <c r="E25" s="13"/>
      <c r="F25" s="13"/>
      <c r="G25" s="13"/>
      <c r="H25" s="13"/>
      <c r="I25" s="13"/>
      <c r="J25" s="13"/>
      <c r="K25" s="49">
        <v>1</v>
      </c>
      <c r="L25" s="6"/>
      <c r="M25" s="6"/>
      <c r="O25" s="6"/>
      <c r="P25" s="6"/>
      <c r="Q25" s="6"/>
    </row>
    <row r="26" spans="1:17" s="5" customFormat="1" x14ac:dyDescent="0.25">
      <c r="A26" s="4">
        <v>15</v>
      </c>
      <c r="B26" s="13" t="s">
        <v>397</v>
      </c>
      <c r="C26" s="13"/>
      <c r="D26" s="13"/>
      <c r="E26" s="13"/>
      <c r="F26" s="13"/>
      <c r="G26" s="13"/>
      <c r="H26" s="13"/>
      <c r="I26" s="13"/>
      <c r="J26" s="13"/>
      <c r="K26" s="49">
        <v>1</v>
      </c>
      <c r="L26" s="6"/>
      <c r="M26" s="6"/>
      <c r="O26" s="6"/>
      <c r="P26" s="6"/>
      <c r="Q26" s="6"/>
    </row>
    <row r="27" spans="1:17" s="5" customFormat="1" x14ac:dyDescent="0.25">
      <c r="A27" s="4">
        <v>16</v>
      </c>
      <c r="B27" s="13" t="s">
        <v>398</v>
      </c>
      <c r="C27" s="13"/>
      <c r="D27" s="13"/>
      <c r="E27" s="13"/>
      <c r="F27" s="13"/>
      <c r="G27" s="13"/>
      <c r="H27" s="13"/>
      <c r="I27" s="13"/>
      <c r="J27" s="13"/>
      <c r="K27" s="49">
        <v>1</v>
      </c>
      <c r="L27" s="6"/>
      <c r="M27" s="6"/>
      <c r="O27" s="6"/>
      <c r="P27" s="6"/>
      <c r="Q27" s="6"/>
    </row>
    <row r="28" spans="1:17" s="5" customFormat="1" x14ac:dyDescent="0.25">
      <c r="A28" s="4">
        <v>17</v>
      </c>
      <c r="B28" s="13" t="s">
        <v>399</v>
      </c>
      <c r="C28" s="13"/>
      <c r="D28" s="13"/>
      <c r="E28" s="13"/>
      <c r="F28" s="13"/>
      <c r="G28" s="13"/>
      <c r="H28" s="13"/>
      <c r="I28" s="13"/>
      <c r="J28" s="13"/>
      <c r="K28" s="49">
        <v>1</v>
      </c>
      <c r="L28" s="6"/>
      <c r="M28" s="6"/>
      <c r="O28" s="6"/>
      <c r="P28" s="6"/>
      <c r="Q28" s="6"/>
    </row>
    <row r="29" spans="1:17" s="5" customFormat="1" x14ac:dyDescent="0.25">
      <c r="A29" s="4">
        <v>18</v>
      </c>
      <c r="B29" s="13" t="s">
        <v>400</v>
      </c>
      <c r="C29" s="13"/>
      <c r="D29" s="13"/>
      <c r="E29" s="13"/>
      <c r="F29" s="13"/>
      <c r="G29" s="13"/>
      <c r="H29" s="13"/>
      <c r="I29" s="13"/>
      <c r="J29" s="13"/>
      <c r="K29" s="49">
        <v>1</v>
      </c>
      <c r="L29" s="6"/>
      <c r="M29" s="6"/>
      <c r="O29" s="6"/>
      <c r="P29" s="6"/>
      <c r="Q29" s="6"/>
    </row>
    <row r="30" spans="1:17" s="5" customFormat="1" x14ac:dyDescent="0.25">
      <c r="A30" s="4">
        <v>19</v>
      </c>
      <c r="B30" s="13" t="s">
        <v>403</v>
      </c>
      <c r="C30" s="13"/>
      <c r="D30" s="13"/>
      <c r="E30" s="13"/>
      <c r="F30" s="13"/>
      <c r="G30" s="13"/>
      <c r="H30" s="13"/>
      <c r="I30" s="13"/>
      <c r="J30" s="13"/>
      <c r="K30" s="49">
        <v>1</v>
      </c>
      <c r="L30" s="6"/>
      <c r="M30" s="6"/>
      <c r="O30" s="6"/>
      <c r="P30" s="6"/>
      <c r="Q30" s="6"/>
    </row>
    <row r="31" spans="1:17" s="5" customFormat="1" x14ac:dyDescent="0.25">
      <c r="A31" s="4">
        <v>20</v>
      </c>
      <c r="B31" s="13" t="s">
        <v>402</v>
      </c>
      <c r="C31" s="13"/>
      <c r="D31" s="13"/>
      <c r="E31" s="13"/>
      <c r="F31" s="13"/>
      <c r="G31" s="13"/>
      <c r="H31" s="13"/>
      <c r="I31" s="13"/>
      <c r="J31" s="13"/>
      <c r="K31" s="49">
        <v>1</v>
      </c>
      <c r="L31" s="6"/>
      <c r="M31" s="6"/>
      <c r="O31" s="6"/>
      <c r="P31" s="6"/>
      <c r="Q31" s="6"/>
    </row>
    <row r="32" spans="1:17" s="5" customFormat="1" ht="15.75" thickBot="1" x14ac:dyDescent="0.3">
      <c r="A32" s="4">
        <v>21</v>
      </c>
      <c r="B32" s="13" t="s">
        <v>401</v>
      </c>
      <c r="C32" s="13"/>
      <c r="D32" s="13"/>
      <c r="E32" s="13"/>
      <c r="F32" s="13"/>
      <c r="G32" s="13"/>
      <c r="H32" s="13"/>
      <c r="I32" s="13"/>
      <c r="J32" s="13"/>
      <c r="K32" s="50">
        <v>1</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134.25" customHeight="1" x14ac:dyDescent="0.25">
      <c r="A34" s="96" t="s">
        <v>828</v>
      </c>
      <c r="B34" s="96"/>
      <c r="C34" s="96"/>
      <c r="D34" s="96"/>
      <c r="E34" s="96"/>
      <c r="F34" s="96"/>
      <c r="G34" s="96"/>
      <c r="H34" s="96"/>
      <c r="I34" s="96"/>
      <c r="J34" s="96"/>
      <c r="K34" s="96"/>
      <c r="L34" s="96"/>
      <c r="M34" s="96"/>
      <c r="N34" s="96"/>
      <c r="O34" s="96"/>
      <c r="P34" s="96"/>
      <c r="Q34" s="96"/>
    </row>
    <row r="35" spans="1:17" x14ac:dyDescent="0.25">
      <c r="A35" s="4"/>
      <c r="B35" s="6"/>
      <c r="C35" s="15"/>
      <c r="D35" s="5"/>
      <c r="E35" s="15"/>
      <c r="F35" s="5"/>
      <c r="G35" s="6"/>
      <c r="H35" s="6"/>
      <c r="I35" s="6"/>
      <c r="J35" s="5"/>
      <c r="K35" s="6"/>
      <c r="L35" s="6"/>
      <c r="M35" s="6"/>
      <c r="N35" s="5"/>
      <c r="O35" s="6"/>
      <c r="P35" s="6"/>
      <c r="Q35" s="6"/>
    </row>
    <row r="36" spans="1:17" x14ac:dyDescent="0.25">
      <c r="A36" s="4"/>
      <c r="B36" s="6"/>
      <c r="C36" s="15"/>
      <c r="D36" s="5"/>
      <c r="E36" s="15"/>
      <c r="F36" s="5"/>
      <c r="G36" s="6"/>
      <c r="H36" s="6"/>
      <c r="I36" s="6"/>
      <c r="J36" s="5"/>
      <c r="K36" s="6"/>
      <c r="L36" s="6"/>
      <c r="M36" s="6"/>
      <c r="N36" s="5"/>
      <c r="O36" s="6"/>
      <c r="P36" s="6"/>
      <c r="Q36" s="6"/>
    </row>
    <row r="37" spans="1:17" x14ac:dyDescent="0.25">
      <c r="A37" s="4"/>
      <c r="B37" s="6"/>
      <c r="C37" s="15"/>
      <c r="D37" s="5"/>
      <c r="E37" s="15"/>
      <c r="F37" s="5"/>
      <c r="G37" s="6"/>
      <c r="H37" s="6"/>
      <c r="I37" s="6"/>
      <c r="J37" s="5"/>
      <c r="K37" s="6"/>
      <c r="L37" s="6"/>
      <c r="M37" s="6"/>
      <c r="N37" s="5"/>
      <c r="O37" s="6"/>
      <c r="P37" s="6"/>
      <c r="Q37" s="6"/>
    </row>
    <row r="38" spans="1:17" x14ac:dyDescent="0.25">
      <c r="A38" s="4"/>
      <c r="B38" s="6"/>
      <c r="C38" s="15"/>
      <c r="D38" s="5"/>
      <c r="E38" s="15"/>
      <c r="F38" s="5"/>
      <c r="G38" s="6"/>
      <c r="H38" s="6"/>
      <c r="I38" s="6"/>
      <c r="J38" s="5"/>
      <c r="K38" s="6"/>
      <c r="L38" s="6"/>
      <c r="M38" s="6"/>
      <c r="N38" s="5"/>
      <c r="O38" s="6"/>
      <c r="P38" s="6"/>
      <c r="Q38" s="6"/>
    </row>
    <row r="39" spans="1:17" x14ac:dyDescent="0.25">
      <c r="A39" s="4"/>
      <c r="B39" s="6"/>
      <c r="C39" s="15"/>
      <c r="D39" s="5"/>
      <c r="E39" s="15"/>
      <c r="F39" s="5"/>
      <c r="G39" s="6"/>
      <c r="H39" s="6"/>
      <c r="I39" s="6"/>
      <c r="J39" s="5"/>
      <c r="K39" s="6"/>
      <c r="L39" s="6"/>
      <c r="M39" s="6"/>
      <c r="N39" s="5"/>
      <c r="O39" s="6"/>
      <c r="P39" s="6"/>
      <c r="Q39" s="6"/>
    </row>
    <row r="40" spans="1:17" x14ac:dyDescent="0.25">
      <c r="A40" s="4"/>
      <c r="B40" s="6"/>
      <c r="C40" s="15"/>
      <c r="D40" s="5"/>
      <c r="E40" s="15"/>
      <c r="F40" s="5"/>
      <c r="G40" s="6"/>
      <c r="H40" s="6"/>
      <c r="I40" s="6"/>
      <c r="J40" s="5"/>
      <c r="K40" s="6"/>
      <c r="L40" s="6"/>
      <c r="M40" s="6"/>
      <c r="N40" s="5"/>
      <c r="O40" s="6"/>
      <c r="P40" s="6"/>
      <c r="Q40" s="6"/>
    </row>
    <row r="41" spans="1:17" x14ac:dyDescent="0.25">
      <c r="A41" s="4"/>
      <c r="B41" s="6"/>
      <c r="C41" s="15"/>
      <c r="D41" s="5"/>
      <c r="E41" s="15"/>
      <c r="F41" s="5"/>
      <c r="G41" s="6"/>
      <c r="H41" s="6"/>
      <c r="I41" s="6"/>
      <c r="J41" s="5"/>
      <c r="K41" s="6"/>
      <c r="L41" s="6"/>
      <c r="M41" s="6"/>
      <c r="N41" s="5"/>
      <c r="O41" s="6"/>
      <c r="P41" s="6"/>
      <c r="Q41" s="6"/>
    </row>
    <row r="42" spans="1:17" x14ac:dyDescent="0.25">
      <c r="A42" s="4"/>
      <c r="B42" s="6"/>
      <c r="C42" s="15"/>
      <c r="D42" s="5"/>
      <c r="E42" s="15"/>
      <c r="F42" s="5"/>
      <c r="G42" s="6"/>
      <c r="H42" s="6"/>
      <c r="I42" s="6"/>
      <c r="J42" s="5"/>
      <c r="K42" s="6"/>
      <c r="L42" s="6"/>
      <c r="M42" s="6"/>
      <c r="N42" s="5"/>
      <c r="O42" s="6"/>
      <c r="P42" s="6"/>
      <c r="Q42" s="6"/>
    </row>
    <row r="43" spans="1:17" x14ac:dyDescent="0.25">
      <c r="A43" s="4"/>
      <c r="B43" s="6"/>
      <c r="C43" s="15"/>
      <c r="D43" s="5"/>
      <c r="E43" s="15"/>
      <c r="F43" s="5"/>
      <c r="G43" s="6"/>
      <c r="H43" s="6"/>
      <c r="I43" s="6"/>
      <c r="J43" s="5"/>
      <c r="K43" s="6"/>
      <c r="L43" s="6"/>
      <c r="M43" s="6"/>
      <c r="N43" s="5"/>
      <c r="O43" s="6"/>
      <c r="P43" s="6"/>
      <c r="Q43" s="6"/>
    </row>
    <row r="44" spans="1:17" x14ac:dyDescent="0.25">
      <c r="A44" s="4"/>
      <c r="B44" s="6"/>
      <c r="C44" s="15"/>
      <c r="D44" s="5"/>
      <c r="E44" s="15"/>
      <c r="F44" s="5"/>
      <c r="G44" s="6"/>
      <c r="H44" s="6"/>
      <c r="I44" s="6"/>
      <c r="J44" s="5"/>
      <c r="K44" s="6"/>
      <c r="L44" s="6"/>
      <c r="M44" s="6"/>
      <c r="N44" s="5"/>
      <c r="O44" s="6"/>
      <c r="P44" s="6"/>
      <c r="Q44" s="6"/>
    </row>
    <row r="45" spans="1:17" x14ac:dyDescent="0.25">
      <c r="A45" s="4"/>
      <c r="B45" s="6"/>
      <c r="C45" s="15"/>
      <c r="D45" s="5"/>
      <c r="E45" s="15"/>
      <c r="F45" s="5"/>
      <c r="G45" s="6"/>
      <c r="H45" s="6"/>
      <c r="I45" s="6"/>
      <c r="J45" s="5"/>
      <c r="K45" s="6"/>
      <c r="L45" s="6"/>
      <c r="M45" s="6"/>
      <c r="N45" s="5"/>
      <c r="O45" s="6"/>
      <c r="P45" s="6"/>
      <c r="Q45" s="6"/>
    </row>
    <row r="46" spans="1:17" x14ac:dyDescent="0.25">
      <c r="A46" s="4"/>
      <c r="B46" s="6"/>
      <c r="C46" s="15"/>
      <c r="D46" s="5"/>
      <c r="E46" s="15"/>
      <c r="F46" s="5"/>
      <c r="G46" s="6"/>
      <c r="H46" s="6"/>
      <c r="I46" s="6"/>
      <c r="J46" s="5"/>
      <c r="K46" s="6"/>
      <c r="L46" s="6"/>
      <c r="M46" s="6"/>
      <c r="N46" s="5"/>
      <c r="O46" s="6"/>
      <c r="P46" s="6"/>
      <c r="Q46" s="6"/>
    </row>
    <row r="47" spans="1:17" x14ac:dyDescent="0.25">
      <c r="A47" s="4"/>
      <c r="B47" s="6"/>
      <c r="C47" s="15"/>
      <c r="D47" s="5"/>
      <c r="E47" s="15"/>
      <c r="F47" s="5"/>
      <c r="G47" s="6"/>
      <c r="H47" s="6"/>
      <c r="I47" s="6"/>
      <c r="J47" s="5"/>
      <c r="K47" s="6"/>
      <c r="L47" s="6"/>
      <c r="M47" s="6"/>
      <c r="N47" s="5"/>
      <c r="O47" s="6"/>
      <c r="P47" s="6"/>
      <c r="Q47" s="6"/>
    </row>
    <row r="48" spans="1:17" x14ac:dyDescent="0.25">
      <c r="A48" s="4"/>
      <c r="B48" s="6"/>
      <c r="C48" s="15"/>
      <c r="D48" s="5"/>
      <c r="E48" s="15"/>
      <c r="F48" s="5"/>
      <c r="G48" s="6"/>
      <c r="H48" s="6"/>
      <c r="I48" s="6"/>
      <c r="J48" s="5"/>
      <c r="K48" s="6"/>
      <c r="L48" s="6"/>
      <c r="M48" s="6"/>
      <c r="N48" s="5"/>
      <c r="O48" s="6"/>
      <c r="P48" s="6"/>
      <c r="Q48" s="6"/>
    </row>
    <row r="49" spans="1:17" x14ac:dyDescent="0.25">
      <c r="A49" s="4"/>
      <c r="B49" s="6"/>
      <c r="C49" s="15"/>
      <c r="D49" s="5"/>
      <c r="E49" s="15"/>
      <c r="F49" s="5"/>
      <c r="G49" s="6"/>
      <c r="H49" s="6"/>
      <c r="I49" s="6"/>
      <c r="J49" s="5"/>
      <c r="K49" s="6"/>
      <c r="L49" s="6"/>
      <c r="M49" s="6"/>
      <c r="N49" s="5"/>
      <c r="O49" s="6"/>
      <c r="P49" s="6"/>
      <c r="Q49" s="6"/>
    </row>
    <row r="50" spans="1:17" x14ac:dyDescent="0.25">
      <c r="A50" s="4"/>
      <c r="B50" s="6"/>
      <c r="C50" s="15"/>
      <c r="D50" s="5"/>
      <c r="E50" s="15"/>
      <c r="F50" s="5"/>
      <c r="G50" s="6"/>
      <c r="H50" s="6"/>
      <c r="I50" s="6"/>
      <c r="J50" s="5"/>
      <c r="K50" s="6"/>
      <c r="L50" s="6"/>
      <c r="M50" s="6"/>
      <c r="N50" s="5"/>
      <c r="O50" s="6"/>
      <c r="P50" s="6"/>
      <c r="Q50" s="6"/>
    </row>
  </sheetData>
  <mergeCells count="7">
    <mergeCell ref="A34:Q34"/>
    <mergeCell ref="G2:I2"/>
    <mergeCell ref="K2:M2"/>
    <mergeCell ref="O2:Q2"/>
    <mergeCell ref="H3:I3"/>
    <mergeCell ref="L3:M3"/>
    <mergeCell ref="P3:Q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6F28-9824-4074-9C52-13E1DAB52E47}">
  <dimension ref="A1:AD32"/>
  <sheetViews>
    <sheetView zoomScale="148" zoomScaleNormal="148" workbookViewId="0">
      <selection activeCell="C16" sqref="C16"/>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533</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249</v>
      </c>
      <c r="B2" s="6"/>
      <c r="C2" s="15"/>
      <c r="D2" s="5"/>
      <c r="E2" s="15"/>
      <c r="F2" s="5"/>
      <c r="G2" s="97" t="s">
        <v>1</v>
      </c>
      <c r="H2" s="97"/>
      <c r="I2" s="97"/>
      <c r="J2" s="5"/>
      <c r="K2" s="97" t="s">
        <v>2</v>
      </c>
      <c r="L2" s="97"/>
      <c r="M2" s="97"/>
      <c r="N2" s="5"/>
      <c r="O2" s="97" t="s">
        <v>3</v>
      </c>
      <c r="P2" s="97"/>
      <c r="Q2" s="97"/>
    </row>
    <row r="3" spans="1:30" x14ac:dyDescent="0.25">
      <c r="A3" s="4"/>
      <c r="B3" s="6"/>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0" ht="15.75" thickBot="1" x14ac:dyDescent="0.3">
      <c r="A5" s="4" t="s">
        <v>4</v>
      </c>
      <c r="B5" s="6" t="s">
        <v>532</v>
      </c>
      <c r="C5" s="37">
        <f>IF(COUNTBLANK($K$9:$K$12)=0,SUM($K$9:$K$12),IF(ISNUMBER($E5),$E5,"?"))</f>
        <v>12</v>
      </c>
      <c r="D5" s="5"/>
      <c r="E5" s="59">
        <v>8</v>
      </c>
      <c r="F5" s="5"/>
      <c r="G5" s="40">
        <f>IF(C5="?","?",IF(E5="","?",38.5+(28.393*E5+0.7499*E5^2)/(1+1.369*E5-0.03254*E5^2)))</f>
        <v>66.377731664613194</v>
      </c>
      <c r="H5" s="41">
        <f>IF(C5="?","?",IF(E5="","?",6.3+(368.746*E5+1110*E5^2)/(1+19.31*E5+10.66*E5^2)))</f>
        <v>94.62302917442581</v>
      </c>
      <c r="I5" s="42">
        <f>IF(C5="?","?",IF(E5="","?",0.8+(-0.296*E5+0.1039*E5^2)/(1-0.1325*E5+0.005247*E5^2)))</f>
        <v>16.323842673163945</v>
      </c>
      <c r="J5" s="5"/>
      <c r="K5" s="40">
        <f>IF(C5="?","?",IF(E5="","?",39.7+(34.384*E5+1.905*E5^2)/(1+1.906*E5-0.03411*E5^2)))</f>
        <v>67.925604623120165</v>
      </c>
      <c r="L5" s="41">
        <f>IF(C5="?","?",IF(E5="","?",58.3+22.788*LN(E5+0.1)-1.253*E5))</f>
        <v>95.945398237527229</v>
      </c>
      <c r="M5" s="42">
        <f>IF(C5="?","?",IF(E5="","?",0.7+(-0.275*E5+0.103*E5^2)/(1-0.1322*E5+0.005236*E5^2)))</f>
        <v>16.526798892988932</v>
      </c>
      <c r="N5" s="5"/>
      <c r="O5" s="40">
        <f>IF(C5="?","?",IF(E5="","?",37.2+(24.576*E5-0.1131*E5^2)/(1+1.002*E5-0.03493*E5^2)))</f>
        <v>65.128642220019827</v>
      </c>
      <c r="P5" s="41">
        <f>IF(C5="?","?",IF(E5="","?",5+(283.225*E5+1121*E5^2)/(1+19.68*E5+10.61*E5^2)))</f>
        <v>93.372020824377898</v>
      </c>
      <c r="Q5" s="42">
        <f>IF(C5="?","?",IF(E5="","?",0.8+(-0.308*E5+0.1043*E5^2)/(1-0.1326*E5+0.005252*E5^2)))</f>
        <v>16.095211529521151</v>
      </c>
    </row>
    <row r="6" spans="1:30"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c r="Z6" s="30"/>
      <c r="AA6" s="30"/>
      <c r="AB6" s="30"/>
      <c r="AC6" s="30"/>
      <c r="AD6" s="30"/>
    </row>
    <row r="7" spans="1:30" s="5" customFormat="1" x14ac:dyDescent="0.25">
      <c r="A7" s="4"/>
      <c r="B7" s="6"/>
      <c r="C7" s="15"/>
      <c r="E7" s="15"/>
      <c r="G7" s="6"/>
      <c r="H7" s="6"/>
      <c r="I7" s="6"/>
      <c r="K7" s="6"/>
      <c r="L7" s="6"/>
      <c r="M7" s="6"/>
      <c r="O7" s="6"/>
      <c r="P7" s="6"/>
      <c r="Q7" s="6"/>
    </row>
    <row r="8" spans="1:30" s="5" customFormat="1" ht="16.5" thickBot="1" x14ac:dyDescent="0.3">
      <c r="A8" s="1" t="s">
        <v>15</v>
      </c>
      <c r="B8" s="2" t="s">
        <v>14</v>
      </c>
      <c r="C8" s="14"/>
      <c r="D8" s="2"/>
      <c r="E8" s="14"/>
      <c r="F8" s="3"/>
      <c r="G8" s="2"/>
      <c r="H8" s="2"/>
      <c r="I8" s="2"/>
      <c r="J8" s="3"/>
      <c r="K8" s="2" t="s">
        <v>36</v>
      </c>
      <c r="L8" s="2"/>
      <c r="M8" s="2"/>
      <c r="N8" s="3"/>
      <c r="O8" s="2"/>
      <c r="P8" s="2"/>
      <c r="Q8" s="2"/>
    </row>
    <row r="9" spans="1:30" s="5" customFormat="1" x14ac:dyDescent="0.25">
      <c r="A9" s="4" t="s">
        <v>41</v>
      </c>
      <c r="B9" s="98" t="s">
        <v>528</v>
      </c>
      <c r="C9" s="98"/>
      <c r="D9" s="98"/>
      <c r="E9" s="98"/>
      <c r="F9" s="98"/>
      <c r="G9" s="98"/>
      <c r="H9" s="98"/>
      <c r="I9" s="98"/>
      <c r="J9" s="13"/>
      <c r="K9" s="48">
        <v>3</v>
      </c>
      <c r="L9" s="6"/>
      <c r="M9" s="6"/>
      <c r="O9" s="6"/>
      <c r="P9" s="6"/>
      <c r="Q9" s="6"/>
    </row>
    <row r="10" spans="1:30" s="5" customFormat="1" x14ac:dyDescent="0.25">
      <c r="A10" s="4" t="s">
        <v>42</v>
      </c>
      <c r="B10" s="98" t="s">
        <v>529</v>
      </c>
      <c r="C10" s="98"/>
      <c r="D10" s="98"/>
      <c r="E10" s="98"/>
      <c r="F10" s="98"/>
      <c r="G10" s="98"/>
      <c r="H10" s="98"/>
      <c r="I10" s="98"/>
      <c r="J10" s="13"/>
      <c r="K10" s="49">
        <v>3</v>
      </c>
      <c r="L10" s="6"/>
      <c r="M10" s="6"/>
      <c r="O10" s="6"/>
      <c r="P10" s="6"/>
      <c r="Q10" s="6"/>
    </row>
    <row r="11" spans="1:30" s="5" customFormat="1" x14ac:dyDescent="0.25">
      <c r="A11" s="4" t="s">
        <v>43</v>
      </c>
      <c r="B11" s="98" t="s">
        <v>530</v>
      </c>
      <c r="C11" s="98"/>
      <c r="D11" s="98"/>
      <c r="E11" s="98"/>
      <c r="F11" s="98"/>
      <c r="G11" s="98"/>
      <c r="H11" s="98"/>
      <c r="I11" s="98"/>
      <c r="J11" s="13"/>
      <c r="K11" s="49">
        <v>3</v>
      </c>
      <c r="L11" s="6"/>
      <c r="M11" s="6"/>
      <c r="O11" s="6"/>
      <c r="P11" s="6"/>
      <c r="Q11" s="6"/>
    </row>
    <row r="12" spans="1:30" s="5" customFormat="1" ht="15.75" thickBot="1" x14ac:dyDescent="0.3">
      <c r="A12" s="4" t="s">
        <v>44</v>
      </c>
      <c r="B12" s="98" t="s">
        <v>531</v>
      </c>
      <c r="C12" s="98"/>
      <c r="D12" s="98"/>
      <c r="E12" s="98"/>
      <c r="F12" s="98"/>
      <c r="G12" s="98"/>
      <c r="H12" s="98"/>
      <c r="I12" s="98"/>
      <c r="J12" s="13"/>
      <c r="K12" s="50">
        <v>3</v>
      </c>
      <c r="L12" s="6"/>
      <c r="M12" s="6"/>
      <c r="O12" s="6"/>
      <c r="P12" s="6"/>
      <c r="Q12" s="6"/>
    </row>
    <row r="13" spans="1:30" s="5" customFormat="1" x14ac:dyDescent="0.25">
      <c r="A13" s="4"/>
      <c r="B13" s="6"/>
      <c r="C13" s="15"/>
      <c r="D13" s="6"/>
      <c r="E13" s="15"/>
      <c r="G13" s="6"/>
      <c r="H13" s="6"/>
      <c r="I13" s="6"/>
      <c r="K13" s="6"/>
      <c r="L13" s="6"/>
      <c r="M13" s="6"/>
      <c r="O13" s="6"/>
      <c r="P13" s="6"/>
      <c r="Q13" s="6"/>
    </row>
    <row r="14" spans="1:30" s="5" customFormat="1" ht="68.25" customHeight="1" x14ac:dyDescent="0.25">
      <c r="A14" s="96" t="s">
        <v>829</v>
      </c>
      <c r="B14" s="96"/>
      <c r="C14" s="96"/>
      <c r="D14" s="96"/>
      <c r="E14" s="96"/>
      <c r="F14" s="96"/>
      <c r="G14" s="96"/>
      <c r="H14" s="96"/>
      <c r="I14" s="96"/>
      <c r="J14" s="96"/>
      <c r="K14" s="96"/>
      <c r="L14" s="96"/>
      <c r="M14" s="96"/>
      <c r="N14" s="96"/>
      <c r="O14" s="96"/>
      <c r="P14" s="96"/>
      <c r="Q14" s="96"/>
    </row>
    <row r="15" spans="1:30" s="5" customFormat="1" x14ac:dyDescent="0.25">
      <c r="A15" s="4"/>
      <c r="B15" s="6"/>
      <c r="C15" s="15"/>
      <c r="E15" s="15"/>
      <c r="G15" s="6"/>
      <c r="H15" s="6"/>
      <c r="I15" s="6"/>
      <c r="K15" s="6"/>
      <c r="L15" s="6"/>
      <c r="M15" s="6"/>
      <c r="O15" s="6"/>
      <c r="P15" s="6"/>
      <c r="Q15" s="6"/>
    </row>
    <row r="16" spans="1:30" s="5" customFormat="1" x14ac:dyDescent="0.25">
      <c r="A16" s="4"/>
      <c r="B16" s="6"/>
      <c r="C16" s="15"/>
      <c r="E16" s="15"/>
      <c r="G16" s="6"/>
      <c r="H16" s="6"/>
      <c r="I16" s="6"/>
      <c r="K16" s="6"/>
      <c r="L16" s="6"/>
      <c r="M16" s="6"/>
      <c r="O16" s="6"/>
      <c r="P16" s="6"/>
      <c r="Q16" s="6"/>
    </row>
    <row r="17" spans="1:17" s="5" customFormat="1" x14ac:dyDescent="0.25">
      <c r="A17" s="4"/>
      <c r="B17" s="6"/>
      <c r="C17" s="15"/>
      <c r="E17" s="15"/>
      <c r="G17" s="6"/>
      <c r="H17" s="6"/>
      <c r="I17" s="6"/>
      <c r="K17" s="6"/>
      <c r="L17" s="6"/>
      <c r="M17" s="6"/>
      <c r="O17" s="6"/>
      <c r="P17" s="6"/>
      <c r="Q17" s="6"/>
    </row>
    <row r="18" spans="1:17" s="5" customFormat="1" x14ac:dyDescent="0.25">
      <c r="A18" s="4"/>
      <c r="B18" s="6"/>
      <c r="C18" s="15"/>
      <c r="E18" s="15"/>
      <c r="G18" s="6"/>
      <c r="H18" s="6"/>
      <c r="I18" s="6"/>
      <c r="K18" s="6"/>
      <c r="L18" s="6"/>
      <c r="M18" s="6"/>
      <c r="O18" s="6"/>
      <c r="P18" s="6"/>
      <c r="Q18" s="6"/>
    </row>
    <row r="19" spans="1:17" s="5" customFormat="1" x14ac:dyDescent="0.25">
      <c r="A19" s="4"/>
      <c r="B19" s="6"/>
      <c r="C19" s="15"/>
      <c r="E19" s="15"/>
      <c r="G19" s="6"/>
      <c r="H19" s="6"/>
      <c r="I19" s="6"/>
      <c r="K19" s="6"/>
      <c r="L19" s="6"/>
      <c r="M19" s="6"/>
      <c r="O19" s="6"/>
      <c r="P19" s="6"/>
      <c r="Q19" s="6"/>
    </row>
    <row r="20" spans="1:17" s="5" customFormat="1" x14ac:dyDescent="0.25">
      <c r="A20" s="4"/>
      <c r="B20" s="6"/>
      <c r="C20" s="15"/>
      <c r="E20" s="15"/>
      <c r="G20" s="6"/>
      <c r="H20" s="6"/>
      <c r="I20" s="6"/>
      <c r="K20" s="6"/>
      <c r="L20" s="6"/>
      <c r="M20" s="6"/>
      <c r="O20" s="6"/>
      <c r="P20" s="6"/>
      <c r="Q20" s="6"/>
    </row>
    <row r="21" spans="1:17" s="5" customFormat="1" x14ac:dyDescent="0.25">
      <c r="A21" s="4"/>
      <c r="B21" s="6"/>
      <c r="C21" s="15"/>
      <c r="E21" s="15"/>
      <c r="G21" s="6"/>
      <c r="H21" s="6"/>
      <c r="I21" s="6"/>
      <c r="K21" s="6"/>
      <c r="L21" s="6"/>
      <c r="M21" s="6"/>
      <c r="O21" s="6"/>
      <c r="P21" s="6"/>
      <c r="Q21" s="6"/>
    </row>
    <row r="22" spans="1:17" s="5" customFormat="1" x14ac:dyDescent="0.25">
      <c r="A22" s="4"/>
      <c r="B22" s="6"/>
      <c r="C22" s="15"/>
      <c r="E22" s="15"/>
      <c r="G22" s="6"/>
      <c r="H22" s="6"/>
      <c r="I22" s="6"/>
      <c r="K22" s="6"/>
      <c r="L22" s="6"/>
      <c r="M22" s="6"/>
      <c r="O22" s="6"/>
      <c r="P22" s="6"/>
      <c r="Q22" s="6"/>
    </row>
    <row r="23" spans="1:17" s="5" customFormat="1" x14ac:dyDescent="0.25">
      <c r="A23" s="4"/>
      <c r="B23" s="6"/>
      <c r="C23" s="15"/>
      <c r="E23" s="15"/>
      <c r="G23" s="6"/>
      <c r="H23" s="6"/>
      <c r="I23" s="6"/>
      <c r="K23" s="6"/>
      <c r="L23" s="6"/>
      <c r="M23" s="6"/>
      <c r="O23" s="6"/>
      <c r="P23" s="6"/>
      <c r="Q23" s="6"/>
    </row>
    <row r="24" spans="1:17" s="5" customFormat="1" x14ac:dyDescent="0.25">
      <c r="A24" s="4"/>
      <c r="B24" s="6"/>
      <c r="C24" s="15"/>
      <c r="E24" s="15"/>
      <c r="G24" s="6"/>
      <c r="H24" s="6"/>
      <c r="I24" s="6"/>
      <c r="K24" s="6"/>
      <c r="L24" s="6"/>
      <c r="M24" s="6"/>
      <c r="O24" s="6"/>
      <c r="P24" s="6"/>
      <c r="Q24" s="6"/>
    </row>
    <row r="25" spans="1:17" s="5" customFormat="1" x14ac:dyDescent="0.25">
      <c r="A25" s="4"/>
      <c r="B25" s="6"/>
      <c r="C25" s="15"/>
      <c r="E25" s="15"/>
      <c r="G25" s="6"/>
      <c r="H25" s="6"/>
      <c r="I25" s="6"/>
      <c r="K25" s="6"/>
      <c r="L25" s="6"/>
      <c r="M25" s="6"/>
      <c r="O25" s="6"/>
      <c r="P25" s="6"/>
      <c r="Q25" s="6"/>
    </row>
    <row r="26" spans="1:17" s="5" customFormat="1" x14ac:dyDescent="0.25">
      <c r="A26" s="4"/>
      <c r="B26" s="6"/>
      <c r="C26" s="15"/>
      <c r="E26" s="15"/>
      <c r="G26" s="6"/>
      <c r="H26" s="6"/>
      <c r="I26" s="6"/>
      <c r="K26" s="6"/>
      <c r="L26" s="6"/>
      <c r="M26" s="6"/>
      <c r="O26" s="6"/>
      <c r="P26" s="6"/>
      <c r="Q26" s="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sheetData>
  <mergeCells count="11">
    <mergeCell ref="B12:I12"/>
    <mergeCell ref="A14:Q14"/>
    <mergeCell ref="B9:I9"/>
    <mergeCell ref="B10:I10"/>
    <mergeCell ref="B11:I11"/>
    <mergeCell ref="G2:I2"/>
    <mergeCell ref="K2:M2"/>
    <mergeCell ref="O2:Q2"/>
    <mergeCell ref="H3:I3"/>
    <mergeCell ref="L3:M3"/>
    <mergeCell ref="P3:Q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1A52-7FD6-4536-9FE6-809A1B3B7ADE}">
  <dimension ref="A1:Y43"/>
  <sheetViews>
    <sheetView zoomScale="130" zoomScaleNormal="130" workbookViewId="0">
      <selection activeCell="C3" sqref="C3"/>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711</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712</v>
      </c>
      <c r="B2" s="6"/>
      <c r="C2" s="15"/>
      <c r="D2" s="5"/>
      <c r="E2" s="15"/>
      <c r="F2" s="5"/>
      <c r="G2" s="97" t="s">
        <v>1</v>
      </c>
      <c r="H2" s="97"/>
      <c r="I2" s="97"/>
      <c r="J2" s="5"/>
      <c r="K2" s="97" t="s">
        <v>2</v>
      </c>
      <c r="L2" s="97"/>
      <c r="M2" s="97"/>
      <c r="N2" s="5"/>
      <c r="O2" s="97" t="s">
        <v>3</v>
      </c>
      <c r="P2" s="97"/>
      <c r="Q2" s="97"/>
    </row>
    <row r="3" spans="1:25" x14ac:dyDescent="0.25">
      <c r="A3" s="4"/>
      <c r="B3" s="6"/>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ht="15.75" thickBot="1" x14ac:dyDescent="0.3">
      <c r="A5" s="4" t="s">
        <v>81</v>
      </c>
      <c r="B5" s="44" t="s">
        <v>786</v>
      </c>
      <c r="C5" s="15">
        <f>IF(COUNTBLANK($K$9:$K$25)=0,AVERAGE($K$9:$K$25),IF(ISNUMBER($E5),$E5,"?"))</f>
        <v>2.6470588235294117</v>
      </c>
      <c r="D5" s="63"/>
      <c r="E5" s="67">
        <v>2.65</v>
      </c>
      <c r="F5" s="5"/>
      <c r="G5" s="40">
        <f>IF(C5="?","?",IF(E5="","?",39.3-EXP(-5.5*(E5-1.5))+10.084*E5))</f>
        <v>66.020809033749458</v>
      </c>
      <c r="H5" s="41">
        <f>IF(C5="?","?",IF(E5="","?",99.5-0.92*(E5-3.8)+SINH((E5-3.8)/0.5348)))</f>
        <v>96.322348315777518</v>
      </c>
      <c r="I5" s="42">
        <f>IF(C5="?","?",IF(E5="","?",6.9+(-13.037*E5+9.007*E5^2)/(1-0.5051*E5+0.1293*E5^2)))</f>
        <v>57.301926797329372</v>
      </c>
      <c r="J5" s="5"/>
      <c r="K5" s="40">
        <f>IF(C5="?","?",IF(E5="","?",47.4+5.244*LN(E5-1)+6.033*E5))</f>
        <v>66.013515609813084</v>
      </c>
      <c r="L5" s="41">
        <f>IF(C5="?","?",IF(E5="","?",101.3-EXP(-1.774*(E5-3.6))))</f>
        <v>95.90593108968622</v>
      </c>
      <c r="M5" s="42">
        <f>IF(C5="?","?",IF(E5="","?",-8+(110.6/(1+EXP(-1.715*(E5-2.559))))))</f>
        <v>51.606460015813369</v>
      </c>
      <c r="N5" s="5"/>
      <c r="O5" s="40">
        <f>IF(C5="?","?",IF(E5="","?",37.5-EXP(-6.532*(E5-1.4))+10.868*E5))</f>
        <v>66.299915563349842</v>
      </c>
      <c r="P5" s="41">
        <f>IF(C5="?","?",IF(E5="","?",-40.3+407.996*((E5+0.1)^-2.832-1)/-2.832))</f>
        <v>95.555830075225245</v>
      </c>
      <c r="Q5" s="42">
        <f>IF(C5="?","?",IF(E5="","?",-6+(103.2/(1+EXP(-2.562*(E5-2.088))))))</f>
        <v>77.430026855156484</v>
      </c>
    </row>
    <row r="6" spans="1:25" s="31" customFormat="1" ht="15.75" thickBot="1" x14ac:dyDescent="0.3">
      <c r="A6" s="29"/>
      <c r="B6" s="19"/>
      <c r="C6" s="34"/>
      <c r="D6" s="30"/>
      <c r="E6" s="34"/>
      <c r="F6" s="30"/>
      <c r="G6" s="19"/>
      <c r="H6" s="19"/>
      <c r="I6" s="19"/>
      <c r="J6" s="30"/>
      <c r="K6" s="19"/>
      <c r="L6" s="19"/>
      <c r="M6" s="19"/>
      <c r="N6" s="30"/>
      <c r="O6" s="19"/>
      <c r="P6" s="19"/>
      <c r="Q6" s="19"/>
      <c r="R6" s="30"/>
      <c r="S6" s="30"/>
      <c r="T6" s="30"/>
      <c r="U6" s="30"/>
      <c r="V6" s="30"/>
      <c r="W6" s="30"/>
      <c r="X6" s="30"/>
      <c r="Y6" s="30"/>
    </row>
    <row r="7" spans="1:25" s="5" customFormat="1" x14ac:dyDescent="0.25">
      <c r="A7" s="4"/>
      <c r="B7" s="6"/>
      <c r="C7" s="15"/>
      <c r="E7" s="15"/>
      <c r="G7" s="6"/>
      <c r="H7" s="6"/>
      <c r="I7" s="6"/>
      <c r="K7" s="6"/>
      <c r="L7" s="6"/>
      <c r="M7" s="6"/>
      <c r="O7" s="6"/>
      <c r="P7" s="6"/>
      <c r="Q7" s="6"/>
    </row>
    <row r="8" spans="1:25" s="5" customFormat="1" ht="16.5" thickBot="1" x14ac:dyDescent="0.3">
      <c r="A8" s="1" t="s">
        <v>15</v>
      </c>
      <c r="B8" s="2" t="s">
        <v>14</v>
      </c>
      <c r="C8" s="14"/>
      <c r="D8" s="2"/>
      <c r="E8" s="14"/>
      <c r="F8" s="3"/>
      <c r="G8" s="2"/>
      <c r="H8" s="2"/>
      <c r="I8" s="2"/>
      <c r="J8" s="3"/>
      <c r="K8" s="2" t="s">
        <v>36</v>
      </c>
      <c r="L8" s="2"/>
      <c r="M8" s="2"/>
      <c r="N8" s="3"/>
      <c r="O8" s="2"/>
      <c r="P8" s="2"/>
      <c r="Q8" s="2"/>
    </row>
    <row r="9" spans="1:25" s="5" customFormat="1" x14ac:dyDescent="0.25">
      <c r="A9" s="4">
        <v>1</v>
      </c>
      <c r="B9" s="13" t="s">
        <v>694</v>
      </c>
      <c r="C9" s="13"/>
      <c r="D9" s="13"/>
      <c r="E9" s="13"/>
      <c r="F9" s="13"/>
      <c r="G9" s="13"/>
      <c r="H9" s="13"/>
      <c r="I9" s="13"/>
      <c r="J9" s="13"/>
      <c r="K9" s="64">
        <v>3</v>
      </c>
      <c r="L9" s="6"/>
      <c r="M9" s="6"/>
      <c r="O9" s="6"/>
      <c r="P9" s="6"/>
      <c r="Q9" s="6"/>
    </row>
    <row r="10" spans="1:25" s="5" customFormat="1" x14ac:dyDescent="0.25">
      <c r="A10" s="4">
        <v>2</v>
      </c>
      <c r="B10" s="13" t="s">
        <v>695</v>
      </c>
      <c r="C10" s="13"/>
      <c r="D10" s="13"/>
      <c r="E10" s="13"/>
      <c r="F10" s="13"/>
      <c r="G10" s="13"/>
      <c r="H10" s="13"/>
      <c r="I10" s="13"/>
      <c r="J10" s="13"/>
      <c r="K10" s="65">
        <v>3</v>
      </c>
      <c r="L10" s="6"/>
      <c r="M10" s="6"/>
      <c r="O10" s="6"/>
      <c r="P10" s="6"/>
      <c r="Q10" s="6"/>
    </row>
    <row r="11" spans="1:25" s="5" customFormat="1" x14ac:dyDescent="0.25">
      <c r="A11" s="4">
        <v>3</v>
      </c>
      <c r="B11" s="13" t="s">
        <v>696</v>
      </c>
      <c r="C11" s="13"/>
      <c r="D11" s="13"/>
      <c r="E11" s="13"/>
      <c r="F11" s="13"/>
      <c r="G11" s="13"/>
      <c r="H11" s="13"/>
      <c r="I11" s="13"/>
      <c r="J11" s="13"/>
      <c r="K11" s="65">
        <v>3</v>
      </c>
      <c r="L11" s="6"/>
      <c r="M11" s="6"/>
      <c r="O11" s="6"/>
      <c r="P11" s="6"/>
      <c r="Q11" s="6"/>
    </row>
    <row r="12" spans="1:25" s="5" customFormat="1" x14ac:dyDescent="0.25">
      <c r="A12" s="4">
        <v>4</v>
      </c>
      <c r="B12" s="13" t="s">
        <v>697</v>
      </c>
      <c r="C12" s="13"/>
      <c r="D12" s="13"/>
      <c r="E12" s="13"/>
      <c r="F12" s="13"/>
      <c r="G12" s="13"/>
      <c r="H12" s="13"/>
      <c r="I12" s="13"/>
      <c r="J12" s="13"/>
      <c r="K12" s="65">
        <v>3</v>
      </c>
      <c r="L12" s="6"/>
      <c r="M12" s="6"/>
      <c r="O12" s="6"/>
      <c r="P12" s="6"/>
      <c r="Q12" s="6"/>
    </row>
    <row r="13" spans="1:25" s="5" customFormat="1" x14ac:dyDescent="0.25">
      <c r="A13" s="4">
        <v>5</v>
      </c>
      <c r="B13" s="13" t="s">
        <v>698</v>
      </c>
      <c r="C13" s="13"/>
      <c r="D13" s="13"/>
      <c r="E13" s="13"/>
      <c r="F13" s="13"/>
      <c r="G13" s="13"/>
      <c r="H13" s="13"/>
      <c r="I13" s="13"/>
      <c r="J13" s="13"/>
      <c r="K13" s="65">
        <v>3</v>
      </c>
      <c r="L13" s="6"/>
      <c r="M13" s="6"/>
      <c r="O13" s="6"/>
      <c r="P13" s="6"/>
      <c r="Q13" s="6"/>
    </row>
    <row r="14" spans="1:25" s="5" customFormat="1" x14ac:dyDescent="0.25">
      <c r="A14" s="4">
        <v>6</v>
      </c>
      <c r="B14" s="13" t="s">
        <v>699</v>
      </c>
      <c r="C14" s="13"/>
      <c r="D14" s="13"/>
      <c r="E14" s="13"/>
      <c r="F14" s="13"/>
      <c r="G14" s="13"/>
      <c r="H14" s="13"/>
      <c r="I14" s="13"/>
      <c r="J14" s="13"/>
      <c r="K14" s="65">
        <v>3</v>
      </c>
      <c r="L14" s="6"/>
      <c r="M14" s="6"/>
      <c r="O14" s="6"/>
      <c r="P14" s="6"/>
      <c r="Q14" s="6"/>
    </row>
    <row r="15" spans="1:25" s="5" customFormat="1" x14ac:dyDescent="0.25">
      <c r="A15" s="4">
        <v>7</v>
      </c>
      <c r="B15" s="13" t="s">
        <v>700</v>
      </c>
      <c r="C15" s="13"/>
      <c r="D15" s="13"/>
      <c r="E15" s="13"/>
      <c r="F15" s="13"/>
      <c r="G15" s="13"/>
      <c r="H15" s="13"/>
      <c r="I15" s="13"/>
      <c r="J15" s="13"/>
      <c r="K15" s="65">
        <v>3</v>
      </c>
      <c r="L15" s="6"/>
      <c r="M15" s="6"/>
      <c r="O15" s="6"/>
      <c r="P15" s="6"/>
      <c r="Q15" s="6"/>
    </row>
    <row r="16" spans="1:25" s="5" customFormat="1" x14ac:dyDescent="0.25">
      <c r="A16" s="4">
        <v>8</v>
      </c>
      <c r="B16" s="13" t="s">
        <v>701</v>
      </c>
      <c r="C16" s="13"/>
      <c r="D16" s="13"/>
      <c r="E16" s="13"/>
      <c r="F16" s="13"/>
      <c r="G16" s="13"/>
      <c r="H16" s="13"/>
      <c r="I16" s="13"/>
      <c r="J16" s="13"/>
      <c r="K16" s="65">
        <v>3</v>
      </c>
      <c r="L16" s="6"/>
      <c r="M16" s="6"/>
      <c r="O16" s="6"/>
      <c r="P16" s="6"/>
      <c r="Q16" s="6"/>
    </row>
    <row r="17" spans="1:17" s="5" customFormat="1" x14ac:dyDescent="0.25">
      <c r="A17" s="4">
        <v>9</v>
      </c>
      <c r="B17" s="13" t="s">
        <v>702</v>
      </c>
      <c r="C17" s="13"/>
      <c r="D17" s="13"/>
      <c r="E17" s="13"/>
      <c r="F17" s="13"/>
      <c r="G17" s="13"/>
      <c r="H17" s="13"/>
      <c r="I17" s="13"/>
      <c r="J17" s="13"/>
      <c r="K17" s="65">
        <v>3</v>
      </c>
      <c r="L17" s="6"/>
      <c r="M17" s="6"/>
      <c r="O17" s="6"/>
      <c r="P17" s="6"/>
      <c r="Q17" s="6"/>
    </row>
    <row r="18" spans="1:17" s="5" customFormat="1" x14ac:dyDescent="0.25">
      <c r="A18" s="4">
        <v>10</v>
      </c>
      <c r="B18" s="13" t="s">
        <v>703</v>
      </c>
      <c r="C18" s="13"/>
      <c r="D18" s="13"/>
      <c r="E18" s="13"/>
      <c r="F18" s="13"/>
      <c r="G18" s="13"/>
      <c r="H18" s="13"/>
      <c r="I18" s="13"/>
      <c r="J18" s="13"/>
      <c r="K18" s="65">
        <v>3</v>
      </c>
      <c r="L18" s="6"/>
      <c r="M18" s="6"/>
      <c r="O18" s="6"/>
      <c r="P18" s="6"/>
      <c r="Q18" s="6"/>
    </row>
    <row r="19" spans="1:17" s="5" customFormat="1" x14ac:dyDescent="0.25">
      <c r="A19" s="4">
        <v>11</v>
      </c>
      <c r="B19" s="13" t="s">
        <v>704</v>
      </c>
      <c r="C19" s="13"/>
      <c r="D19" s="13"/>
      <c r="E19" s="13"/>
      <c r="F19" s="13"/>
      <c r="G19" s="13"/>
      <c r="H19" s="13"/>
      <c r="I19" s="13"/>
      <c r="J19" s="13"/>
      <c r="K19" s="65">
        <v>3</v>
      </c>
      <c r="L19" s="6"/>
      <c r="M19" s="6"/>
      <c r="O19" s="6"/>
      <c r="P19" s="6"/>
      <c r="Q19" s="6"/>
    </row>
    <row r="20" spans="1:17" s="5" customFormat="1" x14ac:dyDescent="0.25">
      <c r="A20" s="4">
        <v>12</v>
      </c>
      <c r="B20" s="13" t="s">
        <v>705</v>
      </c>
      <c r="C20" s="13"/>
      <c r="D20" s="13"/>
      <c r="E20" s="13"/>
      <c r="F20" s="13"/>
      <c r="G20" s="13"/>
      <c r="H20" s="13"/>
      <c r="I20" s="13"/>
      <c r="J20" s="13"/>
      <c r="K20" s="65">
        <v>2</v>
      </c>
      <c r="L20" s="6"/>
      <c r="M20" s="6"/>
      <c r="O20" s="6"/>
      <c r="P20" s="6"/>
      <c r="Q20" s="6"/>
    </row>
    <row r="21" spans="1:17" s="5" customFormat="1" x14ac:dyDescent="0.25">
      <c r="A21" s="4">
        <v>13</v>
      </c>
      <c r="B21" s="13" t="s">
        <v>706</v>
      </c>
      <c r="C21" s="13"/>
      <c r="D21" s="13"/>
      <c r="E21" s="13"/>
      <c r="F21" s="13"/>
      <c r="G21" s="13"/>
      <c r="H21" s="13"/>
      <c r="I21" s="13"/>
      <c r="J21" s="13"/>
      <c r="K21" s="65">
        <v>2</v>
      </c>
      <c r="L21" s="6"/>
      <c r="M21" s="6"/>
      <c r="O21" s="6"/>
      <c r="P21" s="6"/>
      <c r="Q21" s="6"/>
    </row>
    <row r="22" spans="1:17" s="5" customFormat="1" x14ac:dyDescent="0.25">
      <c r="A22" s="4">
        <v>14</v>
      </c>
      <c r="B22" s="13" t="s">
        <v>707</v>
      </c>
      <c r="C22" s="13"/>
      <c r="D22" s="13"/>
      <c r="E22" s="13"/>
      <c r="F22" s="13"/>
      <c r="G22" s="13"/>
      <c r="H22" s="13"/>
      <c r="I22" s="13"/>
      <c r="J22" s="13"/>
      <c r="K22" s="65">
        <v>2</v>
      </c>
      <c r="L22" s="6"/>
      <c r="M22" s="6"/>
      <c r="O22" s="6"/>
      <c r="P22" s="6"/>
      <c r="Q22" s="6"/>
    </row>
    <row r="23" spans="1:17" s="5" customFormat="1" x14ac:dyDescent="0.25">
      <c r="A23" s="4">
        <v>15</v>
      </c>
      <c r="B23" s="13" t="s">
        <v>708</v>
      </c>
      <c r="C23" s="13"/>
      <c r="D23" s="13"/>
      <c r="E23" s="13"/>
      <c r="F23" s="13"/>
      <c r="G23" s="13"/>
      <c r="H23" s="13"/>
      <c r="I23" s="13"/>
      <c r="J23" s="13"/>
      <c r="K23" s="65">
        <v>2</v>
      </c>
      <c r="L23" s="6"/>
      <c r="M23" s="6"/>
      <c r="O23" s="6"/>
      <c r="P23" s="6"/>
      <c r="Q23" s="6"/>
    </row>
    <row r="24" spans="1:17" s="5" customFormat="1" x14ac:dyDescent="0.25">
      <c r="A24" s="4">
        <v>16</v>
      </c>
      <c r="B24" s="13" t="s">
        <v>709</v>
      </c>
      <c r="C24" s="13"/>
      <c r="D24" s="13"/>
      <c r="E24" s="13"/>
      <c r="F24" s="13"/>
      <c r="G24" s="13"/>
      <c r="H24" s="13"/>
      <c r="I24" s="13"/>
      <c r="J24" s="13"/>
      <c r="K24" s="65">
        <v>2</v>
      </c>
      <c r="L24" s="6"/>
      <c r="M24" s="6"/>
      <c r="O24" s="6"/>
      <c r="P24" s="6"/>
      <c r="Q24" s="6"/>
    </row>
    <row r="25" spans="1:17" s="5" customFormat="1" ht="15.75" thickBot="1" x14ac:dyDescent="0.3">
      <c r="A25" s="4">
        <v>17</v>
      </c>
      <c r="B25" s="13" t="s">
        <v>710</v>
      </c>
      <c r="C25" s="13"/>
      <c r="D25" s="13"/>
      <c r="E25" s="13"/>
      <c r="F25" s="13"/>
      <c r="G25" s="13"/>
      <c r="H25" s="13"/>
      <c r="I25" s="13"/>
      <c r="J25" s="13"/>
      <c r="K25" s="66">
        <v>2</v>
      </c>
      <c r="L25" s="6"/>
      <c r="M25" s="6"/>
      <c r="O25" s="6"/>
      <c r="P25" s="6"/>
      <c r="Q25" s="6"/>
    </row>
    <row r="26" spans="1:17" s="5" customFormat="1" x14ac:dyDescent="0.25">
      <c r="A26" s="4"/>
      <c r="B26" s="6"/>
      <c r="C26" s="15"/>
      <c r="D26" s="6"/>
      <c r="E26" s="15"/>
      <c r="G26" s="6"/>
      <c r="H26" s="6"/>
      <c r="I26" s="6"/>
      <c r="K26" s="6"/>
      <c r="L26" s="6"/>
      <c r="M26" s="6"/>
      <c r="O26" s="6"/>
      <c r="P26" s="6"/>
      <c r="Q26" s="6"/>
    </row>
    <row r="27" spans="1:17" s="5" customFormat="1" ht="113.25" customHeight="1" x14ac:dyDescent="0.25">
      <c r="A27" s="96" t="s">
        <v>693</v>
      </c>
      <c r="B27" s="96"/>
      <c r="C27" s="96"/>
      <c r="D27" s="96"/>
      <c r="E27" s="96"/>
      <c r="F27" s="96"/>
      <c r="G27" s="96"/>
      <c r="H27" s="96"/>
      <c r="I27" s="96"/>
      <c r="J27" s="96"/>
      <c r="K27" s="96"/>
      <c r="L27" s="96"/>
      <c r="M27" s="96"/>
      <c r="N27" s="96"/>
      <c r="O27" s="96"/>
      <c r="P27" s="96"/>
      <c r="Q27" s="9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sheetData>
  <mergeCells count="7">
    <mergeCell ref="A27:Q27"/>
    <mergeCell ref="G2:I2"/>
    <mergeCell ref="K2:M2"/>
    <mergeCell ref="O2:Q2"/>
    <mergeCell ref="H3:I3"/>
    <mergeCell ref="L3:M3"/>
    <mergeCell ref="P3:Q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0CC45-2C99-426A-8976-E80B76D725EB}">
  <dimension ref="A1:AG61"/>
  <sheetViews>
    <sheetView zoomScaleNormal="100" workbookViewId="0">
      <selection activeCell="Y15" sqref="Y15"/>
    </sheetView>
  </sheetViews>
  <sheetFormatPr defaultRowHeight="15" x14ac:dyDescent="0.25"/>
  <cols>
    <col min="1" max="1" width="17.140625" style="7" customWidth="1"/>
    <col min="2" max="2" width="9.140625" style="6"/>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3" width="9.140625" style="5"/>
  </cols>
  <sheetData>
    <row r="1" spans="1:33" s="17" customFormat="1" ht="21" x14ac:dyDescent="0.35">
      <c r="A1" s="35" t="s">
        <v>756</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c r="AE1" s="18"/>
      <c r="AF1" s="18"/>
      <c r="AG1" s="18"/>
    </row>
    <row r="2" spans="1:33" x14ac:dyDescent="0.25">
      <c r="A2" s="13" t="s">
        <v>239</v>
      </c>
      <c r="C2" s="15"/>
      <c r="D2" s="5"/>
      <c r="E2" s="15"/>
      <c r="F2" s="5"/>
      <c r="G2" s="97" t="s">
        <v>1</v>
      </c>
      <c r="H2" s="97"/>
      <c r="I2" s="97"/>
      <c r="J2" s="5"/>
      <c r="K2" s="97" t="s">
        <v>2</v>
      </c>
      <c r="L2" s="97"/>
      <c r="M2" s="97"/>
      <c r="N2" s="5"/>
      <c r="O2" s="97" t="s">
        <v>3</v>
      </c>
      <c r="P2" s="97"/>
      <c r="Q2" s="97"/>
    </row>
    <row r="3" spans="1:33" x14ac:dyDescent="0.25">
      <c r="A3" s="4"/>
      <c r="C3" s="15"/>
      <c r="D3" s="5"/>
      <c r="E3" s="15"/>
      <c r="F3" s="5"/>
      <c r="G3" s="6" t="s">
        <v>40</v>
      </c>
      <c r="H3" s="97" t="s">
        <v>67</v>
      </c>
      <c r="I3" s="97"/>
      <c r="J3" s="5"/>
      <c r="K3" s="6" t="s">
        <v>40</v>
      </c>
      <c r="L3" s="97" t="s">
        <v>67</v>
      </c>
      <c r="M3" s="97"/>
      <c r="N3" s="5"/>
      <c r="O3" s="6" t="s">
        <v>40</v>
      </c>
      <c r="P3" s="97" t="s">
        <v>67</v>
      </c>
      <c r="Q3" s="97"/>
    </row>
    <row r="4" spans="1:33"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33" x14ac:dyDescent="0.25">
      <c r="A5" s="4" t="s">
        <v>4</v>
      </c>
      <c r="B5" s="44" t="s">
        <v>713</v>
      </c>
      <c r="C5" s="37">
        <f>IF(COUNTBLANK($K$10:$K$43)=0,SUM($K$10:$K$43),IF(ISNUMBER($E5),$E5,"?"))</f>
        <v>204</v>
      </c>
      <c r="D5" s="5"/>
      <c r="E5" s="54">
        <v>136</v>
      </c>
      <c r="F5" s="5"/>
      <c r="G5" s="20">
        <f>IF(C5="?","?",IF(E5="","?",26.2+3.919*LN(E5-33.5)+0.18*E5))</f>
        <v>68.824432307628996</v>
      </c>
      <c r="H5" s="23">
        <f>IF(C5="?","?",IF(E5="","?",-283.2+(384.5/(1+EXP(-0.03252*(E5-1.572))))))</f>
        <v>96.503946932496831</v>
      </c>
      <c r="I5" s="24">
        <f>IF(C5="?","?",IF(E5="","?",5.9+(-0.157*E5+0.002044*E5^2)/(1-0.01115*E5+0.00004347*E5^2)))</f>
        <v>63.106591782967783</v>
      </c>
      <c r="J5" s="5"/>
      <c r="K5" s="20">
        <f>IF(C5="?","?",IF(E5="","?",24+5.376*LN(E5-32.7)+0.137*E5))</f>
        <v>67.563938534051189</v>
      </c>
      <c r="L5" s="23">
        <f>IF(C5="?","?",IF(E5="","?",-241.5+(339.1/(1+EXP(-0.06749*(E5-19.58))))))</f>
        <v>97.468832170870485</v>
      </c>
      <c r="M5" s="24">
        <f>IF(C5="?","?",IF(E5="","?",-6.5+(101.4/(1+EXP(-0.04604*(E5-93.72))))))</f>
        <v>82.23232965088927</v>
      </c>
      <c r="N5" s="5"/>
      <c r="O5" s="20">
        <f>IF(C5="?","?",IF(E5="","?",27+3.614*LN(E5-33.6)+0.185*E5))</f>
        <v>68.88879657935594</v>
      </c>
      <c r="P5" s="23">
        <f>IF(C5="?","?",IF(E5="","?",-69+(169.5/(1+EXP(-0.0376*(E5-43.63))))))</f>
        <v>95.400247604097842</v>
      </c>
      <c r="Q5" s="24">
        <f>IF(C5="?","?",IF(E5="","?",7.9+(-0.184*E5+0.002074*E5^2)/(1-0.01159*E5+0.00004474*E5^2)))</f>
        <v>60.976964221583138</v>
      </c>
    </row>
    <row r="6" spans="1:33" ht="15.75" thickBot="1" x14ac:dyDescent="0.3">
      <c r="A6" s="4" t="s">
        <v>714</v>
      </c>
      <c r="B6" s="44" t="s">
        <v>715</v>
      </c>
      <c r="C6" s="37">
        <f>IF(COUNTBLANK($K$10:$K$43)=0,SUM($K$13,$K$15,$K$22,$K$25,$K$28,$K$32,$K$38,$K$42),IF(ISNUMBER($E6),$E6,"?"))</f>
        <v>48</v>
      </c>
      <c r="D6" s="38"/>
      <c r="E6" s="39">
        <v>32</v>
      </c>
      <c r="F6" s="5"/>
      <c r="G6" s="22">
        <f>IF(C6="?","?",IF(E6="","?",39-EXP(-0.35*(E6-14.9))+0.863*E6))</f>
        <v>66.61348378628152</v>
      </c>
      <c r="H6" s="27">
        <f>IF(C6="?","?",IF(E6="","?",-270.2+(371/(1+EXP(-0.1305*(E6-0.1175))))))</f>
        <v>95.102320222819571</v>
      </c>
      <c r="I6" s="28">
        <f>IF(C6="?","?",IF(E6="","?",3.4+(-0.466*E6+0.02491*E6^2)/(1-0.04481*E6+0.0006549*E6^2)))</f>
        <v>48.165303915206586</v>
      </c>
      <c r="J6" s="5"/>
      <c r="K6" s="22">
        <f>IF(C6="?","?",IF(E6="","?",30.8+5.077*LN(E6-7.2)+0.614*E6))</f>
        <v>66.749453227148848</v>
      </c>
      <c r="L6" s="27">
        <f>IF(C6="?","?",IF(E6="","?",98.8-EXP(-0.2*(E6-30.6))))</f>
        <v>98.044216258544267</v>
      </c>
      <c r="M6" s="28">
        <f>IF(C6="?","?",IF(E6="","?",-10.9+(107.9/(1+EXP(-0.1561*(E6-25.3))))))</f>
        <v>68.943953949955542</v>
      </c>
      <c r="N6" s="5"/>
      <c r="O6" s="22">
        <f>IF(C6="?","?",IF(E6="","?",38.9-EXP(-0.376*(E6-14.4))+0.864*E6))</f>
        <v>66.546663364976766</v>
      </c>
      <c r="P6" s="27">
        <f>IF(C6="?","?",IF(E6="","?",-13.7+(-1.748*E6+0.4303*E6^2)/(1-0.04733*E6+0.004007*E6^2)))</f>
        <v>93.497888429162501</v>
      </c>
      <c r="Q6" s="28">
        <f>IF(C6="?","?",IF(E6="","?",5.8+(-0.629*E6+0.02835*E6^2)/(1-0.04604*E6+0.0006826*E6^2)))</f>
        <v>45.243089661430254</v>
      </c>
    </row>
    <row r="7" spans="1:33" s="31" customFormat="1" ht="15.75" thickBot="1" x14ac:dyDescent="0.3">
      <c r="A7" s="29"/>
      <c r="B7" s="19"/>
      <c r="C7" s="34"/>
      <c r="D7" s="30"/>
      <c r="E7" s="34"/>
      <c r="F7" s="30"/>
      <c r="G7" s="19"/>
      <c r="H7" s="19"/>
      <c r="I7" s="19"/>
      <c r="J7" s="30"/>
      <c r="K7" s="19"/>
      <c r="L7" s="19"/>
      <c r="M7" s="19"/>
      <c r="N7" s="30"/>
      <c r="O7" s="19"/>
      <c r="P7" s="19"/>
      <c r="Q7" s="19"/>
      <c r="R7" s="30"/>
      <c r="S7" s="30"/>
      <c r="T7" s="30"/>
      <c r="U7" s="30"/>
      <c r="V7" s="30"/>
      <c r="W7" s="30"/>
      <c r="X7" s="30"/>
      <c r="Y7" s="30"/>
      <c r="Z7" s="30"/>
      <c r="AA7" s="30"/>
      <c r="AB7" s="30"/>
      <c r="AC7" s="30"/>
      <c r="AD7" s="30"/>
      <c r="AE7" s="30"/>
      <c r="AF7" s="30"/>
      <c r="AG7" s="30"/>
    </row>
    <row r="8" spans="1:33" s="5" customFormat="1" x14ac:dyDescent="0.25">
      <c r="A8" s="4"/>
      <c r="B8" s="6"/>
      <c r="C8" s="15"/>
      <c r="E8" s="15"/>
      <c r="G8" s="6"/>
      <c r="H8" s="6"/>
      <c r="I8" s="6"/>
      <c r="K8" s="6"/>
      <c r="L8" s="6"/>
      <c r="M8" s="6"/>
      <c r="O8" s="6"/>
      <c r="P8" s="6"/>
      <c r="Q8" s="6"/>
    </row>
    <row r="9" spans="1:33" s="5" customFormat="1" ht="16.5" thickBot="1" x14ac:dyDescent="0.3">
      <c r="A9" s="1" t="s">
        <v>15</v>
      </c>
      <c r="B9" s="2" t="s">
        <v>14</v>
      </c>
      <c r="C9" s="14"/>
      <c r="D9" s="2"/>
      <c r="E9" s="14"/>
      <c r="F9" s="3"/>
      <c r="G9" s="2"/>
      <c r="H9" s="2"/>
      <c r="I9" s="2"/>
      <c r="J9" s="3"/>
      <c r="K9" s="2" t="s">
        <v>36</v>
      </c>
      <c r="L9" s="2"/>
      <c r="M9" s="2"/>
      <c r="N9" s="3"/>
      <c r="O9" s="2"/>
      <c r="P9" s="2"/>
      <c r="Q9" s="2"/>
    </row>
    <row r="10" spans="1:33" s="5" customFormat="1" x14ac:dyDescent="0.25">
      <c r="A10" s="4">
        <v>1</v>
      </c>
      <c r="B10" s="57" t="s">
        <v>722</v>
      </c>
      <c r="C10" s="13"/>
      <c r="D10" s="13"/>
      <c r="E10" s="13"/>
      <c r="F10" s="13"/>
      <c r="G10" s="13"/>
      <c r="H10" s="13"/>
      <c r="I10" s="13"/>
      <c r="J10" s="13"/>
      <c r="K10" s="48">
        <v>6</v>
      </c>
      <c r="L10" s="6"/>
      <c r="M10" s="6"/>
      <c r="O10" s="6"/>
      <c r="P10" s="6"/>
      <c r="Q10" s="6"/>
    </row>
    <row r="11" spans="1:33" s="5" customFormat="1" x14ac:dyDescent="0.25">
      <c r="A11" s="4">
        <v>2</v>
      </c>
      <c r="B11" s="57" t="s">
        <v>723</v>
      </c>
      <c r="C11" s="13"/>
      <c r="D11" s="13"/>
      <c r="E11" s="13"/>
      <c r="F11" s="13"/>
      <c r="G11" s="13"/>
      <c r="H11" s="13"/>
      <c r="I11" s="13"/>
      <c r="J11" s="13"/>
      <c r="K11" s="49">
        <v>6</v>
      </c>
      <c r="L11" s="6"/>
      <c r="M11" s="6"/>
      <c r="O11" s="6"/>
      <c r="P11" s="6"/>
      <c r="Q11" s="6"/>
    </row>
    <row r="12" spans="1:33" s="5" customFormat="1" x14ac:dyDescent="0.25">
      <c r="A12" s="4">
        <v>3</v>
      </c>
      <c r="B12" s="57" t="s">
        <v>724</v>
      </c>
      <c r="C12" s="13"/>
      <c r="D12" s="13"/>
      <c r="E12" s="13"/>
      <c r="F12" s="13"/>
      <c r="G12" s="13"/>
      <c r="H12" s="13"/>
      <c r="I12" s="13"/>
      <c r="J12" s="13"/>
      <c r="K12" s="49">
        <v>6</v>
      </c>
      <c r="L12" s="6"/>
      <c r="M12" s="6"/>
      <c r="O12" s="6"/>
      <c r="P12" s="6"/>
      <c r="Q12" s="6"/>
    </row>
    <row r="13" spans="1:33" s="5" customFormat="1" x14ac:dyDescent="0.25">
      <c r="A13" s="4">
        <v>4</v>
      </c>
      <c r="B13" s="57" t="s">
        <v>725</v>
      </c>
      <c r="C13" s="13"/>
      <c r="D13" s="13"/>
      <c r="E13" s="13"/>
      <c r="F13" s="13"/>
      <c r="G13" s="13"/>
      <c r="H13" s="13"/>
      <c r="I13" s="13"/>
      <c r="J13" s="13"/>
      <c r="K13" s="49">
        <v>6</v>
      </c>
      <c r="L13" s="6"/>
      <c r="M13" s="6"/>
      <c r="O13" s="6"/>
      <c r="P13" s="6"/>
      <c r="Q13" s="6"/>
    </row>
    <row r="14" spans="1:33" s="5" customFormat="1" x14ac:dyDescent="0.25">
      <c r="A14" s="4">
        <v>5</v>
      </c>
      <c r="B14" s="57" t="s">
        <v>726</v>
      </c>
      <c r="C14" s="13"/>
      <c r="D14" s="13"/>
      <c r="E14" s="13"/>
      <c r="F14" s="13"/>
      <c r="G14" s="13"/>
      <c r="H14" s="13"/>
      <c r="I14" s="13"/>
      <c r="J14" s="13"/>
      <c r="K14" s="49">
        <v>6</v>
      </c>
      <c r="L14" s="6"/>
      <c r="M14" s="6"/>
      <c r="O14" s="6"/>
      <c r="P14" s="6"/>
      <c r="Q14" s="6"/>
    </row>
    <row r="15" spans="1:33" s="5" customFormat="1" x14ac:dyDescent="0.25">
      <c r="A15" s="4">
        <v>6</v>
      </c>
      <c r="B15" s="57" t="s">
        <v>727</v>
      </c>
      <c r="C15" s="13"/>
      <c r="D15" s="13"/>
      <c r="E15" s="13"/>
      <c r="F15" s="13"/>
      <c r="G15" s="13"/>
      <c r="H15" s="13"/>
      <c r="I15" s="13"/>
      <c r="J15" s="13"/>
      <c r="K15" s="49">
        <v>6</v>
      </c>
      <c r="L15" s="6"/>
      <c r="M15" s="6"/>
      <c r="O15" s="6"/>
      <c r="P15" s="6"/>
      <c r="Q15" s="6"/>
    </row>
    <row r="16" spans="1:33" s="5" customFormat="1" x14ac:dyDescent="0.25">
      <c r="A16" s="4">
        <v>7</v>
      </c>
      <c r="B16" s="57" t="s">
        <v>728</v>
      </c>
      <c r="C16" s="13"/>
      <c r="D16" s="13"/>
      <c r="E16" s="13"/>
      <c r="F16" s="13"/>
      <c r="G16" s="13"/>
      <c r="H16" s="13"/>
      <c r="I16" s="13"/>
      <c r="J16" s="13"/>
      <c r="K16" s="49">
        <v>6</v>
      </c>
      <c r="L16" s="6"/>
      <c r="M16" s="6"/>
      <c r="O16" s="6"/>
      <c r="P16" s="6"/>
      <c r="Q16" s="6"/>
    </row>
    <row r="17" spans="1:17" s="5" customFormat="1" x14ac:dyDescent="0.25">
      <c r="A17" s="4">
        <v>8</v>
      </c>
      <c r="B17" s="57" t="s">
        <v>729</v>
      </c>
      <c r="C17" s="13"/>
      <c r="D17" s="13"/>
      <c r="E17" s="13"/>
      <c r="F17" s="13"/>
      <c r="G17" s="13"/>
      <c r="H17" s="13"/>
      <c r="I17" s="13"/>
      <c r="J17" s="13"/>
      <c r="K17" s="49">
        <v>6</v>
      </c>
      <c r="L17" s="6"/>
      <c r="M17" s="6"/>
      <c r="O17" s="6"/>
      <c r="P17" s="6"/>
      <c r="Q17" s="6"/>
    </row>
    <row r="18" spans="1:17" s="5" customFormat="1" x14ac:dyDescent="0.25">
      <c r="A18" s="4">
        <v>9</v>
      </c>
      <c r="B18" s="57" t="s">
        <v>730</v>
      </c>
      <c r="C18" s="13"/>
      <c r="D18" s="13"/>
      <c r="E18" s="13"/>
      <c r="F18" s="13"/>
      <c r="G18" s="13"/>
      <c r="H18" s="13"/>
      <c r="I18" s="13"/>
      <c r="J18" s="13"/>
      <c r="K18" s="49">
        <v>6</v>
      </c>
      <c r="L18" s="6"/>
      <c r="M18" s="6"/>
      <c r="O18" s="6"/>
      <c r="P18" s="6"/>
      <c r="Q18" s="6"/>
    </row>
    <row r="19" spans="1:17" s="5" customFormat="1" x14ac:dyDescent="0.25">
      <c r="A19" s="4">
        <v>10</v>
      </c>
      <c r="B19" s="57" t="s">
        <v>731</v>
      </c>
      <c r="C19" s="13"/>
      <c r="D19" s="13"/>
      <c r="E19" s="13"/>
      <c r="F19" s="13"/>
      <c r="G19" s="13"/>
      <c r="H19" s="13"/>
      <c r="I19" s="13"/>
      <c r="J19" s="13"/>
      <c r="K19" s="49">
        <v>6</v>
      </c>
      <c r="L19" s="6"/>
      <c r="M19" s="6"/>
      <c r="O19" s="6"/>
      <c r="P19" s="6"/>
      <c r="Q19" s="6"/>
    </row>
    <row r="20" spans="1:17" s="5" customFormat="1" x14ac:dyDescent="0.25">
      <c r="A20" s="4">
        <v>11</v>
      </c>
      <c r="B20" s="57" t="s">
        <v>732</v>
      </c>
      <c r="C20" s="13"/>
      <c r="D20" s="13"/>
      <c r="E20" s="13"/>
      <c r="F20" s="13"/>
      <c r="G20" s="13"/>
      <c r="H20" s="13"/>
      <c r="I20" s="13"/>
      <c r="J20" s="13"/>
      <c r="K20" s="49">
        <v>6</v>
      </c>
      <c r="L20" s="6"/>
      <c r="M20" s="6"/>
      <c r="O20" s="6"/>
      <c r="P20" s="6"/>
      <c r="Q20" s="6"/>
    </row>
    <row r="21" spans="1:17" s="5" customFormat="1" x14ac:dyDescent="0.25">
      <c r="A21" s="4">
        <v>12</v>
      </c>
      <c r="B21" s="57" t="s">
        <v>733</v>
      </c>
      <c r="C21" s="13"/>
      <c r="D21" s="13"/>
      <c r="E21" s="13"/>
      <c r="F21" s="13"/>
      <c r="G21" s="13"/>
      <c r="H21" s="13"/>
      <c r="I21" s="13"/>
      <c r="J21" s="13"/>
      <c r="K21" s="49">
        <v>6</v>
      </c>
      <c r="L21" s="6"/>
      <c r="M21" s="6"/>
      <c r="O21" s="6"/>
      <c r="P21" s="6"/>
      <c r="Q21" s="6"/>
    </row>
    <row r="22" spans="1:17" s="5" customFormat="1" x14ac:dyDescent="0.25">
      <c r="A22" s="4">
        <v>13</v>
      </c>
      <c r="B22" s="57" t="s">
        <v>734</v>
      </c>
      <c r="C22" s="13"/>
      <c r="D22" s="13"/>
      <c r="E22" s="13"/>
      <c r="F22" s="13"/>
      <c r="G22" s="13"/>
      <c r="H22" s="13"/>
      <c r="I22" s="13"/>
      <c r="J22" s="13"/>
      <c r="K22" s="49">
        <v>6</v>
      </c>
      <c r="L22" s="6"/>
      <c r="M22" s="6"/>
      <c r="O22" s="6"/>
      <c r="P22" s="6"/>
      <c r="Q22" s="6"/>
    </row>
    <row r="23" spans="1:17" s="5" customFormat="1" x14ac:dyDescent="0.25">
      <c r="A23" s="4">
        <v>14</v>
      </c>
      <c r="B23" s="57" t="s">
        <v>735</v>
      </c>
      <c r="C23" s="13"/>
      <c r="D23" s="13"/>
      <c r="E23" s="13"/>
      <c r="F23" s="13"/>
      <c r="G23" s="13"/>
      <c r="H23" s="13"/>
      <c r="I23" s="13"/>
      <c r="J23" s="13"/>
      <c r="K23" s="49">
        <v>6</v>
      </c>
      <c r="L23" s="6"/>
      <c r="M23" s="6"/>
      <c r="O23" s="6"/>
      <c r="P23" s="6"/>
      <c r="Q23" s="6"/>
    </row>
    <row r="24" spans="1:17" s="5" customFormat="1" x14ac:dyDescent="0.25">
      <c r="A24" s="4">
        <v>15</v>
      </c>
      <c r="B24" s="57" t="s">
        <v>736</v>
      </c>
      <c r="C24" s="13"/>
      <c r="D24" s="13"/>
      <c r="E24" s="13"/>
      <c r="F24" s="13"/>
      <c r="G24" s="13"/>
      <c r="H24" s="13"/>
      <c r="I24" s="13"/>
      <c r="J24" s="13"/>
      <c r="K24" s="49">
        <v>6</v>
      </c>
      <c r="L24" s="6"/>
      <c r="M24" s="6"/>
      <c r="O24" s="6"/>
      <c r="P24" s="6"/>
      <c r="Q24" s="6"/>
    </row>
    <row r="25" spans="1:17" s="5" customFormat="1" x14ac:dyDescent="0.25">
      <c r="A25" s="4">
        <v>16</v>
      </c>
      <c r="B25" s="57" t="s">
        <v>737</v>
      </c>
      <c r="C25" s="13"/>
      <c r="D25" s="13"/>
      <c r="E25" s="13"/>
      <c r="F25" s="13"/>
      <c r="G25" s="13"/>
      <c r="H25" s="13"/>
      <c r="I25" s="13"/>
      <c r="J25" s="13"/>
      <c r="K25" s="49">
        <v>6</v>
      </c>
      <c r="L25" s="6"/>
      <c r="M25" s="6"/>
      <c r="O25" s="6"/>
      <c r="P25" s="6"/>
      <c r="Q25" s="6"/>
    </row>
    <row r="26" spans="1:17" s="5" customFormat="1" x14ac:dyDescent="0.25">
      <c r="A26" s="4">
        <v>17</v>
      </c>
      <c r="B26" s="57" t="s">
        <v>738</v>
      </c>
      <c r="C26" s="13"/>
      <c r="D26" s="13"/>
      <c r="E26" s="13"/>
      <c r="F26" s="13"/>
      <c r="G26" s="13"/>
      <c r="H26" s="13"/>
      <c r="I26" s="13"/>
      <c r="J26" s="13"/>
      <c r="K26" s="49">
        <v>6</v>
      </c>
      <c r="L26" s="6"/>
      <c r="M26" s="6"/>
      <c r="O26" s="6"/>
      <c r="P26" s="6"/>
      <c r="Q26" s="6"/>
    </row>
    <row r="27" spans="1:17" s="5" customFormat="1" x14ac:dyDescent="0.25">
      <c r="A27" s="4">
        <v>18</v>
      </c>
      <c r="B27" s="57" t="s">
        <v>739</v>
      </c>
      <c r="C27" s="13"/>
      <c r="D27" s="13"/>
      <c r="E27" s="13"/>
      <c r="F27" s="13"/>
      <c r="G27" s="13"/>
      <c r="H27" s="13"/>
      <c r="I27" s="13"/>
      <c r="J27" s="13"/>
      <c r="K27" s="49">
        <v>6</v>
      </c>
      <c r="L27" s="6"/>
      <c r="M27" s="6"/>
      <c r="O27" s="6"/>
      <c r="P27" s="6"/>
      <c r="Q27" s="6"/>
    </row>
    <row r="28" spans="1:17" s="5" customFormat="1" x14ac:dyDescent="0.25">
      <c r="A28" s="4">
        <v>19</v>
      </c>
      <c r="B28" s="57" t="s">
        <v>740</v>
      </c>
      <c r="C28" s="13"/>
      <c r="D28" s="13"/>
      <c r="E28" s="13"/>
      <c r="F28" s="13"/>
      <c r="G28" s="13"/>
      <c r="H28" s="13"/>
      <c r="I28" s="13"/>
      <c r="J28" s="13"/>
      <c r="K28" s="49">
        <v>6</v>
      </c>
      <c r="L28" s="6"/>
      <c r="M28" s="6"/>
      <c r="O28" s="6"/>
      <c r="P28" s="6"/>
      <c r="Q28" s="6"/>
    </row>
    <row r="29" spans="1:17" s="5" customFormat="1" x14ac:dyDescent="0.25">
      <c r="A29" s="4">
        <v>20</v>
      </c>
      <c r="B29" s="57" t="s">
        <v>741</v>
      </c>
      <c r="C29" s="13"/>
      <c r="D29" s="13"/>
      <c r="E29" s="13"/>
      <c r="F29" s="13"/>
      <c r="G29" s="13"/>
      <c r="H29" s="13"/>
      <c r="I29" s="13"/>
      <c r="J29" s="13"/>
      <c r="K29" s="49">
        <v>6</v>
      </c>
      <c r="L29" s="6"/>
      <c r="M29" s="6"/>
      <c r="O29" s="6"/>
      <c r="P29" s="6"/>
      <c r="Q29" s="6"/>
    </row>
    <row r="30" spans="1:17" s="5" customFormat="1" x14ac:dyDescent="0.25">
      <c r="A30" s="4">
        <v>21</v>
      </c>
      <c r="B30" s="57" t="s">
        <v>742</v>
      </c>
      <c r="C30" s="13"/>
      <c r="D30" s="13"/>
      <c r="E30" s="13"/>
      <c r="F30" s="13"/>
      <c r="G30" s="13"/>
      <c r="H30" s="13"/>
      <c r="I30" s="13"/>
      <c r="J30" s="13"/>
      <c r="K30" s="49">
        <v>6</v>
      </c>
      <c r="L30" s="6"/>
      <c r="M30" s="6"/>
      <c r="O30" s="6"/>
      <c r="P30" s="6"/>
      <c r="Q30" s="6"/>
    </row>
    <row r="31" spans="1:17" s="5" customFormat="1" x14ac:dyDescent="0.25">
      <c r="A31" s="4">
        <v>22</v>
      </c>
      <c r="B31" s="57" t="s">
        <v>743</v>
      </c>
      <c r="C31" s="13"/>
      <c r="D31" s="13"/>
      <c r="E31" s="13"/>
      <c r="F31" s="13"/>
      <c r="G31" s="13"/>
      <c r="H31" s="13"/>
      <c r="I31" s="13"/>
      <c r="J31" s="13"/>
      <c r="K31" s="49">
        <v>6</v>
      </c>
      <c r="L31" s="6"/>
      <c r="M31" s="6"/>
      <c r="O31" s="6"/>
      <c r="P31" s="6"/>
      <c r="Q31" s="6"/>
    </row>
    <row r="32" spans="1:17" s="5" customFormat="1" x14ac:dyDescent="0.25">
      <c r="A32" s="4">
        <v>23</v>
      </c>
      <c r="B32" s="57" t="s">
        <v>744</v>
      </c>
      <c r="C32" s="13"/>
      <c r="D32" s="13"/>
      <c r="E32" s="13"/>
      <c r="F32" s="13"/>
      <c r="G32" s="13"/>
      <c r="H32" s="13"/>
      <c r="I32" s="13"/>
      <c r="J32" s="13"/>
      <c r="K32" s="49">
        <v>6</v>
      </c>
      <c r="L32" s="6"/>
      <c r="M32" s="6"/>
      <c r="O32" s="6"/>
      <c r="P32" s="6"/>
      <c r="Q32" s="6"/>
    </row>
    <row r="33" spans="1:17" s="5" customFormat="1" x14ac:dyDescent="0.25">
      <c r="A33" s="4">
        <v>24</v>
      </c>
      <c r="B33" s="57" t="s">
        <v>745</v>
      </c>
      <c r="C33" s="13"/>
      <c r="D33" s="13"/>
      <c r="E33" s="13"/>
      <c r="F33" s="13"/>
      <c r="G33" s="13"/>
      <c r="H33" s="13"/>
      <c r="I33" s="13"/>
      <c r="J33" s="13"/>
      <c r="K33" s="49">
        <v>6</v>
      </c>
      <c r="L33" s="6"/>
      <c r="M33" s="6"/>
      <c r="O33" s="6"/>
      <c r="P33" s="6"/>
      <c r="Q33" s="6"/>
    </row>
    <row r="34" spans="1:17" s="5" customFormat="1" x14ac:dyDescent="0.25">
      <c r="A34" s="4">
        <v>25</v>
      </c>
      <c r="B34" s="57" t="s">
        <v>746</v>
      </c>
      <c r="C34" s="13"/>
      <c r="D34" s="13"/>
      <c r="E34" s="13"/>
      <c r="F34" s="13"/>
      <c r="G34" s="13"/>
      <c r="H34" s="13"/>
      <c r="I34" s="13"/>
      <c r="J34" s="13"/>
      <c r="K34" s="49">
        <v>6</v>
      </c>
      <c r="L34" s="6"/>
      <c r="M34" s="6"/>
      <c r="O34" s="6"/>
      <c r="P34" s="6"/>
      <c r="Q34" s="6"/>
    </row>
    <row r="35" spans="1:17" s="5" customFormat="1" x14ac:dyDescent="0.25">
      <c r="A35" s="4">
        <v>26</v>
      </c>
      <c r="B35" s="57" t="s">
        <v>747</v>
      </c>
      <c r="C35" s="13"/>
      <c r="D35" s="13"/>
      <c r="E35" s="13"/>
      <c r="F35" s="13"/>
      <c r="G35" s="13"/>
      <c r="H35" s="13"/>
      <c r="I35" s="13"/>
      <c r="J35" s="13"/>
      <c r="K35" s="49">
        <v>6</v>
      </c>
      <c r="L35" s="6"/>
      <c r="M35" s="6"/>
      <c r="O35" s="6"/>
      <c r="P35" s="6"/>
      <c r="Q35" s="6"/>
    </row>
    <row r="36" spans="1:17" s="5" customFormat="1" x14ac:dyDescent="0.25">
      <c r="A36" s="4">
        <v>27</v>
      </c>
      <c r="B36" s="57" t="s">
        <v>748</v>
      </c>
      <c r="C36" s="13"/>
      <c r="D36" s="13"/>
      <c r="E36" s="13"/>
      <c r="F36" s="13"/>
      <c r="G36" s="13"/>
      <c r="H36" s="13"/>
      <c r="I36" s="13"/>
      <c r="J36" s="13"/>
      <c r="K36" s="49">
        <v>6</v>
      </c>
      <c r="L36" s="6"/>
      <c r="M36" s="6"/>
      <c r="O36" s="6"/>
      <c r="P36" s="6"/>
      <c r="Q36" s="6"/>
    </row>
    <row r="37" spans="1:17" s="5" customFormat="1" x14ac:dyDescent="0.25">
      <c r="A37" s="4">
        <v>28</v>
      </c>
      <c r="B37" s="57" t="s">
        <v>749</v>
      </c>
      <c r="C37" s="13"/>
      <c r="D37" s="13"/>
      <c r="E37" s="13"/>
      <c r="F37" s="13"/>
      <c r="G37" s="13"/>
      <c r="H37" s="13"/>
      <c r="I37" s="13"/>
      <c r="J37" s="13"/>
      <c r="K37" s="49">
        <v>6</v>
      </c>
      <c r="L37" s="6"/>
      <c r="M37" s="6"/>
      <c r="O37" s="6"/>
      <c r="P37" s="6"/>
      <c r="Q37" s="6"/>
    </row>
    <row r="38" spans="1:17" s="5" customFormat="1" x14ac:dyDescent="0.25">
      <c r="A38" s="4">
        <v>29</v>
      </c>
      <c r="B38" s="57" t="s">
        <v>750</v>
      </c>
      <c r="C38" s="13"/>
      <c r="D38" s="13"/>
      <c r="E38" s="13"/>
      <c r="F38" s="13"/>
      <c r="G38" s="13"/>
      <c r="H38" s="13"/>
      <c r="I38" s="13"/>
      <c r="J38" s="13"/>
      <c r="K38" s="49">
        <v>6</v>
      </c>
      <c r="L38" s="6"/>
      <c r="M38" s="6"/>
      <c r="O38" s="6"/>
      <c r="P38" s="6"/>
      <c r="Q38" s="6"/>
    </row>
    <row r="39" spans="1:17" s="5" customFormat="1" x14ac:dyDescent="0.25">
      <c r="A39" s="4">
        <v>30</v>
      </c>
      <c r="B39" s="57" t="s">
        <v>751</v>
      </c>
      <c r="C39" s="13"/>
      <c r="D39" s="13"/>
      <c r="E39" s="13"/>
      <c r="F39" s="13"/>
      <c r="G39" s="13"/>
      <c r="H39" s="13"/>
      <c r="I39" s="13"/>
      <c r="J39" s="13"/>
      <c r="K39" s="49">
        <v>6</v>
      </c>
      <c r="L39" s="6"/>
      <c r="M39" s="6"/>
      <c r="O39" s="6"/>
      <c r="P39" s="6"/>
      <c r="Q39" s="6"/>
    </row>
    <row r="40" spans="1:17" s="5" customFormat="1" x14ac:dyDescent="0.25">
      <c r="A40" s="4">
        <v>31</v>
      </c>
      <c r="B40" s="57" t="s">
        <v>752</v>
      </c>
      <c r="C40" s="13"/>
      <c r="D40" s="13"/>
      <c r="E40" s="13"/>
      <c r="F40" s="13"/>
      <c r="G40" s="13"/>
      <c r="H40" s="13"/>
      <c r="I40" s="13"/>
      <c r="J40" s="13"/>
      <c r="K40" s="49">
        <v>6</v>
      </c>
      <c r="L40" s="6"/>
      <c r="M40" s="6"/>
      <c r="O40" s="6"/>
      <c r="P40" s="6"/>
      <c r="Q40" s="6"/>
    </row>
    <row r="41" spans="1:17" s="5" customFormat="1" x14ac:dyDescent="0.25">
      <c r="A41" s="4">
        <v>32</v>
      </c>
      <c r="B41" s="57" t="s">
        <v>753</v>
      </c>
      <c r="C41" s="13"/>
      <c r="D41" s="13"/>
      <c r="E41" s="13"/>
      <c r="F41" s="13"/>
      <c r="G41" s="13"/>
      <c r="H41" s="13"/>
      <c r="I41" s="13"/>
      <c r="J41" s="13"/>
      <c r="K41" s="49">
        <v>6</v>
      </c>
      <c r="L41" s="6"/>
      <c r="M41" s="6"/>
      <c r="O41" s="6"/>
      <c r="P41" s="6"/>
      <c r="Q41" s="6"/>
    </row>
    <row r="42" spans="1:17" s="5" customFormat="1" x14ac:dyDescent="0.25">
      <c r="A42" s="4">
        <v>33</v>
      </c>
      <c r="B42" s="57" t="s">
        <v>754</v>
      </c>
      <c r="C42" s="13"/>
      <c r="D42" s="13"/>
      <c r="E42" s="13"/>
      <c r="F42" s="13"/>
      <c r="G42" s="13"/>
      <c r="H42" s="13"/>
      <c r="I42" s="13"/>
      <c r="J42" s="13"/>
      <c r="K42" s="49">
        <v>6</v>
      </c>
      <c r="L42" s="6"/>
      <c r="M42" s="6"/>
      <c r="O42" s="6"/>
      <c r="P42" s="6"/>
      <c r="Q42" s="6"/>
    </row>
    <row r="43" spans="1:17" s="5" customFormat="1" ht="15.75" thickBot="1" x14ac:dyDescent="0.3">
      <c r="A43" s="4">
        <v>34</v>
      </c>
      <c r="B43" s="57" t="s">
        <v>755</v>
      </c>
      <c r="C43" s="13"/>
      <c r="D43" s="13"/>
      <c r="E43" s="13"/>
      <c r="F43" s="13"/>
      <c r="G43" s="13"/>
      <c r="H43" s="13"/>
      <c r="I43" s="13"/>
      <c r="J43" s="13"/>
      <c r="K43" s="50">
        <v>6</v>
      </c>
      <c r="L43" s="6"/>
      <c r="M43" s="6"/>
      <c r="O43" s="6"/>
      <c r="P43" s="6"/>
      <c r="Q43" s="6"/>
    </row>
    <row r="44" spans="1:17" s="5" customFormat="1" x14ac:dyDescent="0.25">
      <c r="A44" s="4"/>
      <c r="B44" s="6"/>
      <c r="C44" s="15"/>
      <c r="D44" s="6"/>
      <c r="E44" s="15"/>
      <c r="G44" s="6"/>
      <c r="H44" s="6"/>
      <c r="I44" s="6"/>
      <c r="K44" s="6"/>
      <c r="L44" s="6"/>
      <c r="M44" s="6"/>
      <c r="O44" s="6"/>
      <c r="P44" s="6"/>
      <c r="Q44" s="6"/>
    </row>
    <row r="45" spans="1:17" s="5" customFormat="1" ht="134.25" customHeight="1" x14ac:dyDescent="0.25">
      <c r="A45" s="96" t="s">
        <v>716</v>
      </c>
      <c r="B45" s="96"/>
      <c r="C45" s="96"/>
      <c r="D45" s="96"/>
      <c r="E45" s="96"/>
      <c r="F45" s="96"/>
      <c r="G45" s="96"/>
      <c r="H45" s="96"/>
      <c r="I45" s="96"/>
      <c r="J45" s="96"/>
      <c r="K45" s="96"/>
      <c r="L45" s="96"/>
      <c r="M45" s="96"/>
      <c r="N45" s="96"/>
      <c r="O45" s="96"/>
      <c r="P45" s="96"/>
      <c r="Q45" s="9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row r="53" spans="1:17" s="5" customFormat="1" x14ac:dyDescent="0.25">
      <c r="A53" s="4"/>
      <c r="B53" s="6"/>
      <c r="C53" s="15"/>
      <c r="E53" s="15"/>
      <c r="G53" s="6"/>
      <c r="H53" s="6"/>
      <c r="I53" s="6"/>
      <c r="K53" s="6"/>
      <c r="L53" s="6"/>
      <c r="M53" s="6"/>
      <c r="O53" s="6"/>
      <c r="P53" s="6"/>
      <c r="Q53" s="6"/>
    </row>
    <row r="54" spans="1:17" s="5" customFormat="1" x14ac:dyDescent="0.25">
      <c r="A54" s="4"/>
      <c r="B54" s="6"/>
      <c r="C54" s="15"/>
      <c r="E54" s="15"/>
      <c r="G54" s="6"/>
      <c r="H54" s="6"/>
      <c r="I54" s="6"/>
      <c r="K54" s="6"/>
      <c r="L54" s="6"/>
      <c r="M54" s="6"/>
      <c r="O54" s="6"/>
      <c r="P54" s="6"/>
      <c r="Q54" s="6"/>
    </row>
    <row r="55" spans="1:17" s="5" customFormat="1" x14ac:dyDescent="0.25">
      <c r="A55" s="4"/>
      <c r="B55" s="6"/>
      <c r="C55" s="15"/>
      <c r="E55" s="15"/>
      <c r="G55" s="6"/>
      <c r="H55" s="6"/>
      <c r="I55" s="6"/>
      <c r="K55" s="6"/>
      <c r="L55" s="6"/>
      <c r="M55" s="6"/>
      <c r="O55" s="6"/>
      <c r="P55" s="6"/>
      <c r="Q55" s="6"/>
    </row>
    <row r="56" spans="1:17" s="5" customFormat="1" x14ac:dyDescent="0.25">
      <c r="A56" s="4"/>
      <c r="B56" s="6"/>
      <c r="C56" s="15"/>
      <c r="E56" s="15"/>
      <c r="G56" s="6"/>
      <c r="H56" s="6"/>
      <c r="I56" s="6"/>
      <c r="K56" s="6"/>
      <c r="L56" s="6"/>
      <c r="M56" s="6"/>
      <c r="O56" s="6"/>
      <c r="P56" s="6"/>
      <c r="Q56" s="6"/>
    </row>
    <row r="57" spans="1:17" s="5" customFormat="1" x14ac:dyDescent="0.25">
      <c r="A57" s="4"/>
      <c r="B57" s="6"/>
      <c r="C57" s="15"/>
      <c r="E57" s="15"/>
      <c r="G57" s="6"/>
      <c r="H57" s="6"/>
      <c r="I57" s="6"/>
      <c r="K57" s="6"/>
      <c r="L57" s="6"/>
      <c r="M57" s="6"/>
      <c r="O57" s="6"/>
      <c r="P57" s="6"/>
      <c r="Q57" s="6"/>
    </row>
    <row r="58" spans="1:17" s="5" customFormat="1" x14ac:dyDescent="0.25">
      <c r="A58" s="4"/>
      <c r="B58" s="6"/>
      <c r="C58" s="15"/>
      <c r="E58" s="15"/>
      <c r="G58" s="6"/>
      <c r="H58" s="6"/>
      <c r="I58" s="6"/>
      <c r="K58" s="6"/>
      <c r="L58" s="6"/>
      <c r="M58" s="6"/>
      <c r="O58" s="6"/>
      <c r="P58" s="6"/>
      <c r="Q58" s="6"/>
    </row>
    <row r="59" spans="1:17" s="5" customFormat="1" x14ac:dyDescent="0.25">
      <c r="A59" s="4"/>
      <c r="B59" s="6"/>
      <c r="C59" s="15"/>
      <c r="E59" s="15"/>
      <c r="G59" s="6"/>
      <c r="H59" s="6"/>
      <c r="I59" s="6"/>
      <c r="K59" s="6"/>
      <c r="L59" s="6"/>
      <c r="M59" s="6"/>
      <c r="O59" s="6"/>
      <c r="P59" s="6"/>
      <c r="Q59" s="6"/>
    </row>
    <row r="60" spans="1:17" s="5" customFormat="1" x14ac:dyDescent="0.25">
      <c r="A60" s="4"/>
      <c r="B60" s="6"/>
      <c r="C60" s="15"/>
      <c r="E60" s="15"/>
      <c r="G60" s="6"/>
      <c r="H60" s="6"/>
      <c r="I60" s="6"/>
      <c r="K60" s="6"/>
      <c r="L60" s="6"/>
      <c r="M60" s="6"/>
      <c r="O60" s="6"/>
      <c r="P60" s="6"/>
      <c r="Q60" s="6"/>
    </row>
    <row r="61" spans="1:17" s="5" customFormat="1" x14ac:dyDescent="0.25">
      <c r="A61" s="4"/>
      <c r="B61" s="6"/>
      <c r="C61" s="15"/>
      <c r="E61" s="15"/>
      <c r="G61" s="6"/>
      <c r="H61" s="6"/>
      <c r="I61" s="6"/>
      <c r="K61" s="6"/>
      <c r="L61" s="6"/>
      <c r="M61" s="6"/>
      <c r="O61" s="6"/>
      <c r="P61" s="6"/>
      <c r="Q61" s="6"/>
    </row>
  </sheetData>
  <mergeCells count="7">
    <mergeCell ref="A45:Q45"/>
    <mergeCell ref="G2:I2"/>
    <mergeCell ref="K2:M2"/>
    <mergeCell ref="O2:Q2"/>
    <mergeCell ref="H3:I3"/>
    <mergeCell ref="L3:M3"/>
    <mergeCell ref="P3:Q3"/>
  </mergeCells>
  <pageMargins left="0.7" right="0.7" top="0.75" bottom="0.75" header="0.3" footer="0.3"/>
  <ignoredErrors>
    <ignoredError sqref="B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035C0-E9B0-48C2-9CF3-AD0D2E8CFFEE}">
  <dimension ref="A1:AD70"/>
  <sheetViews>
    <sheetView zoomScale="110" zoomScaleNormal="110" workbookViewId="0">
      <selection activeCell="J23" sqref="J23"/>
    </sheetView>
  </sheetViews>
  <sheetFormatPr defaultRowHeight="15" x14ac:dyDescent="0.25"/>
  <cols>
    <col min="1" max="1" width="17.140625" style="7" customWidth="1"/>
    <col min="2" max="2" width="9.140625" style="8"/>
    <col min="3" max="3" width="2.85546875" style="16" customWidth="1"/>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30" width="9.140625" style="5"/>
  </cols>
  <sheetData>
    <row r="1" spans="1:30" s="17" customFormat="1" ht="21" x14ac:dyDescent="0.35">
      <c r="A1" s="35" t="s">
        <v>65</v>
      </c>
      <c r="B1" s="35"/>
      <c r="C1" s="35"/>
      <c r="D1" s="35"/>
      <c r="E1" s="35"/>
      <c r="F1" s="35"/>
      <c r="G1" s="35"/>
      <c r="H1" s="35"/>
      <c r="I1" s="35"/>
      <c r="J1" s="35"/>
      <c r="K1" s="35"/>
      <c r="L1" s="35"/>
      <c r="M1" s="35"/>
      <c r="N1" s="35"/>
      <c r="O1" s="35"/>
      <c r="P1" s="35"/>
      <c r="Q1" s="35"/>
      <c r="R1" s="18"/>
      <c r="S1" s="18"/>
      <c r="T1" s="18"/>
      <c r="U1" s="18"/>
      <c r="V1" s="18"/>
      <c r="W1" s="18"/>
      <c r="X1" s="18"/>
      <c r="Y1" s="18"/>
      <c r="Z1" s="18"/>
      <c r="AA1" s="18"/>
      <c r="AB1" s="18"/>
      <c r="AC1" s="18"/>
      <c r="AD1" s="18"/>
    </row>
    <row r="2" spans="1:30" x14ac:dyDescent="0.25">
      <c r="A2" s="13" t="s">
        <v>66</v>
      </c>
      <c r="B2" s="6"/>
      <c r="C2" s="15"/>
      <c r="D2" s="5"/>
      <c r="E2" s="15"/>
      <c r="F2" s="5"/>
      <c r="G2" s="97" t="s">
        <v>1</v>
      </c>
      <c r="H2" s="97"/>
      <c r="I2" s="97"/>
      <c r="J2" s="5"/>
      <c r="K2" s="97" t="s">
        <v>2</v>
      </c>
      <c r="L2" s="97"/>
      <c r="M2" s="97"/>
      <c r="N2" s="5"/>
      <c r="O2" s="97" t="s">
        <v>3</v>
      </c>
      <c r="P2" s="97"/>
      <c r="Q2" s="97"/>
    </row>
    <row r="3" spans="1:30" x14ac:dyDescent="0.25">
      <c r="A3" s="4"/>
      <c r="B3" s="6"/>
      <c r="C3" s="15"/>
      <c r="D3" s="5"/>
      <c r="E3" s="15"/>
      <c r="F3" s="5"/>
      <c r="G3" s="6" t="s">
        <v>40</v>
      </c>
      <c r="H3" s="97" t="s">
        <v>67</v>
      </c>
      <c r="I3" s="97"/>
      <c r="J3" s="5"/>
      <c r="K3" s="6" t="s">
        <v>40</v>
      </c>
      <c r="L3" s="97" t="s">
        <v>67</v>
      </c>
      <c r="M3" s="97"/>
      <c r="N3" s="5"/>
      <c r="O3" s="6" t="s">
        <v>40</v>
      </c>
      <c r="P3" s="97" t="s">
        <v>67</v>
      </c>
      <c r="Q3" s="97"/>
    </row>
    <row r="4" spans="1:30" ht="15.75" thickBot="1" x14ac:dyDescent="0.3">
      <c r="A4" s="4" t="s">
        <v>37</v>
      </c>
      <c r="B4" s="6" t="s">
        <v>38</v>
      </c>
      <c r="C4" s="15"/>
      <c r="D4" s="5"/>
      <c r="E4" s="15" t="s">
        <v>39</v>
      </c>
      <c r="F4" s="5"/>
      <c r="G4" s="6"/>
      <c r="H4" s="6" t="s">
        <v>61</v>
      </c>
      <c r="I4" s="6" t="s">
        <v>62</v>
      </c>
      <c r="J4" s="5"/>
      <c r="K4" s="6"/>
      <c r="L4" s="6" t="s">
        <v>61</v>
      </c>
      <c r="M4" s="6" t="s">
        <v>62</v>
      </c>
      <c r="N4" s="5"/>
      <c r="O4" s="6"/>
      <c r="P4" s="6" t="s">
        <v>61</v>
      </c>
      <c r="Q4" s="6" t="s">
        <v>62</v>
      </c>
    </row>
    <row r="5" spans="1:30" x14ac:dyDescent="0.25">
      <c r="A5" s="4" t="s">
        <v>4</v>
      </c>
      <c r="B5" s="6" t="s">
        <v>68</v>
      </c>
      <c r="C5" s="15"/>
      <c r="D5" s="5"/>
      <c r="E5" s="32">
        <v>1</v>
      </c>
      <c r="F5" s="5"/>
      <c r="G5" s="20">
        <f xml:space="preserve"> IF(C5="?","?",IF(E5="","?",31.2+(138.088*E5+24.8858*E5^2)/(1+4.127*E5-0.3096*E5^2)))</f>
        <v>65.030240378627468</v>
      </c>
      <c r="H5" s="23">
        <f>IF(C5="?","?",IF(E5="","?",0+(151.612*E5+437*E5^2)/(1+0.6881*E5+4.553*E5^2)))</f>
        <v>94.312220602137444</v>
      </c>
      <c r="I5" s="24">
        <f>IF(C5="?","?",IF(E5="","?",-0.3+(18.782*E5+28.52*E5^2)/(1-0.2821*E5+0.3361*E5^2)))</f>
        <v>44.578557874762808</v>
      </c>
      <c r="J5" s="5"/>
      <c r="K5" s="20">
        <f>IF(C5="?","?",IF(E5="","?",30.4+(130.994*E5+20.9446*E5^2)/(1+3.852*E5-0.3173*E5^2)))</f>
        <v>63.905766643879417</v>
      </c>
      <c r="L5" s="23">
        <f>IF(C5="?","?",IF(E5="","?",0.6+(190.874*E5+385.8*E5^2)/(1+1.015*E5+4.104*E5^2)))</f>
        <v>94.84317698970419</v>
      </c>
      <c r="M5" s="24">
        <f>IF(C5="?","?",IF(E5="","?",-0.2+(16.844*E5+29.76*E5^2)/(1-0.3449*E5+0.3615*E5^2)))</f>
        <v>45.643006098760573</v>
      </c>
      <c r="N5" s="5"/>
      <c r="O5" s="20">
        <f>IF(C5="?","?",IF(E5="","?",29.5+(178.488*E5+68.32*E5^2)/(1+6.102*E5+0.02072*E5^2)))</f>
        <v>64.15080755666375</v>
      </c>
      <c r="P5" s="23">
        <f>IF(C5="?","?",IF(E5="","?",-0.7+(115.828*E5+487.9*E5^2)/(1+0.3976*E5+4.993*E5^2)))</f>
        <v>93.77125465527493</v>
      </c>
      <c r="Q5" s="24">
        <f>IF(C5="?","?",IF(E5="","?",-0.3+(20.12*E5+27.69*E5^2)/(1-0.2415*E5+0.3195*E5^2)))</f>
        <v>44.050649350649358</v>
      </c>
    </row>
    <row r="6" spans="1:30" x14ac:dyDescent="0.25">
      <c r="A6" s="4" t="s">
        <v>69</v>
      </c>
      <c r="B6" s="6" t="s">
        <v>68</v>
      </c>
      <c r="C6" s="15"/>
      <c r="D6" s="5"/>
      <c r="E6" s="33">
        <v>1</v>
      </c>
      <c r="F6" s="5"/>
      <c r="G6" s="21">
        <f>IF(C5="?","?",IF(E5="","?",42.9+(57.486*E6+11.5304*E6^2)/(1+2.364*E6-0.1768*E6^2)))</f>
        <v>64.554241967871491</v>
      </c>
      <c r="H6" s="25">
        <f>IF(C6="?","?",IF(E6="","?",99.1-EXP(-2.837*(E6-1.6))))</f>
        <v>93.613996667338526</v>
      </c>
      <c r="I6" s="26">
        <f>IF(C6="?","?",IF(E6="","?",-185+286.7/(1+EXP(-1.164*(E6+0.6)))))</f>
        <v>63.160766039794055</v>
      </c>
      <c r="J6" s="5"/>
      <c r="K6" s="21">
        <f>IF(C6="?","?",IF(E6="","?",40.5+(56.047*E6+13.8791*E6^2)/(1+2.414*E6-0.1474*E6^2)))</f>
        <v>61.906385844609076</v>
      </c>
      <c r="L6" s="25">
        <f>IF(C6="?","?",IF(E6="","?",98.9-EXP(-3.236*(E6-1.4))))</f>
        <v>95.251193966395363</v>
      </c>
      <c r="M6" s="26">
        <f>IF(C6="?","?",IF(E6="","?",92.2-4.483*(E6-6.5)+SINH((E6-6.5)/1.194)))</f>
        <v>66.801709658414183</v>
      </c>
      <c r="N6" s="5"/>
      <c r="O6" s="21">
        <f>IF(C6="?","?",IF(E6="","?",52.4-EXP(-4.06*(E6-0.6))+9.587*E6))</f>
        <v>61.78989131463193</v>
      </c>
      <c r="P6" s="25">
        <f>IF(C6="?","?",IF(E6="","?",99.2-EXP(-2.532*(E6-1.8))))</f>
        <v>91.619342024823624</v>
      </c>
      <c r="Q6" s="26">
        <f>IF(C6="?","?",IF(E6="","?",-167.9+270/(1+EXP(-1.115*(E6+0.5)))))</f>
        <v>59.415389902251746</v>
      </c>
    </row>
    <row r="7" spans="1:30" x14ac:dyDescent="0.25">
      <c r="A7" s="4" t="s">
        <v>70</v>
      </c>
      <c r="B7" s="6" t="s">
        <v>68</v>
      </c>
      <c r="C7" s="15"/>
      <c r="D7" s="5"/>
      <c r="E7" s="33">
        <v>1</v>
      </c>
      <c r="F7" s="5"/>
      <c r="G7" s="21">
        <f>IF(C5="?","?",IF(E5="","?",39.4+(37.796*E7-0.3101*E7^2)/(1+0.858*E7-0.1211*E7^2)))</f>
        <v>60.982071506707349</v>
      </c>
      <c r="H7" s="25">
        <f>IF(C7="?","?",IF(E7="","?",-147.5+247.5/(1+EXP(-2.273*(E7+0.2)))))</f>
        <v>84.81234708072256</v>
      </c>
      <c r="I7" s="26">
        <f>IF(C7="?","?",IF(E7="","?",0.8+(23.287*E7+6.823*E7^2)/(1-0.1669*E7+0.1066*E7^2)))</f>
        <v>32.842141108864531</v>
      </c>
      <c r="J7" s="5"/>
      <c r="K7" s="21">
        <f>IF(C7="?","?",IF(E7="","?",37.9+(36.798*E7-0.4592*E7^2)/(1+0.804*E7-0.1134*E7^2)))</f>
        <v>59.394617295634681</v>
      </c>
      <c r="L7" s="25">
        <f>IF(C7="?","?",IF(E7="","?",-194.6+294.5/(1+EXP(-2.208*(E7+0.3)))))</f>
        <v>84.104096519189085</v>
      </c>
      <c r="M7" s="26">
        <f>IF(C7="?","?",IF(E7="","?",-21.3+125.1/(1+EXP(-1.242*(E7-1.2)))))</f>
        <v>33.520990828282521</v>
      </c>
      <c r="N7" s="5"/>
      <c r="O7" s="21">
        <f>IF(C7="?","?",IF(E7="","?",71.3+7.111*(E7-2.3)+SINH((E7-2.3)/0.6524)))</f>
        <v>58.456421841221477</v>
      </c>
      <c r="P7" s="25">
        <f>IF(C7="?","?",IF(E7="","?",-120.1+220.3/(1+EXP(-2.324*(E7+0.1)))))</f>
        <v>84.338906142889471</v>
      </c>
      <c r="Q7" s="26">
        <f>IF(C7="?","?",IF(E7="","?",0.7+(25.39*E7+5.403*E7^2)/(1-0.1501*E7+0.09321*E7^2)))</f>
        <v>33.350486157500185</v>
      </c>
    </row>
    <row r="8" spans="1:30" x14ac:dyDescent="0.25">
      <c r="A8" s="4" t="s">
        <v>71</v>
      </c>
      <c r="B8" s="6" t="s">
        <v>68</v>
      </c>
      <c r="C8" s="15"/>
      <c r="D8" s="5"/>
      <c r="E8" s="33">
        <v>1</v>
      </c>
      <c r="F8" s="5"/>
      <c r="G8" s="21">
        <f>IF(C5="?","?",IF(E5="","?",43.1+(35.368*E8-0.4085*E8^2)/(1+1.025*E8-0.1485*E8^2)))</f>
        <v>61.730162536637366</v>
      </c>
      <c r="H8" s="25">
        <f>IF(C8="?","?",IF(E8="","?",99.5-EXP(-2.116*(E8-2.1))))</f>
        <v>89.246695949830411</v>
      </c>
      <c r="I8" s="26">
        <f>IF(C8="?","?",IF(E8="","?",-107.5+214.7/(1+EXP(-0.8173*(E8+0.1)))))</f>
        <v>45.098052169421607</v>
      </c>
      <c r="J8" s="5"/>
      <c r="K8" s="21">
        <f>IF(C8="?","?",IF(E8="","?",40.8+(34.566*E8-0.8927*E8^2)/(1+0.97*E8-0.1488*E8^2)))</f>
        <v>59.28962222710301</v>
      </c>
      <c r="L8" s="25">
        <f>IF(C8="?","?",IF(E8="","?",99.2-EXP(-2.445*(E8-1.8))))</f>
        <v>92.12901352413796</v>
      </c>
      <c r="M8" s="26">
        <f>IF(C8="?","?",IF(E8="","?",-70+173.3/(1+EXP(-1.047*(E8-0.3)))))</f>
        <v>47.053983309151548</v>
      </c>
      <c r="N8" s="5"/>
      <c r="O8" s="21">
        <f>IF(C8="?","?",IF(E8="","?",53.9-EXP(-2.191*(E8-1.1))+7.595*E8))</f>
        <v>60.250044233960431</v>
      </c>
      <c r="P8" s="25">
        <f>IF(C8="?","?",IF(E8="","?",99.9-EXP(-1.859*(E8-2.4))))</f>
        <v>86.401210699207326</v>
      </c>
      <c r="Q8" s="26">
        <f>IF(C8="?","?",IF(E8="","?",-141.7+253/(1+EXP(-0.6895*(E8+0.4)))))</f>
        <v>41.517969485376739</v>
      </c>
    </row>
    <row r="9" spans="1:30" x14ac:dyDescent="0.25">
      <c r="A9" s="4" t="s">
        <v>72</v>
      </c>
      <c r="B9" s="6" t="s">
        <v>68</v>
      </c>
      <c r="C9" s="15"/>
      <c r="D9" s="5"/>
      <c r="E9" s="33">
        <v>1</v>
      </c>
      <c r="F9" s="5"/>
      <c r="G9" s="21">
        <f>IF(C5="?","?",IF(E5="","?",41.6+(48.565*E9+1.0659*E9^2)/(1+1.505*E9-0.1968*E9^2)))</f>
        <v>63.101992894896455</v>
      </c>
      <c r="H9" s="25">
        <f>IF(C9="?","?",IF(E9="","?",99.3-EXP(-2.388*(E9-1.9))))</f>
        <v>90.722006743117589</v>
      </c>
      <c r="I9" s="26">
        <f>IF(C9="?","?",IF(E9="","?",1.4+(32.608*E9-1.979*E9^2)/(1-0.121*E9+0.03059*E9^2)))</f>
        <v>35.073413296100433</v>
      </c>
      <c r="J9" s="5"/>
      <c r="K9" s="21">
        <f>IF(C9="?","?",IF(E9="","?",40+(48.384*E9+0.1499*E9^2)/(1+1.43*E9-0.1957*E9^2)))</f>
        <v>61.722194870876791</v>
      </c>
      <c r="L9" s="25">
        <f>IF(C9="?","?",IF(E9="","?",98.8-EXP(-2.519*(E9-1.8))))</f>
        <v>91.297772323296243</v>
      </c>
      <c r="M9" s="26">
        <f>IF(C9="?","?",IF(E9="","?",1.1+(26.563*E9+3.885*E9^2)/(1-0.1353*E9+0.07786*E9^2)))</f>
        <v>33.403513834663045</v>
      </c>
      <c r="N9" s="5"/>
      <c r="O9" s="21">
        <f>IF(C9="?","?",IF(E9="","?",54.2+5.09*LN(E9+0.1)+6.653*E9))</f>
        <v>61.338128815204016</v>
      </c>
      <c r="P9" s="25">
        <f>IF(C9="?","?",IF(E9="","?",99.3-EXP(-2.318*(E9-1.9))))</f>
        <v>91.245749214100869</v>
      </c>
      <c r="Q9" s="26">
        <f>IF(C9="?","?",IF(E9="","?",13.9-EXP(0.475*(E9+5.3))+42.102*E9))</f>
        <v>36.066541107630563</v>
      </c>
    </row>
    <row r="10" spans="1:30" x14ac:dyDescent="0.25">
      <c r="A10" s="4" t="s">
        <v>73</v>
      </c>
      <c r="B10" s="6" t="s">
        <v>68</v>
      </c>
      <c r="C10" s="15"/>
      <c r="D10" s="5"/>
      <c r="E10" s="33">
        <v>1</v>
      </c>
      <c r="F10" s="5"/>
      <c r="G10" s="21">
        <f>IF(C5="?","?",IF(E5="","?",43.4+(50.412*E10-1.3118*E10^2)/(1+1.599*E10-0.2306*E10^2)))</f>
        <v>64.131379834487419</v>
      </c>
      <c r="H10" s="25">
        <f>IF(C10="?","?",IF(E10="","?",99.2-EXP(-2.649*(E10-1.7))))</f>
        <v>92.81277437255379</v>
      </c>
      <c r="I10" s="26">
        <f>IF(C10="?","?",IF(E10="","?",-65.2+169.9/(1+EXP(-1.005*(E10-0.4)))))</f>
        <v>44.613566734471988</v>
      </c>
      <c r="J10" s="5"/>
      <c r="K10" s="21">
        <f>IF(C10="?","?",IF(E10="","?",40.7+(48.175*E10-2.3137*E10^2)/(1+1.428*E10-0.2198*E10^2)))</f>
        <v>61.468635087401509</v>
      </c>
      <c r="L10" s="25">
        <f>IF(C10="?","?",IF(E10="","?",99-EXP(-2.975*(E10-1.5))))</f>
        <v>94.573983365418059</v>
      </c>
      <c r="M10" s="26">
        <f>IF(C10="?","?",IF(E10="","?",-49+152/(1+EXP(-1.137*(E10-0.6)))))</f>
        <v>43.990540089767336</v>
      </c>
      <c r="N10" s="5"/>
      <c r="O10" s="21">
        <f>IF(C10="?","?",IF(E10="","?",59.2+14.163*LN(E10+0.3)))</f>
        <v>62.915865077653081</v>
      </c>
      <c r="P10" s="25">
        <f>IF(C10="?","?",IF(E10="","?",99.4-EXP(-2.39*(E10-1.9))))</f>
        <v>90.806552450564567</v>
      </c>
      <c r="Q10" s="26">
        <f>IF(C10="?","?",IF(E10="","?",-75.5+181.4/(1+EXP(-0.9392*(E10-0.3)))))</f>
        <v>43.985474549873686</v>
      </c>
    </row>
    <row r="11" spans="1:30" x14ac:dyDescent="0.25">
      <c r="A11" s="4" t="s">
        <v>74</v>
      </c>
      <c r="B11" s="6" t="s">
        <v>68</v>
      </c>
      <c r="C11" s="15"/>
      <c r="D11" s="5"/>
      <c r="E11" s="33">
        <v>1</v>
      </c>
      <c r="F11" s="5"/>
      <c r="G11" s="21">
        <f>IF(C5="?","?",IF(E5="","?",39.2+(52.901*E11-4.1235*E11^2)/(1+1.133*E11-0.1878*E11^2)))</f>
        <v>64.275827678387827</v>
      </c>
      <c r="H11" s="25">
        <f>IF(C11="?","?",IF(E11="","?",99.8-EXP(-2.564*(E11-1.8))))</f>
        <v>92.022771817239033</v>
      </c>
      <c r="I11" s="26">
        <f>IF(C11="?","?",IF(E11="","?",101.2-EXP(-1.049*(E11-4.4))))</f>
        <v>65.803958211638388</v>
      </c>
      <c r="J11" s="5"/>
      <c r="K11" s="21">
        <f>IF(C11="?","?",IF(E11="","?",38.5+(51.472*E11-5.2409*E11^2)/(1+1.041*E11-0.1917*E11^2)))</f>
        <v>63.499242956794461</v>
      </c>
      <c r="L11" s="25">
        <f>IF(C11="?","?",IF(E11="","?",99.6-EXP(-2.581*(E11-1.8))))</f>
        <v>91.716279004229179</v>
      </c>
      <c r="M11" s="26">
        <f>IF(C11="?","?",IF(E11="","?",-430+530.5/(1+EXP(-1.194*(E11+1.2)))))</f>
        <v>64.726577105065587</v>
      </c>
      <c r="N11" s="5"/>
      <c r="O11" s="21">
        <f>IF(C11="?","?",IF(E11="","?",72.5+6.167*(E11-2.1)+SINH((E11-2.1)/0.5568)))</f>
        <v>62.180259503819222</v>
      </c>
      <c r="P11" s="25">
        <f>IF(C11="?","?",IF(E11="","?",100-EXP(-2.551*(E11-1.8))))</f>
        <v>92.303235852110561</v>
      </c>
      <c r="Q11" s="26">
        <f>IF(C11="?","?",IF(E11="","?",101-EXP(-1.051*(E11-4.4))))</f>
        <v>65.3624449128923</v>
      </c>
    </row>
    <row r="12" spans="1:30" x14ac:dyDescent="0.25">
      <c r="A12" s="4" t="s">
        <v>75</v>
      </c>
      <c r="B12" s="6" t="s">
        <v>68</v>
      </c>
      <c r="C12" s="15"/>
      <c r="D12" s="5"/>
      <c r="E12" s="33">
        <v>1</v>
      </c>
      <c r="F12" s="5"/>
      <c r="G12" s="21">
        <f>IF(C5="?","?",IF(E5="","?",48.2+(62.302*E12+7.565*E12^2)/(1+2.668*E12-0.229*E12^2)))</f>
        <v>68.51608025588834</v>
      </c>
      <c r="H12" s="25">
        <f>IF(C12="?","?",IF(E12="","?",14.9+(801.106*E12)/(1+8.93*E12)))</f>
        <v>95.575327291037269</v>
      </c>
      <c r="I12" s="26">
        <f>IF(C12="?","?",IF(E12="","?",26.8+88.712*LN(E12+0.8)-16.416*E12))</f>
        <v>62.527730616796788</v>
      </c>
      <c r="J12" s="5"/>
      <c r="K12" s="21">
        <f>IF(C12="?","?",IF(E12="","?",44.5+(63.542*E12+9.0716*E12^2)/(1+2.688*E12-0.1982*E12^2)))</f>
        <v>65.307381511834492</v>
      </c>
      <c r="L12" s="25">
        <f>IF(C12="?","?",IF(E12="","?",15.5+(876.322*E12)/(1+9.81*E12)))</f>
        <v>96.565864939870494</v>
      </c>
      <c r="M12" s="26">
        <f>IF(C12="?","?",IF(E12="","?",28.7+90.676*LN(E12+0.8)-17.531*E12))</f>
        <v>64.467143626664551</v>
      </c>
      <c r="N12" s="5"/>
      <c r="O12" s="21">
        <f>IF(C12="?","?",IF(E12="","?",57.2-EXP(-4.016*(E12-0.6))+8.428*E12))</f>
        <v>65.427391493686727</v>
      </c>
      <c r="P12" s="25">
        <f>IF(C12="?","?",IF(E12="","?",14.3+(711.774*E12)/(1+7.84*E12)))</f>
        <v>94.817420814479632</v>
      </c>
      <c r="Q12" s="26">
        <f>IF(C12="?","?",IF(E12="","?",103.1-EXP(-0.83*(E12-5.5))))</f>
        <v>61.211974436897279</v>
      </c>
    </row>
    <row r="13" spans="1:30" x14ac:dyDescent="0.25">
      <c r="A13" s="4" t="s">
        <v>76</v>
      </c>
      <c r="B13" s="6" t="s">
        <v>68</v>
      </c>
      <c r="C13" s="15"/>
      <c r="D13" s="5"/>
      <c r="E13" s="33">
        <v>1</v>
      </c>
      <c r="F13" s="5"/>
      <c r="G13" s="21">
        <f>IF(C5="?","?",IF(E5="","?",40.1+(44.125*E13+10.2484*E13^2)/(1+1.939*E13-0.1374*E13^2)))</f>
        <v>59.507981153626503</v>
      </c>
      <c r="H13" s="25">
        <f>IF(C13="?","?",IF(E13="","?",100.2-EXP(-1.756*(E13-2.6))))</f>
        <v>83.596724419884509</v>
      </c>
      <c r="I13" s="26">
        <f>IF(C13="?","?",IF(E13="","?",-156.6+221.532*LN(E13+2.1)-35.812*E13))</f>
        <v>58.22977256284652</v>
      </c>
      <c r="J13" s="5"/>
      <c r="K13" s="21">
        <f>IF(C13="?","?",IF(E13="","?",39.8+(43.029*E13+8.0488*E13^2)/(1+1.784*E13-0.1473*E13^2)))</f>
        <v>59.171866348086624</v>
      </c>
      <c r="L13" s="25">
        <f>IF(C13="?","?",IF(E13="","?",100.3-EXP(-1.689*(E13-2.7))))</f>
        <v>82.640038766762316</v>
      </c>
      <c r="M13" s="26">
        <f>IF(C13="?","?",IF(E13="","?",-206.1+257.188*LN(E13+2.3)-41.614*E13))</f>
        <v>59.348531821488514</v>
      </c>
      <c r="N13" s="5"/>
      <c r="O13" s="21">
        <f>IF(C13="?","?",IF(E13="","?",40.2+(41.176*E13+2.063*E13^2)/(1+1.616*E13-0.2018*E13^2)))</f>
        <v>58.110280838372965</v>
      </c>
      <c r="P13" s="25">
        <f>IF(C13="?","?",IF(E13="","?",100.1-EXP(-1.825*(E13-2.5))))</f>
        <v>84.651684009877982</v>
      </c>
      <c r="Q13" s="26">
        <f>IF(C13="?","?",IF(E13="","?",107.5-EXP(-0.702*(E13-6.6))))</f>
        <v>56.53189728990602</v>
      </c>
    </row>
    <row r="14" spans="1:30" x14ac:dyDescent="0.25">
      <c r="A14" s="4" t="s">
        <v>77</v>
      </c>
      <c r="B14" s="6" t="s">
        <v>68</v>
      </c>
      <c r="C14" s="15"/>
      <c r="D14" s="5"/>
      <c r="E14" s="33">
        <v>1</v>
      </c>
      <c r="F14" s="5"/>
      <c r="G14" s="21">
        <f>IF(C5="?","?",IF(E5="","?",61.2-EXP(-2.169*(E14-1.2))+8.911*E14))</f>
        <v>68.567889784790822</v>
      </c>
      <c r="H14" s="25">
        <f>IF(C14="?","?",IF(E14="","?",99.5-EXP(-2.881*(E14-1.6))))</f>
        <v>93.867237481781402</v>
      </c>
      <c r="I14" s="26">
        <f>IF(C14="?","?",IF(E14="","?",2.3+(46.842*E14+6.246*E14^2)/(1-0.0542*E14+0.1358*E14^2)))</f>
        <v>51.382840236686391</v>
      </c>
      <c r="J14" s="5"/>
      <c r="K14" s="21">
        <f>IF(C14="?","?",IF(E14="","?",57.9-EXP(-2.02*(E14-1.4))+8.631*E14))</f>
        <v>64.287583336476615</v>
      </c>
      <c r="L14" s="25">
        <f>IF(C14="?","?",IF(E14="","?",99.4-EXP(-2.862*(E14-1.6))))</f>
        <v>93.831086344489975</v>
      </c>
      <c r="M14" s="26">
        <f>IF(C14="?","?",IF(E14="","?",1.7+(40.129*E14+9.473*E14^2)/(1-0.1306*E14+0.1696*E14^2)))</f>
        <v>49.440134744947066</v>
      </c>
      <c r="N14" s="5"/>
      <c r="O14" s="21">
        <f>IF(C14="?","?",IF(E14="","?",23.5+36.211*LN(E14+1.8)))</f>
        <v>60.783548715546914</v>
      </c>
      <c r="P14" s="25">
        <f>IF(C14="?","?",IF(E14="","?",99.4-EXP(-2.919*(E14-1.5))))</f>
        <v>95.096192913263721</v>
      </c>
      <c r="Q14" s="26">
        <f>IF(C14="?","?",IF(E14="","?",2.7+(50.85*E14+4.187*E14^2)/(1-0.01036*E14+0.1149*E14^2)))</f>
        <v>52.527982689626448</v>
      </c>
    </row>
    <row r="15" spans="1:30" ht="15.75" thickBot="1" x14ac:dyDescent="0.3">
      <c r="A15" s="4" t="s">
        <v>79</v>
      </c>
      <c r="B15" s="6" t="s">
        <v>78</v>
      </c>
      <c r="C15" s="37"/>
      <c r="D15" s="38"/>
      <c r="E15" s="39">
        <v>30</v>
      </c>
      <c r="F15" s="5"/>
      <c r="G15" s="22">
        <f>IF(C5="?","?",IF(E5="","?",37.7+(4.541*E15+0.0237*E15^2)/(1+0.139*E15-0.0008*E15^2)))</f>
        <v>73.106741573033702</v>
      </c>
      <c r="H15" s="27">
        <f>IF(C15="?","?",IF(E15="","?",99.7-EXP(-0.153*(E15-29.8))))</f>
        <v>98.730136559126365</v>
      </c>
      <c r="I15" s="28">
        <f>IF(C15="?","?",IF(E15="","?",0.2+(1.355*E15+0.05277*E15^2)/(1-0.01239*E15+0.0006926*E15^2)))</f>
        <v>70.62200632769806</v>
      </c>
      <c r="J15" s="5"/>
      <c r="K15" s="22">
        <f>IF(C15="?","?",IF(E15="","?",36+(4.511*E15+0.0266*E15^2)/(1+0.139*E15-0.0008*E15^2)))</f>
        <v>71.791011235955054</v>
      </c>
      <c r="L15" s="27">
        <f>IF(C15="?","?",IF(E15="","?",99.5-EXP(-0.165*(E15-27.6))))</f>
        <v>98.826993304062611</v>
      </c>
      <c r="M15" s="28">
        <f>IF(C15="?","?",IF(E15="","?",0.4+(1.204*E15+0.06026*E15^2)/(1-0.01551*E15+0.0007937*E15^2)))</f>
        <v>72.739335324211595</v>
      </c>
      <c r="N15" s="5"/>
      <c r="O15" s="22">
        <f>IF(C15="?","?",IF(E15="","?",35.3+7.52*LN(E15+1.2)+0.345*E15))</f>
        <v>71.521944073012079</v>
      </c>
      <c r="P15" s="27">
        <f>IF(C15="?","?",IF(E15="","?",-289.5+388.8/(1+EXP(-0.1693*(E15+6.5)))))</f>
        <v>98.496239831011735</v>
      </c>
      <c r="Q15" s="28">
        <f>IF(C15="?","?",IF(E15="","?",0+(1.455*E15+0.04755*E15^2)/(1-0.01052*E15+0.0006259*E15^2)))</f>
        <v>69.282926321020113</v>
      </c>
    </row>
    <row r="16" spans="1:30" s="31" customFormat="1" ht="15.75" thickBot="1" x14ac:dyDescent="0.3">
      <c r="A16" s="29"/>
      <c r="B16" s="19"/>
      <c r="C16" s="34"/>
      <c r="D16" s="30"/>
      <c r="E16" s="34"/>
      <c r="F16" s="30"/>
      <c r="G16" s="19"/>
      <c r="H16" s="19"/>
      <c r="I16" s="19"/>
      <c r="J16" s="30"/>
      <c r="K16" s="19"/>
      <c r="L16" s="19"/>
      <c r="M16" s="19"/>
      <c r="N16" s="30"/>
      <c r="O16" s="19"/>
      <c r="P16" s="19"/>
      <c r="Q16" s="19"/>
      <c r="R16" s="30"/>
      <c r="S16" s="30"/>
      <c r="T16" s="30"/>
      <c r="U16" s="30"/>
      <c r="V16" s="30"/>
      <c r="W16" s="30"/>
      <c r="X16" s="30"/>
      <c r="Y16" s="30"/>
      <c r="Z16" s="30"/>
      <c r="AA16" s="30"/>
      <c r="AB16" s="30"/>
      <c r="AC16" s="30"/>
      <c r="AD16" s="30"/>
    </row>
    <row r="17" spans="1:17" x14ac:dyDescent="0.25">
      <c r="A17" s="4"/>
      <c r="B17" s="6"/>
      <c r="C17" s="15"/>
      <c r="D17" s="5"/>
      <c r="E17" s="15"/>
      <c r="F17" s="5"/>
      <c r="G17" s="6"/>
      <c r="H17" s="6"/>
      <c r="I17" s="6"/>
      <c r="J17" s="5"/>
      <c r="K17" s="6"/>
      <c r="L17" s="6"/>
      <c r="M17" s="6"/>
      <c r="N17" s="5"/>
      <c r="O17" s="6"/>
      <c r="P17" s="6"/>
      <c r="Q17" s="6"/>
    </row>
    <row r="18" spans="1:17" x14ac:dyDescent="0.25">
      <c r="A18" s="4"/>
      <c r="B18" s="6"/>
      <c r="C18" s="15"/>
      <c r="D18" s="6"/>
      <c r="E18" s="15"/>
      <c r="F18" s="5"/>
      <c r="G18" s="6"/>
      <c r="H18" s="6"/>
      <c r="I18" s="6"/>
      <c r="J18" s="5"/>
      <c r="K18" s="6"/>
      <c r="L18" s="6"/>
      <c r="M18" s="6"/>
      <c r="N18" s="5"/>
      <c r="O18" s="6"/>
      <c r="P18" s="6"/>
      <c r="Q18" s="6"/>
    </row>
    <row r="19" spans="1:17" ht="65.25" customHeight="1" x14ac:dyDescent="0.25">
      <c r="A19" s="96" t="s">
        <v>763</v>
      </c>
      <c r="B19" s="96"/>
      <c r="C19" s="96"/>
      <c r="D19" s="96"/>
      <c r="E19" s="96"/>
      <c r="F19" s="96"/>
      <c r="G19" s="96"/>
      <c r="H19" s="96"/>
      <c r="I19" s="96"/>
      <c r="J19" s="96"/>
      <c r="K19" s="96"/>
      <c r="L19" s="96"/>
      <c r="M19" s="96"/>
      <c r="N19" s="96"/>
      <c r="O19" s="96"/>
      <c r="P19" s="96"/>
      <c r="Q19" s="96"/>
    </row>
    <row r="20" spans="1:17" s="5" customFormat="1" x14ac:dyDescent="0.25">
      <c r="A20" s="4"/>
      <c r="B20" s="6"/>
      <c r="C20" s="15"/>
      <c r="E20" s="15"/>
      <c r="G20" s="6"/>
      <c r="H20" s="6"/>
      <c r="I20" s="6"/>
      <c r="K20" s="6"/>
      <c r="L20" s="6"/>
      <c r="M20" s="6"/>
      <c r="O20" s="6"/>
      <c r="P20" s="6"/>
      <c r="Q20" s="6"/>
    </row>
    <row r="21" spans="1:17" s="5" customFormat="1" x14ac:dyDescent="0.25">
      <c r="A21" s="4"/>
      <c r="B21" s="6"/>
      <c r="C21" s="15"/>
      <c r="E21" s="15"/>
      <c r="G21" s="6"/>
      <c r="H21" s="6"/>
      <c r="I21" s="6"/>
      <c r="K21" s="6"/>
      <c r="L21" s="6"/>
      <c r="M21" s="6"/>
      <c r="O21" s="6"/>
      <c r="P21" s="6"/>
      <c r="Q21" s="6"/>
    </row>
    <row r="22" spans="1:17" s="5" customFormat="1" x14ac:dyDescent="0.25">
      <c r="A22" s="4"/>
      <c r="B22" s="6"/>
      <c r="C22" s="15"/>
      <c r="E22" s="15"/>
      <c r="G22" s="6"/>
      <c r="H22" s="6"/>
      <c r="I22" s="6"/>
      <c r="K22" s="6"/>
      <c r="L22" s="6"/>
      <c r="M22" s="6"/>
      <c r="O22" s="6"/>
      <c r="P22" s="6"/>
      <c r="Q22" s="6"/>
    </row>
    <row r="23" spans="1:17" s="5" customFormat="1" x14ac:dyDescent="0.25">
      <c r="A23" s="4"/>
      <c r="B23" s="6"/>
      <c r="C23" s="15"/>
      <c r="E23" s="15"/>
      <c r="G23" s="6"/>
      <c r="H23" s="6"/>
      <c r="I23" s="6"/>
      <c r="K23" s="6"/>
      <c r="L23" s="6"/>
      <c r="M23" s="6"/>
      <c r="O23" s="6"/>
      <c r="P23" s="6"/>
      <c r="Q23" s="6"/>
    </row>
    <row r="24" spans="1:17" s="5" customFormat="1" x14ac:dyDescent="0.25">
      <c r="A24" s="4"/>
      <c r="B24" s="6"/>
      <c r="C24" s="15"/>
      <c r="E24" s="15"/>
      <c r="G24" s="6"/>
      <c r="H24" s="6"/>
      <c r="I24" s="6"/>
      <c r="K24" s="6"/>
      <c r="L24" s="6"/>
      <c r="M24" s="6"/>
      <c r="O24" s="6"/>
      <c r="P24" s="6"/>
      <c r="Q24" s="6"/>
    </row>
    <row r="25" spans="1:17" s="5" customFormat="1" x14ac:dyDescent="0.25">
      <c r="A25" s="4"/>
      <c r="B25" s="6"/>
      <c r="C25" s="15"/>
      <c r="E25" s="15"/>
      <c r="G25" s="6"/>
      <c r="H25" s="6"/>
      <c r="I25" s="6"/>
      <c r="K25" s="6"/>
      <c r="L25" s="6"/>
      <c r="M25" s="6"/>
      <c r="O25" s="6"/>
      <c r="P25" s="6"/>
      <c r="Q25" s="6"/>
    </row>
    <row r="26" spans="1:17" s="5" customFormat="1" x14ac:dyDescent="0.25">
      <c r="A26" s="4"/>
      <c r="B26" s="6"/>
      <c r="C26" s="15"/>
      <c r="E26" s="15"/>
      <c r="G26" s="6"/>
      <c r="H26" s="6"/>
      <c r="I26" s="6"/>
      <c r="K26" s="6"/>
      <c r="L26" s="6"/>
      <c r="M26" s="6"/>
      <c r="O26" s="6"/>
      <c r="P26" s="6"/>
      <c r="Q26" s="6"/>
    </row>
    <row r="27" spans="1:17" s="5" customFormat="1" x14ac:dyDescent="0.25">
      <c r="A27" s="4"/>
      <c r="B27" s="6"/>
      <c r="C27" s="15"/>
      <c r="E27" s="15"/>
      <c r="G27" s="6"/>
      <c r="H27" s="6"/>
      <c r="I27" s="6"/>
      <c r="K27" s="6"/>
      <c r="L27" s="6"/>
      <c r="M27" s="6"/>
      <c r="O27" s="6"/>
      <c r="P27" s="6"/>
      <c r="Q27" s="6"/>
    </row>
    <row r="28" spans="1:17" s="5" customFormat="1" x14ac:dyDescent="0.25">
      <c r="A28" s="4"/>
      <c r="B28" s="6"/>
      <c r="C28" s="15"/>
      <c r="E28" s="15"/>
      <c r="G28" s="6"/>
      <c r="H28" s="6"/>
      <c r="I28" s="6"/>
      <c r="K28" s="6"/>
      <c r="L28" s="6"/>
      <c r="M28" s="6"/>
      <c r="O28" s="6"/>
      <c r="P28" s="6"/>
      <c r="Q28" s="6"/>
    </row>
    <row r="29" spans="1:17" s="5" customFormat="1" x14ac:dyDescent="0.25">
      <c r="A29" s="4"/>
      <c r="B29" s="6"/>
      <c r="C29" s="15"/>
      <c r="E29" s="15"/>
      <c r="G29" s="6"/>
      <c r="H29" s="6"/>
      <c r="I29" s="6"/>
      <c r="K29" s="6"/>
      <c r="L29" s="6"/>
      <c r="M29" s="6"/>
      <c r="O29" s="6"/>
      <c r="P29" s="6"/>
      <c r="Q29" s="6"/>
    </row>
    <row r="30" spans="1:17" s="5" customFormat="1" x14ac:dyDescent="0.25">
      <c r="A30" s="4"/>
      <c r="B30" s="6"/>
      <c r="C30" s="15"/>
      <c r="E30" s="15"/>
      <c r="G30" s="6"/>
      <c r="H30" s="6"/>
      <c r="I30" s="6"/>
      <c r="K30" s="6"/>
      <c r="L30" s="6"/>
      <c r="M30" s="6"/>
      <c r="O30" s="6"/>
      <c r="P30" s="6"/>
      <c r="Q30" s="6"/>
    </row>
    <row r="31" spans="1:17" s="5" customFormat="1" x14ac:dyDescent="0.25">
      <c r="A31" s="4"/>
      <c r="B31" s="6"/>
      <c r="C31" s="15"/>
      <c r="E31" s="15"/>
      <c r="G31" s="6"/>
      <c r="H31" s="6"/>
      <c r="I31" s="6"/>
      <c r="K31" s="6"/>
      <c r="L31" s="6"/>
      <c r="M31" s="6"/>
      <c r="O31" s="6"/>
      <c r="P31" s="6"/>
      <c r="Q31" s="6"/>
    </row>
    <row r="32" spans="1:17" s="5" customFormat="1" x14ac:dyDescent="0.25">
      <c r="A32" s="4"/>
      <c r="B32" s="6"/>
      <c r="C32" s="15"/>
      <c r="E32" s="15"/>
      <c r="G32" s="6"/>
      <c r="H32" s="6"/>
      <c r="I32" s="6"/>
      <c r="K32" s="6"/>
      <c r="L32" s="6"/>
      <c r="M32" s="6"/>
      <c r="O32" s="6"/>
      <c r="P32" s="6"/>
      <c r="Q32" s="6"/>
    </row>
    <row r="33" spans="1:17" s="5" customFormat="1" x14ac:dyDescent="0.25">
      <c r="A33" s="4"/>
      <c r="B33" s="6"/>
      <c r="C33" s="15"/>
      <c r="E33" s="15"/>
      <c r="G33" s="6"/>
      <c r="H33" s="6"/>
      <c r="I33" s="6"/>
      <c r="K33" s="6"/>
      <c r="L33" s="6"/>
      <c r="M33" s="6"/>
      <c r="O33" s="6"/>
      <c r="P33" s="6"/>
      <c r="Q33" s="6"/>
    </row>
    <row r="34" spans="1:17" s="5" customFormat="1" x14ac:dyDescent="0.25">
      <c r="A34" s="4"/>
      <c r="B34" s="6"/>
      <c r="C34" s="15"/>
      <c r="E34" s="15"/>
      <c r="G34" s="6"/>
      <c r="H34" s="6"/>
      <c r="I34" s="6"/>
      <c r="K34" s="6"/>
      <c r="L34" s="6"/>
      <c r="M34" s="6"/>
      <c r="O34" s="6"/>
      <c r="P34" s="6"/>
      <c r="Q34" s="6"/>
    </row>
    <row r="35" spans="1:17" s="5" customFormat="1" x14ac:dyDescent="0.25">
      <c r="A35" s="4"/>
      <c r="B35" s="6"/>
      <c r="C35" s="15"/>
      <c r="E35" s="15"/>
      <c r="G35" s="6"/>
      <c r="H35" s="6"/>
      <c r="I35" s="6"/>
      <c r="K35" s="6"/>
      <c r="L35" s="6"/>
      <c r="M35" s="6"/>
      <c r="O35" s="6"/>
      <c r="P35" s="6"/>
      <c r="Q35" s="6"/>
    </row>
    <row r="36" spans="1:17" s="5" customFormat="1" x14ac:dyDescent="0.25">
      <c r="A36" s="4"/>
      <c r="B36" s="6"/>
      <c r="C36" s="15"/>
      <c r="E36" s="15"/>
      <c r="G36" s="6"/>
      <c r="H36" s="6"/>
      <c r="I36" s="6"/>
      <c r="K36" s="6"/>
      <c r="L36" s="6"/>
      <c r="M36" s="6"/>
      <c r="O36" s="6"/>
      <c r="P36" s="6"/>
      <c r="Q36" s="6"/>
    </row>
    <row r="37" spans="1:17" s="5" customFormat="1" x14ac:dyDescent="0.25">
      <c r="A37" s="4"/>
      <c r="B37" s="6"/>
      <c r="C37" s="15"/>
      <c r="E37" s="15"/>
      <c r="G37" s="6"/>
      <c r="H37" s="6"/>
      <c r="I37" s="6"/>
      <c r="K37" s="6"/>
      <c r="L37" s="6"/>
      <c r="M37" s="6"/>
      <c r="O37" s="6"/>
      <c r="P37" s="6"/>
      <c r="Q37" s="6"/>
    </row>
    <row r="38" spans="1:17" s="5" customFormat="1" x14ac:dyDescent="0.25">
      <c r="A38" s="4"/>
      <c r="B38" s="6"/>
      <c r="C38" s="15"/>
      <c r="E38" s="15"/>
      <c r="G38" s="6"/>
      <c r="H38" s="6"/>
      <c r="I38" s="6"/>
      <c r="K38" s="6"/>
      <c r="L38" s="6"/>
      <c r="M38" s="6"/>
      <c r="O38" s="6"/>
      <c r="P38" s="6"/>
      <c r="Q38" s="6"/>
    </row>
    <row r="39" spans="1:17" s="5" customFormat="1" x14ac:dyDescent="0.25">
      <c r="A39" s="4"/>
      <c r="B39" s="6"/>
      <c r="C39" s="15"/>
      <c r="E39" s="15"/>
      <c r="G39" s="6"/>
      <c r="H39" s="6"/>
      <c r="I39" s="6"/>
      <c r="K39" s="6"/>
      <c r="L39" s="6"/>
      <c r="M39" s="6"/>
      <c r="O39" s="6"/>
      <c r="P39" s="6"/>
      <c r="Q39" s="6"/>
    </row>
    <row r="40" spans="1:17" s="5" customFormat="1" x14ac:dyDescent="0.25">
      <c r="A40" s="4"/>
      <c r="B40" s="6"/>
      <c r="C40" s="15"/>
      <c r="E40" s="15"/>
      <c r="G40" s="6"/>
      <c r="H40" s="6"/>
      <c r="I40" s="6"/>
      <c r="K40" s="6"/>
      <c r="L40" s="6"/>
      <c r="M40" s="6"/>
      <c r="O40" s="6"/>
      <c r="P40" s="6"/>
      <c r="Q40" s="6"/>
    </row>
    <row r="41" spans="1:17" s="5" customFormat="1" x14ac:dyDescent="0.25">
      <c r="A41" s="4"/>
      <c r="B41" s="6"/>
      <c r="C41" s="15"/>
      <c r="E41" s="15"/>
      <c r="G41" s="6"/>
      <c r="H41" s="6"/>
      <c r="I41" s="6"/>
      <c r="K41" s="6"/>
      <c r="L41" s="6"/>
      <c r="M41" s="6"/>
      <c r="O41" s="6"/>
      <c r="P41" s="6"/>
      <c r="Q41" s="6"/>
    </row>
    <row r="42" spans="1:17" s="5" customFormat="1" x14ac:dyDescent="0.25">
      <c r="A42" s="4"/>
      <c r="B42" s="6"/>
      <c r="C42" s="15"/>
      <c r="E42" s="15"/>
      <c r="G42" s="6"/>
      <c r="H42" s="6"/>
      <c r="I42" s="6"/>
      <c r="K42" s="6"/>
      <c r="L42" s="6"/>
      <c r="M42" s="6"/>
      <c r="O42" s="6"/>
      <c r="P42" s="6"/>
      <c r="Q42" s="6"/>
    </row>
    <row r="43" spans="1:17" s="5" customFormat="1" x14ac:dyDescent="0.25">
      <c r="A43" s="4"/>
      <c r="B43" s="6"/>
      <c r="C43" s="15"/>
      <c r="E43" s="15"/>
      <c r="G43" s="6"/>
      <c r="H43" s="6"/>
      <c r="I43" s="6"/>
      <c r="K43" s="6"/>
      <c r="L43" s="6"/>
      <c r="M43" s="6"/>
      <c r="O43" s="6"/>
      <c r="P43" s="6"/>
      <c r="Q43" s="6"/>
    </row>
    <row r="44" spans="1:17" s="5" customFormat="1" x14ac:dyDescent="0.25">
      <c r="A44" s="4"/>
      <c r="B44" s="6"/>
      <c r="C44" s="15"/>
      <c r="E44" s="15"/>
      <c r="G44" s="6"/>
      <c r="H44" s="6"/>
      <c r="I44" s="6"/>
      <c r="K44" s="6"/>
      <c r="L44" s="6"/>
      <c r="M44" s="6"/>
      <c r="O44" s="6"/>
      <c r="P44" s="6"/>
      <c r="Q44" s="6"/>
    </row>
    <row r="45" spans="1:17" s="5" customFormat="1" x14ac:dyDescent="0.25">
      <c r="A45" s="4"/>
      <c r="B45" s="6"/>
      <c r="C45" s="15"/>
      <c r="E45" s="15"/>
      <c r="G45" s="6"/>
      <c r="H45" s="6"/>
      <c r="I45" s="6"/>
      <c r="K45" s="6"/>
      <c r="L45" s="6"/>
      <c r="M45" s="6"/>
      <c r="O45" s="6"/>
      <c r="P45" s="6"/>
      <c r="Q45" s="6"/>
    </row>
    <row r="46" spans="1:17" s="5" customFormat="1" x14ac:dyDescent="0.25">
      <c r="A46" s="4"/>
      <c r="B46" s="6"/>
      <c r="C46" s="15"/>
      <c r="E46" s="15"/>
      <c r="G46" s="6"/>
      <c r="H46" s="6"/>
      <c r="I46" s="6"/>
      <c r="K46" s="6"/>
      <c r="L46" s="6"/>
      <c r="M46" s="6"/>
      <c r="O46" s="6"/>
      <c r="P46" s="6"/>
      <c r="Q46" s="6"/>
    </row>
    <row r="47" spans="1:17" s="5" customFormat="1" x14ac:dyDescent="0.25">
      <c r="A47" s="4"/>
      <c r="B47" s="6"/>
      <c r="C47" s="15"/>
      <c r="E47" s="15"/>
      <c r="G47" s="6"/>
      <c r="H47" s="6"/>
      <c r="I47" s="6"/>
      <c r="K47" s="6"/>
      <c r="L47" s="6"/>
      <c r="M47" s="6"/>
      <c r="O47" s="6"/>
      <c r="P47" s="6"/>
      <c r="Q47" s="6"/>
    </row>
    <row r="48" spans="1:17" s="5" customFormat="1" x14ac:dyDescent="0.25">
      <c r="A48" s="4"/>
      <c r="B48" s="6"/>
      <c r="C48" s="15"/>
      <c r="E48" s="15"/>
      <c r="G48" s="6"/>
      <c r="H48" s="6"/>
      <c r="I48" s="6"/>
      <c r="K48" s="6"/>
      <c r="L48" s="6"/>
      <c r="M48" s="6"/>
      <c r="O48" s="6"/>
      <c r="P48" s="6"/>
      <c r="Q48" s="6"/>
    </row>
    <row r="49" spans="1:17" s="5" customFormat="1" x14ac:dyDescent="0.25">
      <c r="A49" s="4"/>
      <c r="B49" s="6"/>
      <c r="C49" s="15"/>
      <c r="E49" s="15"/>
      <c r="G49" s="6"/>
      <c r="H49" s="6"/>
      <c r="I49" s="6"/>
      <c r="K49" s="6"/>
      <c r="L49" s="6"/>
      <c r="M49" s="6"/>
      <c r="O49" s="6"/>
      <c r="P49" s="6"/>
      <c r="Q49" s="6"/>
    </row>
    <row r="50" spans="1:17" s="5" customFormat="1" x14ac:dyDescent="0.25">
      <c r="A50" s="4"/>
      <c r="B50" s="6"/>
      <c r="C50" s="15"/>
      <c r="E50" s="15"/>
      <c r="G50" s="6"/>
      <c r="H50" s="6"/>
      <c r="I50" s="6"/>
      <c r="K50" s="6"/>
      <c r="L50" s="6"/>
      <c r="M50" s="6"/>
      <c r="O50" s="6"/>
      <c r="P50" s="6"/>
      <c r="Q50" s="6"/>
    </row>
    <row r="51" spans="1:17" s="5" customFormat="1" x14ac:dyDescent="0.25">
      <c r="A51" s="4"/>
      <c r="B51" s="6"/>
      <c r="C51" s="15"/>
      <c r="E51" s="15"/>
      <c r="G51" s="6"/>
      <c r="H51" s="6"/>
      <c r="I51" s="6"/>
      <c r="K51" s="6"/>
      <c r="L51" s="6"/>
      <c r="M51" s="6"/>
      <c r="O51" s="6"/>
      <c r="P51" s="6"/>
      <c r="Q51" s="6"/>
    </row>
    <row r="52" spans="1:17" s="5" customFormat="1" x14ac:dyDescent="0.25">
      <c r="A52" s="4"/>
      <c r="B52" s="6"/>
      <c r="C52" s="15"/>
      <c r="E52" s="15"/>
      <c r="G52" s="6"/>
      <c r="H52" s="6"/>
      <c r="I52" s="6"/>
      <c r="K52" s="6"/>
      <c r="L52" s="6"/>
      <c r="M52" s="6"/>
      <c r="O52" s="6"/>
      <c r="P52" s="6"/>
      <c r="Q52" s="6"/>
    </row>
    <row r="53" spans="1:17" s="5" customFormat="1" x14ac:dyDescent="0.25">
      <c r="A53" s="4"/>
      <c r="B53" s="6"/>
      <c r="C53" s="15"/>
      <c r="E53" s="15"/>
      <c r="G53" s="6"/>
      <c r="H53" s="6"/>
      <c r="I53" s="6"/>
      <c r="K53" s="6"/>
      <c r="L53" s="6"/>
      <c r="M53" s="6"/>
      <c r="O53" s="6"/>
      <c r="P53" s="6"/>
      <c r="Q53" s="6"/>
    </row>
    <row r="54" spans="1:17" s="5" customFormat="1" x14ac:dyDescent="0.25">
      <c r="A54" s="4"/>
      <c r="B54" s="6"/>
      <c r="C54" s="15"/>
      <c r="E54" s="15"/>
      <c r="G54" s="6"/>
      <c r="H54" s="6"/>
      <c r="I54" s="6"/>
      <c r="K54" s="6"/>
      <c r="L54" s="6"/>
      <c r="M54" s="6"/>
      <c r="O54" s="6"/>
      <c r="P54" s="6"/>
      <c r="Q54" s="6"/>
    </row>
    <row r="55" spans="1:17" s="5" customFormat="1" x14ac:dyDescent="0.25">
      <c r="A55" s="4"/>
      <c r="B55" s="6"/>
      <c r="C55" s="15"/>
      <c r="E55" s="15"/>
      <c r="G55" s="6"/>
      <c r="H55" s="6"/>
      <c r="I55" s="6"/>
      <c r="K55" s="6"/>
      <c r="L55" s="6"/>
      <c r="M55" s="6"/>
      <c r="O55" s="6"/>
      <c r="P55" s="6"/>
      <c r="Q55" s="6"/>
    </row>
    <row r="56" spans="1:17" s="5" customFormat="1" x14ac:dyDescent="0.25">
      <c r="A56" s="4"/>
      <c r="B56" s="6"/>
      <c r="C56" s="15"/>
      <c r="E56" s="15"/>
      <c r="G56" s="6"/>
      <c r="H56" s="6"/>
      <c r="I56" s="6"/>
      <c r="K56" s="6"/>
      <c r="L56" s="6"/>
      <c r="M56" s="6"/>
      <c r="O56" s="6"/>
      <c r="P56" s="6"/>
      <c r="Q56" s="6"/>
    </row>
    <row r="57" spans="1:17" s="5" customFormat="1" x14ac:dyDescent="0.25">
      <c r="A57" s="4"/>
      <c r="B57" s="6"/>
      <c r="C57" s="15"/>
      <c r="E57" s="15"/>
      <c r="G57" s="6"/>
      <c r="H57" s="6"/>
      <c r="I57" s="6"/>
      <c r="K57" s="6"/>
      <c r="L57" s="6"/>
      <c r="M57" s="6"/>
      <c r="O57" s="6"/>
      <c r="P57" s="6"/>
      <c r="Q57" s="6"/>
    </row>
    <row r="58" spans="1:17" s="5" customFormat="1" x14ac:dyDescent="0.25">
      <c r="A58" s="4"/>
      <c r="B58" s="6"/>
      <c r="C58" s="15"/>
      <c r="E58" s="15"/>
      <c r="G58" s="6"/>
      <c r="H58" s="6"/>
      <c r="I58" s="6"/>
      <c r="K58" s="6"/>
      <c r="L58" s="6"/>
      <c r="M58" s="6"/>
      <c r="O58" s="6"/>
      <c r="P58" s="6"/>
      <c r="Q58" s="6"/>
    </row>
    <row r="59" spans="1:17" s="5" customFormat="1" x14ac:dyDescent="0.25">
      <c r="A59" s="4"/>
      <c r="B59" s="6"/>
      <c r="C59" s="15"/>
      <c r="E59" s="15"/>
      <c r="G59" s="6"/>
      <c r="H59" s="6"/>
      <c r="I59" s="6"/>
      <c r="K59" s="6"/>
      <c r="L59" s="6"/>
      <c r="M59" s="6"/>
      <c r="O59" s="6"/>
      <c r="P59" s="6"/>
      <c r="Q59" s="6"/>
    </row>
    <row r="60" spans="1:17" s="5" customFormat="1" x14ac:dyDescent="0.25">
      <c r="A60" s="4"/>
      <c r="B60" s="6"/>
      <c r="C60" s="15"/>
      <c r="E60" s="15"/>
      <c r="G60" s="6"/>
      <c r="H60" s="6"/>
      <c r="I60" s="6"/>
      <c r="K60" s="6"/>
      <c r="L60" s="6"/>
      <c r="M60" s="6"/>
      <c r="O60" s="6"/>
      <c r="P60" s="6"/>
      <c r="Q60" s="6"/>
    </row>
    <row r="61" spans="1:17" s="5" customFormat="1" x14ac:dyDescent="0.25">
      <c r="A61" s="4"/>
      <c r="B61" s="6"/>
      <c r="C61" s="15"/>
      <c r="E61" s="15"/>
      <c r="G61" s="6"/>
      <c r="H61" s="6"/>
      <c r="I61" s="6"/>
      <c r="K61" s="6"/>
      <c r="L61" s="6"/>
      <c r="M61" s="6"/>
      <c r="O61" s="6"/>
      <c r="P61" s="6"/>
      <c r="Q61" s="6"/>
    </row>
    <row r="62" spans="1:17" s="5" customFormat="1" x14ac:dyDescent="0.25">
      <c r="A62" s="4"/>
      <c r="B62" s="6"/>
      <c r="C62" s="15"/>
      <c r="E62" s="15"/>
      <c r="G62" s="6"/>
      <c r="H62" s="6"/>
      <c r="I62" s="6"/>
      <c r="K62" s="6"/>
      <c r="L62" s="6"/>
      <c r="M62" s="6"/>
      <c r="O62" s="6"/>
      <c r="P62" s="6"/>
      <c r="Q62" s="6"/>
    </row>
    <row r="63" spans="1:17" s="5" customFormat="1" x14ac:dyDescent="0.25">
      <c r="A63" s="4"/>
      <c r="B63" s="6"/>
      <c r="C63" s="15"/>
      <c r="E63" s="15"/>
      <c r="G63" s="6"/>
      <c r="H63" s="6"/>
      <c r="I63" s="6"/>
      <c r="K63" s="6"/>
      <c r="L63" s="6"/>
      <c r="M63" s="6"/>
      <c r="O63" s="6"/>
      <c r="P63" s="6"/>
      <c r="Q63" s="6"/>
    </row>
    <row r="64" spans="1:17" s="5" customFormat="1" x14ac:dyDescent="0.25">
      <c r="A64" s="4"/>
      <c r="B64" s="6"/>
      <c r="C64" s="15"/>
      <c r="E64" s="15"/>
      <c r="G64" s="6"/>
      <c r="H64" s="6"/>
      <c r="I64" s="6"/>
      <c r="K64" s="6"/>
      <c r="L64" s="6"/>
      <c r="M64" s="6"/>
      <c r="O64" s="6"/>
      <c r="P64" s="6"/>
      <c r="Q64" s="6"/>
    </row>
    <row r="65" spans="1:17" s="5" customFormat="1" x14ac:dyDescent="0.25">
      <c r="A65" s="4"/>
      <c r="B65" s="6"/>
      <c r="C65" s="15"/>
      <c r="E65" s="15"/>
      <c r="G65" s="6"/>
      <c r="H65" s="6"/>
      <c r="I65" s="6"/>
      <c r="K65" s="6"/>
      <c r="L65" s="6"/>
      <c r="M65" s="6"/>
      <c r="O65" s="6"/>
      <c r="P65" s="6"/>
      <c r="Q65" s="6"/>
    </row>
    <row r="66" spans="1:17" s="5" customFormat="1" x14ac:dyDescent="0.25">
      <c r="A66" s="4"/>
      <c r="B66" s="6"/>
      <c r="C66" s="15"/>
      <c r="E66" s="15"/>
      <c r="G66" s="6"/>
      <c r="H66" s="6"/>
      <c r="I66" s="6"/>
      <c r="K66" s="6"/>
      <c r="L66" s="6"/>
      <c r="M66" s="6"/>
      <c r="O66" s="6"/>
      <c r="P66" s="6"/>
      <c r="Q66" s="6"/>
    </row>
    <row r="67" spans="1:17" s="5" customFormat="1" x14ac:dyDescent="0.25">
      <c r="A67" s="4"/>
      <c r="B67" s="6"/>
      <c r="C67" s="15"/>
      <c r="E67" s="15"/>
      <c r="G67" s="6"/>
      <c r="H67" s="6"/>
      <c r="I67" s="6"/>
      <c r="K67" s="6"/>
      <c r="L67" s="6"/>
      <c r="M67" s="6"/>
      <c r="O67" s="6"/>
      <c r="P67" s="6"/>
      <c r="Q67" s="6"/>
    </row>
    <row r="68" spans="1:17" s="5" customFormat="1" x14ac:dyDescent="0.25">
      <c r="A68" s="4"/>
      <c r="B68" s="6"/>
      <c r="C68" s="15"/>
      <c r="E68" s="15"/>
      <c r="G68" s="6"/>
      <c r="H68" s="6"/>
      <c r="I68" s="6"/>
      <c r="K68" s="6"/>
      <c r="L68" s="6"/>
      <c r="M68" s="6"/>
      <c r="O68" s="6"/>
      <c r="P68" s="6"/>
      <c r="Q68" s="6"/>
    </row>
    <row r="69" spans="1:17" s="5" customFormat="1" x14ac:dyDescent="0.25">
      <c r="A69" s="4"/>
      <c r="B69" s="6"/>
      <c r="C69" s="15"/>
      <c r="E69" s="15"/>
      <c r="G69" s="6"/>
      <c r="H69" s="6"/>
      <c r="I69" s="6"/>
      <c r="K69" s="6"/>
      <c r="L69" s="6"/>
      <c r="M69" s="6"/>
      <c r="O69" s="6"/>
      <c r="P69" s="6"/>
      <c r="Q69" s="6"/>
    </row>
    <row r="70" spans="1:17" s="5" customFormat="1" x14ac:dyDescent="0.25">
      <c r="A70" s="4"/>
      <c r="B70" s="6"/>
      <c r="C70" s="15"/>
      <c r="E70" s="15"/>
      <c r="G70" s="6"/>
      <c r="H70" s="6"/>
      <c r="I70" s="6"/>
      <c r="K70" s="6"/>
      <c r="L70" s="6"/>
      <c r="M70" s="6"/>
      <c r="O70" s="6"/>
      <c r="P70" s="6"/>
      <c r="Q70" s="6"/>
    </row>
  </sheetData>
  <mergeCells count="7">
    <mergeCell ref="A19:Q19"/>
    <mergeCell ref="G2:I2"/>
    <mergeCell ref="K2:M2"/>
    <mergeCell ref="O2:Q2"/>
    <mergeCell ref="H3:I3"/>
    <mergeCell ref="L3:M3"/>
    <mergeCell ref="P3:Q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B9CB5-E5BE-4DF8-B1BC-0B3BD0657781}">
  <dimension ref="A1:Y50"/>
  <sheetViews>
    <sheetView topLeftCell="A17" zoomScale="130" zoomScaleNormal="130" workbookViewId="0">
      <selection activeCell="E5" sqref="E5"/>
    </sheetView>
  </sheetViews>
  <sheetFormatPr defaultRowHeight="15" x14ac:dyDescent="0.25"/>
  <cols>
    <col min="1" max="1" width="17.140625" style="7" customWidth="1"/>
    <col min="2" max="2" width="9.140625" style="8"/>
    <col min="3" max="3" width="9.140625" style="16"/>
    <col min="4" max="4" width="3" customWidth="1"/>
    <col min="5" max="5" width="8.140625" style="16" customWidth="1"/>
    <col min="6" max="6" width="3.28515625" customWidth="1"/>
    <col min="7" max="7" width="7.85546875" style="8" customWidth="1"/>
    <col min="8" max="8" width="7.28515625" style="8" customWidth="1"/>
    <col min="9" max="9" width="6.28515625" style="8" customWidth="1"/>
    <col min="10" max="10" width="3.42578125" customWidth="1"/>
    <col min="11" max="11" width="7.5703125" style="8" customWidth="1"/>
    <col min="12" max="12" width="6.7109375" style="8" customWidth="1"/>
    <col min="13" max="13" width="6.28515625" style="8" customWidth="1"/>
    <col min="14" max="14" width="3.28515625" customWidth="1"/>
    <col min="15" max="15" width="7.85546875" style="8" customWidth="1"/>
    <col min="16" max="16" width="6.42578125" style="8" customWidth="1"/>
    <col min="17" max="17" width="7" style="8" customWidth="1"/>
    <col min="18" max="25" width="9.140625" style="5"/>
  </cols>
  <sheetData>
    <row r="1" spans="1:25" s="17" customFormat="1" ht="21" x14ac:dyDescent="0.35">
      <c r="A1" s="35" t="s">
        <v>276</v>
      </c>
      <c r="B1" s="35"/>
      <c r="C1" s="35"/>
      <c r="D1" s="35"/>
      <c r="E1" s="35"/>
      <c r="F1" s="35"/>
      <c r="G1" s="35"/>
      <c r="H1" s="35"/>
      <c r="I1" s="35"/>
      <c r="J1" s="35"/>
      <c r="K1" s="35"/>
      <c r="L1" s="35"/>
      <c r="M1" s="35"/>
      <c r="N1" s="35"/>
      <c r="O1" s="35"/>
      <c r="P1" s="35"/>
      <c r="Q1" s="35"/>
      <c r="R1" s="18"/>
      <c r="S1" s="18"/>
      <c r="T1" s="18"/>
      <c r="U1" s="18"/>
      <c r="V1" s="18"/>
      <c r="W1" s="18"/>
      <c r="X1" s="18"/>
      <c r="Y1" s="18"/>
    </row>
    <row r="2" spans="1:25" x14ac:dyDescent="0.25">
      <c r="A2" s="13" t="s">
        <v>250</v>
      </c>
      <c r="B2" s="6"/>
      <c r="C2" s="15"/>
      <c r="D2" s="5"/>
      <c r="E2" s="15"/>
      <c r="F2" s="5"/>
      <c r="G2" s="97" t="s">
        <v>1</v>
      </c>
      <c r="H2" s="97"/>
      <c r="I2" s="97"/>
      <c r="J2" s="5"/>
      <c r="K2" s="97" t="s">
        <v>2</v>
      </c>
      <c r="L2" s="97"/>
      <c r="M2" s="97"/>
      <c r="N2" s="5"/>
      <c r="O2" s="97" t="s">
        <v>3</v>
      </c>
      <c r="P2" s="97"/>
      <c r="Q2" s="97"/>
    </row>
    <row r="3" spans="1:25" x14ac:dyDescent="0.25">
      <c r="A3" s="4"/>
      <c r="B3" s="6"/>
      <c r="C3" s="15"/>
      <c r="D3" s="5"/>
      <c r="E3" s="15"/>
      <c r="F3" s="5"/>
      <c r="G3" s="6" t="s">
        <v>40</v>
      </c>
      <c r="H3" s="97" t="s">
        <v>67</v>
      </c>
      <c r="I3" s="97"/>
      <c r="J3" s="5"/>
      <c r="K3" s="6" t="s">
        <v>40</v>
      </c>
      <c r="L3" s="97" t="s">
        <v>67</v>
      </c>
      <c r="M3" s="97"/>
      <c r="N3" s="5"/>
      <c r="O3" s="6" t="s">
        <v>40</v>
      </c>
      <c r="P3" s="97" t="s">
        <v>67</v>
      </c>
      <c r="Q3" s="97"/>
    </row>
    <row r="4" spans="1:25" ht="15.75" thickBot="1" x14ac:dyDescent="0.3">
      <c r="A4" s="4" t="s">
        <v>37</v>
      </c>
      <c r="B4" s="6" t="s">
        <v>38</v>
      </c>
      <c r="C4" s="15" t="s">
        <v>64</v>
      </c>
      <c r="D4" s="5"/>
      <c r="E4" s="15" t="s">
        <v>39</v>
      </c>
      <c r="F4" s="5"/>
      <c r="G4" s="6"/>
      <c r="H4" s="6" t="s">
        <v>61</v>
      </c>
      <c r="I4" s="6" t="s">
        <v>62</v>
      </c>
      <c r="J4" s="5"/>
      <c r="K4" s="6"/>
      <c r="L4" s="6" t="s">
        <v>61</v>
      </c>
      <c r="M4" s="6" t="s">
        <v>62</v>
      </c>
      <c r="N4" s="5"/>
      <c r="O4" s="6"/>
      <c r="P4" s="6" t="s">
        <v>61</v>
      </c>
      <c r="Q4" s="6" t="s">
        <v>62</v>
      </c>
    </row>
    <row r="5" spans="1:25" x14ac:dyDescent="0.25">
      <c r="A5" s="4" t="s">
        <v>4</v>
      </c>
      <c r="B5" s="6" t="s">
        <v>277</v>
      </c>
      <c r="C5" s="37">
        <f>IF(COUNTBLANK($K$12:$K$32)=0,SUM($K$19:$K$39),IF(ISNUMBER($E5),$E5,"?"))</f>
        <v>28</v>
      </c>
      <c r="D5" s="5"/>
      <c r="E5" s="54">
        <v>28</v>
      </c>
      <c r="F5" s="5"/>
      <c r="G5" s="20">
        <f>IF(C5="?","?",IF(E5="","?",33.8+(1.816*E5+0.001037*E5^2)/(1+0.05628*E5-0.0002446*E5^2)))</f>
        <v>55.469216923504376</v>
      </c>
      <c r="H5" s="23">
        <f>IF(C5="?","?",IF(E5="","?",1.8+(3.396*E5+0.0749*E5^2)/(1+0.01853*E5+0.0008261*E5^2)))</f>
        <v>72.79442862375781</v>
      </c>
      <c r="I5" s="24">
        <f>IF(C5="?","?",IF(E5="","?",0.8+(0.827*E5+0.004853*E5^2)/(1-0.00699*E5+0.0001078*E5^2)))</f>
        <v>31.134043208154139</v>
      </c>
      <c r="J5" s="5"/>
      <c r="K5" s="20">
        <f>IF(C5="?","?",IF(E5="","?",33.9+(1.752*E5-0.0009304*E5^2)/(1+0.05036*E5-0.0002433*E5^2)))</f>
        <v>55.675267954405037</v>
      </c>
      <c r="L5" s="23">
        <f>IF(C5="?","?",IF(E5="","?",-647.1+(747.2/(1+EXP(-0.05548*(E5+34.17))))))</f>
        <v>77.091487795221838</v>
      </c>
      <c r="M5" s="24">
        <f>IF(C5="?","?",IF(E5="","?",0.9+(0.882*E5+0.004804*E5^2)/(1-0.00677*E5+0.0001101*E5^2)))</f>
        <v>32.639135089228041</v>
      </c>
      <c r="N5" s="5"/>
      <c r="O5" s="20">
        <f>IF(C5="?","?",IF(E5="","?",33.8+(1.839*E5+0.001769*E5^2)/(1+0.05854*E5-0.0002452*E5^2)))</f>
        <v>55.410715215176594</v>
      </c>
      <c r="P5" s="23">
        <f>IF(C5="?","?",IF(E5="","?",1.4+(2.947*E5+0.07861*E5^2)/(1+0.01452*E5+0.0008533*E5^2)))</f>
        <v>70.84975281699208</v>
      </c>
      <c r="Q5" s="24">
        <f>IF(C5="?","?",IF(E5="","?",0.5+(0.67*E5+0.005085*E5^2)/(1-0.007865*E5+0.000104*E5^2)))</f>
        <v>26.909169224767684</v>
      </c>
    </row>
    <row r="6" spans="1:25" x14ac:dyDescent="0.25">
      <c r="A6" s="4" t="s">
        <v>72</v>
      </c>
      <c r="B6" s="6" t="s">
        <v>278</v>
      </c>
      <c r="C6" s="37">
        <f>IF(COUNTBLANK($K$12:$K$32)=0,SUM($K$14,$K$16,$K$21,$K$24,$K$27,$K$28,$K$32),IF(ISNUMBER($E6),$E6,"?"))</f>
        <v>14</v>
      </c>
      <c r="D6" s="5"/>
      <c r="E6" s="55">
        <v>14</v>
      </c>
      <c r="F6" s="5"/>
      <c r="G6" s="21">
        <f>IF(C6="?","?",IF(E6="","?",39.6+(3.728*E6-0.0008515*E6^2)/(1+0.1521*E6-0.002046*E6^2)))</f>
        <v>58.668102583800518</v>
      </c>
      <c r="H6" s="25">
        <f>IF(C6="?","?",IF(E6="","?",98+0.236*(E6-33.9)+SINH((E6-33.9)/6.656)))</f>
        <v>83.38805877570266</v>
      </c>
      <c r="I6" s="26">
        <f>IF(C6="?","?",IF(E6="","?",2.8+(3.313*E6-0.03841*E6^2)/(1-0.00943*E6+0.00007899*E6^2)))</f>
        <v>46.778844863555207</v>
      </c>
      <c r="J6" s="5"/>
      <c r="K6" s="21">
        <f>IF(C6="?","?",IF(E6="","?",39.6+(3.671*E6-0.003168*E6^2)/(1+0.1459*E6-0.001983*E6^2)))</f>
        <v>58.731263348118944</v>
      </c>
      <c r="L6" s="25">
        <f>IF(C6="?","?",IF(E6="","?",8.5+(18.415*E6)/(1+0.17*E6)))</f>
        <v>84.775147928994073</v>
      </c>
      <c r="M6" s="26">
        <f>IF(C6="?","?",IF(E6="","?",-251494.6+38265.462*LN(E6+715.3)-49.645*E6))</f>
        <v>59.554573023050239</v>
      </c>
      <c r="N6" s="5"/>
      <c r="O6" s="21">
        <f>IF(C6="?","?",IF(E6="","?",39.6+(3.744*E6-0.0005645*E6^2)/(1+0.1537*E6-0.002071*E6^2)))</f>
        <v>58.648640802014945</v>
      </c>
      <c r="P6" s="25">
        <f>IF(C6="?","?",IF(E6="","?",7.3+(15.497*E6-0.2899*E6^2)/(1+0.1171*E6-0.002496*E6^2)))</f>
        <v>81.776230871404479</v>
      </c>
      <c r="Q6" s="26">
        <f>IF(C6="?","?",IF(E6="","?",2.3+(2.935*E6-0.02067*E6^2)/(1-0.009939*E6+0.0001815*E6^2)))</f>
        <v>43.618075740606045</v>
      </c>
    </row>
    <row r="7" spans="1:25" x14ac:dyDescent="0.25">
      <c r="A7" s="4" t="s">
        <v>73</v>
      </c>
      <c r="B7" s="6" t="s">
        <v>278</v>
      </c>
      <c r="C7" s="37">
        <f>IF(COUNTBLANK($K$12:$K$32)=0,SUM($K$13,$K$15,$K$18,$K$20,$K$26,$K$30,$K$31),IF(ISNUMBER($E7),$E7,"?"))</f>
        <v>14</v>
      </c>
      <c r="D7" s="5"/>
      <c r="E7" s="55">
        <v>14</v>
      </c>
      <c r="F7" s="5"/>
      <c r="G7" s="21">
        <f>IF(C7="?","?",IF(E7="","?",41.5+(3.806*E7+0.03*E7^2)/(1+0.1434*E7-0.001362*E7^2)))</f>
        <v>63.087595342415369</v>
      </c>
      <c r="H7" s="25">
        <f>IF(C7="?","?",IF(E7="","?",6.6+37.602*LN(E7+1)-1.184*E7))</f>
        <v>91.852103661845291</v>
      </c>
      <c r="I7" s="26">
        <f>IF(C7="?","?",IF(E7="","?",-113.5-1.945*(E7-180.1)+SINH((E7-180.1)/29.3)))</f>
        <v>64.702308661943903</v>
      </c>
      <c r="J7" s="5"/>
      <c r="K7" s="21">
        <f>IF(C7="?","?",IF(E7="","?",51.1-EXP(-0.3*(E7-7.6))+0.847*E7))</f>
        <v>62.811393037869649</v>
      </c>
      <c r="L7" s="25">
        <f>IF(C7="?","?",IF(E7="","?",8.8+(39.44*E7)/(1+0.4*E7)))</f>
        <v>92.46060606060604</v>
      </c>
      <c r="M7" s="26">
        <f>IF(C7="?","?",IF(E7="","?",-1188.9+349.642*LN(E7+30.3)-4.962*E7))</f>
        <v>67.119464453496988</v>
      </c>
      <c r="N7" s="5"/>
      <c r="O7" s="21">
        <f>IF(C7="?","?",IF(E7="","?",41.5+(3.853*E7+0.03115*E7^2)/(1+0.1469*E7-0.001396*E7^2)))</f>
        <v>63.076624227807272</v>
      </c>
      <c r="P7" s="25">
        <f>IF(C7="?","?",IF(E7="","?",-2.9+40.812*LN(E7+1.3)-1.251*E7))</f>
        <v>90.915129632595082</v>
      </c>
      <c r="Q7" s="26">
        <f>IF(C7="?","?",IF(E7="","?",2855.1-EXP(-0.007*(E7-1142.4))-14.921*E7))</f>
        <v>-47.841530741279939</v>
      </c>
    </row>
    <row r="8" spans="1:25" ht="15.75" thickBot="1" x14ac:dyDescent="0.3">
      <c r="A8" s="4" t="s">
        <v>376</v>
      </c>
      <c r="B8" s="6" t="s">
        <v>278</v>
      </c>
      <c r="C8" s="37">
        <f>IF(COUNTBLANK($K$12:$K$32)=0,SUM($K$12,$K$17,$K$19,$K$22,$K$23,$K$25,$K$29),IF(ISNUMBER($E8),$E8,"?"))</f>
        <v>14</v>
      </c>
      <c r="D8" s="38"/>
      <c r="E8" s="39">
        <v>14</v>
      </c>
      <c r="F8" s="5"/>
      <c r="G8" s="22">
        <f>IF(C8="?","?",IF(E8="","?",35.7+(2.774*E8+0.02875*E8^2)/(1+0.09737*E8-0.0009578*E8^2)))</f>
        <v>56.142196083276886</v>
      </c>
      <c r="H8" s="27">
        <f>IF(C8="?","?",IF(E8="","?",-52.5+(153.2/(1+EXP(-0.1566*(E8-3.514))))))</f>
        <v>75.854256086839001</v>
      </c>
      <c r="I8" s="28">
        <f>IF(C8="?","?",IF(E8="","?",-13.8+(118.2/(1+EXP(-0.1208*(E8-15.52))))))</f>
        <v>39.889340289998941</v>
      </c>
      <c r="J8" s="5"/>
      <c r="K8" s="22">
        <f>IF(C8="?","?",IF(E8="","?",35.7+(2.938*E8+0.05531*E8^2)/(1+0.124*E8-0.0009714*E8^2)))</f>
        <v>56.116658417156231</v>
      </c>
      <c r="L8" s="27">
        <f>IF(C8="?","?",IF(E8="","?",-88.3+(189/(1+EXP(-0.1549*(E8-0.1884))))))</f>
        <v>80.793701877037407</v>
      </c>
      <c r="M8" s="28">
        <f>IF(C8="?","?",IF(E8="","?",-14.5+(118.7/(1+EXP(-0.1213*(E8-14.95))))))</f>
        <v>41.434180457626447</v>
      </c>
      <c r="N8" s="5"/>
      <c r="O8" s="22">
        <f>IF(C8="?","?",IF(E8="","?",35.7+(2.739*E8+0.02338*E8^2)/(1+0.09185*E8-0.0009527*E8^2)))</f>
        <v>56.150208244131449</v>
      </c>
      <c r="P8" s="27">
        <f>IF(C8="?","?",IF(E8="","?",-42.3+(143/(1+EXP(-0.1587*(E8-4.856))))))</f>
        <v>73.555137630251352</v>
      </c>
      <c r="Q8" s="28">
        <f>IF(C8="?","?",IF(E8="","?",-11.9+(116.9/(1+EXP(-0.1203*(E8-17.18))))))</f>
        <v>35.504241897678099</v>
      </c>
    </row>
    <row r="9" spans="1:25" s="31" customFormat="1" ht="15.75" thickBot="1" x14ac:dyDescent="0.3">
      <c r="A9" s="29"/>
      <c r="B9" s="19"/>
      <c r="C9" s="34"/>
      <c r="D9" s="30"/>
      <c r="E9" s="34"/>
      <c r="F9" s="30"/>
      <c r="G9" s="19"/>
      <c r="H9" s="19"/>
      <c r="I9" s="19"/>
      <c r="J9" s="30"/>
      <c r="K9" s="19"/>
      <c r="L9" s="19"/>
      <c r="M9" s="19"/>
      <c r="N9" s="30"/>
      <c r="O9" s="19"/>
      <c r="P9" s="19"/>
      <c r="Q9" s="19"/>
      <c r="R9" s="30"/>
      <c r="S9" s="30"/>
      <c r="T9" s="30"/>
      <c r="U9" s="30"/>
      <c r="V9" s="30"/>
      <c r="W9" s="30"/>
      <c r="X9" s="30"/>
      <c r="Y9" s="30"/>
    </row>
    <row r="10" spans="1:25" s="5" customFormat="1" x14ac:dyDescent="0.25">
      <c r="A10" s="4"/>
      <c r="B10" s="6"/>
      <c r="C10" s="15"/>
      <c r="E10" s="15"/>
      <c r="G10" s="6"/>
      <c r="H10" s="6"/>
      <c r="I10" s="6"/>
      <c r="K10" s="6"/>
      <c r="L10" s="6"/>
      <c r="M10" s="6"/>
      <c r="O10" s="6"/>
      <c r="P10" s="6"/>
      <c r="Q10" s="6"/>
    </row>
    <row r="11" spans="1:25" s="5" customFormat="1" ht="16.5" thickBot="1" x14ac:dyDescent="0.3">
      <c r="A11" s="1" t="s">
        <v>15</v>
      </c>
      <c r="B11" s="2" t="s">
        <v>14</v>
      </c>
      <c r="C11" s="14"/>
      <c r="D11" s="2"/>
      <c r="E11" s="14"/>
      <c r="F11" s="3"/>
      <c r="G11" s="2"/>
      <c r="H11" s="2"/>
      <c r="I11" s="2"/>
      <c r="J11" s="3"/>
      <c r="K11" s="2" t="s">
        <v>36</v>
      </c>
      <c r="L11" s="2"/>
      <c r="M11" s="2"/>
      <c r="N11" s="3"/>
      <c r="O11" s="2"/>
      <c r="P11" s="2"/>
      <c r="Q11" s="2"/>
    </row>
    <row r="12" spans="1:25" s="5" customFormat="1" x14ac:dyDescent="0.25">
      <c r="A12" s="4">
        <v>1</v>
      </c>
      <c r="B12" s="13" t="s">
        <v>279</v>
      </c>
      <c r="C12" s="13"/>
      <c r="D12" s="13"/>
      <c r="E12" s="13"/>
      <c r="F12" s="13"/>
      <c r="G12" s="13"/>
      <c r="H12" s="13"/>
      <c r="I12" s="13"/>
      <c r="J12" s="13"/>
      <c r="K12" s="48">
        <v>2</v>
      </c>
      <c r="L12" s="6"/>
      <c r="M12" s="6"/>
      <c r="O12" s="6"/>
      <c r="P12" s="6"/>
      <c r="Q12" s="6"/>
    </row>
    <row r="13" spans="1:25" s="5" customFormat="1" x14ac:dyDescent="0.25">
      <c r="A13" s="4">
        <v>2</v>
      </c>
      <c r="B13" s="13" t="s">
        <v>280</v>
      </c>
      <c r="C13" s="13"/>
      <c r="D13" s="13"/>
      <c r="E13" s="13"/>
      <c r="F13" s="13"/>
      <c r="G13" s="13"/>
      <c r="H13" s="13"/>
      <c r="I13" s="13"/>
      <c r="J13" s="13"/>
      <c r="K13" s="49">
        <v>2</v>
      </c>
      <c r="L13" s="6"/>
      <c r="M13" s="6"/>
      <c r="O13" s="6"/>
      <c r="P13" s="6"/>
      <c r="Q13" s="6"/>
    </row>
    <row r="14" spans="1:25" s="5" customFormat="1" x14ac:dyDescent="0.25">
      <c r="A14" s="4">
        <v>3</v>
      </c>
      <c r="B14" s="13" t="s">
        <v>281</v>
      </c>
      <c r="C14" s="13"/>
      <c r="D14" s="13"/>
      <c r="E14" s="13"/>
      <c r="F14" s="13"/>
      <c r="G14" s="13"/>
      <c r="H14" s="13"/>
      <c r="I14" s="13"/>
      <c r="J14" s="13"/>
      <c r="K14" s="49">
        <v>2</v>
      </c>
      <c r="L14" s="6"/>
      <c r="M14" s="6"/>
      <c r="O14" s="6"/>
      <c r="P14" s="6"/>
      <c r="Q14" s="6"/>
    </row>
    <row r="15" spans="1:25" s="5" customFormat="1" x14ac:dyDescent="0.25">
      <c r="A15" s="4">
        <v>4</v>
      </c>
      <c r="B15" s="13" t="s">
        <v>282</v>
      </c>
      <c r="C15" s="13"/>
      <c r="D15" s="13"/>
      <c r="E15" s="13"/>
      <c r="F15" s="13"/>
      <c r="G15" s="13"/>
      <c r="H15" s="13"/>
      <c r="I15" s="13"/>
      <c r="J15" s="13"/>
      <c r="K15" s="49">
        <v>2</v>
      </c>
      <c r="L15" s="6"/>
      <c r="M15" s="6"/>
      <c r="O15" s="6"/>
      <c r="P15" s="6"/>
      <c r="Q15" s="6"/>
    </row>
    <row r="16" spans="1:25" s="5" customFormat="1" x14ac:dyDescent="0.25">
      <c r="A16" s="4">
        <v>5</v>
      </c>
      <c r="B16" s="13" t="s">
        <v>283</v>
      </c>
      <c r="C16" s="13"/>
      <c r="D16" s="13"/>
      <c r="E16" s="13"/>
      <c r="F16" s="13"/>
      <c r="G16" s="13"/>
      <c r="H16" s="13"/>
      <c r="I16" s="13"/>
      <c r="J16" s="13"/>
      <c r="K16" s="49">
        <v>2</v>
      </c>
      <c r="L16" s="6"/>
      <c r="M16" s="6"/>
      <c r="O16" s="6"/>
      <c r="P16" s="6"/>
      <c r="Q16" s="6"/>
    </row>
    <row r="17" spans="1:17" s="5" customFormat="1" x14ac:dyDescent="0.25">
      <c r="A17" s="4">
        <v>6</v>
      </c>
      <c r="B17" s="13" t="s">
        <v>284</v>
      </c>
      <c r="C17" s="13"/>
      <c r="D17" s="13"/>
      <c r="E17" s="13"/>
      <c r="F17" s="13"/>
      <c r="G17" s="13"/>
      <c r="H17" s="13"/>
      <c r="I17" s="13"/>
      <c r="J17" s="13"/>
      <c r="K17" s="49">
        <v>2</v>
      </c>
      <c r="L17" s="6"/>
      <c r="M17" s="6"/>
      <c r="O17" s="6"/>
      <c r="P17" s="6"/>
      <c r="Q17" s="6"/>
    </row>
    <row r="18" spans="1:17" s="5" customFormat="1" x14ac:dyDescent="0.25">
      <c r="A18" s="4">
        <v>7</v>
      </c>
      <c r="B18" s="13" t="s">
        <v>285</v>
      </c>
      <c r="C18" s="13"/>
      <c r="D18" s="13"/>
      <c r="E18" s="13"/>
      <c r="F18" s="13"/>
      <c r="G18" s="13"/>
      <c r="H18" s="13"/>
      <c r="I18" s="13"/>
      <c r="J18" s="13"/>
      <c r="K18" s="49">
        <v>2</v>
      </c>
      <c r="L18" s="6"/>
      <c r="M18" s="6"/>
      <c r="O18" s="6"/>
      <c r="P18" s="6"/>
      <c r="Q18" s="6"/>
    </row>
    <row r="19" spans="1:17" s="5" customFormat="1" x14ac:dyDescent="0.25">
      <c r="A19" s="4">
        <v>8</v>
      </c>
      <c r="B19" s="13" t="s">
        <v>286</v>
      </c>
      <c r="C19" s="13"/>
      <c r="D19" s="13"/>
      <c r="E19" s="13"/>
      <c r="F19" s="13"/>
      <c r="G19" s="13"/>
      <c r="H19" s="13"/>
      <c r="I19" s="13"/>
      <c r="J19" s="13"/>
      <c r="K19" s="49">
        <v>2</v>
      </c>
      <c r="L19" s="6"/>
      <c r="M19" s="6"/>
      <c r="O19" s="6"/>
      <c r="P19" s="6"/>
      <c r="Q19" s="6"/>
    </row>
    <row r="20" spans="1:17" s="5" customFormat="1" x14ac:dyDescent="0.25">
      <c r="A20" s="4">
        <v>9</v>
      </c>
      <c r="B20" s="13" t="s">
        <v>287</v>
      </c>
      <c r="C20" s="13"/>
      <c r="D20" s="13"/>
      <c r="E20" s="13"/>
      <c r="F20" s="13"/>
      <c r="G20" s="13"/>
      <c r="H20" s="13"/>
      <c r="I20" s="13"/>
      <c r="J20" s="13"/>
      <c r="K20" s="49">
        <v>2</v>
      </c>
      <c r="L20" s="6"/>
      <c r="M20" s="6"/>
      <c r="O20" s="6"/>
      <c r="P20" s="6"/>
      <c r="Q20" s="6"/>
    </row>
    <row r="21" spans="1:17" s="5" customFormat="1" x14ac:dyDescent="0.25">
      <c r="A21" s="4">
        <v>10</v>
      </c>
      <c r="B21" s="13" t="s">
        <v>288</v>
      </c>
      <c r="C21" s="13"/>
      <c r="D21" s="13"/>
      <c r="E21" s="13"/>
      <c r="F21" s="13"/>
      <c r="G21" s="13"/>
      <c r="H21" s="13"/>
      <c r="I21" s="13"/>
      <c r="J21" s="13"/>
      <c r="K21" s="49">
        <v>2</v>
      </c>
      <c r="L21" s="6"/>
      <c r="M21" s="6"/>
      <c r="O21" s="6"/>
      <c r="P21" s="6"/>
      <c r="Q21" s="6"/>
    </row>
    <row r="22" spans="1:17" s="5" customFormat="1" x14ac:dyDescent="0.25">
      <c r="A22" s="4">
        <v>11</v>
      </c>
      <c r="B22" s="13" t="s">
        <v>289</v>
      </c>
      <c r="C22" s="13"/>
      <c r="D22" s="13"/>
      <c r="E22" s="13"/>
      <c r="F22" s="13"/>
      <c r="G22" s="13"/>
      <c r="H22" s="13"/>
      <c r="I22" s="13"/>
      <c r="J22" s="13"/>
      <c r="K22" s="49">
        <v>2</v>
      </c>
      <c r="L22" s="6"/>
      <c r="M22" s="6"/>
      <c r="O22" s="6"/>
      <c r="P22" s="6"/>
      <c r="Q22" s="6"/>
    </row>
    <row r="23" spans="1:17" s="5" customFormat="1" x14ac:dyDescent="0.25">
      <c r="A23" s="4">
        <v>12</v>
      </c>
      <c r="B23" s="13" t="s">
        <v>290</v>
      </c>
      <c r="C23" s="13"/>
      <c r="D23" s="13"/>
      <c r="E23" s="13"/>
      <c r="F23" s="13"/>
      <c r="G23" s="13"/>
      <c r="H23" s="13"/>
      <c r="I23" s="13"/>
      <c r="J23" s="13"/>
      <c r="K23" s="49">
        <v>2</v>
      </c>
      <c r="L23" s="6"/>
      <c r="M23" s="6"/>
      <c r="O23" s="6"/>
      <c r="P23" s="6"/>
      <c r="Q23" s="6"/>
    </row>
    <row r="24" spans="1:17" s="5" customFormat="1" x14ac:dyDescent="0.25">
      <c r="A24" s="4">
        <v>13</v>
      </c>
      <c r="B24" s="13" t="s">
        <v>291</v>
      </c>
      <c r="C24" s="13"/>
      <c r="D24" s="13"/>
      <c r="E24" s="13"/>
      <c r="F24" s="13"/>
      <c r="G24" s="13"/>
      <c r="H24" s="13"/>
      <c r="I24" s="13"/>
      <c r="J24" s="13"/>
      <c r="K24" s="49">
        <v>2</v>
      </c>
      <c r="L24" s="6"/>
      <c r="M24" s="6"/>
      <c r="O24" s="6"/>
      <c r="P24" s="6"/>
      <c r="Q24" s="6"/>
    </row>
    <row r="25" spans="1:17" s="5" customFormat="1" x14ac:dyDescent="0.25">
      <c r="A25" s="4">
        <v>14</v>
      </c>
      <c r="B25" s="13" t="s">
        <v>292</v>
      </c>
      <c r="C25" s="13"/>
      <c r="D25" s="13"/>
      <c r="E25" s="13"/>
      <c r="F25" s="13"/>
      <c r="G25" s="13"/>
      <c r="H25" s="13"/>
      <c r="I25" s="13"/>
      <c r="J25" s="13"/>
      <c r="K25" s="49">
        <v>2</v>
      </c>
      <c r="L25" s="6"/>
      <c r="M25" s="6"/>
      <c r="O25" s="6"/>
      <c r="P25" s="6"/>
      <c r="Q25" s="6"/>
    </row>
    <row r="26" spans="1:17" s="5" customFormat="1" x14ac:dyDescent="0.25">
      <c r="A26" s="4">
        <v>15</v>
      </c>
      <c r="B26" s="13" t="s">
        <v>293</v>
      </c>
      <c r="C26" s="13"/>
      <c r="D26" s="13"/>
      <c r="E26" s="13"/>
      <c r="F26" s="13"/>
      <c r="G26" s="13"/>
      <c r="H26" s="13"/>
      <c r="I26" s="13"/>
      <c r="J26" s="13"/>
      <c r="K26" s="49">
        <v>2</v>
      </c>
      <c r="L26" s="6"/>
      <c r="M26" s="6"/>
      <c r="O26" s="6"/>
      <c r="P26" s="6"/>
      <c r="Q26" s="6"/>
    </row>
    <row r="27" spans="1:17" s="5" customFormat="1" x14ac:dyDescent="0.25">
      <c r="A27" s="4">
        <v>16</v>
      </c>
      <c r="B27" s="13" t="s">
        <v>294</v>
      </c>
      <c r="C27" s="13"/>
      <c r="D27" s="13"/>
      <c r="E27" s="13"/>
      <c r="F27" s="13"/>
      <c r="G27" s="13"/>
      <c r="H27" s="13"/>
      <c r="I27" s="13"/>
      <c r="J27" s="13"/>
      <c r="K27" s="49">
        <v>2</v>
      </c>
      <c r="L27" s="6"/>
      <c r="M27" s="6"/>
      <c r="O27" s="6"/>
      <c r="P27" s="6"/>
      <c r="Q27" s="6"/>
    </row>
    <row r="28" spans="1:17" s="5" customFormat="1" x14ac:dyDescent="0.25">
      <c r="A28" s="4">
        <v>17</v>
      </c>
      <c r="B28" s="13" t="s">
        <v>295</v>
      </c>
      <c r="C28" s="13"/>
      <c r="D28" s="13"/>
      <c r="E28" s="13"/>
      <c r="F28" s="13"/>
      <c r="G28" s="13"/>
      <c r="H28" s="13"/>
      <c r="I28" s="13"/>
      <c r="J28" s="13"/>
      <c r="K28" s="49">
        <v>2</v>
      </c>
      <c r="L28" s="6"/>
      <c r="M28" s="6"/>
      <c r="O28" s="6"/>
      <c r="P28" s="6"/>
      <c r="Q28" s="6"/>
    </row>
    <row r="29" spans="1:17" s="5" customFormat="1" x14ac:dyDescent="0.25">
      <c r="A29" s="4">
        <v>18</v>
      </c>
      <c r="B29" s="13" t="s">
        <v>296</v>
      </c>
      <c r="C29" s="13"/>
      <c r="D29" s="13"/>
      <c r="E29" s="13"/>
      <c r="F29" s="13"/>
      <c r="G29" s="13"/>
      <c r="H29" s="13"/>
      <c r="I29" s="13"/>
      <c r="J29" s="13"/>
      <c r="K29" s="49">
        <v>2</v>
      </c>
      <c r="L29" s="6"/>
      <c r="M29" s="6"/>
      <c r="O29" s="6"/>
      <c r="P29" s="6"/>
      <c r="Q29" s="6"/>
    </row>
    <row r="30" spans="1:17" s="5" customFormat="1" x14ac:dyDescent="0.25">
      <c r="A30" s="4">
        <v>19</v>
      </c>
      <c r="B30" s="13" t="s">
        <v>297</v>
      </c>
      <c r="C30" s="13"/>
      <c r="D30" s="13"/>
      <c r="E30" s="13"/>
      <c r="F30" s="13"/>
      <c r="G30" s="13"/>
      <c r="H30" s="13"/>
      <c r="I30" s="13"/>
      <c r="J30" s="13"/>
      <c r="K30" s="49">
        <v>2</v>
      </c>
      <c r="L30" s="6"/>
      <c r="M30" s="6"/>
      <c r="O30" s="6"/>
      <c r="P30" s="6"/>
      <c r="Q30" s="6"/>
    </row>
    <row r="31" spans="1:17" s="5" customFormat="1" x14ac:dyDescent="0.25">
      <c r="A31" s="4">
        <v>20</v>
      </c>
      <c r="B31" s="13" t="s">
        <v>298</v>
      </c>
      <c r="C31" s="13"/>
      <c r="D31" s="13"/>
      <c r="E31" s="13"/>
      <c r="F31" s="13"/>
      <c r="G31" s="13"/>
      <c r="H31" s="13"/>
      <c r="I31" s="13"/>
      <c r="J31" s="13"/>
      <c r="K31" s="49">
        <v>2</v>
      </c>
      <c r="L31" s="6"/>
      <c r="M31" s="6"/>
      <c r="O31" s="6"/>
      <c r="P31" s="6"/>
      <c r="Q31" s="6"/>
    </row>
    <row r="32" spans="1:17" s="5" customFormat="1" ht="15.75" thickBot="1" x14ac:dyDescent="0.3">
      <c r="A32" s="4">
        <v>21</v>
      </c>
      <c r="B32" s="13" t="s">
        <v>299</v>
      </c>
      <c r="C32" s="13"/>
      <c r="D32" s="13"/>
      <c r="E32" s="13"/>
      <c r="F32" s="13"/>
      <c r="G32" s="13"/>
      <c r="H32" s="13"/>
      <c r="I32" s="13"/>
      <c r="J32" s="13"/>
      <c r="K32" s="50">
        <v>2</v>
      </c>
      <c r="L32" s="6"/>
      <c r="M32" s="6"/>
      <c r="O32" s="6"/>
      <c r="P32" s="6"/>
      <c r="Q32" s="6"/>
    </row>
    <row r="33" spans="1:17" s="5" customFormat="1" x14ac:dyDescent="0.25">
      <c r="A33" s="4"/>
      <c r="B33" s="6"/>
      <c r="C33" s="15"/>
      <c r="D33" s="6"/>
      <c r="E33" s="15"/>
      <c r="G33" s="6"/>
      <c r="H33" s="6"/>
      <c r="I33" s="6"/>
      <c r="K33" s="6"/>
      <c r="L33" s="6"/>
      <c r="M33" s="6"/>
      <c r="O33" s="6"/>
      <c r="P33" s="6"/>
      <c r="Q33" s="6"/>
    </row>
    <row r="34" spans="1:17" s="5" customFormat="1" ht="134.25" customHeight="1" x14ac:dyDescent="0.25">
      <c r="A34" s="96" t="s">
        <v>301</v>
      </c>
      <c r="B34" s="96"/>
      <c r="C34" s="96"/>
      <c r="D34" s="96"/>
      <c r="E34" s="96"/>
      <c r="F34" s="96"/>
      <c r="G34" s="96"/>
      <c r="H34" s="96"/>
      <c r="I34" s="96"/>
      <c r="J34" s="96"/>
      <c r="K34" s="96"/>
      <c r="L34" s="96"/>
      <c r="M34" s="96"/>
      <c r="N34" s="96"/>
      <c r="O34" s="96"/>
      <c r="P34" s="96"/>
      <c r="Q34" s="96"/>
    </row>
    <row r="35" spans="1:17" x14ac:dyDescent="0.25">
      <c r="A35" s="4"/>
      <c r="B35" s="6"/>
      <c r="C35" s="15"/>
      <c r="D35" s="5"/>
      <c r="E35" s="15"/>
      <c r="F35" s="5"/>
      <c r="G35" s="6"/>
      <c r="H35" s="6"/>
      <c r="I35" s="6"/>
      <c r="J35" s="5"/>
      <c r="K35" s="6"/>
      <c r="L35" s="6"/>
      <c r="M35" s="6"/>
      <c r="N35" s="5"/>
      <c r="O35" s="6"/>
      <c r="P35" s="6"/>
      <c r="Q35" s="6"/>
    </row>
    <row r="36" spans="1:17" x14ac:dyDescent="0.25">
      <c r="A36" s="4"/>
      <c r="B36" s="6"/>
      <c r="C36" s="15"/>
      <c r="D36" s="5"/>
      <c r="E36" s="15"/>
      <c r="F36" s="5"/>
      <c r="G36" s="6"/>
      <c r="H36" s="6"/>
      <c r="I36" s="6"/>
      <c r="J36" s="5"/>
      <c r="K36" s="6"/>
      <c r="L36" s="6"/>
      <c r="M36" s="6"/>
      <c r="N36" s="5"/>
      <c r="O36" s="6"/>
      <c r="P36" s="6"/>
      <c r="Q36" s="6"/>
    </row>
    <row r="37" spans="1:17" x14ac:dyDescent="0.25">
      <c r="A37" s="4"/>
      <c r="B37" s="6"/>
      <c r="C37" s="15"/>
      <c r="D37" s="5"/>
      <c r="E37" s="15"/>
      <c r="F37" s="5"/>
      <c r="G37" s="6"/>
      <c r="H37" s="6"/>
      <c r="I37" s="6"/>
      <c r="J37" s="5"/>
      <c r="K37" s="6"/>
      <c r="L37" s="6"/>
      <c r="M37" s="6"/>
      <c r="N37" s="5"/>
      <c r="O37" s="6"/>
      <c r="P37" s="6"/>
      <c r="Q37" s="6"/>
    </row>
    <row r="38" spans="1:17" x14ac:dyDescent="0.25">
      <c r="A38" s="4"/>
      <c r="B38" s="6"/>
      <c r="C38" s="15"/>
      <c r="D38" s="5"/>
      <c r="E38" s="15"/>
      <c r="F38" s="5"/>
      <c r="G38" s="6"/>
      <c r="H38" s="6"/>
      <c r="I38" s="6"/>
      <c r="J38" s="5"/>
      <c r="K38" s="6"/>
      <c r="L38" s="6"/>
      <c r="M38" s="6"/>
      <c r="N38" s="5"/>
      <c r="O38" s="6"/>
      <c r="P38" s="6"/>
      <c r="Q38" s="6"/>
    </row>
    <row r="39" spans="1:17" x14ac:dyDescent="0.25">
      <c r="A39" s="4"/>
      <c r="B39" s="6"/>
      <c r="C39" s="15"/>
      <c r="D39" s="5"/>
      <c r="E39" s="15"/>
      <c r="F39" s="5"/>
      <c r="G39" s="6"/>
      <c r="H39" s="6"/>
      <c r="I39" s="6"/>
      <c r="J39" s="5"/>
      <c r="K39" s="6"/>
      <c r="L39" s="6"/>
      <c r="M39" s="6"/>
      <c r="N39" s="5"/>
      <c r="O39" s="6"/>
      <c r="P39" s="6"/>
      <c r="Q39" s="6"/>
    </row>
    <row r="40" spans="1:17" x14ac:dyDescent="0.25">
      <c r="A40" s="4"/>
      <c r="B40" s="6"/>
      <c r="C40" s="15"/>
      <c r="D40" s="5"/>
      <c r="E40" s="15"/>
      <c r="F40" s="5"/>
      <c r="G40" s="6"/>
      <c r="H40" s="6"/>
      <c r="I40" s="6"/>
      <c r="J40" s="5"/>
      <c r="K40" s="6"/>
      <c r="L40" s="6"/>
      <c r="M40" s="6"/>
      <c r="N40" s="5"/>
      <c r="O40" s="6"/>
      <c r="P40" s="6"/>
      <c r="Q40" s="6"/>
    </row>
    <row r="41" spans="1:17" x14ac:dyDescent="0.25">
      <c r="A41" s="4"/>
      <c r="B41" s="6"/>
      <c r="C41" s="15"/>
      <c r="D41" s="5"/>
      <c r="E41" s="15"/>
      <c r="F41" s="5"/>
      <c r="G41" s="6"/>
      <c r="H41" s="6"/>
      <c r="I41" s="6"/>
      <c r="J41" s="5"/>
      <c r="K41" s="6"/>
      <c r="L41" s="6"/>
      <c r="M41" s="6"/>
      <c r="N41" s="5"/>
      <c r="O41" s="6"/>
      <c r="P41" s="6"/>
      <c r="Q41" s="6"/>
    </row>
    <row r="42" spans="1:17" x14ac:dyDescent="0.25">
      <c r="A42" s="4"/>
      <c r="B42" s="6"/>
      <c r="C42" s="15"/>
      <c r="D42" s="5"/>
      <c r="E42" s="15"/>
      <c r="F42" s="5"/>
      <c r="G42" s="6"/>
      <c r="H42" s="6"/>
      <c r="I42" s="6"/>
      <c r="J42" s="5"/>
      <c r="K42" s="6"/>
      <c r="L42" s="6"/>
      <c r="M42" s="6"/>
      <c r="N42" s="5"/>
      <c r="O42" s="6"/>
      <c r="P42" s="6"/>
      <c r="Q42" s="6"/>
    </row>
    <row r="43" spans="1:17" x14ac:dyDescent="0.25">
      <c r="A43" s="4"/>
      <c r="B43" s="6"/>
      <c r="C43" s="15"/>
      <c r="D43" s="5"/>
      <c r="E43" s="15"/>
      <c r="F43" s="5"/>
      <c r="G43" s="6"/>
      <c r="H43" s="6"/>
      <c r="I43" s="6"/>
      <c r="J43" s="5"/>
      <c r="K43" s="6"/>
      <c r="L43" s="6"/>
      <c r="M43" s="6"/>
      <c r="N43" s="5"/>
      <c r="O43" s="6"/>
      <c r="P43" s="6"/>
      <c r="Q43" s="6"/>
    </row>
    <row r="44" spans="1:17" x14ac:dyDescent="0.25">
      <c r="A44" s="4"/>
      <c r="B44" s="6"/>
      <c r="C44" s="15"/>
      <c r="D44" s="5"/>
      <c r="E44" s="15"/>
      <c r="F44" s="5"/>
      <c r="G44" s="6"/>
      <c r="H44" s="6"/>
      <c r="I44" s="6"/>
      <c r="J44" s="5"/>
      <c r="K44" s="6"/>
      <c r="L44" s="6"/>
      <c r="M44" s="6"/>
      <c r="N44" s="5"/>
      <c r="O44" s="6"/>
      <c r="P44" s="6"/>
      <c r="Q44" s="6"/>
    </row>
    <row r="45" spans="1:17" x14ac:dyDescent="0.25">
      <c r="A45" s="4"/>
      <c r="B45" s="6"/>
      <c r="C45" s="15"/>
      <c r="D45" s="5"/>
      <c r="E45" s="15"/>
      <c r="F45" s="5"/>
      <c r="G45" s="6"/>
      <c r="H45" s="6"/>
      <c r="I45" s="6"/>
      <c r="J45" s="5"/>
      <c r="K45" s="6"/>
      <c r="L45" s="6"/>
      <c r="M45" s="6"/>
      <c r="N45" s="5"/>
      <c r="O45" s="6"/>
      <c r="P45" s="6"/>
      <c r="Q45" s="6"/>
    </row>
    <row r="46" spans="1:17" x14ac:dyDescent="0.25">
      <c r="A46" s="4"/>
      <c r="B46" s="6"/>
      <c r="C46" s="15"/>
      <c r="D46" s="5"/>
      <c r="E46" s="15"/>
      <c r="F46" s="5"/>
      <c r="G46" s="6"/>
      <c r="H46" s="6"/>
      <c r="I46" s="6"/>
      <c r="J46" s="5"/>
      <c r="K46" s="6"/>
      <c r="L46" s="6"/>
      <c r="M46" s="6"/>
      <c r="N46" s="5"/>
      <c r="O46" s="6"/>
      <c r="P46" s="6"/>
      <c r="Q46" s="6"/>
    </row>
    <row r="47" spans="1:17" x14ac:dyDescent="0.25">
      <c r="A47" s="4"/>
      <c r="B47" s="6"/>
      <c r="C47" s="15"/>
      <c r="D47" s="5"/>
      <c r="E47" s="15"/>
      <c r="F47" s="5"/>
      <c r="G47" s="6"/>
      <c r="H47" s="6"/>
      <c r="I47" s="6"/>
      <c r="J47" s="5"/>
      <c r="K47" s="6"/>
      <c r="L47" s="6"/>
      <c r="M47" s="6"/>
      <c r="N47" s="5"/>
      <c r="O47" s="6"/>
      <c r="P47" s="6"/>
      <c r="Q47" s="6"/>
    </row>
    <row r="48" spans="1:17" x14ac:dyDescent="0.25">
      <c r="A48" s="4"/>
      <c r="B48" s="6"/>
      <c r="C48" s="15"/>
      <c r="D48" s="5"/>
      <c r="E48" s="15"/>
      <c r="F48" s="5"/>
      <c r="G48" s="6"/>
      <c r="H48" s="6"/>
      <c r="I48" s="6"/>
      <c r="J48" s="5"/>
      <c r="K48" s="6"/>
      <c r="L48" s="6"/>
      <c r="M48" s="6"/>
      <c r="N48" s="5"/>
      <c r="O48" s="6"/>
      <c r="P48" s="6"/>
      <c r="Q48" s="6"/>
    </row>
    <row r="49" spans="1:17" x14ac:dyDescent="0.25">
      <c r="A49" s="4"/>
      <c r="B49" s="6"/>
      <c r="C49" s="15"/>
      <c r="D49" s="5"/>
      <c r="E49" s="15"/>
      <c r="F49" s="5"/>
      <c r="G49" s="6"/>
      <c r="H49" s="6"/>
      <c r="I49" s="6"/>
      <c r="J49" s="5"/>
      <c r="K49" s="6"/>
      <c r="L49" s="6"/>
      <c r="M49" s="6"/>
      <c r="N49" s="5"/>
      <c r="O49" s="6"/>
      <c r="P49" s="6"/>
      <c r="Q49" s="6"/>
    </row>
    <row r="50" spans="1:17" x14ac:dyDescent="0.25">
      <c r="A50" s="4"/>
      <c r="B50" s="6"/>
      <c r="C50" s="15"/>
      <c r="D50" s="5"/>
      <c r="E50" s="15"/>
      <c r="F50" s="5"/>
      <c r="G50" s="6"/>
      <c r="H50" s="6"/>
      <c r="I50" s="6"/>
      <c r="J50" s="5"/>
      <c r="K50" s="6"/>
      <c r="L50" s="6"/>
      <c r="M50" s="6"/>
      <c r="N50" s="5"/>
      <c r="O50" s="6"/>
      <c r="P50" s="6"/>
      <c r="Q50" s="6"/>
    </row>
  </sheetData>
  <sheetProtection sheet="1" objects="1" scenarios="1"/>
  <mergeCells count="7">
    <mergeCell ref="A34:Q34"/>
    <mergeCell ref="G2:I2"/>
    <mergeCell ref="K2:M2"/>
    <mergeCell ref="O2:Q2"/>
    <mergeCell ref="H3:I3"/>
    <mergeCell ref="L3:M3"/>
    <mergeCell ref="P3:Q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All</vt:lpstr>
      <vt:lpstr>4DKL</vt:lpstr>
      <vt:lpstr>ACQ</vt:lpstr>
      <vt:lpstr>BDI-II</vt:lpstr>
      <vt:lpstr>BPI</vt:lpstr>
      <vt:lpstr>BSensQ</vt:lpstr>
      <vt:lpstr>BShapeQ</vt:lpstr>
      <vt:lpstr>BSI</vt:lpstr>
      <vt:lpstr>DASS-21</vt:lpstr>
      <vt:lpstr>DASS-42</vt:lpstr>
      <vt:lpstr>EDE-Q</vt:lpstr>
      <vt:lpstr>I.ROC</vt:lpstr>
      <vt:lpstr>IPO-16-NL</vt:lpstr>
      <vt:lpstr>IPO-83-NL</vt:lpstr>
      <vt:lpstr>MANSA</vt:lpstr>
      <vt:lpstr>OQ-45</vt:lpstr>
      <vt:lpstr>PCL-5</vt:lpstr>
      <vt:lpstr>POL</vt:lpstr>
      <vt:lpstr>SFS</vt:lpstr>
      <vt:lpstr>SIAS</vt:lpstr>
      <vt:lpstr>SIPP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dc:creator>
  <cp:lastModifiedBy>Edwin de Beurs</cp:lastModifiedBy>
  <dcterms:created xsi:type="dcterms:W3CDTF">2023-08-04T10:29:37Z</dcterms:created>
  <dcterms:modified xsi:type="dcterms:W3CDTF">2024-06-04T07:22:07Z</dcterms:modified>
</cp:coreProperties>
</file>