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DI_2Phase" sheetId="1" state="visible" r:id="rId2"/>
    <sheet name="Elbow_2Phase" sheetId="2" state="visible" r:id="rId3"/>
    <sheet name="DIElbow_Mix_MLInput" sheetId="3" state="visible" r:id="rId4"/>
  </sheets>
  <definedNames>
    <definedName function="false" hidden="false" name="Dp" vbProcedure="false">#REF!</definedName>
    <definedName function="false" hidden="false" name="Muf" vbProcedure="false">#REF!</definedName>
    <definedName function="false" hidden="false" name="rhof" vbProcedure="false">#REF!</definedName>
    <definedName function="false" hidden="false" name="rhop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M3" authorId="0">
      <text>
        <r>
          <rPr>
            <sz val="10"/>
            <color rgb="FF000000"/>
            <rFont val="Arial"/>
            <family val="0"/>
            <charset val="1"/>
          </rPr>
          <t xml:space="preserve">r/D for elbows assumed to be zero, 1e-6 to aid data distribution plot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S3" authorId="0">
      <text>
        <r>
          <rPr>
            <sz val="10"/>
            <color rgb="FF000000"/>
            <rFont val="Arial"/>
            <family val="0"/>
            <charset val="1"/>
          </rPr>
          <t xml:space="preserve">H/D for elbows assumed to be zero, 1e-6 to aid data distribution plot</t>
        </r>
      </text>
    </comment>
  </commentList>
</comments>
</file>

<file path=xl/sharedStrings.xml><?xml version="1.0" encoding="utf-8"?>
<sst xmlns="http://schemas.openxmlformats.org/spreadsheetml/2006/main" count="1405" uniqueCount="130">
  <si>
    <t xml:space="preserve">Test No</t>
  </si>
  <si>
    <t xml:space="preserve">Geometry</t>
  </si>
  <si>
    <t xml:space="preserve">Phase</t>
  </si>
  <si>
    <t xml:space="preserve">Orientation</t>
  </si>
  <si>
    <t xml:space="preserve">Angle</t>
  </si>
  <si>
    <t xml:space="preserve">Pipe Internal diameter (mm)</t>
  </si>
  <si>
    <t xml:space="preserve">Pipe Length (mm)</t>
  </si>
  <si>
    <t xml:space="preserve">Distance to specimen (mm)</t>
  </si>
  <si>
    <t xml:space="preserve">Pipe material</t>
  </si>
  <si>
    <t xml:space="preserve">Pipe Hardness (GPa)</t>
  </si>
  <si>
    <t xml:space="preserve">Pipe Material Density (kg/m3)</t>
  </si>
  <si>
    <t xml:space="preserve">Gas Velocity (m/s)</t>
  </si>
  <si>
    <t xml:space="preserve">Gas Viscosity</t>
  </si>
  <si>
    <t xml:space="preserve">Gas Density (kg/m3)</t>
  </si>
  <si>
    <t xml:space="preserve">Liquid Velocity (m/s)</t>
  </si>
  <si>
    <t xml:space="preserve">Liquid Viscosity (cp)</t>
  </si>
  <si>
    <t xml:space="preserve">Liquid Density (kg/m3)</t>
  </si>
  <si>
    <t xml:space="preserve">Rho_mix</t>
  </si>
  <si>
    <t xml:space="preserve">mu_mix</t>
  </si>
  <si>
    <t xml:space="preserve">Particle Size (micron)</t>
  </si>
  <si>
    <t xml:space="preserve">Particle Density (kg/m3)</t>
  </si>
  <si>
    <t xml:space="preserve">Sand Vol Fraction (V/V)</t>
  </si>
  <si>
    <t xml:space="preserve">Shape Factor</t>
  </si>
  <si>
    <t xml:space="preserve">Erosion Ratio (mm/kg)</t>
  </si>
  <si>
    <t xml:space="preserve">Reference_1</t>
  </si>
  <si>
    <t xml:space="preserve">Reference_2</t>
  </si>
  <si>
    <t xml:space="preserve">Reference_3</t>
  </si>
  <si>
    <t xml:space="preserve">Fluid Velocity (m/s)</t>
  </si>
  <si>
    <t xml:space="preserve">Fluid Viscosity (cp)</t>
  </si>
  <si>
    <t xml:space="preserve">Fluid Density (kg/m3)</t>
  </si>
  <si>
    <t xml:space="preserve">Count</t>
  </si>
  <si>
    <t xml:space="preserve">r/D</t>
  </si>
  <si>
    <t xml:space="preserve">L/D</t>
  </si>
  <si>
    <t xml:space="preserve">H/D</t>
  </si>
  <si>
    <t xml:space="preserve">Froude_No</t>
  </si>
  <si>
    <t xml:space="preserve">Fluid_Reynolds</t>
  </si>
  <si>
    <t xml:space="preserve">Archimedes_No</t>
  </si>
  <si>
    <t xml:space="preserve">Stokes_No</t>
  </si>
  <si>
    <t xml:space="preserve">Particle_Reynolds</t>
  </si>
  <si>
    <t xml:space="preserve">Diameter_Ratio</t>
  </si>
  <si>
    <t xml:space="preserve">Density_Ratio</t>
  </si>
  <si>
    <t xml:space="preserve">Hardness</t>
  </si>
  <si>
    <t xml:space="preserve">Volume_Fraction</t>
  </si>
  <si>
    <t xml:space="preserve">Particle_Sharpness</t>
  </si>
  <si>
    <t xml:space="preserve">Erosio_ Ratio(mm/kg)</t>
  </si>
  <si>
    <t xml:space="preserve">-20%</t>
  </si>
  <si>
    <t xml:space="preserve">+20%</t>
  </si>
  <si>
    <t xml:space="preserve">Reference</t>
  </si>
  <si>
    <t xml:space="preserve">DI</t>
  </si>
  <si>
    <t xml:space="preserve">Gas-solid</t>
  </si>
  <si>
    <t xml:space="preserve">H-V</t>
  </si>
  <si>
    <t xml:space="preserve">Inconel 625</t>
  </si>
  <si>
    <t xml:space="preserve">Vieira 2017</t>
  </si>
  <si>
    <t xml:space="preserve">Liquid-Solid</t>
  </si>
  <si>
    <t xml:space="preserve">V-H</t>
  </si>
  <si>
    <t xml:space="preserve">ABS thermoplastic</t>
  </si>
  <si>
    <t xml:space="preserve">https://www.sciencedirect.com/science/article/pii/S0043164815003749</t>
  </si>
  <si>
    <t xml:space="preserve">SS316</t>
  </si>
  <si>
    <t xml:space="preserve">Mansouri Thesis</t>
  </si>
  <si>
    <t xml:space="preserve">https://www.sciencedirect.com/science/article/pii/S0043164814003627</t>
  </si>
  <si>
    <t xml:space="preserve">karimi Thesis - TABLE a2</t>
  </si>
  <si>
    <t xml:space="preserve">T1</t>
  </si>
  <si>
    <t xml:space="preserve">T2</t>
  </si>
  <si>
    <t xml:space="preserve">T3</t>
  </si>
  <si>
    <t xml:space="preserve">karimi Thesis - TABLE a1</t>
  </si>
  <si>
    <t xml:space="preserve">T4</t>
  </si>
  <si>
    <t xml:space="preserve">T5</t>
  </si>
  <si>
    <t xml:space="preserve">T6</t>
  </si>
  <si>
    <t xml:space="preserve">T7</t>
  </si>
  <si>
    <t xml:space="preserve">T8</t>
  </si>
  <si>
    <t xml:space="preserve">T9</t>
  </si>
  <si>
    <t xml:space="preserve">T10</t>
  </si>
  <si>
    <t xml:space="preserve">T12</t>
  </si>
  <si>
    <t xml:space="preserve">T13</t>
  </si>
  <si>
    <t xml:space="preserve">T14</t>
  </si>
  <si>
    <t xml:space="preserve">T15</t>
  </si>
  <si>
    <t xml:space="preserve">T16</t>
  </si>
  <si>
    <t xml:space="preserve">T17</t>
  </si>
  <si>
    <t xml:space="preserve">T18</t>
  </si>
  <si>
    <t xml:space="preserve">T19</t>
  </si>
  <si>
    <t xml:space="preserve">T20</t>
  </si>
  <si>
    <t xml:space="preserve">T21</t>
  </si>
  <si>
    <t xml:space="preserve">T22</t>
  </si>
  <si>
    <t xml:space="preserve">karimi Thesis - TABLE a3</t>
  </si>
  <si>
    <t xml:space="preserve">T23</t>
  </si>
  <si>
    <t xml:space="preserve">T24</t>
  </si>
  <si>
    <t xml:space="preserve">T25</t>
  </si>
  <si>
    <t xml:space="preserve">T11-2</t>
  </si>
  <si>
    <t xml:space="preserve">CL8</t>
  </si>
  <si>
    <t xml:space="preserve">CL17</t>
  </si>
  <si>
    <t xml:space="preserve">karimi Thesis - TABLE a4</t>
  </si>
  <si>
    <t xml:space="preserve">CL7</t>
  </si>
  <si>
    <t xml:space="preserve">CL18</t>
  </si>
  <si>
    <t xml:space="preserve">CL19</t>
  </si>
  <si>
    <t xml:space="preserve">karimi Thesis - TABLE a5</t>
  </si>
  <si>
    <t xml:space="preserve">L1</t>
  </si>
  <si>
    <t xml:space="preserve">L2</t>
  </si>
  <si>
    <t xml:space="preserve">CL20</t>
  </si>
  <si>
    <t xml:space="preserve">karimi Thesis - TABLE a6</t>
  </si>
  <si>
    <t xml:space="preserve">HV1</t>
  </si>
  <si>
    <t xml:space="preserve">HV2</t>
  </si>
  <si>
    <t xml:space="preserve">HV3</t>
  </si>
  <si>
    <t xml:space="preserve">HV4</t>
  </si>
  <si>
    <t xml:space="preserve">https://www.sciencedirect.com/science/article/pii/S0043164809003986</t>
  </si>
  <si>
    <t xml:space="preserve">Pipe diameter (mm)</t>
  </si>
  <si>
    <t xml:space="preserve">Pipe Length (m)</t>
  </si>
  <si>
    <t xml:space="preserve">Liquid pipe diameter (mm)</t>
  </si>
  <si>
    <t xml:space="preserve">Sand Feed rate (kg/s)</t>
  </si>
  <si>
    <t xml:space="preserve">Sand Vol Fraction (W/W)</t>
  </si>
  <si>
    <t xml:space="preserve">Elbow</t>
  </si>
  <si>
    <t xml:space="preserve">ASTM 234</t>
  </si>
  <si>
    <t xml:space="preserve">Bourgoyne (1989)</t>
  </si>
  <si>
    <t xml:space="preserve">https://www.bsee.gov/sites/bsee.gov/files/tap-technical-assessment-program//008bv.pdf</t>
  </si>
  <si>
    <t xml:space="preserve">H-H</t>
  </si>
  <si>
    <t xml:space="preserve">SS-316</t>
  </si>
  <si>
    <t xml:space="preserve">Kesana (2013)</t>
  </si>
  <si>
    <t xml:space="preserve">Page 124</t>
  </si>
  <si>
    <t xml:space="preserve">https://www.proquest.com/docview/1439439434/fulltextPDF/193DA742FB1647BDPQ/1?accountid=16260&amp;sourcetype=Dissertations%20&amp;%20Theses</t>
  </si>
  <si>
    <t xml:space="preserve">Vieira (2016)</t>
  </si>
  <si>
    <t xml:space="preserve">Page  303</t>
  </si>
  <si>
    <t xml:space="preserve">Vieira Thesis</t>
  </si>
  <si>
    <t xml:space="preserve">Viera (2014)</t>
  </si>
  <si>
    <t xml:space="preserve">Page  305</t>
  </si>
  <si>
    <t xml:space="preserve">Vieira (2014)</t>
  </si>
  <si>
    <t xml:space="preserve">Fan (2010)</t>
  </si>
  <si>
    <t xml:space="preserve">Vieira thesis page 309</t>
  </si>
  <si>
    <t xml:space="preserve">Vieira thesis page 310</t>
  </si>
  <si>
    <t xml:space="preserve">Asgharpour 2020</t>
  </si>
  <si>
    <t xml:space="preserve">https://asmedigitalcollection.asme.org/fluidsengineering/article/142/6/061402/1073715/Experimental-Investigation-of-Solid-Particle</t>
  </si>
  <si>
    <t xml:space="preserve">Erosion_Ratio(mm/kg)</t>
  </si>
</sst>
</file>

<file path=xl/styles.xml><?xml version="1.0" encoding="utf-8"?>
<styleSheet xmlns="http://schemas.openxmlformats.org/spreadsheetml/2006/main">
  <numFmts count="15">
    <numFmt numFmtId="164" formatCode="General"/>
    <numFmt numFmtId="165" formatCode="@"/>
    <numFmt numFmtId="166" formatCode="0.00E+00"/>
    <numFmt numFmtId="167" formatCode="0.000"/>
    <numFmt numFmtId="168" formatCode="0.00000000"/>
    <numFmt numFmtId="169" formatCode="0.00000E+00"/>
    <numFmt numFmtId="170" formatCode="#,##0.00"/>
    <numFmt numFmtId="171" formatCode="General"/>
    <numFmt numFmtId="172" formatCode="0.0000E+00"/>
    <numFmt numFmtId="173" formatCode="#,##0.000000000"/>
    <numFmt numFmtId="174" formatCode="0.000E+00"/>
    <numFmt numFmtId="175" formatCode="#,##0"/>
    <numFmt numFmtId="176" formatCode="#,##0.000"/>
    <numFmt numFmtId="177" formatCode="#,##0.00000000"/>
    <numFmt numFmtId="178" formatCode="0.00"/>
  </numFmts>
  <fonts count="15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b val="true"/>
      <sz val="10"/>
      <color rgb="FFFFFFFF"/>
      <name val="Arial"/>
      <family val="0"/>
      <charset val="1"/>
    </font>
    <font>
      <i val="true"/>
      <sz val="10"/>
      <color rgb="FF808080"/>
      <name val="Arial"/>
      <family val="0"/>
      <charset val="1"/>
    </font>
    <font>
      <b val="true"/>
      <sz val="24"/>
      <color rgb="FF000000"/>
      <name val="Arial"/>
      <family val="0"/>
      <charset val="1"/>
    </font>
    <font>
      <u val="single"/>
      <sz val="10"/>
      <color rgb="FF0000EE"/>
      <name val="Arial"/>
      <family val="0"/>
      <charset val="1"/>
    </font>
    <font>
      <b val="true"/>
      <i val="true"/>
      <u val="single"/>
      <sz val="10"/>
      <color rgb="FF000000"/>
      <name val="Arial"/>
      <family val="0"/>
      <charset val="1"/>
    </font>
    <font>
      <sz val="10"/>
      <color rgb="FFCC0000"/>
      <name val="Arial"/>
      <family val="0"/>
      <charset val="1"/>
    </font>
    <font>
      <sz val="10"/>
      <color rgb="FF000000"/>
      <name val="Arial"/>
      <family val="2"/>
      <charset val="1"/>
    </font>
    <font>
      <b val="true"/>
      <sz val="8"/>
      <name val="Calibri"/>
      <family val="1"/>
      <charset val="1"/>
    </font>
    <font>
      <sz val="10"/>
      <color rgb="FFC9211E"/>
      <name val="Arial"/>
      <family val="0"/>
      <charset val="1"/>
    </font>
  </fonts>
  <fills count="12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99999"/>
      </patternFill>
    </fill>
    <fill>
      <patternFill patternType="solid">
        <fgColor rgb="FFDDDDDD"/>
        <bgColor rgb="FFCCFFCC"/>
      </patternFill>
    </fill>
    <fill>
      <patternFill patternType="solid">
        <fgColor rgb="FFCC0000"/>
        <bgColor rgb="FFC9211E"/>
      </patternFill>
    </fill>
    <fill>
      <patternFill patternType="solid">
        <fgColor rgb="FFFF0000"/>
        <bgColor rgb="FFCC0000"/>
      </patternFill>
    </fill>
    <fill>
      <patternFill patternType="solid">
        <fgColor rgb="FF999999"/>
        <bgColor rgb="FFB2B2B2"/>
      </patternFill>
    </fill>
    <fill>
      <patternFill patternType="solid">
        <fgColor rgb="FFB2B2B2"/>
        <bgColor rgb="FF999999"/>
      </patternFill>
    </fill>
    <fill>
      <patternFill patternType="solid">
        <fgColor rgb="FF00A933"/>
        <bgColor rgb="FF008000"/>
      </patternFill>
    </fill>
    <fill>
      <patternFill patternType="solid">
        <fgColor rgb="FF81D41A"/>
        <bgColor rgb="FFB2B2B2"/>
      </patternFill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 style="thin"/>
      <bottom style="thin"/>
      <diagonal/>
    </border>
  </borders>
  <cellStyleXfs count="3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7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7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0" fillId="7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9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9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1" fontId="0" fillId="1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1" fontId="0" fillId="1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1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72" fontId="0" fillId="1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72" fontId="0" fillId="1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1" fontId="0" fillId="9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71" fontId="0" fillId="9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1" fontId="0" fillId="1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1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1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0" fillId="1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0" fillId="1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1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7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76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71" fontId="0" fillId="1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7" fontId="0" fillId="1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6" fontId="0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7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3" fontId="0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7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6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3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4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3" fontId="14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0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8" fontId="14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6" fontId="1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7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7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5" fontId="0" fillId="7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1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5" xfId="20"/>
    <cellStyle name="Accent 2 6" xfId="21"/>
    <cellStyle name="Accent 3 7" xfId="22"/>
    <cellStyle name="Accent 4" xfId="23"/>
    <cellStyle name="Error 8" xfId="24"/>
    <cellStyle name="Footnote 9" xfId="25"/>
    <cellStyle name="Heading 10" xfId="26"/>
    <cellStyle name="Hyperlink 11" xfId="27"/>
    <cellStyle name="Result 12" xfId="28"/>
    <cellStyle name="Status 13" xfId="29"/>
    <cellStyle name="Text 14" xfId="30"/>
    <cellStyle name="Untitled1" xfId="31"/>
    <cellStyle name="Warning 15" xfId="32"/>
  </cellStyles>
  <dxfs count="3">
    <dxf>
      <font>
        <name val="Arial"/>
        <charset val="1"/>
        <family val="0"/>
        <b val="1"/>
        <color rgb="FFFFFFFF"/>
      </font>
      <fill>
        <patternFill>
          <bgColor rgb="FFCC0000"/>
        </patternFill>
      </fill>
    </dxf>
    <dxf>
      <font>
        <name val="Arial"/>
        <charset val="1"/>
        <family val="0"/>
        <b val="1"/>
        <color rgb="FFFFFFFF"/>
      </font>
      <fill>
        <patternFill>
          <bgColor rgb="FFCC0000"/>
        </patternFill>
      </fill>
    </dxf>
    <dxf>
      <font>
        <name val="Arial"/>
        <charset val="1"/>
        <family val="0"/>
        <b val="1"/>
        <color rgb="FFFFFFFF"/>
      </font>
      <fill>
        <patternFill>
          <bgColor rgb="FFCC0000"/>
        </patternFill>
      </fill>
    </dxf>
  </dxfs>
  <colors>
    <indexedColors>
      <rgbColor rgb="FF000000"/>
      <rgbColor rgb="FFFFFFFF"/>
      <rgbColor rgb="FFFF0000"/>
      <rgbColor rgb="FF00FF00"/>
      <rgbColor rgb="FF0000EE"/>
      <rgbColor rgb="FFFFFF00"/>
      <rgbColor rgb="FFFF00FF"/>
      <rgbColor rgb="FF00FFFF"/>
      <rgbColor rgb="FFCC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99"/>
      <rgbColor rgb="FF999999"/>
      <rgbColor rgb="FF003366"/>
      <rgbColor rgb="FF00A933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www.sciencedirect.com/science/article/pii/S0043164815003749" TargetMode="External"/><Relationship Id="rId3" Type="http://schemas.openxmlformats.org/officeDocument/2006/relationships/hyperlink" Target="https://www.sciencedirect.com/science/article/pii/S0043164815003749" TargetMode="External"/><Relationship Id="rId4" Type="http://schemas.openxmlformats.org/officeDocument/2006/relationships/hyperlink" Target="https://www.sciencedirect.com/science/article/pii/S0043164815003749" TargetMode="External"/><Relationship Id="rId5" Type="http://schemas.openxmlformats.org/officeDocument/2006/relationships/hyperlink" Target="https://www.sciencedirect.com/science/article/pii/S0043164815003749" TargetMode="External"/><Relationship Id="rId6" Type="http://schemas.openxmlformats.org/officeDocument/2006/relationships/hyperlink" Target="https://www.sciencedirect.com/science/article/pii/S0043164815003749" TargetMode="External"/><Relationship Id="rId7" Type="http://schemas.openxmlformats.org/officeDocument/2006/relationships/hyperlink" Target="https://www.sciencedirect.com/science/article/pii/S0043164815003749" TargetMode="External"/><Relationship Id="rId8" Type="http://schemas.openxmlformats.org/officeDocument/2006/relationships/hyperlink" Target="https://www.sciencedirect.com/science/article/pii/S0043164815003749" TargetMode="External"/><Relationship Id="rId9" Type="http://schemas.openxmlformats.org/officeDocument/2006/relationships/hyperlink" Target="https://www.sciencedirect.com/science/article/pii/S0043164815003749" TargetMode="External"/><Relationship Id="rId10" Type="http://schemas.openxmlformats.org/officeDocument/2006/relationships/hyperlink" Target="https://www.sciencedirect.com/science/article/pii/S0043164815003749" TargetMode="External"/><Relationship Id="rId11" Type="http://schemas.openxmlformats.org/officeDocument/2006/relationships/hyperlink" Target="https://www.sciencedirect.com/science/article/pii/S0043164815003749" TargetMode="External"/><Relationship Id="rId12" Type="http://schemas.openxmlformats.org/officeDocument/2006/relationships/hyperlink" Target="https://www.sciencedirect.com/science/article/pii/S0043164815003749" TargetMode="External"/><Relationship Id="rId13" Type="http://schemas.openxmlformats.org/officeDocument/2006/relationships/hyperlink" Target="https://www.sciencedirect.com/science/article/pii/S0043164815003749" TargetMode="External"/><Relationship Id="rId14" Type="http://schemas.openxmlformats.org/officeDocument/2006/relationships/hyperlink" Target="https://www.sciencedirect.com/science/article/pii/S0043164815003749" TargetMode="External"/><Relationship Id="rId15" Type="http://schemas.openxmlformats.org/officeDocument/2006/relationships/hyperlink" Target="https://www.sciencedirect.com/science/article/pii/S0043164815003749" TargetMode="External"/><Relationship Id="rId16" Type="http://schemas.openxmlformats.org/officeDocument/2006/relationships/hyperlink" Target="https://www.sciencedirect.com/science/article/pii/S0043164815003749" TargetMode="External"/><Relationship Id="rId17" Type="http://schemas.openxmlformats.org/officeDocument/2006/relationships/hyperlink" Target="https://www.sciencedirect.com/science/article/pii/S0043164815003749" TargetMode="External"/><Relationship Id="rId18" Type="http://schemas.openxmlformats.org/officeDocument/2006/relationships/hyperlink" Target="https://www.sciencedirect.com/science/article/pii/S0043164815003749" TargetMode="External"/><Relationship Id="rId19" Type="http://schemas.openxmlformats.org/officeDocument/2006/relationships/hyperlink" Target="https://www.sciencedirect.com/science/article/pii/S0043164815003749" TargetMode="External"/><Relationship Id="rId20" Type="http://schemas.openxmlformats.org/officeDocument/2006/relationships/hyperlink" Target="https://www.sciencedirect.com/science/article/pii/S0043164815003749" TargetMode="External"/><Relationship Id="rId21" Type="http://schemas.openxmlformats.org/officeDocument/2006/relationships/hyperlink" Target="https://www.sciencedirect.com/science/article/pii/S0043164815003749" TargetMode="External"/><Relationship Id="rId22" Type="http://schemas.openxmlformats.org/officeDocument/2006/relationships/hyperlink" Target="https://www.sciencedirect.com/science/article/pii/S0043164815003749" TargetMode="External"/><Relationship Id="rId23" Type="http://schemas.openxmlformats.org/officeDocument/2006/relationships/hyperlink" Target="https://www.sciencedirect.com/science/article/pii/S0043164815003749" TargetMode="External"/><Relationship Id="rId24" Type="http://schemas.openxmlformats.org/officeDocument/2006/relationships/hyperlink" Target="https://www.sciencedirect.com/science/article/pii/S0043164815003749" TargetMode="External"/><Relationship Id="rId25" Type="http://schemas.openxmlformats.org/officeDocument/2006/relationships/hyperlink" Target="https://www.sciencedirect.com/science/article/pii/S0043164815003749" TargetMode="External"/><Relationship Id="rId26" Type="http://schemas.openxmlformats.org/officeDocument/2006/relationships/hyperlink" Target="https://www.sciencedirect.com/science/article/pii/S0043164815003749" TargetMode="External"/><Relationship Id="rId27" Type="http://schemas.openxmlformats.org/officeDocument/2006/relationships/hyperlink" Target="https://www.sciencedirect.com/science/article/pii/S0043164815003749" TargetMode="External"/><Relationship Id="rId28" Type="http://schemas.openxmlformats.org/officeDocument/2006/relationships/hyperlink" Target="https://www.sciencedirect.com/science/article/pii/S0043164815003749" TargetMode="External"/><Relationship Id="rId29" Type="http://schemas.openxmlformats.org/officeDocument/2006/relationships/hyperlink" Target="https://www.sciencedirect.com/science/article/pii/S0043164815003749" TargetMode="External"/><Relationship Id="rId30" Type="http://schemas.openxmlformats.org/officeDocument/2006/relationships/hyperlink" Target="https://www.sciencedirect.com/science/article/pii/S0043164815003749" TargetMode="External"/><Relationship Id="rId31" Type="http://schemas.openxmlformats.org/officeDocument/2006/relationships/hyperlink" Target="https://www.sciencedirect.com/science/article/pii/S0043164815003749" TargetMode="External"/><Relationship Id="rId32" Type="http://schemas.openxmlformats.org/officeDocument/2006/relationships/hyperlink" Target="https://www.sciencedirect.com/science/article/pii/S0043164815003749" TargetMode="External"/><Relationship Id="rId33" Type="http://schemas.openxmlformats.org/officeDocument/2006/relationships/hyperlink" Target="https://www.sciencedirect.com/science/article/pii/S0043164815003749" TargetMode="External"/><Relationship Id="rId34" Type="http://schemas.openxmlformats.org/officeDocument/2006/relationships/hyperlink" Target="https://www.sciencedirect.com/science/article/pii/S0043164815003749" TargetMode="External"/><Relationship Id="rId35" Type="http://schemas.openxmlformats.org/officeDocument/2006/relationships/hyperlink" Target="https://www.sciencedirect.com/science/article/pii/S0043164815003749" TargetMode="External"/><Relationship Id="rId36" Type="http://schemas.openxmlformats.org/officeDocument/2006/relationships/hyperlink" Target="https://www.sciencedirect.com/science/article/pii/S0043164815003749" TargetMode="External"/><Relationship Id="rId37" Type="http://schemas.openxmlformats.org/officeDocument/2006/relationships/hyperlink" Target="https://www.sciencedirect.com/science/article/pii/S0043164815003749" TargetMode="External"/><Relationship Id="rId38" Type="http://schemas.openxmlformats.org/officeDocument/2006/relationships/hyperlink" Target="https://www.sciencedirect.com/science/article/pii/S0043164815003749" TargetMode="External"/><Relationship Id="rId39" Type="http://schemas.openxmlformats.org/officeDocument/2006/relationships/hyperlink" Target="https://www.sciencedirect.com/science/article/pii/S0043164815003749" TargetMode="External"/><Relationship Id="rId40" Type="http://schemas.openxmlformats.org/officeDocument/2006/relationships/hyperlink" Target="https://www.sciencedirect.com/science/article/pii/S0043164815003749" TargetMode="External"/><Relationship Id="rId41" Type="http://schemas.openxmlformats.org/officeDocument/2006/relationships/hyperlink" Target="https://www.sciencedirect.com/science/article/pii/S0043164815003749" TargetMode="External"/><Relationship Id="rId42" Type="http://schemas.openxmlformats.org/officeDocument/2006/relationships/hyperlink" Target="https://www.sciencedirect.com/science/article/pii/S0043164815003749" TargetMode="External"/><Relationship Id="rId43" Type="http://schemas.openxmlformats.org/officeDocument/2006/relationships/hyperlink" Target="https://www.sciencedirect.com/science/article/pii/S0043164815003749" TargetMode="External"/><Relationship Id="rId44" Type="http://schemas.openxmlformats.org/officeDocument/2006/relationships/hyperlink" Target="https://www.sciencedirect.com/science/article/pii/S0043164815003749" TargetMode="External"/><Relationship Id="rId45" Type="http://schemas.openxmlformats.org/officeDocument/2006/relationships/hyperlink" Target="https://www.sciencedirect.com/science/article/pii/S0043164815003749" TargetMode="External"/><Relationship Id="rId46" Type="http://schemas.openxmlformats.org/officeDocument/2006/relationships/hyperlink" Target="https://www.sciencedirect.com/science/article/pii/S0043164815003749" TargetMode="External"/><Relationship Id="rId47" Type="http://schemas.openxmlformats.org/officeDocument/2006/relationships/hyperlink" Target="https://www.sciencedirect.com/science/article/pii/S0043164815003749" TargetMode="External"/><Relationship Id="rId48" Type="http://schemas.openxmlformats.org/officeDocument/2006/relationships/hyperlink" Target="https://www.sciencedirect.com/science/article/pii/S0043164815003749" TargetMode="External"/><Relationship Id="rId49" Type="http://schemas.openxmlformats.org/officeDocument/2006/relationships/hyperlink" Target="https://www.sciencedirect.com/science/article/pii/S0043164815003749" TargetMode="External"/><Relationship Id="rId50" Type="http://schemas.openxmlformats.org/officeDocument/2006/relationships/hyperlink" Target="https://www.sciencedirect.com/science/article/pii/S0043164815003749" TargetMode="External"/><Relationship Id="rId51" Type="http://schemas.openxmlformats.org/officeDocument/2006/relationships/hyperlink" Target="https://www.sciencedirect.com/science/article/pii/S0043164815003749" TargetMode="External"/><Relationship Id="rId52" Type="http://schemas.openxmlformats.org/officeDocument/2006/relationships/hyperlink" Target="https://www.sciencedirect.com/science/article/pii/S0043164815003749" TargetMode="External"/><Relationship Id="rId53" Type="http://schemas.openxmlformats.org/officeDocument/2006/relationships/hyperlink" Target="https://www.sciencedirect.com/science/article/pii/S0043164815003749" TargetMode="External"/><Relationship Id="rId54" Type="http://schemas.openxmlformats.org/officeDocument/2006/relationships/hyperlink" Target="https://www.sciencedirect.com/science/article/pii/S0043164815003749" TargetMode="External"/><Relationship Id="rId55" Type="http://schemas.openxmlformats.org/officeDocument/2006/relationships/hyperlink" Target="https://www.sciencedirect.com/science/article/pii/S0043164815003749" TargetMode="External"/><Relationship Id="rId56" Type="http://schemas.openxmlformats.org/officeDocument/2006/relationships/hyperlink" Target="https://www.sciencedirect.com/science/article/pii/S0043164815003749" TargetMode="External"/><Relationship Id="rId57" Type="http://schemas.openxmlformats.org/officeDocument/2006/relationships/hyperlink" Target="https://www.sciencedirect.com/science/article/pii/S0043164815003749" TargetMode="External"/><Relationship Id="rId58" Type="http://schemas.openxmlformats.org/officeDocument/2006/relationships/hyperlink" Target="https://www.sciencedirect.com/science/article/pii/S0043164815003749" TargetMode="External"/><Relationship Id="rId59" Type="http://schemas.openxmlformats.org/officeDocument/2006/relationships/hyperlink" Target="https://www.sciencedirect.com/science/article/pii/S0043164815003749" TargetMode="External"/><Relationship Id="rId60" Type="http://schemas.openxmlformats.org/officeDocument/2006/relationships/hyperlink" Target="https://www.sciencedirect.com/science/article/pii/S0043164815003749" TargetMode="External"/><Relationship Id="rId61" Type="http://schemas.openxmlformats.org/officeDocument/2006/relationships/hyperlink" Target="https://www.sciencedirect.com/science/article/pii/S0043164815003749" TargetMode="External"/><Relationship Id="rId62" Type="http://schemas.openxmlformats.org/officeDocument/2006/relationships/hyperlink" Target="https://www.sciencedirect.com/science/article/pii/S0043164815003749" TargetMode="External"/><Relationship Id="rId63" Type="http://schemas.openxmlformats.org/officeDocument/2006/relationships/hyperlink" Target="https://www.sciencedirect.com/science/article/pii/S0043164815003749" TargetMode="External"/><Relationship Id="rId64" Type="http://schemas.openxmlformats.org/officeDocument/2006/relationships/hyperlink" Target="https://www.sciencedirect.com/science/article/pii/S0043164815003749" TargetMode="External"/><Relationship Id="rId65" Type="http://schemas.openxmlformats.org/officeDocument/2006/relationships/hyperlink" Target="https://www.sciencedirect.com/science/article/pii/S0043164815003749" TargetMode="External"/><Relationship Id="rId66" Type="http://schemas.openxmlformats.org/officeDocument/2006/relationships/hyperlink" Target="https://www.sciencedirect.com/science/article/pii/S0043164815003749" TargetMode="External"/><Relationship Id="rId67" Type="http://schemas.openxmlformats.org/officeDocument/2006/relationships/hyperlink" Target="https://www.sciencedirect.com/science/article/pii/S0043164815003749" TargetMode="External"/><Relationship Id="rId68" Type="http://schemas.openxmlformats.org/officeDocument/2006/relationships/hyperlink" Target="https://www.sciencedirect.com/science/article/pii/S0043164815003749" TargetMode="External"/><Relationship Id="rId69" Type="http://schemas.openxmlformats.org/officeDocument/2006/relationships/hyperlink" Target="https://www.sciencedirect.com/science/article/pii/S0043164815003749" TargetMode="External"/><Relationship Id="rId70" Type="http://schemas.openxmlformats.org/officeDocument/2006/relationships/hyperlink" Target="https://www.sciencedirect.com/science/article/pii/S0043164815003749" TargetMode="External"/><Relationship Id="rId71" Type="http://schemas.openxmlformats.org/officeDocument/2006/relationships/hyperlink" Target="https://www.sciencedirect.com/science/article/pii/S0043164815003749" TargetMode="External"/><Relationship Id="rId72" Type="http://schemas.openxmlformats.org/officeDocument/2006/relationships/hyperlink" Target="https://www.sciencedirect.com/science/article/pii/S0043164815003749" TargetMode="External"/><Relationship Id="rId73" Type="http://schemas.openxmlformats.org/officeDocument/2006/relationships/hyperlink" Target="https://www.sciencedirect.com/science/article/pii/S0043164815003749" TargetMode="External"/><Relationship Id="rId74" Type="http://schemas.openxmlformats.org/officeDocument/2006/relationships/hyperlink" Target="https://www.sciencedirect.com/science/article/pii/S0043164815003749" TargetMode="External"/><Relationship Id="rId75" Type="http://schemas.openxmlformats.org/officeDocument/2006/relationships/hyperlink" Target="https://www.sciencedirect.com/science/article/pii/S0043164815003749" TargetMode="External"/><Relationship Id="rId76" Type="http://schemas.openxmlformats.org/officeDocument/2006/relationships/hyperlink" Target="https://www.sciencedirect.com/science/article/pii/S0043164815003749" TargetMode="External"/><Relationship Id="rId77" Type="http://schemas.openxmlformats.org/officeDocument/2006/relationships/hyperlink" Target="https://www.sciencedirect.com/science/article/pii/S0043164815003749" TargetMode="External"/><Relationship Id="rId78" Type="http://schemas.openxmlformats.org/officeDocument/2006/relationships/hyperlink" Target="https://www.sciencedirect.com/science/article/pii/S0043164815003749" TargetMode="External"/><Relationship Id="rId79" Type="http://schemas.openxmlformats.org/officeDocument/2006/relationships/hyperlink" Target="https://www.sciencedirect.com/science/article/pii/S0043164815003749" TargetMode="External"/><Relationship Id="rId80" Type="http://schemas.openxmlformats.org/officeDocument/2006/relationships/hyperlink" Target="https://www.sciencedirect.com/science/article/pii/S0043164815003749" TargetMode="External"/><Relationship Id="rId81" Type="http://schemas.openxmlformats.org/officeDocument/2006/relationships/hyperlink" Target="https://www.sciencedirect.com/science/article/pii/S0043164815003749" TargetMode="External"/><Relationship Id="rId82" Type="http://schemas.openxmlformats.org/officeDocument/2006/relationships/hyperlink" Target="https://www.sciencedirect.com/science/article/pii/S0043164815003749" TargetMode="External"/><Relationship Id="rId83" Type="http://schemas.openxmlformats.org/officeDocument/2006/relationships/hyperlink" Target="https://www.sciencedirect.com/science/article/pii/S0043164815003749" TargetMode="External"/><Relationship Id="rId84" Type="http://schemas.openxmlformats.org/officeDocument/2006/relationships/hyperlink" Target="https://www.sciencedirect.com/science/article/pii/S0043164815003749" TargetMode="External"/><Relationship Id="rId85" Type="http://schemas.openxmlformats.org/officeDocument/2006/relationships/hyperlink" Target="https://www.sciencedirect.com/science/article/pii/S0043164815003749" TargetMode="External"/><Relationship Id="rId86" Type="http://schemas.openxmlformats.org/officeDocument/2006/relationships/hyperlink" Target="https://www.sciencedirect.com/science/article/pii/S0043164815003749" TargetMode="External"/><Relationship Id="rId87" Type="http://schemas.openxmlformats.org/officeDocument/2006/relationships/hyperlink" Target="https://www.sciencedirect.com/science/article/pii/S0043164815003749" TargetMode="External"/><Relationship Id="rId88" Type="http://schemas.openxmlformats.org/officeDocument/2006/relationships/hyperlink" Target="https://www.sciencedirect.com/science/article/pii/S0043164815003749" TargetMode="External"/><Relationship Id="rId89" Type="http://schemas.openxmlformats.org/officeDocument/2006/relationships/hyperlink" Target="https://www.sciencedirect.com/science/article/pii/S0043164815003749" TargetMode="External"/><Relationship Id="rId90" Type="http://schemas.openxmlformats.org/officeDocument/2006/relationships/hyperlink" Target="https://www.sciencedirect.com/science/article/pii/S0043164815003749" TargetMode="External"/><Relationship Id="rId91" Type="http://schemas.openxmlformats.org/officeDocument/2006/relationships/hyperlink" Target="https://www.sciencedirect.com/science/article/pii/S0043164815003749" TargetMode="External"/><Relationship Id="rId92" Type="http://schemas.openxmlformats.org/officeDocument/2006/relationships/hyperlink" Target="https://www.sciencedirect.com/science/article/pii/S0043164815003749" TargetMode="External"/><Relationship Id="rId93" Type="http://schemas.openxmlformats.org/officeDocument/2006/relationships/hyperlink" Target="https://www.sciencedirect.com/science/article/pii/S0043164814003627" TargetMode="External"/><Relationship Id="rId94" Type="http://schemas.openxmlformats.org/officeDocument/2006/relationships/hyperlink" Target="https://www.sciencedirect.com/science/article/pii/S0043164814003627" TargetMode="External"/><Relationship Id="rId95" Type="http://schemas.openxmlformats.org/officeDocument/2006/relationships/hyperlink" Target="https://www.sciencedirect.com/science/article/pii/S0043164814003627" TargetMode="External"/><Relationship Id="rId96" Type="http://schemas.openxmlformats.org/officeDocument/2006/relationships/hyperlink" Target="https://www.sciencedirect.com/science/article/pii/S0043164814003627" TargetMode="External"/><Relationship Id="rId97" Type="http://schemas.openxmlformats.org/officeDocument/2006/relationships/hyperlink" Target="https://www.sciencedirect.com/science/article/pii/S0043164814003627" TargetMode="External"/><Relationship Id="rId98" Type="http://schemas.openxmlformats.org/officeDocument/2006/relationships/hyperlink" Target="https://www.sciencedirect.com/science/article/pii/S0043164809003986" TargetMode="External"/><Relationship Id="rId99" Type="http://schemas.openxmlformats.org/officeDocument/2006/relationships/hyperlink" Target="https://www.sciencedirect.com/science/article/pii/S0043164809003986" TargetMode="External"/><Relationship Id="rId100" Type="http://schemas.openxmlformats.org/officeDocument/2006/relationships/hyperlink" Target="https://www.sciencedirect.com/science/article/pii/S0043164809003986" TargetMode="External"/><Relationship Id="rId101" Type="http://schemas.openxmlformats.org/officeDocument/2006/relationships/hyperlink" Target="https://www.sciencedirect.com/science/article/pii/S0043164809003986" TargetMode="External"/><Relationship Id="rId102" Type="http://schemas.openxmlformats.org/officeDocument/2006/relationships/hyperlink" Target="https://www.sciencedirect.com/science/article/pii/S0043164809003986" TargetMode="External"/><Relationship Id="rId103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hyperlink" Target="https://www.bsee.gov/sites/bsee.gov/files/tap-technical-assessment-program//008bv.pdf" TargetMode="External"/><Relationship Id="rId3" Type="http://schemas.openxmlformats.org/officeDocument/2006/relationships/hyperlink" Target="https://www.bsee.gov/sites/bsee.gov/files/tap-technical-assessment-program//008bv.pdf" TargetMode="External"/><Relationship Id="rId4" Type="http://schemas.openxmlformats.org/officeDocument/2006/relationships/hyperlink" Target="https://www.bsee.gov/sites/bsee.gov/files/tap-technical-assessment-program//008bv.pdf" TargetMode="External"/><Relationship Id="rId5" Type="http://schemas.openxmlformats.org/officeDocument/2006/relationships/hyperlink" Target="https://www.bsee.gov/sites/bsee.gov/files/tap-technical-assessment-program//008bv.pdf" TargetMode="External"/><Relationship Id="rId6" Type="http://schemas.openxmlformats.org/officeDocument/2006/relationships/hyperlink" Target="https://www.bsee.gov/sites/bsee.gov/files/tap-technical-assessment-program//008bv.pdf" TargetMode="External"/><Relationship Id="rId7" Type="http://schemas.openxmlformats.org/officeDocument/2006/relationships/hyperlink" Target="https://www.bsee.gov/sites/bsee.gov/files/tap-technical-assessment-program//008bv.pdf" TargetMode="External"/><Relationship Id="rId8" Type="http://schemas.openxmlformats.org/officeDocument/2006/relationships/hyperlink" Target="https://www.bsee.gov/sites/bsee.gov/files/tap-technical-assessment-program//008bv.pdf" TargetMode="External"/><Relationship Id="rId9" Type="http://schemas.openxmlformats.org/officeDocument/2006/relationships/hyperlink" Target="https://www.bsee.gov/sites/bsee.gov/files/tap-technical-assessment-program//008bv.pdf" TargetMode="External"/><Relationship Id="rId10" Type="http://schemas.openxmlformats.org/officeDocument/2006/relationships/hyperlink" Target="https://www.bsee.gov/sites/bsee.gov/files/tap-technical-assessment-program//008bv.pdf" TargetMode="External"/><Relationship Id="rId11" Type="http://schemas.openxmlformats.org/officeDocument/2006/relationships/hyperlink" Target="https://www.bsee.gov/sites/bsee.gov/files/tap-technical-assessment-program//008bv.pdf" TargetMode="External"/><Relationship Id="rId12" Type="http://schemas.openxmlformats.org/officeDocument/2006/relationships/hyperlink" Target="https://www.bsee.gov/sites/bsee.gov/files/tap-technical-assessment-program//008bv.pdf" TargetMode="External"/><Relationship Id="rId13" Type="http://schemas.openxmlformats.org/officeDocument/2006/relationships/hyperlink" Target="https://www.bsee.gov/sites/bsee.gov/files/tap-technical-assessment-program//008bv.pdf" TargetMode="External"/><Relationship Id="rId14" Type="http://schemas.openxmlformats.org/officeDocument/2006/relationships/hyperlink" Target="https://www.bsee.gov/sites/bsee.gov/files/tap-technical-assessment-program//008bv.pdf" TargetMode="External"/><Relationship Id="rId15" Type="http://schemas.openxmlformats.org/officeDocument/2006/relationships/hyperlink" Target="https://www.bsee.gov/sites/bsee.gov/files/tap-technical-assessment-program//008bv.pdf" TargetMode="External"/><Relationship Id="rId16" Type="http://schemas.openxmlformats.org/officeDocument/2006/relationships/hyperlink" Target="https://www.bsee.gov/sites/bsee.gov/files/tap-technical-assessment-program//008bv.pdf" TargetMode="External"/><Relationship Id="rId17" Type="http://schemas.openxmlformats.org/officeDocument/2006/relationships/hyperlink" Target="https://www.bsee.gov/sites/bsee.gov/files/tap-technical-assessment-program//008bv.pdf" TargetMode="External"/><Relationship Id="rId18" Type="http://schemas.openxmlformats.org/officeDocument/2006/relationships/hyperlink" Target="https://www.bsee.gov/sites/bsee.gov/files/tap-technical-assessment-program//008bv.pdf" TargetMode="External"/><Relationship Id="rId19" Type="http://schemas.openxmlformats.org/officeDocument/2006/relationships/hyperlink" Target="https://www.bsee.gov/sites/bsee.gov/files/tap-technical-assessment-program//008bv.pdf" TargetMode="External"/><Relationship Id="rId20" Type="http://schemas.openxmlformats.org/officeDocument/2006/relationships/hyperlink" Target="https://www.bsee.gov/sites/bsee.gov/files/tap-technical-assessment-program//008bv.pdf" TargetMode="External"/><Relationship Id="rId21" Type="http://schemas.openxmlformats.org/officeDocument/2006/relationships/hyperlink" Target="https://www.bsee.gov/sites/bsee.gov/files/tap-technical-assessment-program//008bv.pdf" TargetMode="External"/><Relationship Id="rId22" Type="http://schemas.openxmlformats.org/officeDocument/2006/relationships/hyperlink" Target="https://www.bsee.gov/sites/bsee.gov/files/tap-technical-assessment-program//008bv.pdf" TargetMode="External"/><Relationship Id="rId23" Type="http://schemas.openxmlformats.org/officeDocument/2006/relationships/hyperlink" Target="https://www.bsee.gov/sites/bsee.gov/files/tap-technical-assessment-program//008bv.pdf" TargetMode="External"/><Relationship Id="rId24" Type="http://schemas.openxmlformats.org/officeDocument/2006/relationships/hyperlink" Target="https://www.bsee.gov/sites/bsee.gov/files/tap-technical-assessment-program//008bv.pdf" TargetMode="External"/><Relationship Id="rId25" Type="http://schemas.openxmlformats.org/officeDocument/2006/relationships/hyperlink" Target="https://www.bsee.gov/sites/bsee.gov/files/tap-technical-assessment-program//008bv.pdf" TargetMode="External"/><Relationship Id="rId26" Type="http://schemas.openxmlformats.org/officeDocument/2006/relationships/hyperlink" Target="https://www.bsee.gov/sites/bsee.gov/files/tap-technical-assessment-program//008bv.pdf" TargetMode="External"/><Relationship Id="rId27" Type="http://schemas.openxmlformats.org/officeDocument/2006/relationships/hyperlink" Target="https://www.bsee.gov/sites/bsee.gov/files/tap-technical-assessment-program//008bv.pdf" TargetMode="External"/><Relationship Id="rId28" Type="http://schemas.openxmlformats.org/officeDocument/2006/relationships/hyperlink" Target="https://www.proquest.com/docview/1439439434/fulltextPDF/193DA742FB1647BDPQ/1?accountid=16260&amp;sourcetype=Dissertations%20&amp;%20Theses" TargetMode="External"/><Relationship Id="rId29" Type="http://schemas.openxmlformats.org/officeDocument/2006/relationships/hyperlink" Target="https://www.proquest.com/docview/1439439434/fulltextPDF/193DA742FB1647BDPQ/1?accountid=16260&amp;sourcetype=Dissertations%20&amp;%20Theses" TargetMode="External"/><Relationship Id="rId30" Type="http://schemas.openxmlformats.org/officeDocument/2006/relationships/hyperlink" Target="https://www.proquest.com/docview/1439439434/fulltextPDF/193DA742FB1647BDPQ/1?accountid=16260&amp;sourcetype=Dissertations%20&amp;%20Theses" TargetMode="External"/><Relationship Id="rId31" Type="http://schemas.openxmlformats.org/officeDocument/2006/relationships/hyperlink" Target="https://www.proquest.com/docview/1439439434/fulltextPDF/193DA742FB1647BDPQ/1?accountid=16260&amp;sourcetype=Dissertations%20&amp;%20Theses" TargetMode="External"/><Relationship Id="rId32" Type="http://schemas.openxmlformats.org/officeDocument/2006/relationships/hyperlink" Target="https://asmedigitalcollection.asme.org/fluidsengineering/article/142/6/061402/1073715/Experimental-Investigation-of-Solid-Particle" TargetMode="External"/><Relationship Id="rId33" Type="http://schemas.openxmlformats.org/officeDocument/2006/relationships/hyperlink" Target="https://asmedigitalcollection.asme.org/fluidsengineering/article/142/6/061402/1073715/Experimental-Investigation-of-Solid-Particle" TargetMode="External"/><Relationship Id="rId34" Type="http://schemas.openxmlformats.org/officeDocument/2006/relationships/hyperlink" Target="https://asmedigitalcollection.asme.org/fluidsengineering/article/142/6/061402/1073715/Experimental-Investigation-of-Solid-Particle" TargetMode="External"/><Relationship Id="rId35" Type="http://schemas.openxmlformats.org/officeDocument/2006/relationships/hyperlink" Target="https://asmedigitalcollection.asme.org/fluidsengineering/article/142/6/061402/1073715/Experimental-Investigation-of-Solid-Particle" TargetMode="External"/><Relationship Id="rId36" Type="http://schemas.openxmlformats.org/officeDocument/2006/relationships/hyperlink" Target="https://asmedigitalcollection.asme.org/fluidsengineering/article/142/6/061402/1073715/Experimental-Investigation-of-Solid-Particle" TargetMode="External"/><Relationship Id="rId37" Type="http://schemas.openxmlformats.org/officeDocument/2006/relationships/hyperlink" Target="https://asmedigitalcollection.asme.org/fluidsengineering/article/142/6/061402/1073715/Experimental-Investigation-of-Solid-Particle" TargetMode="External"/><Relationship Id="rId38" Type="http://schemas.openxmlformats.org/officeDocument/2006/relationships/hyperlink" Target="https://asmedigitalcollection.asme.org/fluidsengineering/article/142/6/061402/1073715/Experimental-Investigation-of-Solid-Particle" TargetMode="External"/><Relationship Id="rId39" Type="http://schemas.openxmlformats.org/officeDocument/2006/relationships/hyperlink" Target="https://asmedigitalcollection.asme.org/fluidsengineering/article/142/6/061402/1073715/Experimental-Investigation-of-Solid-Particle" TargetMode="External"/><Relationship Id="rId40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68"/>
  <sheetViews>
    <sheetView showFormulas="false" showGridLines="true" showRowColHeaders="true" showZeros="true" rightToLeft="false" tabSelected="false" showOutlineSymbols="true" defaultGridColor="true" view="normal" topLeftCell="H106" colorId="64" zoomScale="65" zoomScaleNormal="65" zoomScalePageLayoutView="100" workbookViewId="0">
      <selection pane="topLeft" activeCell="Z183" activeCellId="0" sqref="Z183"/>
    </sheetView>
  </sheetViews>
  <sheetFormatPr defaultColWidth="12.625" defaultRowHeight="12.8" zeroHeight="false" outlineLevelRow="0" outlineLevelCol="0"/>
  <cols>
    <col collapsed="false" customWidth="true" hidden="false" outlineLevel="0" max="1" min="1" style="1" width="5.92"/>
    <col collapsed="false" customWidth="true" hidden="false" outlineLevel="0" max="2" min="2" style="1" width="11.52"/>
    <col collapsed="false" customWidth="true" hidden="false" outlineLevel="0" max="12" min="3" style="1" width="17.18"/>
    <col collapsed="false" customWidth="true" hidden="false" outlineLevel="0" max="14" min="13" style="1" width="15.15"/>
    <col collapsed="false" customWidth="true" hidden="false" outlineLevel="0" max="20" min="15" style="1" width="12.37"/>
    <col collapsed="false" customWidth="true" hidden="false" outlineLevel="0" max="21" min="21" style="1" width="19.46"/>
    <col collapsed="false" customWidth="true" hidden="false" outlineLevel="0" max="24" min="22" style="1" width="13.46"/>
    <col collapsed="false" customWidth="true" hidden="false" outlineLevel="0" max="25" min="25" style="1" width="11.52"/>
    <col collapsed="false" customWidth="true" hidden="false" outlineLevel="0" max="26" min="26" style="1" width="13.7"/>
    <col collapsed="false" customWidth="true" hidden="false" outlineLevel="0" max="27" min="27" style="1" width="13.36"/>
    <col collapsed="false" customWidth="true" hidden="false" outlineLevel="0" max="28" min="28" style="1" width="13.15"/>
    <col collapsed="false" customWidth="true" hidden="false" outlineLevel="0" max="32" min="29" style="1" width="10.6"/>
    <col collapsed="false" customWidth="true" hidden="false" outlineLevel="0" max="33" min="33" style="1" width="15.15"/>
    <col collapsed="false" customWidth="true" hidden="false" outlineLevel="0" max="34" min="34" style="2" width="10.6"/>
    <col collapsed="false" customWidth="true" hidden="false" outlineLevel="0" max="35" min="35" style="2" width="9.72"/>
    <col collapsed="false" customWidth="true" hidden="false" outlineLevel="0" max="36" min="36" style="2" width="18.15"/>
    <col collapsed="false" customWidth="true" hidden="false" outlineLevel="0" max="38" min="37" style="2" width="9.72"/>
    <col collapsed="false" customWidth="true" hidden="false" outlineLevel="0" max="42" min="39" style="2" width="11.24"/>
    <col collapsed="false" customWidth="true" hidden="false" outlineLevel="0" max="43" min="43" style="2" width="12.5"/>
    <col collapsed="false" customWidth="true" hidden="false" outlineLevel="0" max="44" min="44" style="2" width="14.59"/>
    <col collapsed="false" customWidth="true" hidden="false" outlineLevel="0" max="45" min="45" style="2" width="15.39"/>
    <col collapsed="false" customWidth="true" hidden="false" outlineLevel="0" max="47" min="46" style="2" width="11.64"/>
    <col collapsed="false" customWidth="true" hidden="false" outlineLevel="0" max="48" min="48" style="2" width="14.54"/>
    <col collapsed="false" customWidth="true" hidden="false" outlineLevel="0" max="50" min="49" style="2" width="11.64"/>
    <col collapsed="false" customWidth="true" hidden="false" outlineLevel="0" max="51" min="51" style="2" width="12.18"/>
    <col collapsed="false" customWidth="true" hidden="false" outlineLevel="0" max="1024" min="1012" style="0" width="11.52"/>
  </cols>
  <sheetData>
    <row r="1" s="4" customFormat="true" ht="12.9" hidden="false" customHeight="false" outlineLevel="0" collapsed="false">
      <c r="A1" s="3"/>
      <c r="B1" s="3" t="n">
        <v>1</v>
      </c>
      <c r="C1" s="3"/>
      <c r="D1" s="3" t="n">
        <v>2</v>
      </c>
      <c r="E1" s="3" t="n">
        <v>3</v>
      </c>
      <c r="F1" s="3" t="n">
        <v>4</v>
      </c>
      <c r="G1" s="3"/>
      <c r="H1" s="3"/>
      <c r="I1" s="3"/>
      <c r="J1" s="3" t="n">
        <v>6</v>
      </c>
      <c r="K1" s="3"/>
      <c r="L1" s="3" t="n">
        <v>7</v>
      </c>
      <c r="M1" s="3"/>
      <c r="N1" s="3"/>
      <c r="O1" s="3"/>
      <c r="P1" s="3"/>
      <c r="Q1" s="3"/>
      <c r="R1" s="3"/>
      <c r="S1" s="3"/>
      <c r="T1" s="3" t="n">
        <v>8</v>
      </c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 t="n">
        <v>0</v>
      </c>
      <c r="AI1" s="3" t="n">
        <v>1</v>
      </c>
      <c r="AJ1" s="3" t="n">
        <v>2</v>
      </c>
      <c r="AK1" s="3" t="n">
        <v>3</v>
      </c>
      <c r="AL1" s="3" t="n">
        <v>4</v>
      </c>
      <c r="AM1" s="3" t="n">
        <v>5</v>
      </c>
      <c r="AN1" s="3" t="n">
        <v>6</v>
      </c>
      <c r="AO1" s="3" t="n">
        <v>7</v>
      </c>
      <c r="AP1" s="3" t="n">
        <v>8</v>
      </c>
      <c r="AQ1" s="3" t="n">
        <v>9</v>
      </c>
      <c r="AR1" s="3" t="n">
        <v>10</v>
      </c>
      <c r="AS1" s="3" t="n">
        <v>11</v>
      </c>
      <c r="AT1" s="3" t="n">
        <v>12</v>
      </c>
      <c r="AU1" s="3" t="n">
        <v>13</v>
      </c>
      <c r="AV1" s="3" t="n">
        <v>14</v>
      </c>
      <c r="AW1" s="3" t="n">
        <v>15</v>
      </c>
      <c r="AX1" s="3" t="n">
        <v>16</v>
      </c>
      <c r="AY1" s="3" t="n">
        <v>17</v>
      </c>
      <c r="AZ1" s="3" t="n">
        <v>18</v>
      </c>
      <c r="BA1" s="3" t="n">
        <v>19</v>
      </c>
      <c r="BB1" s="3" t="n">
        <v>20</v>
      </c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s="4" customFormat="true" ht="35.05" hidden="false" customHeight="false" outlineLevel="0" collapsed="false">
      <c r="A2" s="5" t="s">
        <v>0</v>
      </c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5" t="s">
        <v>12</v>
      </c>
      <c r="N2" s="5" t="s">
        <v>13</v>
      </c>
      <c r="O2" s="5" t="s">
        <v>14</v>
      </c>
      <c r="P2" s="5" t="s">
        <v>15</v>
      </c>
      <c r="Q2" s="5" t="s">
        <v>16</v>
      </c>
      <c r="R2" s="5" t="s">
        <v>17</v>
      </c>
      <c r="S2" s="5" t="s">
        <v>18</v>
      </c>
      <c r="T2" s="5" t="s">
        <v>19</v>
      </c>
      <c r="U2" s="5" t="s">
        <v>20</v>
      </c>
      <c r="V2" s="5" t="s">
        <v>21</v>
      </c>
      <c r="W2" s="5" t="s">
        <v>22</v>
      </c>
      <c r="X2" s="5" t="s">
        <v>23</v>
      </c>
      <c r="Y2" s="5"/>
      <c r="Z2" s="6" t="s">
        <v>24</v>
      </c>
      <c r="AA2" s="5" t="s">
        <v>25</v>
      </c>
      <c r="AB2" s="5" t="s">
        <v>26</v>
      </c>
      <c r="AC2" s="5" t="s">
        <v>27</v>
      </c>
      <c r="AD2" s="5" t="s">
        <v>28</v>
      </c>
      <c r="AE2" s="5" t="s">
        <v>29</v>
      </c>
      <c r="AF2" s="0"/>
      <c r="AG2" s="0"/>
      <c r="AH2" s="7" t="s">
        <v>30</v>
      </c>
      <c r="AI2" s="7" t="s">
        <v>1</v>
      </c>
      <c r="AJ2" s="8" t="s">
        <v>2</v>
      </c>
      <c r="AK2" s="8" t="s">
        <v>3</v>
      </c>
      <c r="AL2" s="7" t="s">
        <v>4</v>
      </c>
      <c r="AM2" s="7" t="s">
        <v>31</v>
      </c>
      <c r="AN2" s="8" t="s">
        <v>32</v>
      </c>
      <c r="AO2" s="8" t="s">
        <v>33</v>
      </c>
      <c r="AP2" s="8" t="s">
        <v>34</v>
      </c>
      <c r="AQ2" s="8" t="s">
        <v>35</v>
      </c>
      <c r="AR2" s="8" t="s">
        <v>36</v>
      </c>
      <c r="AS2" s="8" t="s">
        <v>37</v>
      </c>
      <c r="AT2" s="8" t="s">
        <v>38</v>
      </c>
      <c r="AU2" s="8" t="s">
        <v>39</v>
      </c>
      <c r="AV2" s="8" t="s">
        <v>40</v>
      </c>
      <c r="AW2" s="8" t="s">
        <v>41</v>
      </c>
      <c r="AX2" s="8" t="s">
        <v>42</v>
      </c>
      <c r="AY2" s="8" t="s">
        <v>43</v>
      </c>
      <c r="AZ2" s="8" t="s">
        <v>44</v>
      </c>
      <c r="BA2" s="9" t="s">
        <v>45</v>
      </c>
      <c r="BB2" s="9" t="s">
        <v>46</v>
      </c>
      <c r="BC2" s="10" t="s">
        <v>47</v>
      </c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2.8" hidden="false" customHeight="false" outlineLevel="0" collapsed="false">
      <c r="A3" s="1" t="n">
        <v>1</v>
      </c>
      <c r="B3" s="11" t="s">
        <v>48</v>
      </c>
      <c r="C3" s="11" t="s">
        <v>49</v>
      </c>
      <c r="D3" s="11" t="s">
        <v>50</v>
      </c>
      <c r="E3" s="11" t="n">
        <v>90</v>
      </c>
      <c r="F3" s="11" t="n">
        <v>7</v>
      </c>
      <c r="G3" s="11" t="n">
        <v>120</v>
      </c>
      <c r="H3" s="11" t="n">
        <v>12.7</v>
      </c>
      <c r="I3" s="11" t="s">
        <v>51</v>
      </c>
      <c r="J3" s="11" t="n">
        <v>2.274</v>
      </c>
      <c r="K3" s="11" t="n">
        <v>8200</v>
      </c>
      <c r="L3" s="11" t="n">
        <v>30.5</v>
      </c>
      <c r="M3" s="12" t="n">
        <v>1.8E-005</v>
      </c>
      <c r="N3" s="11" t="n">
        <v>1.225</v>
      </c>
      <c r="O3" s="1" t="n">
        <v>0</v>
      </c>
      <c r="P3" s="1" t="n">
        <v>0</v>
      </c>
      <c r="Q3" s="1" t="n">
        <v>0</v>
      </c>
      <c r="R3" s="13" t="n">
        <f aca="false">(N3*L3+O3*Q3)/(L3+O3)</f>
        <v>1.225</v>
      </c>
      <c r="S3" s="14" t="n">
        <f aca="false">(M3*L3+O3*P3*0.1)/(L3+O3)</f>
        <v>1.8E-005</v>
      </c>
      <c r="T3" s="11" t="n">
        <v>300</v>
      </c>
      <c r="U3" s="15" t="n">
        <v>2650</v>
      </c>
      <c r="V3" s="16" t="n">
        <v>8.46520337514632E-005</v>
      </c>
      <c r="W3" s="11" t="n">
        <v>1</v>
      </c>
      <c r="X3" s="17" t="n">
        <v>0.00223</v>
      </c>
      <c r="Z3" s="1" t="s">
        <v>52</v>
      </c>
      <c r="AC3" s="18" t="n">
        <f aca="false">MAX(L3,O3)</f>
        <v>30.5</v>
      </c>
      <c r="AD3" s="17" t="n">
        <f aca="false">MAX(M3,P3*0.1)</f>
        <v>1.8E-005</v>
      </c>
      <c r="AE3" s="1" t="n">
        <f aca="false">MAX(N3,Q3)</f>
        <v>1.225</v>
      </c>
      <c r="AG3" s="16"/>
      <c r="AH3" s="19" t="n">
        <v>1</v>
      </c>
      <c r="AI3" s="20" t="str">
        <f aca="false">B3</f>
        <v>DI</v>
      </c>
      <c r="AJ3" s="20" t="str">
        <f aca="false">C3</f>
        <v>Gas-solid</v>
      </c>
      <c r="AK3" s="20" t="str">
        <f aca="false">D3</f>
        <v>H-V</v>
      </c>
      <c r="AL3" s="21" t="n">
        <f aca="false">E3</f>
        <v>90</v>
      </c>
      <c r="AM3" s="22" t="n">
        <v>1E-006</v>
      </c>
      <c r="AN3" s="23" t="n">
        <f aca="false">MAX(G3/(F3/1000),25000)</f>
        <v>25000</v>
      </c>
      <c r="AO3" s="23" t="n">
        <f aca="false">H3/F3</f>
        <v>1.81428571428571</v>
      </c>
      <c r="AP3" s="23" t="n">
        <f aca="false">AC3/SQRT(9.81*(F3/1000))</f>
        <v>116.390173518329</v>
      </c>
      <c r="AQ3" s="23" t="n">
        <f aca="false">(AE3*AC3*(F3/1000))/AD3</f>
        <v>14529.8611111111</v>
      </c>
      <c r="AR3" s="23" t="n">
        <f aca="false">((T3*0.000001)^3*AE3*(U3-AE3)*9.81)/AD3^2</f>
        <v>2652.5826140625</v>
      </c>
      <c r="AS3" s="23" t="n">
        <f aca="false">(U3*((T3/10^6)^2)/(18*AD3))*AC3/(F3/1000)</f>
        <v>3207.34126984127</v>
      </c>
      <c r="AT3" s="23" t="n">
        <f aca="false">AE3*(T3/10^6)*AC3/AD3</f>
        <v>622.708333333333</v>
      </c>
      <c r="AU3" s="23" t="n">
        <f aca="false">(T3/10^6)/(F3/1000)</f>
        <v>0.0428571428571429</v>
      </c>
      <c r="AV3" s="23" t="n">
        <f aca="false">AE3/U3</f>
        <v>0.000462264150943396</v>
      </c>
      <c r="AW3" s="23" t="n">
        <f aca="false">(J3*10^9)/(K3*AC3^2)</f>
        <v>298.110264091085</v>
      </c>
      <c r="AX3" s="23" t="n">
        <f aca="false">V3</f>
        <v>8.46520337514632E-005</v>
      </c>
      <c r="AY3" s="23" t="n">
        <f aca="false">MAX(W3,1)</f>
        <v>1</v>
      </c>
      <c r="AZ3" s="23" t="n">
        <f aca="false">X3</f>
        <v>0.00223</v>
      </c>
      <c r="BA3" s="24" t="n">
        <f aca="false">0.8*AZ3</f>
        <v>0.001784</v>
      </c>
      <c r="BB3" s="24" t="n">
        <f aca="false">AZ3*1.2</f>
        <v>0.002676</v>
      </c>
      <c r="BC3" s="0" t="str">
        <f aca="false">Z3</f>
        <v>Vieira 2017</v>
      </c>
      <c r="BD3" s="25"/>
    </row>
    <row r="4" customFormat="false" ht="12.8" hidden="false" customHeight="false" outlineLevel="0" collapsed="false">
      <c r="A4" s="1" t="n">
        <v>2</v>
      </c>
      <c r="B4" s="11" t="s">
        <v>48</v>
      </c>
      <c r="C4" s="11" t="s">
        <v>49</v>
      </c>
      <c r="D4" s="11" t="s">
        <v>50</v>
      </c>
      <c r="E4" s="11" t="n">
        <v>90</v>
      </c>
      <c r="F4" s="11" t="n">
        <v>7</v>
      </c>
      <c r="G4" s="11" t="n">
        <v>120</v>
      </c>
      <c r="H4" s="11" t="n">
        <v>12.7</v>
      </c>
      <c r="I4" s="11" t="s">
        <v>51</v>
      </c>
      <c r="J4" s="11" t="n">
        <v>2.274</v>
      </c>
      <c r="K4" s="11" t="n">
        <v>8200</v>
      </c>
      <c r="L4" s="11" t="n">
        <v>30.5</v>
      </c>
      <c r="M4" s="12" t="n">
        <v>1.8E-005</v>
      </c>
      <c r="N4" s="11" t="n">
        <v>1.225</v>
      </c>
      <c r="O4" s="1" t="n">
        <v>0</v>
      </c>
      <c r="P4" s="1" t="n">
        <v>0</v>
      </c>
      <c r="Q4" s="1" t="n">
        <v>0</v>
      </c>
      <c r="R4" s="13" t="n">
        <f aca="false">(N4*L4+O4*Q4)/(L4+O4)</f>
        <v>1.225</v>
      </c>
      <c r="S4" s="14" t="n">
        <f aca="false">(M4*L4+O4*P4*0.1)/(L4+O4)</f>
        <v>1.8E-005</v>
      </c>
      <c r="T4" s="11" t="n">
        <v>300</v>
      </c>
      <c r="U4" s="15" t="n">
        <v>2650</v>
      </c>
      <c r="V4" s="16" t="n">
        <v>8.94735536039863E-005</v>
      </c>
      <c r="W4" s="11" t="n">
        <v>1</v>
      </c>
      <c r="X4" s="17" t="n">
        <v>0.00223</v>
      </c>
      <c r="Z4" s="1" t="s">
        <v>52</v>
      </c>
      <c r="AC4" s="18" t="n">
        <f aca="false">MAX(L4,O4)</f>
        <v>30.5</v>
      </c>
      <c r="AD4" s="17" t="n">
        <f aca="false">MAX(M4,P4*0.1)</f>
        <v>1.8E-005</v>
      </c>
      <c r="AE4" s="1" t="n">
        <f aca="false">MAX(N4,Q4)</f>
        <v>1.225</v>
      </c>
      <c r="AG4" s="16"/>
      <c r="AH4" s="19" t="n">
        <v>2</v>
      </c>
      <c r="AI4" s="20" t="str">
        <f aca="false">B4</f>
        <v>DI</v>
      </c>
      <c r="AJ4" s="20" t="str">
        <f aca="false">C4</f>
        <v>Gas-solid</v>
      </c>
      <c r="AK4" s="20" t="str">
        <f aca="false">D4</f>
        <v>H-V</v>
      </c>
      <c r="AL4" s="21" t="n">
        <f aca="false">E4</f>
        <v>90</v>
      </c>
      <c r="AM4" s="22" t="n">
        <v>1E-006</v>
      </c>
      <c r="AN4" s="23" t="n">
        <f aca="false">MAX(G4/(F4/1000),25000)</f>
        <v>25000</v>
      </c>
      <c r="AO4" s="23" t="n">
        <f aca="false">H4/F4</f>
        <v>1.81428571428571</v>
      </c>
      <c r="AP4" s="23" t="n">
        <f aca="false">AC4/SQRT(9.81*(F4/1000))</f>
        <v>116.390173518329</v>
      </c>
      <c r="AQ4" s="23" t="n">
        <f aca="false">(AE4*AC4*(F4/1000))/AD4</f>
        <v>14529.8611111111</v>
      </c>
      <c r="AR4" s="23" t="n">
        <f aca="false">((T4*0.000001)^3*AE4*(U4-AE4)*9.81)/AD4^2</f>
        <v>2652.5826140625</v>
      </c>
      <c r="AS4" s="23" t="n">
        <f aca="false">(U4*((T4/10^6)^2)/(18*AD4))*AC4/(F4/1000)</f>
        <v>3207.34126984127</v>
      </c>
      <c r="AT4" s="23" t="n">
        <f aca="false">AE4*(T4/10^6)*AC4/AD4</f>
        <v>622.708333333333</v>
      </c>
      <c r="AU4" s="23" t="n">
        <f aca="false">(T4/10^6)/(F4/1000)</f>
        <v>0.0428571428571429</v>
      </c>
      <c r="AV4" s="23" t="n">
        <f aca="false">AE4/U4</f>
        <v>0.000462264150943396</v>
      </c>
      <c r="AW4" s="23" t="n">
        <f aca="false">(J4*10^9)/(K4*AC4^2)</f>
        <v>298.110264091085</v>
      </c>
      <c r="AX4" s="23" t="n">
        <f aca="false">V4</f>
        <v>8.94735536039863E-005</v>
      </c>
      <c r="AY4" s="23" t="n">
        <f aca="false">MAX(W4,1)</f>
        <v>1</v>
      </c>
      <c r="AZ4" s="23" t="n">
        <f aca="false">X4</f>
        <v>0.00223</v>
      </c>
      <c r="BA4" s="24" t="n">
        <f aca="false">0.8*AZ4</f>
        <v>0.001784</v>
      </c>
      <c r="BB4" s="24" t="n">
        <f aca="false">AZ4*1.2</f>
        <v>0.002676</v>
      </c>
      <c r="BC4" s="0" t="str">
        <f aca="false">Z4</f>
        <v>Vieira 2017</v>
      </c>
      <c r="BD4" s="25"/>
    </row>
    <row r="5" customFormat="false" ht="12.8" hidden="false" customHeight="false" outlineLevel="0" collapsed="false">
      <c r="A5" s="1" t="n">
        <v>3</v>
      </c>
      <c r="B5" s="11" t="s">
        <v>48</v>
      </c>
      <c r="C5" s="11" t="s">
        <v>49</v>
      </c>
      <c r="D5" s="11" t="s">
        <v>50</v>
      </c>
      <c r="E5" s="11" t="n">
        <v>90</v>
      </c>
      <c r="F5" s="11" t="n">
        <v>7</v>
      </c>
      <c r="G5" s="11" t="n">
        <v>120</v>
      </c>
      <c r="H5" s="11" t="n">
        <v>12.7</v>
      </c>
      <c r="I5" s="11" t="s">
        <v>51</v>
      </c>
      <c r="J5" s="11" t="n">
        <v>2.274</v>
      </c>
      <c r="K5" s="11" t="n">
        <v>8200</v>
      </c>
      <c r="L5" s="11" t="n">
        <v>30.5</v>
      </c>
      <c r="M5" s="12" t="n">
        <v>1.8E-005</v>
      </c>
      <c r="N5" s="11" t="n">
        <v>1.225</v>
      </c>
      <c r="O5" s="1" t="n">
        <v>0</v>
      </c>
      <c r="P5" s="1" t="n">
        <v>0</v>
      </c>
      <c r="Q5" s="1" t="n">
        <v>0</v>
      </c>
      <c r="R5" s="13" t="n">
        <f aca="false">(N5*L5+O5*Q5)/(L5+O5)</f>
        <v>1.225</v>
      </c>
      <c r="S5" s="14" t="n">
        <f aca="false">(M5*L5+O5*P5*0.1)/(L5+O5)</f>
        <v>1.8E-005</v>
      </c>
      <c r="T5" s="11" t="n">
        <v>300</v>
      </c>
      <c r="U5" s="15" t="n">
        <v>2650</v>
      </c>
      <c r="V5" s="16" t="n">
        <v>8.03661992912481E-005</v>
      </c>
      <c r="W5" s="11" t="n">
        <v>1</v>
      </c>
      <c r="X5" s="17" t="n">
        <v>0.00357</v>
      </c>
      <c r="Z5" s="1" t="s">
        <v>52</v>
      </c>
      <c r="AC5" s="18" t="n">
        <f aca="false">MAX(L5,O5)</f>
        <v>30.5</v>
      </c>
      <c r="AD5" s="17" t="n">
        <f aca="false">MAX(M5,P5*0.1)</f>
        <v>1.8E-005</v>
      </c>
      <c r="AE5" s="1" t="n">
        <f aca="false">MAX(N5,Q5)</f>
        <v>1.225</v>
      </c>
      <c r="AG5" s="16"/>
      <c r="AH5" s="19" t="n">
        <v>3</v>
      </c>
      <c r="AI5" s="20" t="str">
        <f aca="false">B5</f>
        <v>DI</v>
      </c>
      <c r="AJ5" s="20" t="str">
        <f aca="false">C5</f>
        <v>Gas-solid</v>
      </c>
      <c r="AK5" s="20" t="str">
        <f aca="false">D5</f>
        <v>H-V</v>
      </c>
      <c r="AL5" s="21" t="n">
        <f aca="false">E5</f>
        <v>90</v>
      </c>
      <c r="AM5" s="22" t="n">
        <v>1E-006</v>
      </c>
      <c r="AN5" s="23" t="n">
        <f aca="false">MAX(G5/(F5/1000),25000)</f>
        <v>25000</v>
      </c>
      <c r="AO5" s="23" t="n">
        <f aca="false">H5/F5</f>
        <v>1.81428571428571</v>
      </c>
      <c r="AP5" s="23" t="n">
        <f aca="false">AC5/SQRT(9.81*(F5/1000))</f>
        <v>116.390173518329</v>
      </c>
      <c r="AQ5" s="23" t="n">
        <f aca="false">(AE5*AC5*(F5/1000))/AD5</f>
        <v>14529.8611111111</v>
      </c>
      <c r="AR5" s="23" t="n">
        <f aca="false">((T5*0.000001)^3*AE5*(U5-AE5)*9.81)/AD5^2</f>
        <v>2652.5826140625</v>
      </c>
      <c r="AS5" s="23" t="n">
        <f aca="false">(U5*((T5/10^6)^2)/(18*AD5))*AC5/(F5/1000)</f>
        <v>3207.34126984127</v>
      </c>
      <c r="AT5" s="23" t="n">
        <f aca="false">AE5*(T5/10^6)*AC5/AD5</f>
        <v>622.708333333333</v>
      </c>
      <c r="AU5" s="23" t="n">
        <f aca="false">(T5/10^6)/(F5/1000)</f>
        <v>0.0428571428571429</v>
      </c>
      <c r="AV5" s="23" t="n">
        <f aca="false">AE5/U5</f>
        <v>0.000462264150943396</v>
      </c>
      <c r="AW5" s="23" t="n">
        <f aca="false">(J5*10^9)/(K5*AC5^2)</f>
        <v>298.110264091085</v>
      </c>
      <c r="AX5" s="23" t="n">
        <f aca="false">V5</f>
        <v>8.03661992912481E-005</v>
      </c>
      <c r="AY5" s="23" t="n">
        <f aca="false">MAX(W5,1)</f>
        <v>1</v>
      </c>
      <c r="AZ5" s="23" t="n">
        <f aca="false">X5</f>
        <v>0.00357</v>
      </c>
      <c r="BA5" s="24" t="n">
        <f aca="false">0.8*AZ5</f>
        <v>0.002856</v>
      </c>
      <c r="BB5" s="24" t="n">
        <f aca="false">AZ5*1.2</f>
        <v>0.004284</v>
      </c>
      <c r="BC5" s="0" t="str">
        <f aca="false">Z5</f>
        <v>Vieira 2017</v>
      </c>
      <c r="BD5" s="25"/>
    </row>
    <row r="6" customFormat="false" ht="12.8" hidden="false" customHeight="false" outlineLevel="0" collapsed="false">
      <c r="A6" s="1" t="n">
        <v>4</v>
      </c>
      <c r="B6" s="11" t="s">
        <v>48</v>
      </c>
      <c r="C6" s="11" t="s">
        <v>49</v>
      </c>
      <c r="D6" s="11" t="s">
        <v>50</v>
      </c>
      <c r="E6" s="11" t="n">
        <v>90</v>
      </c>
      <c r="F6" s="11" t="n">
        <v>7</v>
      </c>
      <c r="G6" s="11" t="n">
        <v>120</v>
      </c>
      <c r="H6" s="11" t="n">
        <v>12.7</v>
      </c>
      <c r="I6" s="11" t="s">
        <v>51</v>
      </c>
      <c r="J6" s="11" t="n">
        <v>2.274</v>
      </c>
      <c r="K6" s="11" t="n">
        <v>8200</v>
      </c>
      <c r="L6" s="11" t="n">
        <v>30.5</v>
      </c>
      <c r="M6" s="12" t="n">
        <v>1.8E-005</v>
      </c>
      <c r="N6" s="11" t="n">
        <v>1.225</v>
      </c>
      <c r="O6" s="1" t="n">
        <v>0</v>
      </c>
      <c r="P6" s="1" t="n">
        <v>0</v>
      </c>
      <c r="Q6" s="1" t="n">
        <v>0</v>
      </c>
      <c r="R6" s="13" t="n">
        <f aca="false">(N6*L6+O6*Q6)/(L6+O6)</f>
        <v>1.225</v>
      </c>
      <c r="S6" s="14" t="n">
        <f aca="false">(M6*L6+O6*P6*0.1)/(L6+O6)</f>
        <v>1.8E-005</v>
      </c>
      <c r="T6" s="11" t="n">
        <v>300</v>
      </c>
      <c r="U6" s="15" t="n">
        <v>2650</v>
      </c>
      <c r="V6" s="16" t="n">
        <v>8.03661992912481E-005</v>
      </c>
      <c r="W6" s="11" t="n">
        <v>1</v>
      </c>
      <c r="X6" s="17" t="n">
        <v>0.00268</v>
      </c>
      <c r="Z6" s="1" t="s">
        <v>52</v>
      </c>
      <c r="AC6" s="18" t="n">
        <f aca="false">MAX(L6,O6)</f>
        <v>30.5</v>
      </c>
      <c r="AD6" s="17" t="n">
        <f aca="false">MAX(M6,P6*0.1)</f>
        <v>1.8E-005</v>
      </c>
      <c r="AE6" s="1" t="n">
        <f aca="false">MAX(N6,Q6)</f>
        <v>1.225</v>
      </c>
      <c r="AG6" s="16"/>
      <c r="AH6" s="19" t="n">
        <v>4</v>
      </c>
      <c r="AI6" s="20" t="str">
        <f aca="false">B6</f>
        <v>DI</v>
      </c>
      <c r="AJ6" s="20" t="str">
        <f aca="false">C6</f>
        <v>Gas-solid</v>
      </c>
      <c r="AK6" s="20" t="str">
        <f aca="false">D6</f>
        <v>H-V</v>
      </c>
      <c r="AL6" s="21" t="n">
        <f aca="false">E6</f>
        <v>90</v>
      </c>
      <c r="AM6" s="22" t="n">
        <v>1E-006</v>
      </c>
      <c r="AN6" s="23" t="n">
        <f aca="false">MAX(G6/(F6/1000),25000)</f>
        <v>25000</v>
      </c>
      <c r="AO6" s="23" t="n">
        <f aca="false">H6/F6</f>
        <v>1.81428571428571</v>
      </c>
      <c r="AP6" s="23" t="n">
        <f aca="false">AC6/SQRT(9.81*(F6/1000))</f>
        <v>116.390173518329</v>
      </c>
      <c r="AQ6" s="23" t="n">
        <f aca="false">(AE6*AC6*(F6/1000))/AD6</f>
        <v>14529.8611111111</v>
      </c>
      <c r="AR6" s="23" t="n">
        <f aca="false">((T6*0.000001)^3*AE6*(U6-AE6)*9.81)/AD6^2</f>
        <v>2652.5826140625</v>
      </c>
      <c r="AS6" s="23" t="n">
        <f aca="false">(U6*((T6/10^6)^2)/(18*AD6))*AC6/(F6/1000)</f>
        <v>3207.34126984127</v>
      </c>
      <c r="AT6" s="23" t="n">
        <f aca="false">AE6*(T6/10^6)*AC6/AD6</f>
        <v>622.708333333333</v>
      </c>
      <c r="AU6" s="23" t="n">
        <f aca="false">(T6/10^6)/(F6/1000)</f>
        <v>0.0428571428571429</v>
      </c>
      <c r="AV6" s="23" t="n">
        <f aca="false">AE6/U6</f>
        <v>0.000462264150943396</v>
      </c>
      <c r="AW6" s="23" t="n">
        <f aca="false">(J6*10^9)/(K6*AC6^2)</f>
        <v>298.110264091085</v>
      </c>
      <c r="AX6" s="23" t="n">
        <f aca="false">V6</f>
        <v>8.03661992912481E-005</v>
      </c>
      <c r="AY6" s="23" t="n">
        <f aca="false">MAX(W6,1)</f>
        <v>1</v>
      </c>
      <c r="AZ6" s="23" t="n">
        <f aca="false">X6</f>
        <v>0.00268</v>
      </c>
      <c r="BA6" s="24" t="n">
        <f aca="false">0.8*AZ6</f>
        <v>0.002144</v>
      </c>
      <c r="BB6" s="24" t="n">
        <f aca="false">AZ6*1.2</f>
        <v>0.003216</v>
      </c>
      <c r="BC6" s="0" t="str">
        <f aca="false">Z6</f>
        <v>Vieira 2017</v>
      </c>
      <c r="BD6" s="25"/>
    </row>
    <row r="7" customFormat="false" ht="12.8" hidden="false" customHeight="false" outlineLevel="0" collapsed="false">
      <c r="A7" s="1" t="n">
        <v>5</v>
      </c>
      <c r="B7" s="11" t="s">
        <v>48</v>
      </c>
      <c r="C7" s="11" t="s">
        <v>49</v>
      </c>
      <c r="D7" s="11" t="s">
        <v>50</v>
      </c>
      <c r="E7" s="11" t="n">
        <v>90</v>
      </c>
      <c r="F7" s="11" t="n">
        <v>7</v>
      </c>
      <c r="G7" s="11" t="n">
        <v>120</v>
      </c>
      <c r="H7" s="11" t="n">
        <v>12.7</v>
      </c>
      <c r="I7" s="11" t="s">
        <v>51</v>
      </c>
      <c r="J7" s="11" t="n">
        <v>2.274</v>
      </c>
      <c r="K7" s="11" t="n">
        <v>8200</v>
      </c>
      <c r="L7" s="11" t="n">
        <v>30.5</v>
      </c>
      <c r="M7" s="12" t="n">
        <v>1.8E-005</v>
      </c>
      <c r="N7" s="11" t="n">
        <v>1.225</v>
      </c>
      <c r="O7" s="1" t="n">
        <v>0</v>
      </c>
      <c r="P7" s="1" t="n">
        <v>0</v>
      </c>
      <c r="Q7" s="1" t="n">
        <v>0</v>
      </c>
      <c r="R7" s="13" t="n">
        <f aca="false">(N7*L7+O7*Q7)/(L7+O7)</f>
        <v>1.225</v>
      </c>
      <c r="S7" s="14" t="n">
        <f aca="false">(M7*L7+O7*P7*0.1)/(L7+O7)</f>
        <v>1.8E-005</v>
      </c>
      <c r="T7" s="11" t="n">
        <v>300</v>
      </c>
      <c r="U7" s="15" t="n">
        <v>2650</v>
      </c>
      <c r="V7" s="16" t="n">
        <v>8.25091211138288E-005</v>
      </c>
      <c r="W7" s="11" t="n">
        <v>1</v>
      </c>
      <c r="X7" s="17" t="n">
        <v>0.00257</v>
      </c>
      <c r="Z7" s="1" t="s">
        <v>52</v>
      </c>
      <c r="AC7" s="18" t="n">
        <f aca="false">MAX(L7,O7)</f>
        <v>30.5</v>
      </c>
      <c r="AD7" s="17" t="n">
        <f aca="false">MAX(M7,P7*0.1)</f>
        <v>1.8E-005</v>
      </c>
      <c r="AE7" s="1" t="n">
        <f aca="false">MAX(N7,Q7)</f>
        <v>1.225</v>
      </c>
      <c r="AG7" s="16"/>
      <c r="AH7" s="19" t="n">
        <v>5</v>
      </c>
      <c r="AI7" s="20" t="str">
        <f aca="false">B7</f>
        <v>DI</v>
      </c>
      <c r="AJ7" s="20" t="str">
        <f aca="false">C7</f>
        <v>Gas-solid</v>
      </c>
      <c r="AK7" s="20" t="str">
        <f aca="false">D7</f>
        <v>H-V</v>
      </c>
      <c r="AL7" s="21" t="n">
        <f aca="false">E7</f>
        <v>90</v>
      </c>
      <c r="AM7" s="22" t="n">
        <v>1E-006</v>
      </c>
      <c r="AN7" s="23" t="n">
        <f aca="false">MAX(G7/(F7/1000),25000)</f>
        <v>25000</v>
      </c>
      <c r="AO7" s="23" t="n">
        <f aca="false">H7/F7</f>
        <v>1.81428571428571</v>
      </c>
      <c r="AP7" s="23" t="n">
        <f aca="false">AC7/SQRT(9.81*(F7/1000))</f>
        <v>116.390173518329</v>
      </c>
      <c r="AQ7" s="23" t="n">
        <f aca="false">(AE7*AC7*(F7/1000))/AD7</f>
        <v>14529.8611111111</v>
      </c>
      <c r="AR7" s="23" t="n">
        <f aca="false">((T7*0.000001)^3*AE7*(U7-AE7)*9.81)/AD7^2</f>
        <v>2652.5826140625</v>
      </c>
      <c r="AS7" s="23" t="n">
        <f aca="false">(U7*((T7/10^6)^2)/(18*AD7))*AC7/(F7/1000)</f>
        <v>3207.34126984127</v>
      </c>
      <c r="AT7" s="23" t="n">
        <f aca="false">AE7*(T7/10^6)*AC7/AD7</f>
        <v>622.708333333333</v>
      </c>
      <c r="AU7" s="23" t="n">
        <f aca="false">(T7/10^6)/(F7/1000)</f>
        <v>0.0428571428571429</v>
      </c>
      <c r="AV7" s="23" t="n">
        <f aca="false">AE7/U7</f>
        <v>0.000462264150943396</v>
      </c>
      <c r="AW7" s="23" t="n">
        <f aca="false">(J7*10^9)/(K7*AC7^2)</f>
        <v>298.110264091085</v>
      </c>
      <c r="AX7" s="23" t="n">
        <f aca="false">V7</f>
        <v>8.25091211138288E-005</v>
      </c>
      <c r="AY7" s="23" t="n">
        <f aca="false">MAX(W7,1)</f>
        <v>1</v>
      </c>
      <c r="AZ7" s="23" t="n">
        <f aca="false">X7</f>
        <v>0.00257</v>
      </c>
      <c r="BA7" s="24" t="n">
        <f aca="false">0.8*AZ7</f>
        <v>0.002056</v>
      </c>
      <c r="BB7" s="24" t="n">
        <f aca="false">AZ7*1.2</f>
        <v>0.003084</v>
      </c>
      <c r="BC7" s="0" t="str">
        <f aca="false">Z7</f>
        <v>Vieira 2017</v>
      </c>
      <c r="BD7" s="25"/>
    </row>
    <row r="8" customFormat="false" ht="12.8" hidden="false" customHeight="false" outlineLevel="0" collapsed="false">
      <c r="A8" s="1" t="n">
        <v>6</v>
      </c>
      <c r="B8" s="11" t="s">
        <v>48</v>
      </c>
      <c r="C8" s="11" t="s">
        <v>49</v>
      </c>
      <c r="D8" s="11" t="s">
        <v>50</v>
      </c>
      <c r="E8" s="11" t="n">
        <v>90</v>
      </c>
      <c r="F8" s="11" t="n">
        <v>7</v>
      </c>
      <c r="G8" s="11" t="n">
        <v>120</v>
      </c>
      <c r="H8" s="11" t="n">
        <v>12.7</v>
      </c>
      <c r="I8" s="11" t="s">
        <v>51</v>
      </c>
      <c r="J8" s="11" t="n">
        <v>2.274</v>
      </c>
      <c r="K8" s="11" t="n">
        <v>8200</v>
      </c>
      <c r="L8" s="11" t="n">
        <v>30.5</v>
      </c>
      <c r="M8" s="12" t="n">
        <v>1.8E-005</v>
      </c>
      <c r="N8" s="11" t="n">
        <v>1.225</v>
      </c>
      <c r="O8" s="1" t="n">
        <v>0</v>
      </c>
      <c r="P8" s="1" t="n">
        <v>0</v>
      </c>
      <c r="Q8" s="1" t="n">
        <v>0</v>
      </c>
      <c r="R8" s="13" t="n">
        <f aca="false">(N8*L8+O8*Q8)/(L8+O8)</f>
        <v>1.225</v>
      </c>
      <c r="S8" s="14" t="n">
        <f aca="false">(M8*L8+O8*P8*0.1)/(L8+O8)</f>
        <v>1.8E-005</v>
      </c>
      <c r="T8" s="11" t="n">
        <v>300</v>
      </c>
      <c r="U8" s="15" t="n">
        <v>2650</v>
      </c>
      <c r="V8" s="16" t="n">
        <v>8.25091211138288E-005</v>
      </c>
      <c r="W8" s="11" t="n">
        <v>1</v>
      </c>
      <c r="X8" s="17" t="n">
        <v>0.0029</v>
      </c>
      <c r="Z8" s="1" t="s">
        <v>52</v>
      </c>
      <c r="AC8" s="18" t="n">
        <f aca="false">MAX(L8,O8)</f>
        <v>30.5</v>
      </c>
      <c r="AD8" s="17" t="n">
        <f aca="false">MAX(M8,P8*0.1)</f>
        <v>1.8E-005</v>
      </c>
      <c r="AE8" s="1" t="n">
        <f aca="false">MAX(N8,Q8)</f>
        <v>1.225</v>
      </c>
      <c r="AG8" s="16"/>
      <c r="AH8" s="19" t="n">
        <v>6</v>
      </c>
      <c r="AI8" s="20" t="str">
        <f aca="false">B8</f>
        <v>DI</v>
      </c>
      <c r="AJ8" s="20" t="str">
        <f aca="false">C8</f>
        <v>Gas-solid</v>
      </c>
      <c r="AK8" s="20" t="str">
        <f aca="false">D8</f>
        <v>H-V</v>
      </c>
      <c r="AL8" s="21" t="n">
        <f aca="false">E8</f>
        <v>90</v>
      </c>
      <c r="AM8" s="22" t="n">
        <v>1E-006</v>
      </c>
      <c r="AN8" s="23" t="n">
        <f aca="false">MAX(G8/(F8/1000),25000)</f>
        <v>25000</v>
      </c>
      <c r="AO8" s="23" t="n">
        <f aca="false">H8/F8</f>
        <v>1.81428571428571</v>
      </c>
      <c r="AP8" s="23" t="n">
        <f aca="false">AC8/SQRT(9.81*(F8/1000))</f>
        <v>116.390173518329</v>
      </c>
      <c r="AQ8" s="23" t="n">
        <f aca="false">(AE8*AC8*(F8/1000))/AD8</f>
        <v>14529.8611111111</v>
      </c>
      <c r="AR8" s="23" t="n">
        <f aca="false">((T8*0.000001)^3*AE8*(U8-AE8)*9.81)/AD8^2</f>
        <v>2652.5826140625</v>
      </c>
      <c r="AS8" s="23" t="n">
        <f aca="false">(U8*((T8/10^6)^2)/(18*AD8))*AC8/(F8/1000)</f>
        <v>3207.34126984127</v>
      </c>
      <c r="AT8" s="23" t="n">
        <f aca="false">AE8*(T8/10^6)*AC8/AD8</f>
        <v>622.708333333333</v>
      </c>
      <c r="AU8" s="23" t="n">
        <f aca="false">(T8/10^6)/(F8/1000)</f>
        <v>0.0428571428571429</v>
      </c>
      <c r="AV8" s="23" t="n">
        <f aca="false">AE8/U8</f>
        <v>0.000462264150943396</v>
      </c>
      <c r="AW8" s="23" t="n">
        <f aca="false">(J8*10^9)/(K8*AC8^2)</f>
        <v>298.110264091085</v>
      </c>
      <c r="AX8" s="23" t="n">
        <f aca="false">V8</f>
        <v>8.25091211138288E-005</v>
      </c>
      <c r="AY8" s="23" t="n">
        <f aca="false">MAX(W8,1)</f>
        <v>1</v>
      </c>
      <c r="AZ8" s="23" t="n">
        <f aca="false">X8</f>
        <v>0.0029</v>
      </c>
      <c r="BA8" s="24" t="n">
        <f aca="false">0.8*AZ8</f>
        <v>0.00232</v>
      </c>
      <c r="BB8" s="24" t="n">
        <f aca="false">AZ8*1.2</f>
        <v>0.00348</v>
      </c>
      <c r="BC8" s="0" t="str">
        <f aca="false">Z8</f>
        <v>Vieira 2017</v>
      </c>
      <c r="BD8" s="25"/>
    </row>
    <row r="9" customFormat="false" ht="12.8" hidden="false" customHeight="false" outlineLevel="0" collapsed="false">
      <c r="A9" s="1" t="n">
        <v>7</v>
      </c>
      <c r="B9" s="11" t="s">
        <v>48</v>
      </c>
      <c r="C9" s="11" t="s">
        <v>49</v>
      </c>
      <c r="D9" s="11" t="s">
        <v>50</v>
      </c>
      <c r="E9" s="11" t="n">
        <v>90</v>
      </c>
      <c r="F9" s="11" t="n">
        <v>7</v>
      </c>
      <c r="G9" s="11" t="n">
        <v>120</v>
      </c>
      <c r="H9" s="11" t="n">
        <v>12.7</v>
      </c>
      <c r="I9" s="11" t="s">
        <v>51</v>
      </c>
      <c r="J9" s="11" t="n">
        <v>2.274</v>
      </c>
      <c r="K9" s="11" t="n">
        <v>8200</v>
      </c>
      <c r="L9" s="11" t="n">
        <v>30.5</v>
      </c>
      <c r="M9" s="12" t="n">
        <v>1.8E-005</v>
      </c>
      <c r="N9" s="11" t="n">
        <v>1.225</v>
      </c>
      <c r="O9" s="1" t="n">
        <v>0</v>
      </c>
      <c r="P9" s="1" t="n">
        <v>0</v>
      </c>
      <c r="Q9" s="1" t="n">
        <v>0</v>
      </c>
      <c r="R9" s="13" t="n">
        <f aca="false">(N9*L9+O9*Q9)/(L9+O9)</f>
        <v>1.225</v>
      </c>
      <c r="S9" s="14" t="n">
        <f aca="false">(M9*L9+O9*P9*0.1)/(L9+O9)</f>
        <v>1.8E-005</v>
      </c>
      <c r="T9" s="11" t="n">
        <v>300</v>
      </c>
      <c r="U9" s="15" t="n">
        <v>2650</v>
      </c>
      <c r="V9" s="16" t="n">
        <v>8.25091211138288E-005</v>
      </c>
      <c r="W9" s="11" t="n">
        <v>1</v>
      </c>
      <c r="X9" s="17" t="n">
        <v>0.00234</v>
      </c>
      <c r="Z9" s="1" t="s">
        <v>52</v>
      </c>
      <c r="AC9" s="18" t="n">
        <f aca="false">MAX(L9,O9)</f>
        <v>30.5</v>
      </c>
      <c r="AD9" s="17" t="n">
        <f aca="false">MAX(M9,P9*0.1)</f>
        <v>1.8E-005</v>
      </c>
      <c r="AE9" s="1" t="n">
        <f aca="false">MAX(N9,Q9)</f>
        <v>1.225</v>
      </c>
      <c r="AG9" s="16"/>
      <c r="AH9" s="19" t="n">
        <v>7</v>
      </c>
      <c r="AI9" s="20" t="str">
        <f aca="false">B9</f>
        <v>DI</v>
      </c>
      <c r="AJ9" s="20" t="str">
        <f aca="false">C9</f>
        <v>Gas-solid</v>
      </c>
      <c r="AK9" s="20" t="str">
        <f aca="false">D9</f>
        <v>H-V</v>
      </c>
      <c r="AL9" s="21" t="n">
        <f aca="false">E9</f>
        <v>90</v>
      </c>
      <c r="AM9" s="22" t="n">
        <v>1E-006</v>
      </c>
      <c r="AN9" s="23" t="n">
        <f aca="false">MAX(G9/(F9/1000),25000)</f>
        <v>25000</v>
      </c>
      <c r="AO9" s="23" t="n">
        <f aca="false">H9/F9</f>
        <v>1.81428571428571</v>
      </c>
      <c r="AP9" s="23" t="n">
        <f aca="false">AC9/SQRT(9.81*(F9/1000))</f>
        <v>116.390173518329</v>
      </c>
      <c r="AQ9" s="23" t="n">
        <f aca="false">(AE9*AC9*(F9/1000))/AD9</f>
        <v>14529.8611111111</v>
      </c>
      <c r="AR9" s="23" t="n">
        <f aca="false">((T9*0.000001)^3*AE9*(U9-AE9)*9.81)/AD9^2</f>
        <v>2652.5826140625</v>
      </c>
      <c r="AS9" s="23" t="n">
        <f aca="false">(U9*((T9/10^6)^2)/(18*AD9))*AC9/(F9/1000)</f>
        <v>3207.34126984127</v>
      </c>
      <c r="AT9" s="23" t="n">
        <f aca="false">AE9*(T9/10^6)*AC9/AD9</f>
        <v>622.708333333333</v>
      </c>
      <c r="AU9" s="23" t="n">
        <f aca="false">(T9/10^6)/(F9/1000)</f>
        <v>0.0428571428571429</v>
      </c>
      <c r="AV9" s="23" t="n">
        <f aca="false">AE9/U9</f>
        <v>0.000462264150943396</v>
      </c>
      <c r="AW9" s="23" t="n">
        <f aca="false">(J9*10^9)/(K9*AC9^2)</f>
        <v>298.110264091085</v>
      </c>
      <c r="AX9" s="23" t="n">
        <f aca="false">V9</f>
        <v>8.25091211138288E-005</v>
      </c>
      <c r="AY9" s="23" t="n">
        <f aca="false">MAX(W9,1)</f>
        <v>1</v>
      </c>
      <c r="AZ9" s="23" t="n">
        <f aca="false">X9</f>
        <v>0.00234</v>
      </c>
      <c r="BA9" s="24" t="n">
        <f aca="false">0.8*AZ9</f>
        <v>0.001872</v>
      </c>
      <c r="BB9" s="24" t="n">
        <f aca="false">AZ9*1.2</f>
        <v>0.002808</v>
      </c>
      <c r="BC9" s="0" t="str">
        <f aca="false">Z9</f>
        <v>Vieira 2017</v>
      </c>
    </row>
    <row r="10" customFormat="false" ht="12.8" hidden="false" customHeight="false" outlineLevel="0" collapsed="false">
      <c r="A10" s="1" t="n">
        <v>8</v>
      </c>
      <c r="B10" s="11" t="s">
        <v>48</v>
      </c>
      <c r="C10" s="11" t="s">
        <v>49</v>
      </c>
      <c r="D10" s="11" t="s">
        <v>50</v>
      </c>
      <c r="E10" s="11" t="n">
        <v>90</v>
      </c>
      <c r="F10" s="11" t="n">
        <v>7</v>
      </c>
      <c r="G10" s="11" t="n">
        <v>120</v>
      </c>
      <c r="H10" s="11" t="n">
        <v>12.7</v>
      </c>
      <c r="I10" s="11" t="s">
        <v>51</v>
      </c>
      <c r="J10" s="11" t="n">
        <v>2.274</v>
      </c>
      <c r="K10" s="11" t="n">
        <v>8200</v>
      </c>
      <c r="L10" s="11" t="n">
        <v>30.5</v>
      </c>
      <c r="M10" s="12" t="n">
        <v>1.8E-005</v>
      </c>
      <c r="N10" s="11" t="n">
        <v>1.225</v>
      </c>
      <c r="O10" s="1" t="n">
        <v>0</v>
      </c>
      <c r="P10" s="1" t="n">
        <v>0</v>
      </c>
      <c r="Q10" s="1" t="n">
        <v>0</v>
      </c>
      <c r="R10" s="13" t="n">
        <f aca="false">(N10*L10+O10*Q10)/(L10+O10)</f>
        <v>1.225</v>
      </c>
      <c r="S10" s="14" t="n">
        <f aca="false">(M10*L10+O10*P10*0.1)/(L10+O10)</f>
        <v>1.8E-005</v>
      </c>
      <c r="T10" s="11" t="n">
        <v>300</v>
      </c>
      <c r="U10" s="15" t="n">
        <v>2650</v>
      </c>
      <c r="V10" s="16" t="n">
        <v>8.46520337514632E-005</v>
      </c>
      <c r="W10" s="11" t="n">
        <v>1</v>
      </c>
      <c r="X10" s="17" t="n">
        <v>0.0029</v>
      </c>
      <c r="Z10" s="1" t="s">
        <v>52</v>
      </c>
      <c r="AC10" s="18" t="n">
        <f aca="false">MAX(L10,O10)</f>
        <v>30.5</v>
      </c>
      <c r="AD10" s="17" t="n">
        <f aca="false">MAX(M10,P10*0.1)</f>
        <v>1.8E-005</v>
      </c>
      <c r="AE10" s="1" t="n">
        <f aca="false">MAX(N10,Q10)</f>
        <v>1.225</v>
      </c>
      <c r="AG10" s="16"/>
      <c r="AH10" s="19" t="n">
        <v>8</v>
      </c>
      <c r="AI10" s="20" t="str">
        <f aca="false">B10</f>
        <v>DI</v>
      </c>
      <c r="AJ10" s="20" t="str">
        <f aca="false">C10</f>
        <v>Gas-solid</v>
      </c>
      <c r="AK10" s="20" t="str">
        <f aca="false">D10</f>
        <v>H-V</v>
      </c>
      <c r="AL10" s="21" t="n">
        <f aca="false">E10</f>
        <v>90</v>
      </c>
      <c r="AM10" s="22" t="n">
        <v>1E-006</v>
      </c>
      <c r="AN10" s="23" t="n">
        <f aca="false">MAX(G10/(F10/1000),25000)</f>
        <v>25000</v>
      </c>
      <c r="AO10" s="23" t="n">
        <f aca="false">H10/F10</f>
        <v>1.81428571428571</v>
      </c>
      <c r="AP10" s="23" t="n">
        <f aca="false">AC10/SQRT(9.81*(F10/1000))</f>
        <v>116.390173518329</v>
      </c>
      <c r="AQ10" s="23" t="n">
        <f aca="false">(AE10*AC10*(F10/1000))/AD10</f>
        <v>14529.8611111111</v>
      </c>
      <c r="AR10" s="23" t="n">
        <f aca="false">((T10*0.000001)^3*AE10*(U10-AE10)*9.81)/AD10^2</f>
        <v>2652.5826140625</v>
      </c>
      <c r="AS10" s="23" t="n">
        <f aca="false">(U10*((T10/10^6)^2)/(18*AD10))*AC10/(F10/1000)</f>
        <v>3207.34126984127</v>
      </c>
      <c r="AT10" s="23" t="n">
        <f aca="false">AE10*(T10/10^6)*AC10/AD10</f>
        <v>622.708333333333</v>
      </c>
      <c r="AU10" s="23" t="n">
        <f aca="false">(T10/10^6)/(F10/1000)</f>
        <v>0.0428571428571429</v>
      </c>
      <c r="AV10" s="23" t="n">
        <f aca="false">AE10/U10</f>
        <v>0.000462264150943396</v>
      </c>
      <c r="AW10" s="23" t="n">
        <f aca="false">(J10*10^9)/(K10*AC10^2)</f>
        <v>298.110264091085</v>
      </c>
      <c r="AX10" s="23" t="n">
        <f aca="false">V10</f>
        <v>8.46520337514632E-005</v>
      </c>
      <c r="AY10" s="23" t="n">
        <f aca="false">MAX(W10,1)</f>
        <v>1</v>
      </c>
      <c r="AZ10" s="23" t="n">
        <f aca="false">X10</f>
        <v>0.0029</v>
      </c>
      <c r="BA10" s="24" t="n">
        <f aca="false">0.8*AZ10</f>
        <v>0.00232</v>
      </c>
      <c r="BB10" s="24" t="n">
        <f aca="false">AZ10*1.2</f>
        <v>0.00348</v>
      </c>
      <c r="BC10" s="0" t="str">
        <f aca="false">Z10</f>
        <v>Vieira 2017</v>
      </c>
    </row>
    <row r="11" customFormat="false" ht="12.8" hidden="false" customHeight="false" outlineLevel="0" collapsed="false">
      <c r="A11" s="1" t="n">
        <v>9</v>
      </c>
      <c r="B11" s="11" t="s">
        <v>48</v>
      </c>
      <c r="C11" s="11" t="s">
        <v>49</v>
      </c>
      <c r="D11" s="11" t="s">
        <v>50</v>
      </c>
      <c r="E11" s="11" t="n">
        <v>90</v>
      </c>
      <c r="F11" s="11" t="n">
        <v>7</v>
      </c>
      <c r="G11" s="11" t="n">
        <v>120</v>
      </c>
      <c r="H11" s="11" t="n">
        <v>12.7</v>
      </c>
      <c r="I11" s="11" t="s">
        <v>51</v>
      </c>
      <c r="J11" s="11" t="n">
        <v>2.274</v>
      </c>
      <c r="K11" s="11" t="n">
        <v>8200</v>
      </c>
      <c r="L11" s="11" t="n">
        <v>30.5</v>
      </c>
      <c r="M11" s="12" t="n">
        <v>1.8E-005</v>
      </c>
      <c r="N11" s="11" t="n">
        <v>1.225</v>
      </c>
      <c r="O11" s="1" t="n">
        <v>0</v>
      </c>
      <c r="P11" s="1" t="n">
        <v>0</v>
      </c>
      <c r="Q11" s="1" t="n">
        <v>0</v>
      </c>
      <c r="R11" s="13" t="n">
        <f aca="false">(N11*L11+O11*Q11)/(L11+O11)</f>
        <v>1.225</v>
      </c>
      <c r="S11" s="14" t="n">
        <f aca="false">(M11*L11+O11*P11*0.1)/(L11+O11)</f>
        <v>1.8E-005</v>
      </c>
      <c r="T11" s="11" t="n">
        <v>300</v>
      </c>
      <c r="U11" s="15" t="n">
        <v>2650</v>
      </c>
      <c r="V11" s="16" t="n">
        <v>8.46520337514632E-005</v>
      </c>
      <c r="W11" s="11" t="n">
        <v>1</v>
      </c>
      <c r="X11" s="17" t="n">
        <v>0.00245</v>
      </c>
      <c r="Z11" s="1" t="s">
        <v>52</v>
      </c>
      <c r="AC11" s="18" t="n">
        <f aca="false">MAX(L11,O11)</f>
        <v>30.5</v>
      </c>
      <c r="AD11" s="17" t="n">
        <f aca="false">MAX(M11,P11*0.1)</f>
        <v>1.8E-005</v>
      </c>
      <c r="AE11" s="1" t="n">
        <f aca="false">MAX(N11,Q11)</f>
        <v>1.225</v>
      </c>
      <c r="AG11" s="16"/>
      <c r="AH11" s="19" t="n">
        <v>9</v>
      </c>
      <c r="AI11" s="20" t="str">
        <f aca="false">B11</f>
        <v>DI</v>
      </c>
      <c r="AJ11" s="20" t="str">
        <f aca="false">C11</f>
        <v>Gas-solid</v>
      </c>
      <c r="AK11" s="20" t="str">
        <f aca="false">D11</f>
        <v>H-V</v>
      </c>
      <c r="AL11" s="21" t="n">
        <f aca="false">E11</f>
        <v>90</v>
      </c>
      <c r="AM11" s="22" t="n">
        <v>1E-006</v>
      </c>
      <c r="AN11" s="23" t="n">
        <f aca="false">MAX(G11/(F11/1000),25000)</f>
        <v>25000</v>
      </c>
      <c r="AO11" s="23" t="n">
        <f aca="false">H11/F11</f>
        <v>1.81428571428571</v>
      </c>
      <c r="AP11" s="23" t="n">
        <f aca="false">AC11/SQRT(9.81*(F11/1000))</f>
        <v>116.390173518329</v>
      </c>
      <c r="AQ11" s="23" t="n">
        <f aca="false">(AE11*AC11*(F11/1000))/AD11</f>
        <v>14529.8611111111</v>
      </c>
      <c r="AR11" s="23" t="n">
        <f aca="false">((T11*0.000001)^3*AE11*(U11-AE11)*9.81)/AD11^2</f>
        <v>2652.5826140625</v>
      </c>
      <c r="AS11" s="23" t="n">
        <f aca="false">(U11*((T11/10^6)^2)/(18*AD11))*AC11/(F11/1000)</f>
        <v>3207.34126984127</v>
      </c>
      <c r="AT11" s="23" t="n">
        <f aca="false">AE11*(T11/10^6)*AC11/AD11</f>
        <v>622.708333333333</v>
      </c>
      <c r="AU11" s="23" t="n">
        <f aca="false">(T11/10^6)/(F11/1000)</f>
        <v>0.0428571428571429</v>
      </c>
      <c r="AV11" s="23" t="n">
        <f aca="false">AE11/U11</f>
        <v>0.000462264150943396</v>
      </c>
      <c r="AW11" s="23" t="n">
        <f aca="false">(J11*10^9)/(K11*AC11^2)</f>
        <v>298.110264091085</v>
      </c>
      <c r="AX11" s="23" t="n">
        <f aca="false">V11</f>
        <v>8.46520337514632E-005</v>
      </c>
      <c r="AY11" s="23" t="n">
        <f aca="false">MAX(W11,1)</f>
        <v>1</v>
      </c>
      <c r="AZ11" s="23" t="n">
        <f aca="false">X11</f>
        <v>0.00245</v>
      </c>
      <c r="BA11" s="24" t="n">
        <f aca="false">0.8*AZ11</f>
        <v>0.00196</v>
      </c>
      <c r="BB11" s="24" t="n">
        <f aca="false">AZ11*1.2</f>
        <v>0.00294</v>
      </c>
      <c r="BC11" s="0" t="str">
        <f aca="false">Z11</f>
        <v>Vieira 2017</v>
      </c>
    </row>
    <row r="12" customFormat="false" ht="12.8" hidden="false" customHeight="false" outlineLevel="0" collapsed="false">
      <c r="A12" s="1" t="n">
        <v>10</v>
      </c>
      <c r="B12" s="11" t="s">
        <v>48</v>
      </c>
      <c r="C12" s="11" t="s">
        <v>49</v>
      </c>
      <c r="D12" s="11" t="s">
        <v>50</v>
      </c>
      <c r="E12" s="11" t="n">
        <v>90</v>
      </c>
      <c r="F12" s="11" t="n">
        <v>7</v>
      </c>
      <c r="G12" s="11" t="n">
        <v>120</v>
      </c>
      <c r="H12" s="11" t="n">
        <v>12.7</v>
      </c>
      <c r="I12" s="11" t="s">
        <v>51</v>
      </c>
      <c r="J12" s="11" t="n">
        <v>2.274</v>
      </c>
      <c r="K12" s="11" t="n">
        <v>8200</v>
      </c>
      <c r="L12" s="11" t="n">
        <v>30.5</v>
      </c>
      <c r="M12" s="12" t="n">
        <v>1.8E-005</v>
      </c>
      <c r="N12" s="11" t="n">
        <v>1.225</v>
      </c>
      <c r="O12" s="1" t="n">
        <v>0</v>
      </c>
      <c r="P12" s="1" t="n">
        <v>0</v>
      </c>
      <c r="Q12" s="1" t="n">
        <v>0</v>
      </c>
      <c r="R12" s="13" t="n">
        <f aca="false">(N12*L12+O12*Q12)/(L12+O12)</f>
        <v>1.225</v>
      </c>
      <c r="S12" s="14" t="n">
        <f aca="false">(M12*L12+O12*P12*0.1)/(L12+O12)</f>
        <v>1.8E-005</v>
      </c>
      <c r="T12" s="11" t="n">
        <v>300</v>
      </c>
      <c r="U12" s="15" t="n">
        <v>2650</v>
      </c>
      <c r="V12" s="16" t="n">
        <v>8.46520337514632E-005</v>
      </c>
      <c r="W12" s="11" t="n">
        <v>1</v>
      </c>
      <c r="X12" s="17" t="n">
        <v>0.00283</v>
      </c>
      <c r="Z12" s="1" t="s">
        <v>52</v>
      </c>
      <c r="AC12" s="18" t="n">
        <f aca="false">MAX(L12,O12)</f>
        <v>30.5</v>
      </c>
      <c r="AD12" s="17" t="n">
        <f aca="false">MAX(M12,P12*0.1)</f>
        <v>1.8E-005</v>
      </c>
      <c r="AE12" s="1" t="n">
        <f aca="false">MAX(N12,Q12)</f>
        <v>1.225</v>
      </c>
      <c r="AG12" s="16"/>
      <c r="AH12" s="19" t="n">
        <v>10</v>
      </c>
      <c r="AI12" s="20" t="str">
        <f aca="false">B12</f>
        <v>DI</v>
      </c>
      <c r="AJ12" s="20" t="str">
        <f aca="false">C12</f>
        <v>Gas-solid</v>
      </c>
      <c r="AK12" s="20" t="str">
        <f aca="false">D12</f>
        <v>H-V</v>
      </c>
      <c r="AL12" s="21" t="n">
        <f aca="false">E12</f>
        <v>90</v>
      </c>
      <c r="AM12" s="22" t="n">
        <v>1E-006</v>
      </c>
      <c r="AN12" s="23" t="n">
        <f aca="false">MAX(G12/(F12/1000),25000)</f>
        <v>25000</v>
      </c>
      <c r="AO12" s="23" t="n">
        <f aca="false">H12/F12</f>
        <v>1.81428571428571</v>
      </c>
      <c r="AP12" s="23" t="n">
        <f aca="false">AC12/SQRT(9.81*(F12/1000))</f>
        <v>116.390173518329</v>
      </c>
      <c r="AQ12" s="23" t="n">
        <f aca="false">(AE12*AC12*(F12/1000))/AD12</f>
        <v>14529.8611111111</v>
      </c>
      <c r="AR12" s="23" t="n">
        <f aca="false">((T12*0.000001)^3*AE12*(U12-AE12)*9.81)/AD12^2</f>
        <v>2652.5826140625</v>
      </c>
      <c r="AS12" s="23" t="n">
        <f aca="false">(U12*((T12/10^6)^2)/(18*AD12))*AC12/(F12/1000)</f>
        <v>3207.34126984127</v>
      </c>
      <c r="AT12" s="23" t="n">
        <f aca="false">AE12*(T12/10^6)*AC12/AD12</f>
        <v>622.708333333333</v>
      </c>
      <c r="AU12" s="23" t="n">
        <f aca="false">(T12/10^6)/(F12/1000)</f>
        <v>0.0428571428571429</v>
      </c>
      <c r="AV12" s="23" t="n">
        <f aca="false">AE12/U12</f>
        <v>0.000462264150943396</v>
      </c>
      <c r="AW12" s="23" t="n">
        <f aca="false">(J12*10^9)/(K12*AC12^2)</f>
        <v>298.110264091085</v>
      </c>
      <c r="AX12" s="23" t="n">
        <f aca="false">V12</f>
        <v>8.46520337514632E-005</v>
      </c>
      <c r="AY12" s="23" t="n">
        <f aca="false">MAX(W12,1)</f>
        <v>1</v>
      </c>
      <c r="AZ12" s="23" t="n">
        <f aca="false">X12</f>
        <v>0.00283</v>
      </c>
      <c r="BA12" s="24" t="n">
        <f aca="false">0.8*AZ12</f>
        <v>0.002264</v>
      </c>
      <c r="BB12" s="24" t="n">
        <f aca="false">AZ12*1.2</f>
        <v>0.003396</v>
      </c>
      <c r="BC12" s="0" t="str">
        <f aca="false">Z12</f>
        <v>Vieira 2017</v>
      </c>
    </row>
    <row r="13" customFormat="false" ht="12.8" hidden="false" customHeight="false" outlineLevel="0" collapsed="false">
      <c r="A13" s="1" t="n">
        <v>11</v>
      </c>
      <c r="B13" s="11" t="s">
        <v>48</v>
      </c>
      <c r="C13" s="11" t="s">
        <v>49</v>
      </c>
      <c r="D13" s="11" t="s">
        <v>50</v>
      </c>
      <c r="E13" s="11" t="n">
        <v>90</v>
      </c>
      <c r="F13" s="11" t="n">
        <v>7</v>
      </c>
      <c r="G13" s="11" t="n">
        <v>120</v>
      </c>
      <c r="H13" s="11" t="n">
        <v>12.7</v>
      </c>
      <c r="I13" s="11" t="s">
        <v>51</v>
      </c>
      <c r="J13" s="11" t="n">
        <v>2.274</v>
      </c>
      <c r="K13" s="11" t="n">
        <v>8200</v>
      </c>
      <c r="L13" s="11" t="n">
        <v>30.5</v>
      </c>
      <c r="M13" s="12" t="n">
        <v>1.8E-005</v>
      </c>
      <c r="N13" s="11" t="n">
        <v>1.225</v>
      </c>
      <c r="O13" s="1" t="n">
        <v>0</v>
      </c>
      <c r="P13" s="1" t="n">
        <v>0</v>
      </c>
      <c r="Q13" s="1" t="n">
        <v>0</v>
      </c>
      <c r="R13" s="13" t="n">
        <f aca="false">(N13*L13+O13*Q13)/(L13+O13)</f>
        <v>1.225</v>
      </c>
      <c r="S13" s="14" t="n">
        <f aca="false">(M13*L13+O13*P13*0.1)/(L13+O13)</f>
        <v>1.8E-005</v>
      </c>
      <c r="T13" s="11" t="n">
        <v>150</v>
      </c>
      <c r="U13" s="15" t="n">
        <v>2650</v>
      </c>
      <c r="V13" s="16" t="n">
        <v>0.000153220388857435</v>
      </c>
      <c r="W13" s="11" t="n">
        <v>1</v>
      </c>
      <c r="X13" s="17" t="n">
        <v>0.000223</v>
      </c>
      <c r="Z13" s="1" t="s">
        <v>52</v>
      </c>
      <c r="AC13" s="18" t="n">
        <f aca="false">MAX(L13,O13)</f>
        <v>30.5</v>
      </c>
      <c r="AD13" s="17" t="n">
        <f aca="false">MAX(M13,P13*0.1)</f>
        <v>1.8E-005</v>
      </c>
      <c r="AE13" s="1" t="n">
        <f aca="false">MAX(N13,Q13)</f>
        <v>1.225</v>
      </c>
      <c r="AG13" s="16"/>
      <c r="AH13" s="19" t="n">
        <v>11</v>
      </c>
      <c r="AI13" s="20" t="str">
        <f aca="false">B13</f>
        <v>DI</v>
      </c>
      <c r="AJ13" s="20" t="str">
        <f aca="false">C13</f>
        <v>Gas-solid</v>
      </c>
      <c r="AK13" s="20" t="str">
        <f aca="false">D13</f>
        <v>H-V</v>
      </c>
      <c r="AL13" s="21" t="n">
        <f aca="false">E13</f>
        <v>90</v>
      </c>
      <c r="AM13" s="22" t="n">
        <v>1E-006</v>
      </c>
      <c r="AN13" s="23" t="n">
        <f aca="false">MAX(G13/(F13/1000),25000)</f>
        <v>25000</v>
      </c>
      <c r="AO13" s="23" t="n">
        <f aca="false">H13/F13</f>
        <v>1.81428571428571</v>
      </c>
      <c r="AP13" s="23" t="n">
        <f aca="false">AC13/SQRT(9.81*(F13/1000))</f>
        <v>116.390173518329</v>
      </c>
      <c r="AQ13" s="23" t="n">
        <f aca="false">(AE13*AC13*(F13/1000))/AD13</f>
        <v>14529.8611111111</v>
      </c>
      <c r="AR13" s="23" t="n">
        <f aca="false">((T13*0.000001)^3*AE13*(U13-AE13)*9.81)/AD13^2</f>
        <v>331.572826757812</v>
      </c>
      <c r="AS13" s="23" t="n">
        <f aca="false">(U13*((T13/10^6)^2)/(18*AD13))*AC13/(F13/1000)</f>
        <v>801.835317460317</v>
      </c>
      <c r="AT13" s="23" t="n">
        <f aca="false">AE13*(T13/10^6)*AC13/AD13</f>
        <v>311.354166666667</v>
      </c>
      <c r="AU13" s="23" t="n">
        <f aca="false">(T13/10^6)/(F13/1000)</f>
        <v>0.0214285714285714</v>
      </c>
      <c r="AV13" s="23" t="n">
        <f aca="false">AE13/U13</f>
        <v>0.000462264150943396</v>
      </c>
      <c r="AW13" s="23" t="n">
        <f aca="false">(J13*10^9)/(K13*AC13^2)</f>
        <v>298.110264091085</v>
      </c>
      <c r="AX13" s="23" t="n">
        <f aca="false">V13</f>
        <v>0.000153220388857435</v>
      </c>
      <c r="AY13" s="23" t="n">
        <f aca="false">MAX(W13,1)</f>
        <v>1</v>
      </c>
      <c r="AZ13" s="23" t="n">
        <f aca="false">X13</f>
        <v>0.000223</v>
      </c>
      <c r="BA13" s="24" t="n">
        <f aca="false">0.8*AZ13</f>
        <v>0.0001784</v>
      </c>
      <c r="BB13" s="24" t="n">
        <f aca="false">AZ13*1.2</f>
        <v>0.0002676</v>
      </c>
      <c r="BC13" s="0" t="str">
        <f aca="false">Z13</f>
        <v>Vieira 2017</v>
      </c>
    </row>
    <row r="14" customFormat="false" ht="12.8" hidden="false" customHeight="false" outlineLevel="0" collapsed="false">
      <c r="A14" s="1" t="n">
        <v>12</v>
      </c>
      <c r="B14" s="11" t="s">
        <v>48</v>
      </c>
      <c r="C14" s="11" t="s">
        <v>49</v>
      </c>
      <c r="D14" s="11" t="s">
        <v>50</v>
      </c>
      <c r="E14" s="11" t="n">
        <v>90</v>
      </c>
      <c r="F14" s="11" t="n">
        <v>7</v>
      </c>
      <c r="G14" s="11" t="n">
        <v>120</v>
      </c>
      <c r="H14" s="11" t="n">
        <v>12.7</v>
      </c>
      <c r="I14" s="11" t="s">
        <v>51</v>
      </c>
      <c r="J14" s="11" t="n">
        <v>2.274</v>
      </c>
      <c r="K14" s="11" t="n">
        <v>8200</v>
      </c>
      <c r="L14" s="11" t="n">
        <v>30.5</v>
      </c>
      <c r="M14" s="12" t="n">
        <v>1.8E-005</v>
      </c>
      <c r="N14" s="11" t="n">
        <v>1.225</v>
      </c>
      <c r="O14" s="1" t="n">
        <v>0</v>
      </c>
      <c r="P14" s="1" t="n">
        <v>0</v>
      </c>
      <c r="Q14" s="1" t="n">
        <v>0</v>
      </c>
      <c r="R14" s="13" t="n">
        <f aca="false">(N14*L14+O14*Q14)/(L14+O14)</f>
        <v>1.225</v>
      </c>
      <c r="S14" s="14" t="n">
        <f aca="false">(M14*L14+O14*P14*0.1)/(L14+O14)</f>
        <v>1.8E-005</v>
      </c>
      <c r="T14" s="11" t="n">
        <v>150</v>
      </c>
      <c r="U14" s="15" t="n">
        <v>2650</v>
      </c>
      <c r="V14" s="16" t="n">
        <v>0.000153220388857435</v>
      </c>
      <c r="W14" s="11" t="n">
        <v>1</v>
      </c>
      <c r="X14" s="17" t="n">
        <v>0.000335</v>
      </c>
      <c r="Z14" s="1" t="s">
        <v>52</v>
      </c>
      <c r="AC14" s="18" t="n">
        <f aca="false">MAX(L14,O14)</f>
        <v>30.5</v>
      </c>
      <c r="AD14" s="17" t="n">
        <f aca="false">MAX(M14,P14*0.1)</f>
        <v>1.8E-005</v>
      </c>
      <c r="AE14" s="1" t="n">
        <f aca="false">MAX(N14,Q14)</f>
        <v>1.225</v>
      </c>
      <c r="AG14" s="16"/>
      <c r="AH14" s="19" t="n">
        <v>12</v>
      </c>
      <c r="AI14" s="20" t="str">
        <f aca="false">B14</f>
        <v>DI</v>
      </c>
      <c r="AJ14" s="20" t="str">
        <f aca="false">C14</f>
        <v>Gas-solid</v>
      </c>
      <c r="AK14" s="20" t="str">
        <f aca="false">D14</f>
        <v>H-V</v>
      </c>
      <c r="AL14" s="21" t="n">
        <f aca="false">E14</f>
        <v>90</v>
      </c>
      <c r="AM14" s="22" t="n">
        <v>1E-006</v>
      </c>
      <c r="AN14" s="23" t="n">
        <f aca="false">MAX(G14/(F14/1000),25000)</f>
        <v>25000</v>
      </c>
      <c r="AO14" s="23" t="n">
        <f aca="false">H14/F14</f>
        <v>1.81428571428571</v>
      </c>
      <c r="AP14" s="23" t="n">
        <f aca="false">AC14/SQRT(9.81*(F14/1000))</f>
        <v>116.390173518329</v>
      </c>
      <c r="AQ14" s="23" t="n">
        <f aca="false">(AE14*AC14*(F14/1000))/AD14</f>
        <v>14529.8611111111</v>
      </c>
      <c r="AR14" s="23" t="n">
        <f aca="false">((T14*0.000001)^3*AE14*(U14-AE14)*9.81)/AD14^2</f>
        <v>331.572826757812</v>
      </c>
      <c r="AS14" s="23" t="n">
        <f aca="false">(U14*((T14/10^6)^2)/(18*AD14))*AC14/(F14/1000)</f>
        <v>801.835317460317</v>
      </c>
      <c r="AT14" s="23" t="n">
        <f aca="false">AE14*(T14/10^6)*AC14/AD14</f>
        <v>311.354166666667</v>
      </c>
      <c r="AU14" s="23" t="n">
        <f aca="false">(T14/10^6)/(F14/1000)</f>
        <v>0.0214285714285714</v>
      </c>
      <c r="AV14" s="23" t="n">
        <f aca="false">AE14/U14</f>
        <v>0.000462264150943396</v>
      </c>
      <c r="AW14" s="23" t="n">
        <f aca="false">(J14*10^9)/(K14*AC14^2)</f>
        <v>298.110264091085</v>
      </c>
      <c r="AX14" s="23" t="n">
        <f aca="false">V14</f>
        <v>0.000153220388857435</v>
      </c>
      <c r="AY14" s="23" t="n">
        <f aca="false">MAX(W14,1)</f>
        <v>1</v>
      </c>
      <c r="AZ14" s="23" t="n">
        <f aca="false">X14</f>
        <v>0.000335</v>
      </c>
      <c r="BA14" s="24" t="n">
        <f aca="false">0.8*AZ14</f>
        <v>0.000268</v>
      </c>
      <c r="BB14" s="24" t="n">
        <f aca="false">AZ14*1.2</f>
        <v>0.000402</v>
      </c>
      <c r="BC14" s="0" t="str">
        <f aca="false">Z14</f>
        <v>Vieira 2017</v>
      </c>
    </row>
    <row r="15" customFormat="false" ht="12.8" hidden="false" customHeight="false" outlineLevel="0" collapsed="false">
      <c r="A15" s="1" t="n">
        <v>13</v>
      </c>
      <c r="B15" s="11" t="s">
        <v>48</v>
      </c>
      <c r="C15" s="11" t="s">
        <v>49</v>
      </c>
      <c r="D15" s="11" t="s">
        <v>50</v>
      </c>
      <c r="E15" s="11" t="n">
        <v>90</v>
      </c>
      <c r="F15" s="11" t="n">
        <v>7</v>
      </c>
      <c r="G15" s="11" t="n">
        <v>120</v>
      </c>
      <c r="H15" s="11" t="n">
        <v>12.7</v>
      </c>
      <c r="I15" s="11" t="s">
        <v>51</v>
      </c>
      <c r="J15" s="11" t="n">
        <v>2.274</v>
      </c>
      <c r="K15" s="11" t="n">
        <v>8200</v>
      </c>
      <c r="L15" s="11" t="n">
        <v>30.5</v>
      </c>
      <c r="M15" s="12" t="n">
        <v>1.8E-005</v>
      </c>
      <c r="N15" s="11" t="n">
        <v>1.225</v>
      </c>
      <c r="O15" s="1" t="n">
        <v>0</v>
      </c>
      <c r="P15" s="1" t="n">
        <v>0</v>
      </c>
      <c r="Q15" s="1" t="n">
        <v>0</v>
      </c>
      <c r="R15" s="13" t="n">
        <f aca="false">(N15*L15+O15*Q15)/(L15+O15)</f>
        <v>1.225</v>
      </c>
      <c r="S15" s="14" t="n">
        <f aca="false">(M15*L15+O15*P15*0.1)/(L15+O15)</f>
        <v>1.8E-005</v>
      </c>
      <c r="T15" s="11" t="n">
        <v>150</v>
      </c>
      <c r="U15" s="15" t="n">
        <v>2650</v>
      </c>
      <c r="V15" s="16" t="n">
        <v>0.000153220388857435</v>
      </c>
      <c r="W15" s="11" t="n">
        <v>1</v>
      </c>
      <c r="X15" s="17" t="n">
        <v>0.000781</v>
      </c>
      <c r="Z15" s="1" t="s">
        <v>52</v>
      </c>
      <c r="AC15" s="18" t="n">
        <f aca="false">MAX(L15,O15)</f>
        <v>30.5</v>
      </c>
      <c r="AD15" s="17" t="n">
        <f aca="false">MAX(M15,P15*0.1)</f>
        <v>1.8E-005</v>
      </c>
      <c r="AE15" s="1" t="n">
        <f aca="false">MAX(N15,Q15)</f>
        <v>1.225</v>
      </c>
      <c r="AG15" s="16"/>
      <c r="AH15" s="19" t="n">
        <v>13</v>
      </c>
      <c r="AI15" s="20" t="str">
        <f aca="false">B15</f>
        <v>DI</v>
      </c>
      <c r="AJ15" s="20" t="str">
        <f aca="false">C15</f>
        <v>Gas-solid</v>
      </c>
      <c r="AK15" s="20" t="str">
        <f aca="false">D15</f>
        <v>H-V</v>
      </c>
      <c r="AL15" s="21" t="n">
        <f aca="false">E15</f>
        <v>90</v>
      </c>
      <c r="AM15" s="22" t="n">
        <v>1E-006</v>
      </c>
      <c r="AN15" s="23" t="n">
        <f aca="false">MAX(G15/(F15/1000),25000)</f>
        <v>25000</v>
      </c>
      <c r="AO15" s="23" t="n">
        <f aca="false">H15/F15</f>
        <v>1.81428571428571</v>
      </c>
      <c r="AP15" s="23" t="n">
        <f aca="false">AC15/SQRT(9.81*(F15/1000))</f>
        <v>116.390173518329</v>
      </c>
      <c r="AQ15" s="23" t="n">
        <f aca="false">(AE15*AC15*(F15/1000))/AD15</f>
        <v>14529.8611111111</v>
      </c>
      <c r="AR15" s="23" t="n">
        <f aca="false">((T15*0.000001)^3*AE15*(U15-AE15)*9.81)/AD15^2</f>
        <v>331.572826757812</v>
      </c>
      <c r="AS15" s="23" t="n">
        <f aca="false">(U15*((T15/10^6)^2)/(18*AD15))*AC15/(F15/1000)</f>
        <v>801.835317460317</v>
      </c>
      <c r="AT15" s="23" t="n">
        <f aca="false">AE15*(T15/10^6)*AC15/AD15</f>
        <v>311.354166666667</v>
      </c>
      <c r="AU15" s="23" t="n">
        <f aca="false">(T15/10^6)/(F15/1000)</f>
        <v>0.0214285714285714</v>
      </c>
      <c r="AV15" s="23" t="n">
        <f aca="false">AE15/U15</f>
        <v>0.000462264150943396</v>
      </c>
      <c r="AW15" s="23" t="n">
        <f aca="false">(J15*10^9)/(K15*AC15^2)</f>
        <v>298.110264091085</v>
      </c>
      <c r="AX15" s="23" t="n">
        <f aca="false">V15</f>
        <v>0.000153220388857435</v>
      </c>
      <c r="AY15" s="23" t="n">
        <f aca="false">MAX(W15,1)</f>
        <v>1</v>
      </c>
      <c r="AZ15" s="23" t="n">
        <f aca="false">X15</f>
        <v>0.000781</v>
      </c>
      <c r="BA15" s="24" t="n">
        <f aca="false">0.8*AZ15</f>
        <v>0.0006248</v>
      </c>
      <c r="BB15" s="24" t="n">
        <f aca="false">AZ15*1.2</f>
        <v>0.0009372</v>
      </c>
      <c r="BC15" s="0" t="str">
        <f aca="false">Z15</f>
        <v>Vieira 2017</v>
      </c>
    </row>
    <row r="16" customFormat="false" ht="12.8" hidden="false" customHeight="false" outlineLevel="0" collapsed="false">
      <c r="A16" s="1" t="n">
        <v>14</v>
      </c>
      <c r="B16" s="11" t="s">
        <v>48</v>
      </c>
      <c r="C16" s="11" t="s">
        <v>49</v>
      </c>
      <c r="D16" s="11" t="s">
        <v>50</v>
      </c>
      <c r="E16" s="11" t="n">
        <v>90</v>
      </c>
      <c r="F16" s="11" t="n">
        <v>7</v>
      </c>
      <c r="G16" s="11" t="n">
        <v>120</v>
      </c>
      <c r="H16" s="11" t="n">
        <v>12.7</v>
      </c>
      <c r="I16" s="11" t="s">
        <v>51</v>
      </c>
      <c r="J16" s="11" t="n">
        <v>2.274</v>
      </c>
      <c r="K16" s="11" t="n">
        <v>8200</v>
      </c>
      <c r="L16" s="11" t="n">
        <v>30.5</v>
      </c>
      <c r="M16" s="12" t="n">
        <v>1.8E-005</v>
      </c>
      <c r="N16" s="11" t="n">
        <v>1.225</v>
      </c>
      <c r="O16" s="1" t="n">
        <v>0</v>
      </c>
      <c r="P16" s="1" t="n">
        <v>0</v>
      </c>
      <c r="Q16" s="1" t="n">
        <v>0</v>
      </c>
      <c r="R16" s="13" t="n">
        <f aca="false">(N16*L16+O16*Q16)/(L16+O16)</f>
        <v>1.225</v>
      </c>
      <c r="S16" s="14" t="n">
        <f aca="false">(M16*L16+O16*P16*0.1)/(L16+O16)</f>
        <v>1.8E-005</v>
      </c>
      <c r="T16" s="11" t="n">
        <v>150</v>
      </c>
      <c r="U16" s="15" t="n">
        <v>2650</v>
      </c>
      <c r="V16" s="16" t="n">
        <v>0.000153220388857435</v>
      </c>
      <c r="W16" s="11" t="n">
        <v>1</v>
      </c>
      <c r="X16" s="17" t="n">
        <v>0.000558</v>
      </c>
      <c r="Z16" s="1" t="s">
        <v>52</v>
      </c>
      <c r="AC16" s="18" t="n">
        <f aca="false">MAX(L16,O16)</f>
        <v>30.5</v>
      </c>
      <c r="AD16" s="17" t="n">
        <f aca="false">MAX(M16,P16*0.1)</f>
        <v>1.8E-005</v>
      </c>
      <c r="AE16" s="1" t="n">
        <f aca="false">MAX(N16,Q16)</f>
        <v>1.225</v>
      </c>
      <c r="AG16" s="16"/>
      <c r="AH16" s="19" t="n">
        <v>14</v>
      </c>
      <c r="AI16" s="20" t="str">
        <f aca="false">B16</f>
        <v>DI</v>
      </c>
      <c r="AJ16" s="20" t="str">
        <f aca="false">C16</f>
        <v>Gas-solid</v>
      </c>
      <c r="AK16" s="20" t="str">
        <f aca="false">D16</f>
        <v>H-V</v>
      </c>
      <c r="AL16" s="21" t="n">
        <f aca="false">E16</f>
        <v>90</v>
      </c>
      <c r="AM16" s="22" t="n">
        <v>1E-006</v>
      </c>
      <c r="AN16" s="23" t="n">
        <f aca="false">MAX(G16/(F16/1000),25000)</f>
        <v>25000</v>
      </c>
      <c r="AO16" s="23" t="n">
        <f aca="false">H16/F16</f>
        <v>1.81428571428571</v>
      </c>
      <c r="AP16" s="23" t="n">
        <f aca="false">AC16/SQRT(9.81*(F16/1000))</f>
        <v>116.390173518329</v>
      </c>
      <c r="AQ16" s="23" t="n">
        <f aca="false">(AE16*AC16*(F16/1000))/AD16</f>
        <v>14529.8611111111</v>
      </c>
      <c r="AR16" s="23" t="n">
        <f aca="false">((T16*0.000001)^3*AE16*(U16-AE16)*9.81)/AD16^2</f>
        <v>331.572826757812</v>
      </c>
      <c r="AS16" s="23" t="n">
        <f aca="false">(U16*((T16/10^6)^2)/(18*AD16))*AC16/(F16/1000)</f>
        <v>801.835317460317</v>
      </c>
      <c r="AT16" s="23" t="n">
        <f aca="false">AE16*(T16/10^6)*AC16/AD16</f>
        <v>311.354166666667</v>
      </c>
      <c r="AU16" s="23" t="n">
        <f aca="false">(T16/10^6)/(F16/1000)</f>
        <v>0.0214285714285714</v>
      </c>
      <c r="AV16" s="23" t="n">
        <f aca="false">AE16/U16</f>
        <v>0.000462264150943396</v>
      </c>
      <c r="AW16" s="23" t="n">
        <f aca="false">(J16*10^9)/(K16*AC16^2)</f>
        <v>298.110264091085</v>
      </c>
      <c r="AX16" s="23" t="n">
        <f aca="false">V16</f>
        <v>0.000153220388857435</v>
      </c>
      <c r="AY16" s="23" t="n">
        <f aca="false">MAX(W16,1)</f>
        <v>1</v>
      </c>
      <c r="AZ16" s="23" t="n">
        <f aca="false">X16</f>
        <v>0.000558</v>
      </c>
      <c r="BA16" s="24" t="n">
        <f aca="false">0.8*AZ16</f>
        <v>0.0004464</v>
      </c>
      <c r="BB16" s="24" t="n">
        <f aca="false">AZ16*1.2</f>
        <v>0.0006696</v>
      </c>
      <c r="BC16" s="0" t="str">
        <f aca="false">Z16</f>
        <v>Vieira 2017</v>
      </c>
    </row>
    <row r="17" customFormat="false" ht="12.8" hidden="false" customHeight="false" outlineLevel="0" collapsed="false">
      <c r="A17" s="1" t="n">
        <v>15</v>
      </c>
      <c r="B17" s="11" t="s">
        <v>48</v>
      </c>
      <c r="C17" s="11" t="s">
        <v>49</v>
      </c>
      <c r="D17" s="11" t="s">
        <v>50</v>
      </c>
      <c r="E17" s="11" t="n">
        <v>90</v>
      </c>
      <c r="F17" s="11" t="n">
        <v>7</v>
      </c>
      <c r="G17" s="11" t="n">
        <v>120</v>
      </c>
      <c r="H17" s="11" t="n">
        <v>12.7</v>
      </c>
      <c r="I17" s="11" t="s">
        <v>51</v>
      </c>
      <c r="J17" s="11" t="n">
        <v>2.274</v>
      </c>
      <c r="K17" s="11" t="n">
        <v>8200</v>
      </c>
      <c r="L17" s="11" t="n">
        <v>30.5</v>
      </c>
      <c r="M17" s="12" t="n">
        <v>1.8E-005</v>
      </c>
      <c r="N17" s="11" t="n">
        <v>1.225</v>
      </c>
      <c r="O17" s="1" t="n">
        <v>0</v>
      </c>
      <c r="P17" s="1" t="n">
        <v>0</v>
      </c>
      <c r="Q17" s="1" t="n">
        <v>0</v>
      </c>
      <c r="R17" s="13" t="n">
        <f aca="false">(N17*L17+O17*Q17)/(L17+O17)</f>
        <v>1.225</v>
      </c>
      <c r="S17" s="14" t="n">
        <f aca="false">(M17*L17+O17*P17*0.1)/(L17+O17)</f>
        <v>1.8E-005</v>
      </c>
      <c r="T17" s="11" t="n">
        <v>150</v>
      </c>
      <c r="U17" s="15" t="n">
        <v>2650</v>
      </c>
      <c r="V17" s="16" t="n">
        <v>0.000153220388857435</v>
      </c>
      <c r="W17" s="11" t="n">
        <v>1</v>
      </c>
      <c r="X17" s="17" t="n">
        <v>0.000736</v>
      </c>
      <c r="Z17" s="1" t="s">
        <v>52</v>
      </c>
      <c r="AC17" s="18" t="n">
        <f aca="false">MAX(L17,O17)</f>
        <v>30.5</v>
      </c>
      <c r="AD17" s="17" t="n">
        <f aca="false">MAX(M17,P17*0.1)</f>
        <v>1.8E-005</v>
      </c>
      <c r="AE17" s="1" t="n">
        <f aca="false">MAX(N17,Q17)</f>
        <v>1.225</v>
      </c>
      <c r="AG17" s="16"/>
      <c r="AH17" s="19" t="n">
        <v>15</v>
      </c>
      <c r="AI17" s="20" t="str">
        <f aca="false">B17</f>
        <v>DI</v>
      </c>
      <c r="AJ17" s="20" t="str">
        <f aca="false">C17</f>
        <v>Gas-solid</v>
      </c>
      <c r="AK17" s="20" t="str">
        <f aca="false">D17</f>
        <v>H-V</v>
      </c>
      <c r="AL17" s="21" t="n">
        <f aca="false">E17</f>
        <v>90</v>
      </c>
      <c r="AM17" s="22" t="n">
        <v>1E-006</v>
      </c>
      <c r="AN17" s="23" t="n">
        <f aca="false">MAX(G17/(F17/1000),25000)</f>
        <v>25000</v>
      </c>
      <c r="AO17" s="23" t="n">
        <f aca="false">H17/F17</f>
        <v>1.81428571428571</v>
      </c>
      <c r="AP17" s="23" t="n">
        <f aca="false">AC17/SQRT(9.81*(F17/1000))</f>
        <v>116.390173518329</v>
      </c>
      <c r="AQ17" s="23" t="n">
        <f aca="false">(AE17*AC17*(F17/1000))/AD17</f>
        <v>14529.8611111111</v>
      </c>
      <c r="AR17" s="23" t="n">
        <f aca="false">((T17*0.000001)^3*AE17*(U17-AE17)*9.81)/AD17^2</f>
        <v>331.572826757812</v>
      </c>
      <c r="AS17" s="23" t="n">
        <f aca="false">(U17*((T17/10^6)^2)/(18*AD17))*AC17/(F17/1000)</f>
        <v>801.835317460317</v>
      </c>
      <c r="AT17" s="23" t="n">
        <f aca="false">AE17*(T17/10^6)*AC17/AD17</f>
        <v>311.354166666667</v>
      </c>
      <c r="AU17" s="23" t="n">
        <f aca="false">(T17/10^6)/(F17/1000)</f>
        <v>0.0214285714285714</v>
      </c>
      <c r="AV17" s="23" t="n">
        <f aca="false">AE17/U17</f>
        <v>0.000462264150943396</v>
      </c>
      <c r="AW17" s="23" t="n">
        <f aca="false">(J17*10^9)/(K17*AC17^2)</f>
        <v>298.110264091085</v>
      </c>
      <c r="AX17" s="23" t="n">
        <f aca="false">V17</f>
        <v>0.000153220388857435</v>
      </c>
      <c r="AY17" s="23" t="n">
        <f aca="false">MAX(W17,1)</f>
        <v>1</v>
      </c>
      <c r="AZ17" s="23" t="n">
        <f aca="false">X17</f>
        <v>0.000736</v>
      </c>
      <c r="BA17" s="24" t="n">
        <f aca="false">0.8*AZ17</f>
        <v>0.0005888</v>
      </c>
      <c r="BB17" s="24" t="n">
        <f aca="false">AZ17*1.2</f>
        <v>0.0008832</v>
      </c>
      <c r="BC17" s="0" t="str">
        <f aca="false">Z17</f>
        <v>Vieira 2017</v>
      </c>
    </row>
    <row r="18" customFormat="false" ht="12.8" hidden="false" customHeight="false" outlineLevel="0" collapsed="false">
      <c r="A18" s="1" t="n">
        <v>16</v>
      </c>
      <c r="B18" s="11" t="s">
        <v>48</v>
      </c>
      <c r="C18" s="11" t="s">
        <v>49</v>
      </c>
      <c r="D18" s="11" t="s">
        <v>50</v>
      </c>
      <c r="E18" s="11" t="n">
        <v>90</v>
      </c>
      <c r="F18" s="11" t="n">
        <v>7</v>
      </c>
      <c r="G18" s="11" t="n">
        <v>120</v>
      </c>
      <c r="H18" s="11" t="n">
        <v>12.7</v>
      </c>
      <c r="I18" s="11" t="s">
        <v>51</v>
      </c>
      <c r="J18" s="11" t="n">
        <v>2.274</v>
      </c>
      <c r="K18" s="11" t="n">
        <v>8200</v>
      </c>
      <c r="L18" s="11" t="n">
        <v>30.5</v>
      </c>
      <c r="M18" s="12" t="n">
        <v>1.8E-005</v>
      </c>
      <c r="N18" s="11" t="n">
        <v>1.225</v>
      </c>
      <c r="O18" s="1" t="n">
        <v>0</v>
      </c>
      <c r="P18" s="1" t="n">
        <v>0</v>
      </c>
      <c r="Q18" s="1" t="n">
        <v>0</v>
      </c>
      <c r="R18" s="13" t="n">
        <f aca="false">(N18*L18+O18*Q18)/(L18+O18)</f>
        <v>1.225</v>
      </c>
      <c r="S18" s="14" t="n">
        <f aca="false">(M18*L18+O18*P18*0.1)/(L18+O18)</f>
        <v>1.8E-005</v>
      </c>
      <c r="T18" s="11" t="n">
        <v>150</v>
      </c>
      <c r="U18" s="15" t="n">
        <v>2650</v>
      </c>
      <c r="V18" s="16" t="n">
        <v>0.000148935142173322</v>
      </c>
      <c r="W18" s="11" t="n">
        <v>1</v>
      </c>
      <c r="X18" s="17" t="n">
        <v>0.000669</v>
      </c>
      <c r="Z18" s="1" t="s">
        <v>52</v>
      </c>
      <c r="AC18" s="18" t="n">
        <f aca="false">MAX(L18,O18)</f>
        <v>30.5</v>
      </c>
      <c r="AD18" s="17" t="n">
        <f aca="false">MAX(M18,P18*0.1)</f>
        <v>1.8E-005</v>
      </c>
      <c r="AE18" s="1" t="n">
        <f aca="false">MAX(N18,Q18)</f>
        <v>1.225</v>
      </c>
      <c r="AG18" s="16"/>
      <c r="AH18" s="19" t="n">
        <v>16</v>
      </c>
      <c r="AI18" s="20" t="str">
        <f aca="false">B18</f>
        <v>DI</v>
      </c>
      <c r="AJ18" s="20" t="str">
        <f aca="false">C18</f>
        <v>Gas-solid</v>
      </c>
      <c r="AK18" s="20" t="str">
        <f aca="false">D18</f>
        <v>H-V</v>
      </c>
      <c r="AL18" s="21" t="n">
        <f aca="false">E18</f>
        <v>90</v>
      </c>
      <c r="AM18" s="22" t="n">
        <v>1E-006</v>
      </c>
      <c r="AN18" s="23" t="n">
        <f aca="false">MAX(G18/(F18/1000),25000)</f>
        <v>25000</v>
      </c>
      <c r="AO18" s="23" t="n">
        <f aca="false">H18/F18</f>
        <v>1.81428571428571</v>
      </c>
      <c r="AP18" s="23" t="n">
        <f aca="false">AC18/SQRT(9.81*(F18/1000))</f>
        <v>116.390173518329</v>
      </c>
      <c r="AQ18" s="23" t="n">
        <f aca="false">(AE18*AC18*(F18/1000))/AD18</f>
        <v>14529.8611111111</v>
      </c>
      <c r="AR18" s="23" t="n">
        <f aca="false">((T18*0.000001)^3*AE18*(U18-AE18)*9.81)/AD18^2</f>
        <v>331.572826757812</v>
      </c>
      <c r="AS18" s="23" t="n">
        <f aca="false">(U18*((T18/10^6)^2)/(18*AD18))*AC18/(F18/1000)</f>
        <v>801.835317460317</v>
      </c>
      <c r="AT18" s="23" t="n">
        <f aca="false">AE18*(T18/10^6)*AC18/AD18</f>
        <v>311.354166666667</v>
      </c>
      <c r="AU18" s="23" t="n">
        <f aca="false">(T18/10^6)/(F18/1000)</f>
        <v>0.0214285714285714</v>
      </c>
      <c r="AV18" s="23" t="n">
        <f aca="false">AE18/U18</f>
        <v>0.000462264150943396</v>
      </c>
      <c r="AW18" s="23" t="n">
        <f aca="false">(J18*10^9)/(K18*AC18^2)</f>
        <v>298.110264091085</v>
      </c>
      <c r="AX18" s="23" t="n">
        <f aca="false">V18</f>
        <v>0.000148935142173322</v>
      </c>
      <c r="AY18" s="23" t="n">
        <f aca="false">MAX(W18,1)</f>
        <v>1</v>
      </c>
      <c r="AZ18" s="23" t="n">
        <f aca="false">X18</f>
        <v>0.000669</v>
      </c>
      <c r="BA18" s="24" t="n">
        <f aca="false">0.8*AZ18</f>
        <v>0.0005352</v>
      </c>
      <c r="BB18" s="24" t="n">
        <f aca="false">AZ18*1.2</f>
        <v>0.0008028</v>
      </c>
      <c r="BC18" s="0" t="str">
        <f aca="false">Z18</f>
        <v>Vieira 2017</v>
      </c>
    </row>
    <row r="19" customFormat="false" ht="12.8" hidden="false" customHeight="false" outlineLevel="0" collapsed="false">
      <c r="A19" s="1" t="n">
        <v>17</v>
      </c>
      <c r="B19" s="11" t="s">
        <v>48</v>
      </c>
      <c r="C19" s="11" t="s">
        <v>49</v>
      </c>
      <c r="D19" s="11" t="s">
        <v>50</v>
      </c>
      <c r="E19" s="11" t="n">
        <v>90</v>
      </c>
      <c r="F19" s="11" t="n">
        <v>7</v>
      </c>
      <c r="G19" s="11" t="n">
        <v>120</v>
      </c>
      <c r="H19" s="11" t="n">
        <v>12.7</v>
      </c>
      <c r="I19" s="11" t="s">
        <v>51</v>
      </c>
      <c r="J19" s="11" t="n">
        <v>2.274</v>
      </c>
      <c r="K19" s="11" t="n">
        <v>8200</v>
      </c>
      <c r="L19" s="11" t="n">
        <v>30.5</v>
      </c>
      <c r="M19" s="12" t="n">
        <v>1.8E-005</v>
      </c>
      <c r="N19" s="11" t="n">
        <v>1.225</v>
      </c>
      <c r="O19" s="1" t="n">
        <v>0</v>
      </c>
      <c r="P19" s="1" t="n">
        <v>0</v>
      </c>
      <c r="Q19" s="1" t="n">
        <v>0</v>
      </c>
      <c r="R19" s="13" t="n">
        <f aca="false">(N19*L19+O19*Q19)/(L19+O19)</f>
        <v>1.225</v>
      </c>
      <c r="S19" s="14" t="n">
        <f aca="false">(M19*L19+O19*P19*0.1)/(L19+O19)</f>
        <v>1.8E-005</v>
      </c>
      <c r="T19" s="11" t="n">
        <v>150</v>
      </c>
      <c r="U19" s="15" t="n">
        <v>2650</v>
      </c>
      <c r="V19" s="16" t="n">
        <v>7.8759001896656E-005</v>
      </c>
      <c r="W19" s="11" t="n">
        <v>1</v>
      </c>
      <c r="X19" s="17" t="n">
        <v>0.000469</v>
      </c>
      <c r="Z19" s="1" t="s">
        <v>52</v>
      </c>
      <c r="AC19" s="18" t="n">
        <f aca="false">MAX(L19,O19)</f>
        <v>30.5</v>
      </c>
      <c r="AD19" s="17" t="n">
        <f aca="false">MAX(M19,P19*0.1)</f>
        <v>1.8E-005</v>
      </c>
      <c r="AE19" s="1" t="n">
        <f aca="false">MAX(N19,Q19)</f>
        <v>1.225</v>
      </c>
      <c r="AG19" s="16"/>
      <c r="AH19" s="19" t="n">
        <v>17</v>
      </c>
      <c r="AI19" s="20" t="str">
        <f aca="false">B19</f>
        <v>DI</v>
      </c>
      <c r="AJ19" s="20" t="str">
        <f aca="false">C19</f>
        <v>Gas-solid</v>
      </c>
      <c r="AK19" s="20" t="str">
        <f aca="false">D19</f>
        <v>H-V</v>
      </c>
      <c r="AL19" s="21" t="n">
        <f aca="false">E19</f>
        <v>90</v>
      </c>
      <c r="AM19" s="22" t="n">
        <v>1E-006</v>
      </c>
      <c r="AN19" s="23" t="n">
        <f aca="false">MAX(G19/(F19/1000),25000)</f>
        <v>25000</v>
      </c>
      <c r="AO19" s="23" t="n">
        <f aca="false">H19/F19</f>
        <v>1.81428571428571</v>
      </c>
      <c r="AP19" s="23" t="n">
        <f aca="false">AC19/SQRT(9.81*(F19/1000))</f>
        <v>116.390173518329</v>
      </c>
      <c r="AQ19" s="23" t="n">
        <f aca="false">(AE19*AC19*(F19/1000))/AD19</f>
        <v>14529.8611111111</v>
      </c>
      <c r="AR19" s="23" t="n">
        <f aca="false">((T19*0.000001)^3*AE19*(U19-AE19)*9.81)/AD19^2</f>
        <v>331.572826757812</v>
      </c>
      <c r="AS19" s="23" t="n">
        <f aca="false">(U19*((T19/10^6)^2)/(18*AD19))*AC19/(F19/1000)</f>
        <v>801.835317460317</v>
      </c>
      <c r="AT19" s="23" t="n">
        <f aca="false">AE19*(T19/10^6)*AC19/AD19</f>
        <v>311.354166666667</v>
      </c>
      <c r="AU19" s="23" t="n">
        <f aca="false">(T19/10^6)/(F19/1000)</f>
        <v>0.0214285714285714</v>
      </c>
      <c r="AV19" s="23" t="n">
        <f aca="false">AE19/U19</f>
        <v>0.000462264150943396</v>
      </c>
      <c r="AW19" s="23" t="n">
        <f aca="false">(J19*10^9)/(K19*AC19^2)</f>
        <v>298.110264091085</v>
      </c>
      <c r="AX19" s="23" t="n">
        <f aca="false">V19</f>
        <v>7.8759001896656E-005</v>
      </c>
      <c r="AY19" s="23" t="n">
        <f aca="false">MAX(W19,1)</f>
        <v>1</v>
      </c>
      <c r="AZ19" s="23" t="n">
        <f aca="false">X19</f>
        <v>0.000469</v>
      </c>
      <c r="BA19" s="24" t="n">
        <f aca="false">0.8*AZ19</f>
        <v>0.0003752</v>
      </c>
      <c r="BB19" s="24" t="n">
        <f aca="false">AZ19*1.2</f>
        <v>0.0005628</v>
      </c>
      <c r="BC19" s="0" t="str">
        <f aca="false">Z19</f>
        <v>Vieira 2017</v>
      </c>
    </row>
    <row r="20" customFormat="false" ht="12.8" hidden="false" customHeight="false" outlineLevel="0" collapsed="false">
      <c r="A20" s="1" t="n">
        <v>18</v>
      </c>
      <c r="B20" s="11" t="s">
        <v>48</v>
      </c>
      <c r="C20" s="11" t="s">
        <v>49</v>
      </c>
      <c r="D20" s="11" t="s">
        <v>50</v>
      </c>
      <c r="E20" s="11" t="n">
        <v>90</v>
      </c>
      <c r="F20" s="11" t="n">
        <v>7</v>
      </c>
      <c r="G20" s="11" t="n">
        <v>120</v>
      </c>
      <c r="H20" s="11" t="n">
        <v>12.7</v>
      </c>
      <c r="I20" s="11" t="s">
        <v>51</v>
      </c>
      <c r="J20" s="11" t="n">
        <v>2.274</v>
      </c>
      <c r="K20" s="11" t="n">
        <v>8200</v>
      </c>
      <c r="L20" s="11" t="n">
        <v>30.5</v>
      </c>
      <c r="M20" s="12" t="n">
        <v>1.8E-005</v>
      </c>
      <c r="N20" s="11" t="n">
        <v>1.225</v>
      </c>
      <c r="O20" s="1" t="n">
        <v>0</v>
      </c>
      <c r="P20" s="1" t="n">
        <v>0</v>
      </c>
      <c r="Q20" s="1" t="n">
        <v>0</v>
      </c>
      <c r="R20" s="13" t="n">
        <f aca="false">(N20*L20+O20*Q20)/(L20+O20)</f>
        <v>1.225</v>
      </c>
      <c r="S20" s="14" t="n">
        <f aca="false">(M20*L20+O20*P20*0.1)/(L20+O20)</f>
        <v>1.8E-005</v>
      </c>
      <c r="T20" s="11" t="n">
        <v>150</v>
      </c>
      <c r="U20" s="15" t="n">
        <v>2650</v>
      </c>
      <c r="V20" s="16" t="n">
        <v>0.000144649858756746</v>
      </c>
      <c r="W20" s="11" t="n">
        <v>1</v>
      </c>
      <c r="X20" s="17" t="n">
        <v>0.00087</v>
      </c>
      <c r="Z20" s="1" t="s">
        <v>52</v>
      </c>
      <c r="AC20" s="18" t="n">
        <f aca="false">MAX(L20,O20)</f>
        <v>30.5</v>
      </c>
      <c r="AD20" s="17" t="n">
        <f aca="false">MAX(M20,P20*0.1)</f>
        <v>1.8E-005</v>
      </c>
      <c r="AE20" s="1" t="n">
        <f aca="false">MAX(N20,Q20)</f>
        <v>1.225</v>
      </c>
      <c r="AG20" s="16"/>
      <c r="AH20" s="19" t="n">
        <v>18</v>
      </c>
      <c r="AI20" s="20" t="str">
        <f aca="false">B20</f>
        <v>DI</v>
      </c>
      <c r="AJ20" s="20" t="str">
        <f aca="false">C20</f>
        <v>Gas-solid</v>
      </c>
      <c r="AK20" s="20" t="str">
        <f aca="false">D20</f>
        <v>H-V</v>
      </c>
      <c r="AL20" s="21" t="n">
        <f aca="false">E20</f>
        <v>90</v>
      </c>
      <c r="AM20" s="22" t="n">
        <v>1E-006</v>
      </c>
      <c r="AN20" s="23" t="n">
        <f aca="false">MAX(G20/(F20/1000),25000)</f>
        <v>25000</v>
      </c>
      <c r="AO20" s="23" t="n">
        <f aca="false">H20/F20</f>
        <v>1.81428571428571</v>
      </c>
      <c r="AP20" s="23" t="n">
        <f aca="false">AC20/SQRT(9.81*(F20/1000))</f>
        <v>116.390173518329</v>
      </c>
      <c r="AQ20" s="23" t="n">
        <f aca="false">(AE20*AC20*(F20/1000))/AD20</f>
        <v>14529.8611111111</v>
      </c>
      <c r="AR20" s="23" t="n">
        <f aca="false">((T20*0.000001)^3*AE20*(U20-AE20)*9.81)/AD20^2</f>
        <v>331.572826757812</v>
      </c>
      <c r="AS20" s="23" t="n">
        <f aca="false">(U20*((T20/10^6)^2)/(18*AD20))*AC20/(F20/1000)</f>
        <v>801.835317460317</v>
      </c>
      <c r="AT20" s="23" t="n">
        <f aca="false">AE20*(T20/10^6)*AC20/AD20</f>
        <v>311.354166666667</v>
      </c>
      <c r="AU20" s="23" t="n">
        <f aca="false">(T20/10^6)/(F20/1000)</f>
        <v>0.0214285714285714</v>
      </c>
      <c r="AV20" s="23" t="n">
        <f aca="false">AE20/U20</f>
        <v>0.000462264150943396</v>
      </c>
      <c r="AW20" s="23" t="n">
        <f aca="false">(J20*10^9)/(K20*AC20^2)</f>
        <v>298.110264091085</v>
      </c>
      <c r="AX20" s="23" t="n">
        <f aca="false">V20</f>
        <v>0.000144649858756746</v>
      </c>
      <c r="AY20" s="23" t="n">
        <f aca="false">MAX(W20,1)</f>
        <v>1</v>
      </c>
      <c r="AZ20" s="23" t="n">
        <f aca="false">X20</f>
        <v>0.00087</v>
      </c>
      <c r="BA20" s="24" t="n">
        <f aca="false">0.8*AZ20</f>
        <v>0.000696</v>
      </c>
      <c r="BB20" s="24" t="n">
        <f aca="false">AZ20*1.2</f>
        <v>0.001044</v>
      </c>
      <c r="BC20" s="0" t="str">
        <f aca="false">Z20</f>
        <v>Vieira 2017</v>
      </c>
    </row>
    <row r="21" customFormat="false" ht="12.8" hidden="false" customHeight="false" outlineLevel="0" collapsed="false">
      <c r="A21" s="1" t="n">
        <v>19</v>
      </c>
      <c r="B21" s="11" t="s">
        <v>48</v>
      </c>
      <c r="C21" s="11" t="s">
        <v>49</v>
      </c>
      <c r="D21" s="11" t="s">
        <v>50</v>
      </c>
      <c r="E21" s="11" t="n">
        <v>90</v>
      </c>
      <c r="F21" s="11" t="n">
        <v>7</v>
      </c>
      <c r="G21" s="11" t="n">
        <v>120</v>
      </c>
      <c r="H21" s="11" t="n">
        <v>12.7</v>
      </c>
      <c r="I21" s="11" t="s">
        <v>51</v>
      </c>
      <c r="J21" s="11" t="n">
        <v>2.274</v>
      </c>
      <c r="K21" s="11" t="n">
        <v>8200</v>
      </c>
      <c r="L21" s="11" t="n">
        <v>30.5</v>
      </c>
      <c r="M21" s="12" t="n">
        <v>1.8E-005</v>
      </c>
      <c r="N21" s="11" t="n">
        <v>1.225</v>
      </c>
      <c r="O21" s="1" t="n">
        <v>0</v>
      </c>
      <c r="P21" s="1" t="n">
        <v>0</v>
      </c>
      <c r="Q21" s="1" t="n">
        <v>0</v>
      </c>
      <c r="R21" s="13" t="n">
        <f aca="false">(N21*L21+O21*Q21)/(L21+O21)</f>
        <v>1.225</v>
      </c>
      <c r="S21" s="14" t="n">
        <f aca="false">(M21*L21+O21*P21*0.1)/(L21+O21)</f>
        <v>1.8E-005</v>
      </c>
      <c r="T21" s="11" t="n">
        <v>150</v>
      </c>
      <c r="U21" s="15" t="n">
        <v>2650</v>
      </c>
      <c r="V21" s="16" t="n">
        <v>0.000150006457288001</v>
      </c>
      <c r="W21" s="11" t="n">
        <v>1</v>
      </c>
      <c r="X21" s="17" t="n">
        <v>0.000622</v>
      </c>
      <c r="Z21" s="1" t="s">
        <v>52</v>
      </c>
      <c r="AC21" s="18" t="n">
        <f aca="false">MAX(L21,O21)</f>
        <v>30.5</v>
      </c>
      <c r="AD21" s="17" t="n">
        <f aca="false">MAX(M21,P21*0.1)</f>
        <v>1.8E-005</v>
      </c>
      <c r="AE21" s="1" t="n">
        <f aca="false">MAX(N21,Q21)</f>
        <v>1.225</v>
      </c>
      <c r="AG21" s="16"/>
      <c r="AH21" s="19" t="n">
        <v>19</v>
      </c>
      <c r="AI21" s="20" t="str">
        <f aca="false">B21</f>
        <v>DI</v>
      </c>
      <c r="AJ21" s="20" t="str">
        <f aca="false">C21</f>
        <v>Gas-solid</v>
      </c>
      <c r="AK21" s="20" t="str">
        <f aca="false">D21</f>
        <v>H-V</v>
      </c>
      <c r="AL21" s="21" t="n">
        <f aca="false">E21</f>
        <v>90</v>
      </c>
      <c r="AM21" s="22" t="n">
        <v>1E-006</v>
      </c>
      <c r="AN21" s="23" t="n">
        <f aca="false">MAX(G21/(F21/1000),25000)</f>
        <v>25000</v>
      </c>
      <c r="AO21" s="23" t="n">
        <f aca="false">H21/F21</f>
        <v>1.81428571428571</v>
      </c>
      <c r="AP21" s="23" t="n">
        <f aca="false">AC21/SQRT(9.81*(F21/1000))</f>
        <v>116.390173518329</v>
      </c>
      <c r="AQ21" s="23" t="n">
        <f aca="false">(AE21*AC21*(F21/1000))/AD21</f>
        <v>14529.8611111111</v>
      </c>
      <c r="AR21" s="23" t="n">
        <f aca="false">((T21*0.000001)^3*AE21*(U21-AE21)*9.81)/AD21^2</f>
        <v>331.572826757812</v>
      </c>
      <c r="AS21" s="23" t="n">
        <f aca="false">(U21*((T21/10^6)^2)/(18*AD21))*AC21/(F21/1000)</f>
        <v>801.835317460317</v>
      </c>
      <c r="AT21" s="23" t="n">
        <f aca="false">AE21*(T21/10^6)*AC21/AD21</f>
        <v>311.354166666667</v>
      </c>
      <c r="AU21" s="23" t="n">
        <f aca="false">(T21/10^6)/(F21/1000)</f>
        <v>0.0214285714285714</v>
      </c>
      <c r="AV21" s="23" t="n">
        <f aca="false">AE21/U21</f>
        <v>0.000462264150943396</v>
      </c>
      <c r="AW21" s="23" t="n">
        <f aca="false">(J21*10^9)/(K21*AC21^2)</f>
        <v>298.110264091085</v>
      </c>
      <c r="AX21" s="23" t="n">
        <f aca="false">V21</f>
        <v>0.000150006457288001</v>
      </c>
      <c r="AY21" s="23" t="n">
        <f aca="false">MAX(W21,1)</f>
        <v>1</v>
      </c>
      <c r="AZ21" s="23" t="n">
        <f aca="false">X21</f>
        <v>0.000622</v>
      </c>
      <c r="BA21" s="24" t="n">
        <f aca="false">0.8*AZ21</f>
        <v>0.0004976</v>
      </c>
      <c r="BB21" s="24" t="n">
        <f aca="false">AZ21*1.2</f>
        <v>0.0007464</v>
      </c>
      <c r="BC21" s="0" t="str">
        <f aca="false">Z21</f>
        <v>Vieira 2017</v>
      </c>
    </row>
    <row r="22" customFormat="false" ht="12.8" hidden="false" customHeight="false" outlineLevel="0" collapsed="false">
      <c r="A22" s="1" t="n">
        <v>20</v>
      </c>
      <c r="B22" s="11" t="s">
        <v>48</v>
      </c>
      <c r="C22" s="11" t="s">
        <v>49</v>
      </c>
      <c r="D22" s="11" t="s">
        <v>50</v>
      </c>
      <c r="E22" s="11" t="n">
        <v>90</v>
      </c>
      <c r="F22" s="11" t="n">
        <v>7</v>
      </c>
      <c r="G22" s="11" t="n">
        <v>120</v>
      </c>
      <c r="H22" s="11" t="n">
        <v>12.7</v>
      </c>
      <c r="I22" s="11" t="s">
        <v>51</v>
      </c>
      <c r="J22" s="11" t="n">
        <v>2.274</v>
      </c>
      <c r="K22" s="11" t="n">
        <v>8200</v>
      </c>
      <c r="L22" s="11" t="n">
        <v>30.5</v>
      </c>
      <c r="M22" s="12" t="n">
        <v>1.8E-005</v>
      </c>
      <c r="N22" s="11" t="n">
        <v>1.225</v>
      </c>
      <c r="O22" s="1" t="n">
        <v>0</v>
      </c>
      <c r="P22" s="1" t="n">
        <v>0</v>
      </c>
      <c r="Q22" s="1" t="n">
        <v>0</v>
      </c>
      <c r="R22" s="13" t="n">
        <f aca="false">(N22*L22+O22*Q22)/(L22+O22)</f>
        <v>1.225</v>
      </c>
      <c r="S22" s="14" t="n">
        <f aca="false">(M22*L22+O22*P22*0.1)/(L22+O22)</f>
        <v>1.8E-005</v>
      </c>
      <c r="T22" s="11" t="n">
        <v>150</v>
      </c>
      <c r="U22" s="15" t="n">
        <v>2650</v>
      </c>
      <c r="V22" s="16" t="n">
        <v>0.000150006457288001</v>
      </c>
      <c r="W22" s="11" t="n">
        <v>1</v>
      </c>
      <c r="X22" s="17" t="n">
        <v>0.000622</v>
      </c>
      <c r="Z22" s="1" t="s">
        <v>52</v>
      </c>
      <c r="AC22" s="18" t="n">
        <f aca="false">MAX(L22,O22)</f>
        <v>30.5</v>
      </c>
      <c r="AD22" s="17" t="n">
        <f aca="false">MAX(M22,P22*0.1)</f>
        <v>1.8E-005</v>
      </c>
      <c r="AE22" s="1" t="n">
        <f aca="false">MAX(N22,Q22)</f>
        <v>1.225</v>
      </c>
      <c r="AG22" s="16"/>
      <c r="AH22" s="19" t="n">
        <v>20</v>
      </c>
      <c r="AI22" s="20" t="str">
        <f aca="false">B22</f>
        <v>DI</v>
      </c>
      <c r="AJ22" s="20" t="str">
        <f aca="false">C22</f>
        <v>Gas-solid</v>
      </c>
      <c r="AK22" s="20" t="str">
        <f aca="false">D22</f>
        <v>H-V</v>
      </c>
      <c r="AL22" s="21" t="n">
        <f aca="false">E22</f>
        <v>90</v>
      </c>
      <c r="AM22" s="22" t="n">
        <v>1E-006</v>
      </c>
      <c r="AN22" s="23" t="n">
        <f aca="false">MAX(G22/(F22/1000),25000)</f>
        <v>25000</v>
      </c>
      <c r="AO22" s="23" t="n">
        <f aca="false">H22/F22</f>
        <v>1.81428571428571</v>
      </c>
      <c r="AP22" s="23" t="n">
        <f aca="false">AC22/SQRT(9.81*(F22/1000))</f>
        <v>116.390173518329</v>
      </c>
      <c r="AQ22" s="23" t="n">
        <f aca="false">(AE22*AC22*(F22/1000))/AD22</f>
        <v>14529.8611111111</v>
      </c>
      <c r="AR22" s="23" t="n">
        <f aca="false">((T22*0.000001)^3*AE22*(U22-AE22)*9.81)/AD22^2</f>
        <v>331.572826757812</v>
      </c>
      <c r="AS22" s="23" t="n">
        <f aca="false">(U22*((T22/10^6)^2)/(18*AD22))*AC22/(F22/1000)</f>
        <v>801.835317460317</v>
      </c>
      <c r="AT22" s="23" t="n">
        <f aca="false">AE22*(T22/10^6)*AC22/AD22</f>
        <v>311.354166666667</v>
      </c>
      <c r="AU22" s="23" t="n">
        <f aca="false">(T22/10^6)/(F22/1000)</f>
        <v>0.0214285714285714</v>
      </c>
      <c r="AV22" s="23" t="n">
        <f aca="false">AE22/U22</f>
        <v>0.000462264150943396</v>
      </c>
      <c r="AW22" s="23" t="n">
        <f aca="false">(J22*10^9)/(K22*AC22^2)</f>
        <v>298.110264091085</v>
      </c>
      <c r="AX22" s="23" t="n">
        <f aca="false">V22</f>
        <v>0.000150006457288001</v>
      </c>
      <c r="AY22" s="23" t="n">
        <f aca="false">MAX(W22,1)</f>
        <v>1</v>
      </c>
      <c r="AZ22" s="23" t="n">
        <f aca="false">X22</f>
        <v>0.000622</v>
      </c>
      <c r="BA22" s="24" t="n">
        <f aca="false">0.8*AZ22</f>
        <v>0.0004976</v>
      </c>
      <c r="BB22" s="24" t="n">
        <f aca="false">AZ22*1.2</f>
        <v>0.0007464</v>
      </c>
      <c r="BC22" s="0" t="str">
        <f aca="false">Z22</f>
        <v>Vieira 2017</v>
      </c>
    </row>
    <row r="23" customFormat="false" ht="12.8" hidden="false" customHeight="false" outlineLevel="0" collapsed="false">
      <c r="A23" s="1" t="n">
        <v>21</v>
      </c>
      <c r="B23" s="11" t="s">
        <v>48</v>
      </c>
      <c r="C23" s="11" t="s">
        <v>49</v>
      </c>
      <c r="D23" s="11" t="s">
        <v>50</v>
      </c>
      <c r="E23" s="11" t="n">
        <v>90</v>
      </c>
      <c r="F23" s="11" t="n">
        <v>7</v>
      </c>
      <c r="G23" s="11" t="n">
        <v>120</v>
      </c>
      <c r="H23" s="11" t="n">
        <v>12.7</v>
      </c>
      <c r="I23" s="11" t="s">
        <v>51</v>
      </c>
      <c r="J23" s="11" t="n">
        <v>2.274</v>
      </c>
      <c r="K23" s="11" t="n">
        <v>8200</v>
      </c>
      <c r="L23" s="11" t="n">
        <v>30.5</v>
      </c>
      <c r="M23" s="12" t="n">
        <v>1.8E-005</v>
      </c>
      <c r="N23" s="11" t="n">
        <v>1.225</v>
      </c>
      <c r="O23" s="1" t="n">
        <v>0</v>
      </c>
      <c r="P23" s="1" t="n">
        <v>0</v>
      </c>
      <c r="Q23" s="1" t="n">
        <v>0</v>
      </c>
      <c r="R23" s="13" t="n">
        <f aca="false">(N23*L23+O23*Q23)/(L23+O23)</f>
        <v>1.225</v>
      </c>
      <c r="S23" s="14" t="n">
        <f aca="false">(M23*L23+O23*P23*0.1)/(L23+O23)</f>
        <v>1.8E-005</v>
      </c>
      <c r="T23" s="11" t="n">
        <v>150</v>
      </c>
      <c r="U23" s="15" t="n">
        <v>2650</v>
      </c>
      <c r="V23" s="16" t="n">
        <v>0.000123222890670373</v>
      </c>
      <c r="W23" s="11" t="n">
        <v>1</v>
      </c>
      <c r="X23" s="17" t="n">
        <v>0.000478</v>
      </c>
      <c r="Z23" s="1" t="s">
        <v>52</v>
      </c>
      <c r="AC23" s="18" t="n">
        <f aca="false">MAX(L23,O23)</f>
        <v>30.5</v>
      </c>
      <c r="AD23" s="17" t="n">
        <f aca="false">MAX(M23,P23*0.1)</f>
        <v>1.8E-005</v>
      </c>
      <c r="AE23" s="1" t="n">
        <f aca="false">MAX(N23,Q23)</f>
        <v>1.225</v>
      </c>
      <c r="AG23" s="16"/>
      <c r="AH23" s="19" t="n">
        <v>21</v>
      </c>
      <c r="AI23" s="20" t="str">
        <f aca="false">B23</f>
        <v>DI</v>
      </c>
      <c r="AJ23" s="20" t="str">
        <f aca="false">C23</f>
        <v>Gas-solid</v>
      </c>
      <c r="AK23" s="20" t="str">
        <f aca="false">D23</f>
        <v>H-V</v>
      </c>
      <c r="AL23" s="21" t="n">
        <f aca="false">E23</f>
        <v>90</v>
      </c>
      <c r="AM23" s="22" t="n">
        <v>1E-006</v>
      </c>
      <c r="AN23" s="23" t="n">
        <f aca="false">MAX(G23/(F23/1000),25000)</f>
        <v>25000</v>
      </c>
      <c r="AO23" s="23" t="n">
        <f aca="false">H23/F23</f>
        <v>1.81428571428571</v>
      </c>
      <c r="AP23" s="23" t="n">
        <f aca="false">AC23/SQRT(9.81*(F23/1000))</f>
        <v>116.390173518329</v>
      </c>
      <c r="AQ23" s="23" t="n">
        <f aca="false">(AE23*AC23*(F23/1000))/AD23</f>
        <v>14529.8611111111</v>
      </c>
      <c r="AR23" s="23" t="n">
        <f aca="false">((T23*0.000001)^3*AE23*(U23-AE23)*9.81)/AD23^2</f>
        <v>331.572826757812</v>
      </c>
      <c r="AS23" s="23" t="n">
        <f aca="false">(U23*((T23/10^6)^2)/(18*AD23))*AC23/(F23/1000)</f>
        <v>801.835317460317</v>
      </c>
      <c r="AT23" s="23" t="n">
        <f aca="false">AE23*(T23/10^6)*AC23/AD23</f>
        <v>311.354166666667</v>
      </c>
      <c r="AU23" s="23" t="n">
        <f aca="false">(T23/10^6)/(F23/1000)</f>
        <v>0.0214285714285714</v>
      </c>
      <c r="AV23" s="23" t="n">
        <f aca="false">AE23/U23</f>
        <v>0.000462264150943396</v>
      </c>
      <c r="AW23" s="23" t="n">
        <f aca="false">(J23*10^9)/(K23*AC23^2)</f>
        <v>298.110264091085</v>
      </c>
      <c r="AX23" s="23" t="n">
        <f aca="false">V23</f>
        <v>0.000123222890670373</v>
      </c>
      <c r="AY23" s="23" t="n">
        <f aca="false">MAX(W23,1)</f>
        <v>1</v>
      </c>
      <c r="AZ23" s="23" t="n">
        <f aca="false">X23</f>
        <v>0.000478</v>
      </c>
      <c r="BA23" s="24" t="n">
        <f aca="false">0.8*AZ23</f>
        <v>0.0003824</v>
      </c>
      <c r="BB23" s="24" t="n">
        <f aca="false">AZ23*1.2</f>
        <v>0.0005736</v>
      </c>
      <c r="BC23" s="0" t="str">
        <f aca="false">Z23</f>
        <v>Vieira 2017</v>
      </c>
    </row>
    <row r="24" customFormat="false" ht="12.8" hidden="false" customHeight="false" outlineLevel="0" collapsed="false">
      <c r="A24" s="1" t="n">
        <v>1</v>
      </c>
      <c r="B24" s="1" t="s">
        <v>48</v>
      </c>
      <c r="C24" s="1" t="s">
        <v>53</v>
      </c>
      <c r="D24" s="1" t="s">
        <v>54</v>
      </c>
      <c r="E24" s="11" t="n">
        <v>90</v>
      </c>
      <c r="F24" s="11" t="n">
        <v>6.4</v>
      </c>
      <c r="G24" s="26" t="n">
        <v>50</v>
      </c>
      <c r="H24" s="11" t="n">
        <f aca="false">3*F24</f>
        <v>19.2</v>
      </c>
      <c r="I24" s="27" t="s">
        <v>55</v>
      </c>
      <c r="J24" s="26" t="n">
        <f aca="false">((8+15)/2)/100</f>
        <v>0.115</v>
      </c>
      <c r="K24" s="28" t="n">
        <f aca="false">(886+1050)/2</f>
        <v>968</v>
      </c>
      <c r="L24" s="1" t="n">
        <v>0</v>
      </c>
      <c r="M24" s="1" t="n">
        <v>0</v>
      </c>
      <c r="N24" s="1" t="n">
        <v>0</v>
      </c>
      <c r="O24" s="11" t="n">
        <v>30</v>
      </c>
      <c r="P24" s="1" t="n">
        <v>1</v>
      </c>
      <c r="Q24" s="11" t="n">
        <v>1000</v>
      </c>
      <c r="R24" s="13" t="n">
        <f aca="false">(N24*L24+O24*Q24)/(L24+O24)</f>
        <v>1000</v>
      </c>
      <c r="S24" s="14" t="n">
        <f aca="false">(M24*L24+O24*P24*0.1)/(L24+O24)</f>
        <v>0.1</v>
      </c>
      <c r="T24" s="11" t="n">
        <v>150</v>
      </c>
      <c r="U24" s="28" t="n">
        <v>2500</v>
      </c>
      <c r="V24" s="16" t="n">
        <v>0.0340030911901082</v>
      </c>
      <c r="W24" s="11" t="n">
        <v>1</v>
      </c>
      <c r="X24" s="17" t="n">
        <v>0.0288091822094691</v>
      </c>
      <c r="Z24" s="29" t="s">
        <v>56</v>
      </c>
      <c r="AC24" s="18" t="n">
        <f aca="false">MAX(L24,O24)</f>
        <v>30</v>
      </c>
      <c r="AD24" s="17" t="n">
        <f aca="false">MAX(M24,P24*0.1)</f>
        <v>0.1</v>
      </c>
      <c r="AE24" s="1" t="n">
        <f aca="false">MAX(N24,Q24)</f>
        <v>1000</v>
      </c>
      <c r="AG24" s="16"/>
      <c r="AH24" s="19" t="n">
        <v>22</v>
      </c>
      <c r="AI24" s="20" t="str">
        <f aca="false">B24</f>
        <v>DI</v>
      </c>
      <c r="AJ24" s="20" t="str">
        <f aca="false">C24</f>
        <v>Liquid-Solid</v>
      </c>
      <c r="AK24" s="20" t="str">
        <f aca="false">D24</f>
        <v>V-H</v>
      </c>
      <c r="AL24" s="21" t="n">
        <f aca="false">E24</f>
        <v>90</v>
      </c>
      <c r="AM24" s="22" t="n">
        <v>1E-006</v>
      </c>
      <c r="AN24" s="23" t="n">
        <f aca="false">MAX(G24/(F24/1000),25000)</f>
        <v>25000</v>
      </c>
      <c r="AO24" s="23" t="n">
        <f aca="false">H24/F24</f>
        <v>3</v>
      </c>
      <c r="AP24" s="23" t="n">
        <f aca="false">AC24/SQRT(9.81*(F24/1000))</f>
        <v>119.728285652644</v>
      </c>
      <c r="AQ24" s="23" t="n">
        <f aca="false">(AE24*AC24*(F24/1000))/AD24</f>
        <v>1920</v>
      </c>
      <c r="AR24" s="23" t="n">
        <f aca="false">((T24*0.000001)^3*AE24*(U24-AE24)*9.81)/AD24^2</f>
        <v>0.0049663125</v>
      </c>
      <c r="AS24" s="23" t="n">
        <f aca="false">(U24*((T24/10^6)^2)/(18*AD24))*AC24/(F24/1000)</f>
        <v>0.146484375</v>
      </c>
      <c r="AT24" s="23" t="n">
        <f aca="false">AE24*(T24/10^6)*AC24/AD24</f>
        <v>45</v>
      </c>
      <c r="AU24" s="23" t="n">
        <f aca="false">(T24/10^6)/(F24/1000)</f>
        <v>0.0234375</v>
      </c>
      <c r="AV24" s="23" t="n">
        <f aca="false">AE24/U24</f>
        <v>0.4</v>
      </c>
      <c r="AW24" s="23" t="n">
        <f aca="false">(J24*10^9)/(K24*AC24^2)</f>
        <v>132.001836547291</v>
      </c>
      <c r="AX24" s="23" t="n">
        <f aca="false">V24</f>
        <v>0.0340030911901082</v>
      </c>
      <c r="AY24" s="23" t="n">
        <f aca="false">MAX(W24,1)</f>
        <v>1</v>
      </c>
      <c r="AZ24" s="23" t="n">
        <f aca="false">X24</f>
        <v>0.0288091822094691</v>
      </c>
      <c r="BA24" s="24" t="n">
        <f aca="false">0.8*AZ24</f>
        <v>0.0230473457675753</v>
      </c>
      <c r="BB24" s="24" t="n">
        <f aca="false">AZ24*1.2</f>
        <v>0.0345710186513629</v>
      </c>
      <c r="BC24" s="0" t="str">
        <f aca="false">Z24</f>
        <v>https://www.sciencedirect.com/science/article/pii/S0043164815003749</v>
      </c>
    </row>
    <row r="25" customFormat="false" ht="12.8" hidden="false" customHeight="false" outlineLevel="0" collapsed="false">
      <c r="A25" s="1" t="n">
        <v>2</v>
      </c>
      <c r="B25" s="1" t="s">
        <v>48</v>
      </c>
      <c r="C25" s="1" t="s">
        <v>53</v>
      </c>
      <c r="D25" s="1" t="s">
        <v>54</v>
      </c>
      <c r="E25" s="11" t="n">
        <v>90</v>
      </c>
      <c r="F25" s="11" t="n">
        <v>6.4</v>
      </c>
      <c r="G25" s="26" t="n">
        <v>50</v>
      </c>
      <c r="H25" s="11" t="n">
        <f aca="false">3*F25</f>
        <v>19.2</v>
      </c>
      <c r="I25" s="27" t="s">
        <v>55</v>
      </c>
      <c r="J25" s="26" t="n">
        <f aca="false">((8+15)/2)/100</f>
        <v>0.115</v>
      </c>
      <c r="K25" s="28" t="n">
        <f aca="false">(886+1050)/2</f>
        <v>968</v>
      </c>
      <c r="L25" s="1" t="n">
        <v>0</v>
      </c>
      <c r="M25" s="1" t="n">
        <v>0</v>
      </c>
      <c r="N25" s="1" t="n">
        <v>0</v>
      </c>
      <c r="O25" s="11" t="n">
        <v>30</v>
      </c>
      <c r="P25" s="1" t="n">
        <v>1</v>
      </c>
      <c r="Q25" s="11" t="n">
        <v>1000</v>
      </c>
      <c r="R25" s="13" t="n">
        <f aca="false">(N25*L25+O25*Q25)/(L25+O25)</f>
        <v>1000</v>
      </c>
      <c r="S25" s="14" t="n">
        <f aca="false">(M25*L25+O25*P25*0.1)/(L25+O25)</f>
        <v>0.1</v>
      </c>
      <c r="T25" s="11" t="n">
        <v>150</v>
      </c>
      <c r="U25" s="28" t="n">
        <v>2500</v>
      </c>
      <c r="V25" s="16" t="n">
        <v>0.0340030911901082</v>
      </c>
      <c r="W25" s="11" t="n">
        <v>1</v>
      </c>
      <c r="X25" s="17" t="n">
        <v>0.0216183963269339</v>
      </c>
      <c r="Z25" s="29" t="s">
        <v>56</v>
      </c>
      <c r="AC25" s="18" t="n">
        <f aca="false">MAX(L25,O25)</f>
        <v>30</v>
      </c>
      <c r="AD25" s="17" t="n">
        <f aca="false">MAX(M25,P25*0.1)</f>
        <v>0.1</v>
      </c>
      <c r="AE25" s="1" t="n">
        <f aca="false">MAX(N25,Q25)</f>
        <v>1000</v>
      </c>
      <c r="AG25" s="16"/>
      <c r="AH25" s="19" t="n">
        <v>23</v>
      </c>
      <c r="AI25" s="20" t="str">
        <f aca="false">B25</f>
        <v>DI</v>
      </c>
      <c r="AJ25" s="20" t="str">
        <f aca="false">C25</f>
        <v>Liquid-Solid</v>
      </c>
      <c r="AK25" s="20" t="str">
        <f aca="false">D25</f>
        <v>V-H</v>
      </c>
      <c r="AL25" s="21" t="n">
        <f aca="false">E25</f>
        <v>90</v>
      </c>
      <c r="AM25" s="22" t="n">
        <v>1E-006</v>
      </c>
      <c r="AN25" s="23" t="n">
        <f aca="false">MAX(G25/(F25/1000),25000)</f>
        <v>25000</v>
      </c>
      <c r="AO25" s="23" t="n">
        <f aca="false">H25/F25</f>
        <v>3</v>
      </c>
      <c r="AP25" s="23" t="n">
        <f aca="false">AC25/SQRT(9.81*(F25/1000))</f>
        <v>119.728285652644</v>
      </c>
      <c r="AQ25" s="23" t="n">
        <f aca="false">(AE25*AC25*(F25/1000))/AD25</f>
        <v>1920</v>
      </c>
      <c r="AR25" s="23" t="n">
        <f aca="false">((T25*0.000001)^3*AE25*(U25-AE25)*9.81)/AD25^2</f>
        <v>0.0049663125</v>
      </c>
      <c r="AS25" s="23" t="n">
        <f aca="false">(U25*((T25/10^6)^2)/(18*AD25))*AC25/(F25/1000)</f>
        <v>0.146484375</v>
      </c>
      <c r="AT25" s="23" t="n">
        <f aca="false">AE25*(T25/10^6)*AC25/AD25</f>
        <v>45</v>
      </c>
      <c r="AU25" s="23" t="n">
        <f aca="false">(T25/10^6)/(F25/1000)</f>
        <v>0.0234375</v>
      </c>
      <c r="AV25" s="23" t="n">
        <f aca="false">AE25/U25</f>
        <v>0.4</v>
      </c>
      <c r="AW25" s="23" t="n">
        <f aca="false">(J25*10^9)/(K25*AC25^2)</f>
        <v>132.001836547291</v>
      </c>
      <c r="AX25" s="23" t="n">
        <f aca="false">V25</f>
        <v>0.0340030911901082</v>
      </c>
      <c r="AY25" s="23" t="n">
        <f aca="false">MAX(W25,1)</f>
        <v>1</v>
      </c>
      <c r="AZ25" s="23" t="n">
        <f aca="false">X25</f>
        <v>0.0216183963269339</v>
      </c>
      <c r="BA25" s="24" t="n">
        <f aca="false">0.8*AZ25</f>
        <v>0.0172947170615471</v>
      </c>
      <c r="BB25" s="24" t="n">
        <f aca="false">AZ25*1.2</f>
        <v>0.0259420755923207</v>
      </c>
      <c r="BC25" s="0" t="str">
        <f aca="false">Z25</f>
        <v>https://www.sciencedirect.com/science/article/pii/S0043164815003749</v>
      </c>
    </row>
    <row r="26" customFormat="false" ht="12.8" hidden="false" customHeight="false" outlineLevel="0" collapsed="false">
      <c r="A26" s="1" t="n">
        <v>3</v>
      </c>
      <c r="B26" s="1" t="s">
        <v>48</v>
      </c>
      <c r="C26" s="1" t="s">
        <v>53</v>
      </c>
      <c r="D26" s="1" t="s">
        <v>54</v>
      </c>
      <c r="E26" s="11" t="n">
        <v>90</v>
      </c>
      <c r="F26" s="11" t="n">
        <v>6.4</v>
      </c>
      <c r="G26" s="26" t="n">
        <v>50</v>
      </c>
      <c r="H26" s="11" t="n">
        <f aca="false">3*F26</f>
        <v>19.2</v>
      </c>
      <c r="I26" s="27" t="s">
        <v>55</v>
      </c>
      <c r="J26" s="26" t="n">
        <f aca="false">((8+15)/2)/100</f>
        <v>0.115</v>
      </c>
      <c r="K26" s="28" t="n">
        <f aca="false">(886+1050)/2</f>
        <v>968</v>
      </c>
      <c r="L26" s="1" t="n">
        <v>0</v>
      </c>
      <c r="M26" s="1" t="n">
        <v>0</v>
      </c>
      <c r="N26" s="1" t="n">
        <v>0</v>
      </c>
      <c r="O26" s="11" t="n">
        <v>30</v>
      </c>
      <c r="P26" s="1" t="n">
        <v>1</v>
      </c>
      <c r="Q26" s="11" t="n">
        <v>1000</v>
      </c>
      <c r="R26" s="13" t="n">
        <f aca="false">(N26*L26+O26*Q26)/(L26+O26)</f>
        <v>1000</v>
      </c>
      <c r="S26" s="14" t="n">
        <f aca="false">(M26*L26+O26*P26*0.1)/(L26+O26)</f>
        <v>0.1</v>
      </c>
      <c r="T26" s="11" t="n">
        <v>150</v>
      </c>
      <c r="U26" s="28" t="n">
        <v>2500</v>
      </c>
      <c r="V26" s="16" t="n">
        <v>0.0340030911901082</v>
      </c>
      <c r="W26" s="11" t="n">
        <v>1</v>
      </c>
      <c r="X26" s="17" t="n">
        <v>0.0177983645092445</v>
      </c>
      <c r="Z26" s="29" t="s">
        <v>56</v>
      </c>
      <c r="AC26" s="18" t="n">
        <f aca="false">MAX(L26,O26)</f>
        <v>30</v>
      </c>
      <c r="AD26" s="17" t="n">
        <f aca="false">MAX(M26,P26*0.1)</f>
        <v>0.1</v>
      </c>
      <c r="AE26" s="1" t="n">
        <f aca="false">MAX(N26,Q26)</f>
        <v>1000</v>
      </c>
      <c r="AG26" s="16"/>
      <c r="AH26" s="19" t="n">
        <v>24</v>
      </c>
      <c r="AI26" s="20" t="str">
        <f aca="false">B26</f>
        <v>DI</v>
      </c>
      <c r="AJ26" s="20" t="str">
        <f aca="false">C26</f>
        <v>Liquid-Solid</v>
      </c>
      <c r="AK26" s="20" t="str">
        <f aca="false">D26</f>
        <v>V-H</v>
      </c>
      <c r="AL26" s="21" t="n">
        <f aca="false">E26</f>
        <v>90</v>
      </c>
      <c r="AM26" s="22" t="n">
        <v>1E-006</v>
      </c>
      <c r="AN26" s="23" t="n">
        <f aca="false">MAX(G26/(F26/1000),25000)</f>
        <v>25000</v>
      </c>
      <c r="AO26" s="23" t="n">
        <f aca="false">H26/F26</f>
        <v>3</v>
      </c>
      <c r="AP26" s="23" t="n">
        <f aca="false">AC26/SQRT(9.81*(F26/1000))</f>
        <v>119.728285652644</v>
      </c>
      <c r="AQ26" s="23" t="n">
        <f aca="false">(AE26*AC26*(F26/1000))/AD26</f>
        <v>1920</v>
      </c>
      <c r="AR26" s="23" t="n">
        <f aca="false">((T26*0.000001)^3*AE26*(U26-AE26)*9.81)/AD26^2</f>
        <v>0.0049663125</v>
      </c>
      <c r="AS26" s="23" t="n">
        <f aca="false">(U26*((T26/10^6)^2)/(18*AD26))*AC26/(F26/1000)</f>
        <v>0.146484375</v>
      </c>
      <c r="AT26" s="23" t="n">
        <f aca="false">AE26*(T26/10^6)*AC26/AD26</f>
        <v>45</v>
      </c>
      <c r="AU26" s="23" t="n">
        <f aca="false">(T26/10^6)/(F26/1000)</f>
        <v>0.0234375</v>
      </c>
      <c r="AV26" s="23" t="n">
        <f aca="false">AE26/U26</f>
        <v>0.4</v>
      </c>
      <c r="AW26" s="23" t="n">
        <f aca="false">(J26*10^9)/(K26*AC26^2)</f>
        <v>132.001836547291</v>
      </c>
      <c r="AX26" s="23" t="n">
        <f aca="false">V26</f>
        <v>0.0340030911901082</v>
      </c>
      <c r="AY26" s="23" t="n">
        <f aca="false">MAX(W26,1)</f>
        <v>1</v>
      </c>
      <c r="AZ26" s="23" t="n">
        <f aca="false">X26</f>
        <v>0.0177983645092445</v>
      </c>
      <c r="BA26" s="24" t="n">
        <f aca="false">0.8*AZ26</f>
        <v>0.0142386916073956</v>
      </c>
      <c r="BB26" s="24" t="n">
        <f aca="false">AZ26*1.2</f>
        <v>0.0213580374110934</v>
      </c>
      <c r="BC26" s="0" t="str">
        <f aca="false">Z26</f>
        <v>https://www.sciencedirect.com/science/article/pii/S0043164815003749</v>
      </c>
    </row>
    <row r="27" customFormat="false" ht="12.8" hidden="false" customHeight="false" outlineLevel="0" collapsed="false">
      <c r="A27" s="1" t="n">
        <v>4</v>
      </c>
      <c r="B27" s="1" t="s">
        <v>48</v>
      </c>
      <c r="C27" s="1" t="s">
        <v>53</v>
      </c>
      <c r="D27" s="1" t="s">
        <v>54</v>
      </c>
      <c r="E27" s="11" t="n">
        <v>90</v>
      </c>
      <c r="F27" s="11" t="n">
        <v>6.4</v>
      </c>
      <c r="G27" s="26" t="n">
        <v>50</v>
      </c>
      <c r="H27" s="11" t="n">
        <f aca="false">3*F27</f>
        <v>19.2</v>
      </c>
      <c r="I27" s="27" t="s">
        <v>55</v>
      </c>
      <c r="J27" s="26" t="n">
        <f aca="false">((8+15)/2)/100</f>
        <v>0.115</v>
      </c>
      <c r="K27" s="28" t="n">
        <f aca="false">(886+1050)/2</f>
        <v>968</v>
      </c>
      <c r="L27" s="1" t="n">
        <v>0</v>
      </c>
      <c r="M27" s="1" t="n">
        <v>0</v>
      </c>
      <c r="N27" s="1" t="n">
        <v>0</v>
      </c>
      <c r="O27" s="11" t="n">
        <v>30</v>
      </c>
      <c r="P27" s="1" t="n">
        <v>1</v>
      </c>
      <c r="Q27" s="11" t="n">
        <v>1000</v>
      </c>
      <c r="R27" s="13" t="n">
        <f aca="false">(N27*L27+O27*Q27)/(L27+O27)</f>
        <v>1000</v>
      </c>
      <c r="S27" s="14" t="n">
        <f aca="false">(M27*L27+O27*P27*0.1)/(L27+O27)</f>
        <v>0.1</v>
      </c>
      <c r="T27" s="11" t="n">
        <v>150</v>
      </c>
      <c r="U27" s="28" t="n">
        <v>2500</v>
      </c>
      <c r="V27" s="16" t="n">
        <v>0.0340030911901082</v>
      </c>
      <c r="W27" s="11" t="n">
        <v>1</v>
      </c>
      <c r="X27" s="17" t="n">
        <v>0.017098602856947</v>
      </c>
      <c r="Z27" s="29" t="s">
        <v>56</v>
      </c>
      <c r="AC27" s="18" t="n">
        <f aca="false">MAX(L27,O27)</f>
        <v>30</v>
      </c>
      <c r="AD27" s="17" t="n">
        <f aca="false">MAX(M27,P27*0.1)</f>
        <v>0.1</v>
      </c>
      <c r="AE27" s="1" t="n">
        <f aca="false">MAX(N27,Q27)</f>
        <v>1000</v>
      </c>
      <c r="AG27" s="16"/>
      <c r="AH27" s="19" t="n">
        <v>25</v>
      </c>
      <c r="AI27" s="20" t="str">
        <f aca="false">B27</f>
        <v>DI</v>
      </c>
      <c r="AJ27" s="20" t="str">
        <f aca="false">C27</f>
        <v>Liquid-Solid</v>
      </c>
      <c r="AK27" s="20" t="str">
        <f aca="false">D27</f>
        <v>V-H</v>
      </c>
      <c r="AL27" s="21" t="n">
        <f aca="false">E27</f>
        <v>90</v>
      </c>
      <c r="AM27" s="22" t="n">
        <v>1E-006</v>
      </c>
      <c r="AN27" s="23" t="n">
        <f aca="false">MAX(G27/(F27/1000),25000)</f>
        <v>25000</v>
      </c>
      <c r="AO27" s="23" t="n">
        <f aca="false">H27/F27</f>
        <v>3</v>
      </c>
      <c r="AP27" s="23" t="n">
        <f aca="false">AC27/SQRT(9.81*(F27/1000))</f>
        <v>119.728285652644</v>
      </c>
      <c r="AQ27" s="23" t="n">
        <f aca="false">(AE27*AC27*(F27/1000))/AD27</f>
        <v>1920</v>
      </c>
      <c r="AR27" s="23" t="n">
        <f aca="false">((T27*0.000001)^3*AE27*(U27-AE27)*9.81)/AD27^2</f>
        <v>0.0049663125</v>
      </c>
      <c r="AS27" s="23" t="n">
        <f aca="false">(U27*((T27/10^6)^2)/(18*AD27))*AC27/(F27/1000)</f>
        <v>0.146484375</v>
      </c>
      <c r="AT27" s="23" t="n">
        <f aca="false">AE27*(T27/10^6)*AC27/AD27</f>
        <v>45</v>
      </c>
      <c r="AU27" s="23" t="n">
        <f aca="false">(T27/10^6)/(F27/1000)</f>
        <v>0.0234375</v>
      </c>
      <c r="AV27" s="23" t="n">
        <f aca="false">AE27/U27</f>
        <v>0.4</v>
      </c>
      <c r="AW27" s="23" t="n">
        <f aca="false">(J27*10^9)/(K27*AC27^2)</f>
        <v>132.001836547291</v>
      </c>
      <c r="AX27" s="23" t="n">
        <f aca="false">V27</f>
        <v>0.0340030911901082</v>
      </c>
      <c r="AY27" s="23" t="n">
        <f aca="false">MAX(W27,1)</f>
        <v>1</v>
      </c>
      <c r="AZ27" s="23" t="n">
        <f aca="false">X27</f>
        <v>0.017098602856947</v>
      </c>
      <c r="BA27" s="24" t="n">
        <f aca="false">0.8*AZ27</f>
        <v>0.0136788822855576</v>
      </c>
      <c r="BB27" s="24" t="n">
        <f aca="false">AZ27*1.2</f>
        <v>0.0205183234283364</v>
      </c>
      <c r="BC27" s="0" t="str">
        <f aca="false">Z27</f>
        <v>https://www.sciencedirect.com/science/article/pii/S0043164815003749</v>
      </c>
    </row>
    <row r="28" customFormat="false" ht="12.8" hidden="false" customHeight="false" outlineLevel="0" collapsed="false">
      <c r="A28" s="1" t="n">
        <v>5</v>
      </c>
      <c r="B28" s="1" t="s">
        <v>48</v>
      </c>
      <c r="C28" s="1" t="s">
        <v>53</v>
      </c>
      <c r="D28" s="1" t="s">
        <v>54</v>
      </c>
      <c r="E28" s="11" t="n">
        <v>90</v>
      </c>
      <c r="F28" s="11" t="n">
        <v>6.4</v>
      </c>
      <c r="G28" s="26" t="n">
        <v>50</v>
      </c>
      <c r="H28" s="11" t="n">
        <f aca="false">3*F28</f>
        <v>19.2</v>
      </c>
      <c r="I28" s="27" t="s">
        <v>55</v>
      </c>
      <c r="J28" s="26" t="n">
        <f aca="false">((8+15)/2)/100</f>
        <v>0.115</v>
      </c>
      <c r="K28" s="28" t="n">
        <f aca="false">(886+1050)/2</f>
        <v>968</v>
      </c>
      <c r="L28" s="1" t="n">
        <v>0</v>
      </c>
      <c r="M28" s="1" t="n">
        <v>0</v>
      </c>
      <c r="N28" s="1" t="n">
        <v>0</v>
      </c>
      <c r="O28" s="11" t="n">
        <v>30</v>
      </c>
      <c r="P28" s="1" t="n">
        <v>1</v>
      </c>
      <c r="Q28" s="11" t="n">
        <v>1000</v>
      </c>
      <c r="R28" s="13" t="n">
        <f aca="false">(N28*L28+O28*Q28)/(L28+O28)</f>
        <v>1000</v>
      </c>
      <c r="S28" s="14" t="n">
        <f aca="false">(M28*L28+O28*P28*0.1)/(L28+O28)</f>
        <v>0.1</v>
      </c>
      <c r="T28" s="11" t="n">
        <v>150</v>
      </c>
      <c r="U28" s="28" t="n">
        <v>2500</v>
      </c>
      <c r="V28" s="16" t="n">
        <v>0.0340030911901082</v>
      </c>
      <c r="W28" s="11" t="n">
        <v>1</v>
      </c>
      <c r="X28" s="17" t="n">
        <v>0.0162434926922445</v>
      </c>
      <c r="Z28" s="29" t="s">
        <v>56</v>
      </c>
      <c r="AC28" s="18" t="n">
        <f aca="false">MAX(L28,O28)</f>
        <v>30</v>
      </c>
      <c r="AD28" s="17" t="n">
        <f aca="false">MAX(M28,P28*0.1)</f>
        <v>0.1</v>
      </c>
      <c r="AE28" s="1" t="n">
        <f aca="false">MAX(N28,Q28)</f>
        <v>1000</v>
      </c>
      <c r="AG28" s="16"/>
      <c r="AH28" s="19" t="n">
        <v>26</v>
      </c>
      <c r="AI28" s="20" t="str">
        <f aca="false">B28</f>
        <v>DI</v>
      </c>
      <c r="AJ28" s="20" t="str">
        <f aca="false">C28</f>
        <v>Liquid-Solid</v>
      </c>
      <c r="AK28" s="20" t="str">
        <f aca="false">D28</f>
        <v>V-H</v>
      </c>
      <c r="AL28" s="21" t="n">
        <f aca="false">E28</f>
        <v>90</v>
      </c>
      <c r="AM28" s="22" t="n">
        <v>1E-006</v>
      </c>
      <c r="AN28" s="23" t="n">
        <f aca="false">MAX(G28/(F28/1000),25000)</f>
        <v>25000</v>
      </c>
      <c r="AO28" s="23" t="n">
        <f aca="false">H28/F28</f>
        <v>3</v>
      </c>
      <c r="AP28" s="23" t="n">
        <f aca="false">AC28/SQRT(9.81*(F28/1000))</f>
        <v>119.728285652644</v>
      </c>
      <c r="AQ28" s="23" t="n">
        <f aca="false">(AE28*AC28*(F28/1000))/AD28</f>
        <v>1920</v>
      </c>
      <c r="AR28" s="23" t="n">
        <f aca="false">((T28*0.000001)^3*AE28*(U28-AE28)*9.81)/AD28^2</f>
        <v>0.0049663125</v>
      </c>
      <c r="AS28" s="23" t="n">
        <f aca="false">(U28*((T28/10^6)^2)/(18*AD28))*AC28/(F28/1000)</f>
        <v>0.146484375</v>
      </c>
      <c r="AT28" s="23" t="n">
        <f aca="false">AE28*(T28/10^6)*AC28/AD28</f>
        <v>45</v>
      </c>
      <c r="AU28" s="23" t="n">
        <f aca="false">(T28/10^6)/(F28/1000)</f>
        <v>0.0234375</v>
      </c>
      <c r="AV28" s="23" t="n">
        <f aca="false">AE28/U28</f>
        <v>0.4</v>
      </c>
      <c r="AW28" s="23" t="n">
        <f aca="false">(J28*10^9)/(K28*AC28^2)</f>
        <v>132.001836547291</v>
      </c>
      <c r="AX28" s="23" t="n">
        <f aca="false">V28</f>
        <v>0.0340030911901082</v>
      </c>
      <c r="AY28" s="23" t="n">
        <f aca="false">MAX(W28,1)</f>
        <v>1</v>
      </c>
      <c r="AZ28" s="23" t="n">
        <f aca="false">X28</f>
        <v>0.0162434926922445</v>
      </c>
      <c r="BA28" s="24" t="n">
        <f aca="false">0.8*AZ28</f>
        <v>0.0129947941537956</v>
      </c>
      <c r="BB28" s="24" t="n">
        <f aca="false">AZ28*1.2</f>
        <v>0.0194921912306934</v>
      </c>
      <c r="BC28" s="0" t="str">
        <f aca="false">Z28</f>
        <v>https://www.sciencedirect.com/science/article/pii/S0043164815003749</v>
      </c>
    </row>
    <row r="29" customFormat="false" ht="12.8" hidden="false" customHeight="false" outlineLevel="0" collapsed="false">
      <c r="A29" s="1" t="n">
        <v>6</v>
      </c>
      <c r="B29" s="1" t="s">
        <v>48</v>
      </c>
      <c r="C29" s="1" t="s">
        <v>53</v>
      </c>
      <c r="D29" s="1" t="s">
        <v>54</v>
      </c>
      <c r="E29" s="11" t="n">
        <v>90</v>
      </c>
      <c r="F29" s="11" t="n">
        <v>6.4</v>
      </c>
      <c r="G29" s="26" t="n">
        <v>50</v>
      </c>
      <c r="H29" s="11" t="n">
        <f aca="false">3*F29</f>
        <v>19.2</v>
      </c>
      <c r="I29" s="27" t="s">
        <v>55</v>
      </c>
      <c r="J29" s="26" t="n">
        <f aca="false">((8+15)/2)/100</f>
        <v>0.115</v>
      </c>
      <c r="K29" s="28" t="n">
        <f aca="false">(886+1050)/2</f>
        <v>968</v>
      </c>
      <c r="L29" s="1" t="n">
        <v>0</v>
      </c>
      <c r="M29" s="1" t="n">
        <v>0</v>
      </c>
      <c r="N29" s="1" t="n">
        <v>0</v>
      </c>
      <c r="O29" s="11" t="n">
        <v>30</v>
      </c>
      <c r="P29" s="1" t="n">
        <v>1</v>
      </c>
      <c r="Q29" s="11" t="n">
        <v>1000</v>
      </c>
      <c r="R29" s="13" t="n">
        <f aca="false">(N29*L29+O29*Q29)/(L29+O29)</f>
        <v>1000</v>
      </c>
      <c r="S29" s="14" t="n">
        <f aca="false">(M29*L29+O29*P29*0.1)/(L29+O29)</f>
        <v>0.1</v>
      </c>
      <c r="T29" s="11" t="n">
        <v>150</v>
      </c>
      <c r="U29" s="28" t="n">
        <v>2500</v>
      </c>
      <c r="V29" s="16" t="n">
        <v>0.0340030911901082</v>
      </c>
      <c r="W29" s="11" t="n">
        <v>1</v>
      </c>
      <c r="X29" s="17" t="n">
        <v>0.0181643833837322</v>
      </c>
      <c r="Z29" s="29" t="s">
        <v>56</v>
      </c>
      <c r="AC29" s="18" t="n">
        <f aca="false">MAX(L29,O29)</f>
        <v>30</v>
      </c>
      <c r="AD29" s="17" t="n">
        <f aca="false">MAX(M29,P29*0.1)</f>
        <v>0.1</v>
      </c>
      <c r="AE29" s="1" t="n">
        <f aca="false">MAX(N29,Q29)</f>
        <v>1000</v>
      </c>
      <c r="AG29" s="16"/>
      <c r="AH29" s="19" t="n">
        <v>27</v>
      </c>
      <c r="AI29" s="20" t="str">
        <f aca="false">B29</f>
        <v>DI</v>
      </c>
      <c r="AJ29" s="20" t="str">
        <f aca="false">C29</f>
        <v>Liquid-Solid</v>
      </c>
      <c r="AK29" s="20" t="str">
        <f aca="false">D29</f>
        <v>V-H</v>
      </c>
      <c r="AL29" s="21" t="n">
        <f aca="false">E29</f>
        <v>90</v>
      </c>
      <c r="AM29" s="22" t="n">
        <v>1E-006</v>
      </c>
      <c r="AN29" s="23" t="n">
        <f aca="false">MAX(G29/(F29/1000),25000)</f>
        <v>25000</v>
      </c>
      <c r="AO29" s="23" t="n">
        <f aca="false">H29/F29</f>
        <v>3</v>
      </c>
      <c r="AP29" s="23" t="n">
        <f aca="false">AC29/SQRT(9.81*(F29/1000))</f>
        <v>119.728285652644</v>
      </c>
      <c r="AQ29" s="23" t="n">
        <f aca="false">(AE29*AC29*(F29/1000))/AD29</f>
        <v>1920</v>
      </c>
      <c r="AR29" s="23" t="n">
        <f aca="false">((T29*0.000001)^3*AE29*(U29-AE29)*9.81)/AD29^2</f>
        <v>0.0049663125</v>
      </c>
      <c r="AS29" s="23" t="n">
        <f aca="false">(U29*((T29/10^6)^2)/(18*AD29))*AC29/(F29/1000)</f>
        <v>0.146484375</v>
      </c>
      <c r="AT29" s="23" t="n">
        <f aca="false">AE29*(T29/10^6)*AC29/AD29</f>
        <v>45</v>
      </c>
      <c r="AU29" s="23" t="n">
        <f aca="false">(T29/10^6)/(F29/1000)</f>
        <v>0.0234375</v>
      </c>
      <c r="AV29" s="23" t="n">
        <f aca="false">AE29/U29</f>
        <v>0.4</v>
      </c>
      <c r="AW29" s="23" t="n">
        <f aca="false">(J29*10^9)/(K29*AC29^2)</f>
        <v>132.001836547291</v>
      </c>
      <c r="AX29" s="23" t="n">
        <f aca="false">V29</f>
        <v>0.0340030911901082</v>
      </c>
      <c r="AY29" s="23" t="n">
        <f aca="false">MAX(W29,1)</f>
        <v>1</v>
      </c>
      <c r="AZ29" s="23" t="n">
        <f aca="false">X29</f>
        <v>0.0181643833837322</v>
      </c>
      <c r="BA29" s="24" t="n">
        <f aca="false">0.8*AZ29</f>
        <v>0.0145315067069858</v>
      </c>
      <c r="BB29" s="24" t="n">
        <f aca="false">AZ29*1.2</f>
        <v>0.0217972600604786</v>
      </c>
      <c r="BC29" s="0" t="str">
        <f aca="false">Z29</f>
        <v>https://www.sciencedirect.com/science/article/pii/S0043164815003749</v>
      </c>
    </row>
    <row r="30" customFormat="false" ht="12.8" hidden="false" customHeight="false" outlineLevel="0" collapsed="false">
      <c r="A30" s="1" t="n">
        <v>7</v>
      </c>
      <c r="B30" s="1" t="s">
        <v>48</v>
      </c>
      <c r="C30" s="1" t="s">
        <v>53</v>
      </c>
      <c r="D30" s="1" t="s">
        <v>54</v>
      </c>
      <c r="E30" s="11" t="n">
        <v>90</v>
      </c>
      <c r="F30" s="11" t="n">
        <v>6.4</v>
      </c>
      <c r="G30" s="26" t="n">
        <v>50</v>
      </c>
      <c r="H30" s="11" t="n">
        <f aca="false">3*F30</f>
        <v>19.2</v>
      </c>
      <c r="I30" s="27" t="s">
        <v>55</v>
      </c>
      <c r="J30" s="26" t="n">
        <f aca="false">((8+15)/2)/100</f>
        <v>0.115</v>
      </c>
      <c r="K30" s="28" t="n">
        <f aca="false">(886+1050)/2</f>
        <v>968</v>
      </c>
      <c r="L30" s="1" t="n">
        <v>0</v>
      </c>
      <c r="M30" s="1" t="n">
        <v>0</v>
      </c>
      <c r="N30" s="1" t="n">
        <v>0</v>
      </c>
      <c r="O30" s="11" t="n">
        <v>30</v>
      </c>
      <c r="P30" s="1" t="n">
        <v>1</v>
      </c>
      <c r="Q30" s="11" t="n">
        <v>1000</v>
      </c>
      <c r="R30" s="13" t="n">
        <f aca="false">(N30*L30+O30*Q30)/(L30+O30)</f>
        <v>1000</v>
      </c>
      <c r="S30" s="14" t="n">
        <f aca="false">(M30*L30+O30*P30*0.1)/(L30+O30)</f>
        <v>0.1</v>
      </c>
      <c r="T30" s="11" t="n">
        <v>150</v>
      </c>
      <c r="U30" s="28" t="n">
        <v>2500</v>
      </c>
      <c r="V30" s="16" t="n">
        <v>0.0340030911901082</v>
      </c>
      <c r="W30" s="11" t="n">
        <v>1</v>
      </c>
      <c r="X30" s="17" t="n">
        <v>0.0164254259152173</v>
      </c>
      <c r="Z30" s="29" t="s">
        <v>56</v>
      </c>
      <c r="AC30" s="18" t="n">
        <f aca="false">MAX(L30,O30)</f>
        <v>30</v>
      </c>
      <c r="AD30" s="17" t="n">
        <f aca="false">MAX(M30,P30*0.1)</f>
        <v>0.1</v>
      </c>
      <c r="AE30" s="1" t="n">
        <f aca="false">MAX(N30,Q30)</f>
        <v>1000</v>
      </c>
      <c r="AG30" s="16"/>
      <c r="AH30" s="19" t="n">
        <v>28</v>
      </c>
      <c r="AI30" s="20" t="str">
        <f aca="false">B30</f>
        <v>DI</v>
      </c>
      <c r="AJ30" s="20" t="str">
        <f aca="false">C30</f>
        <v>Liquid-Solid</v>
      </c>
      <c r="AK30" s="20" t="str">
        <f aca="false">D30</f>
        <v>V-H</v>
      </c>
      <c r="AL30" s="21" t="n">
        <f aca="false">E30</f>
        <v>90</v>
      </c>
      <c r="AM30" s="22" t="n">
        <v>1E-006</v>
      </c>
      <c r="AN30" s="23" t="n">
        <f aca="false">MAX(G30/(F30/1000),25000)</f>
        <v>25000</v>
      </c>
      <c r="AO30" s="23" t="n">
        <f aca="false">H30/F30</f>
        <v>3</v>
      </c>
      <c r="AP30" s="23" t="n">
        <f aca="false">AC30/SQRT(9.81*(F30/1000))</f>
        <v>119.728285652644</v>
      </c>
      <c r="AQ30" s="23" t="n">
        <f aca="false">(AE30*AC30*(F30/1000))/AD30</f>
        <v>1920</v>
      </c>
      <c r="AR30" s="23" t="n">
        <f aca="false">((T30*0.000001)^3*AE30*(U30-AE30)*9.81)/AD30^2</f>
        <v>0.0049663125</v>
      </c>
      <c r="AS30" s="23" t="n">
        <f aca="false">(U30*((T30/10^6)^2)/(18*AD30))*AC30/(F30/1000)</f>
        <v>0.146484375</v>
      </c>
      <c r="AT30" s="23" t="n">
        <f aca="false">AE30*(T30/10^6)*AC30/AD30</f>
        <v>45</v>
      </c>
      <c r="AU30" s="23" t="n">
        <f aca="false">(T30/10^6)/(F30/1000)</f>
        <v>0.0234375</v>
      </c>
      <c r="AV30" s="23" t="n">
        <f aca="false">AE30/U30</f>
        <v>0.4</v>
      </c>
      <c r="AW30" s="23" t="n">
        <f aca="false">(J30*10^9)/(K30*AC30^2)</f>
        <v>132.001836547291</v>
      </c>
      <c r="AX30" s="23" t="n">
        <f aca="false">V30</f>
        <v>0.0340030911901082</v>
      </c>
      <c r="AY30" s="23" t="n">
        <f aca="false">MAX(W30,1)</f>
        <v>1</v>
      </c>
      <c r="AZ30" s="23" t="n">
        <f aca="false">X30</f>
        <v>0.0164254259152173</v>
      </c>
      <c r="BA30" s="24" t="n">
        <f aca="false">0.8*AZ30</f>
        <v>0.0131403407321738</v>
      </c>
      <c r="BB30" s="24" t="n">
        <f aca="false">AZ30*1.2</f>
        <v>0.0197105110982608</v>
      </c>
      <c r="BC30" s="0" t="str">
        <f aca="false">Z30</f>
        <v>https://www.sciencedirect.com/science/article/pii/S0043164815003749</v>
      </c>
    </row>
    <row r="31" customFormat="false" ht="12.8" hidden="false" customHeight="false" outlineLevel="0" collapsed="false">
      <c r="A31" s="1" t="n">
        <v>8</v>
      </c>
      <c r="B31" s="1" t="s">
        <v>48</v>
      </c>
      <c r="C31" s="1" t="s">
        <v>53</v>
      </c>
      <c r="D31" s="1" t="s">
        <v>54</v>
      </c>
      <c r="E31" s="11" t="n">
        <v>90</v>
      </c>
      <c r="F31" s="11" t="n">
        <v>6.4</v>
      </c>
      <c r="G31" s="26" t="n">
        <v>50</v>
      </c>
      <c r="H31" s="11" t="n">
        <f aca="false">3*F31</f>
        <v>19.2</v>
      </c>
      <c r="I31" s="27" t="s">
        <v>55</v>
      </c>
      <c r="J31" s="26" t="n">
        <f aca="false">((8+15)/2)/100</f>
        <v>0.115</v>
      </c>
      <c r="K31" s="28" t="n">
        <f aca="false">(886+1050)/2</f>
        <v>968</v>
      </c>
      <c r="L31" s="1" t="n">
        <v>0</v>
      </c>
      <c r="M31" s="1" t="n">
        <v>0</v>
      </c>
      <c r="N31" s="1" t="n">
        <v>0</v>
      </c>
      <c r="O31" s="11" t="n">
        <v>30</v>
      </c>
      <c r="P31" s="1" t="n">
        <v>1</v>
      </c>
      <c r="Q31" s="11" t="n">
        <v>1000</v>
      </c>
      <c r="R31" s="13" t="n">
        <f aca="false">(N31*L31+O31*Q31)/(L31+O31)</f>
        <v>1000</v>
      </c>
      <c r="S31" s="14" t="n">
        <f aca="false">(M31*L31+O31*P31*0.1)/(L31+O31)</f>
        <v>0.1</v>
      </c>
      <c r="T31" s="11" t="n">
        <v>150</v>
      </c>
      <c r="U31" s="28" t="n">
        <v>2500</v>
      </c>
      <c r="V31" s="16" t="n">
        <v>0.0340030911901082</v>
      </c>
      <c r="W31" s="11" t="n">
        <v>1</v>
      </c>
      <c r="X31" s="17" t="n">
        <v>0.0166314554943886</v>
      </c>
      <c r="Z31" s="29" t="s">
        <v>56</v>
      </c>
      <c r="AC31" s="18" t="n">
        <f aca="false">MAX(L31,O31)</f>
        <v>30</v>
      </c>
      <c r="AD31" s="17" t="n">
        <f aca="false">MAX(M31,P31*0.1)</f>
        <v>0.1</v>
      </c>
      <c r="AE31" s="1" t="n">
        <f aca="false">MAX(N31,Q31)</f>
        <v>1000</v>
      </c>
      <c r="AG31" s="16"/>
      <c r="AH31" s="19" t="n">
        <v>29</v>
      </c>
      <c r="AI31" s="20" t="str">
        <f aca="false">B31</f>
        <v>DI</v>
      </c>
      <c r="AJ31" s="20" t="str">
        <f aca="false">C31</f>
        <v>Liquid-Solid</v>
      </c>
      <c r="AK31" s="20" t="str">
        <f aca="false">D31</f>
        <v>V-H</v>
      </c>
      <c r="AL31" s="21" t="n">
        <f aca="false">E31</f>
        <v>90</v>
      </c>
      <c r="AM31" s="22" t="n">
        <v>1E-006</v>
      </c>
      <c r="AN31" s="23" t="n">
        <f aca="false">MAX(G31/(F31/1000),25000)</f>
        <v>25000</v>
      </c>
      <c r="AO31" s="23" t="n">
        <f aca="false">H31/F31</f>
        <v>3</v>
      </c>
      <c r="AP31" s="23" t="n">
        <f aca="false">AC31/SQRT(9.81*(F31/1000))</f>
        <v>119.728285652644</v>
      </c>
      <c r="AQ31" s="23" t="n">
        <f aca="false">(AE31*AC31*(F31/1000))/AD31</f>
        <v>1920</v>
      </c>
      <c r="AR31" s="23" t="n">
        <f aca="false">((T31*0.000001)^3*AE31*(U31-AE31)*9.81)/AD31^2</f>
        <v>0.0049663125</v>
      </c>
      <c r="AS31" s="23" t="n">
        <f aca="false">(U31*((T31/10^6)^2)/(18*AD31))*AC31/(F31/1000)</f>
        <v>0.146484375</v>
      </c>
      <c r="AT31" s="23" t="n">
        <f aca="false">AE31*(T31/10^6)*AC31/AD31</f>
        <v>45</v>
      </c>
      <c r="AU31" s="23" t="n">
        <f aca="false">(T31/10^6)/(F31/1000)</f>
        <v>0.0234375</v>
      </c>
      <c r="AV31" s="23" t="n">
        <f aca="false">AE31/U31</f>
        <v>0.4</v>
      </c>
      <c r="AW31" s="23" t="n">
        <f aca="false">(J31*10^9)/(K31*AC31^2)</f>
        <v>132.001836547291</v>
      </c>
      <c r="AX31" s="23" t="n">
        <f aca="false">V31</f>
        <v>0.0340030911901082</v>
      </c>
      <c r="AY31" s="23" t="n">
        <f aca="false">MAX(W31,1)</f>
        <v>1</v>
      </c>
      <c r="AZ31" s="23" t="n">
        <f aca="false">X31</f>
        <v>0.0166314554943886</v>
      </c>
      <c r="BA31" s="24" t="n">
        <f aca="false">0.8*AZ31</f>
        <v>0.0133051643955109</v>
      </c>
      <c r="BB31" s="24" t="n">
        <f aca="false">AZ31*1.2</f>
        <v>0.0199577465932663</v>
      </c>
      <c r="BC31" s="0" t="str">
        <f aca="false">Z31</f>
        <v>https://www.sciencedirect.com/science/article/pii/S0043164815003749</v>
      </c>
    </row>
    <row r="32" customFormat="false" ht="12.8" hidden="false" customHeight="false" outlineLevel="0" collapsed="false">
      <c r="A32" s="1" t="n">
        <v>9</v>
      </c>
      <c r="B32" s="1" t="s">
        <v>48</v>
      </c>
      <c r="C32" s="1" t="s">
        <v>53</v>
      </c>
      <c r="D32" s="1" t="s">
        <v>54</v>
      </c>
      <c r="E32" s="11" t="n">
        <v>90</v>
      </c>
      <c r="F32" s="11" t="n">
        <v>6.4</v>
      </c>
      <c r="G32" s="26" t="n">
        <v>50</v>
      </c>
      <c r="H32" s="11" t="n">
        <f aca="false">3*F32</f>
        <v>19.2</v>
      </c>
      <c r="I32" s="27" t="s">
        <v>55</v>
      </c>
      <c r="J32" s="26" t="n">
        <f aca="false">((8+15)/2)/100</f>
        <v>0.115</v>
      </c>
      <c r="K32" s="28" t="n">
        <f aca="false">(886+1050)/2</f>
        <v>968</v>
      </c>
      <c r="L32" s="1" t="n">
        <v>0</v>
      </c>
      <c r="M32" s="1" t="n">
        <v>0</v>
      </c>
      <c r="N32" s="1" t="n">
        <v>0</v>
      </c>
      <c r="O32" s="11" t="n">
        <v>30</v>
      </c>
      <c r="P32" s="1" t="n">
        <v>1</v>
      </c>
      <c r="Q32" s="11" t="n">
        <v>1000</v>
      </c>
      <c r="R32" s="13" t="n">
        <f aca="false">(N32*L32+O32*Q32)/(L32+O32)</f>
        <v>1000</v>
      </c>
      <c r="S32" s="14" t="n">
        <f aca="false">(M32*L32+O32*P32*0.1)/(L32+O32)</f>
        <v>0.1</v>
      </c>
      <c r="T32" s="11" t="n">
        <v>150</v>
      </c>
      <c r="U32" s="28" t="n">
        <v>2500</v>
      </c>
      <c r="V32" s="16" t="n">
        <v>0.0605035700864337</v>
      </c>
      <c r="W32" s="11" t="n">
        <v>1</v>
      </c>
      <c r="X32" s="17" t="n">
        <v>0.02606959002667</v>
      </c>
      <c r="Z32" s="29" t="s">
        <v>56</v>
      </c>
      <c r="AC32" s="18" t="n">
        <f aca="false">MAX(L32,O32)</f>
        <v>30</v>
      </c>
      <c r="AD32" s="17" t="n">
        <f aca="false">MAX(M32,P32*0.1)</f>
        <v>0.1</v>
      </c>
      <c r="AE32" s="1" t="n">
        <f aca="false">MAX(N32,Q32)</f>
        <v>1000</v>
      </c>
      <c r="AG32" s="16"/>
      <c r="AH32" s="19" t="n">
        <v>30</v>
      </c>
      <c r="AI32" s="20" t="str">
        <f aca="false">B32</f>
        <v>DI</v>
      </c>
      <c r="AJ32" s="20" t="str">
        <f aca="false">C32</f>
        <v>Liquid-Solid</v>
      </c>
      <c r="AK32" s="20" t="str">
        <f aca="false">D32</f>
        <v>V-H</v>
      </c>
      <c r="AL32" s="21" t="n">
        <f aca="false">E32</f>
        <v>90</v>
      </c>
      <c r="AM32" s="22" t="n">
        <v>1E-006</v>
      </c>
      <c r="AN32" s="23" t="n">
        <f aca="false">MAX(G32/(F32/1000),25000)</f>
        <v>25000</v>
      </c>
      <c r="AO32" s="23" t="n">
        <f aca="false">H32/F32</f>
        <v>3</v>
      </c>
      <c r="AP32" s="23" t="n">
        <f aca="false">AC32/SQRT(9.81*(F32/1000))</f>
        <v>119.728285652644</v>
      </c>
      <c r="AQ32" s="23" t="n">
        <f aca="false">(AE32*AC32*(F32/1000))/AD32</f>
        <v>1920</v>
      </c>
      <c r="AR32" s="23" t="n">
        <f aca="false">((T32*0.000001)^3*AE32*(U32-AE32)*9.81)/AD32^2</f>
        <v>0.0049663125</v>
      </c>
      <c r="AS32" s="23" t="n">
        <f aca="false">(U32*((T32/10^6)^2)/(18*AD32))*AC32/(F32/1000)</f>
        <v>0.146484375</v>
      </c>
      <c r="AT32" s="23" t="n">
        <f aca="false">AE32*(T32/10^6)*AC32/AD32</f>
        <v>45</v>
      </c>
      <c r="AU32" s="23" t="n">
        <f aca="false">(T32/10^6)/(F32/1000)</f>
        <v>0.0234375</v>
      </c>
      <c r="AV32" s="23" t="n">
        <f aca="false">AE32/U32</f>
        <v>0.4</v>
      </c>
      <c r="AW32" s="23" t="n">
        <f aca="false">(J32*10^9)/(K32*AC32^2)</f>
        <v>132.001836547291</v>
      </c>
      <c r="AX32" s="23" t="n">
        <f aca="false">V32</f>
        <v>0.0605035700864337</v>
      </c>
      <c r="AY32" s="23" t="n">
        <f aca="false">MAX(W32,1)</f>
        <v>1</v>
      </c>
      <c r="AZ32" s="23" t="n">
        <f aca="false">X32</f>
        <v>0.02606959002667</v>
      </c>
      <c r="BA32" s="24" t="n">
        <f aca="false">0.8*AZ32</f>
        <v>0.020855672021336</v>
      </c>
      <c r="BB32" s="24" t="n">
        <f aca="false">AZ32*1.2</f>
        <v>0.031283508032004</v>
      </c>
      <c r="BC32" s="0" t="str">
        <f aca="false">Z32</f>
        <v>https://www.sciencedirect.com/science/article/pii/S0043164815003749</v>
      </c>
    </row>
    <row r="33" customFormat="false" ht="12.8" hidden="false" customHeight="false" outlineLevel="0" collapsed="false">
      <c r="A33" s="1" t="n">
        <v>10</v>
      </c>
      <c r="B33" s="1" t="s">
        <v>48</v>
      </c>
      <c r="C33" s="1" t="s">
        <v>53</v>
      </c>
      <c r="D33" s="1" t="s">
        <v>54</v>
      </c>
      <c r="E33" s="11" t="n">
        <v>90</v>
      </c>
      <c r="F33" s="11" t="n">
        <v>6.4</v>
      </c>
      <c r="G33" s="26" t="n">
        <v>50</v>
      </c>
      <c r="H33" s="11" t="n">
        <f aca="false">3*F33</f>
        <v>19.2</v>
      </c>
      <c r="I33" s="27" t="s">
        <v>55</v>
      </c>
      <c r="J33" s="26" t="n">
        <f aca="false">((8+15)/2)/100</f>
        <v>0.115</v>
      </c>
      <c r="K33" s="28" t="n">
        <f aca="false">(886+1050)/2</f>
        <v>968</v>
      </c>
      <c r="L33" s="1" t="n">
        <v>0</v>
      </c>
      <c r="M33" s="1" t="n">
        <v>0</v>
      </c>
      <c r="N33" s="1" t="n">
        <v>0</v>
      </c>
      <c r="O33" s="11" t="n">
        <v>30</v>
      </c>
      <c r="P33" s="1" t="n">
        <v>1</v>
      </c>
      <c r="Q33" s="11" t="n">
        <v>1000</v>
      </c>
      <c r="R33" s="13" t="n">
        <f aca="false">(N33*L33+O33*Q33)/(L33+O33)</f>
        <v>1000</v>
      </c>
      <c r="S33" s="14" t="n">
        <f aca="false">(M33*L33+O33*P33*0.1)/(L33+O33)</f>
        <v>0.1</v>
      </c>
      <c r="T33" s="11" t="n">
        <v>150</v>
      </c>
      <c r="U33" s="28" t="n">
        <v>2500</v>
      </c>
      <c r="V33" s="16" t="n">
        <v>0.0605035700864337</v>
      </c>
      <c r="W33" s="11" t="n">
        <v>1</v>
      </c>
      <c r="X33" s="17" t="n">
        <v>0.0191716482509293</v>
      </c>
      <c r="Z33" s="29" t="s">
        <v>56</v>
      </c>
      <c r="AC33" s="18" t="n">
        <f aca="false">MAX(L33,O33)</f>
        <v>30</v>
      </c>
      <c r="AD33" s="17" t="n">
        <f aca="false">MAX(M33,P33*0.1)</f>
        <v>0.1</v>
      </c>
      <c r="AE33" s="1" t="n">
        <f aca="false">MAX(N33,Q33)</f>
        <v>1000</v>
      </c>
      <c r="AG33" s="16"/>
      <c r="AH33" s="19" t="n">
        <v>31</v>
      </c>
      <c r="AI33" s="20" t="str">
        <f aca="false">B33</f>
        <v>DI</v>
      </c>
      <c r="AJ33" s="20" t="str">
        <f aca="false">C33</f>
        <v>Liquid-Solid</v>
      </c>
      <c r="AK33" s="20" t="str">
        <f aca="false">D33</f>
        <v>V-H</v>
      </c>
      <c r="AL33" s="21" t="n">
        <f aca="false">E33</f>
        <v>90</v>
      </c>
      <c r="AM33" s="22" t="n">
        <v>1E-006</v>
      </c>
      <c r="AN33" s="23" t="n">
        <f aca="false">MAX(G33/(F33/1000),25000)</f>
        <v>25000</v>
      </c>
      <c r="AO33" s="23" t="n">
        <f aca="false">H33/F33</f>
        <v>3</v>
      </c>
      <c r="AP33" s="23" t="n">
        <f aca="false">AC33/SQRT(9.81*(F33/1000))</f>
        <v>119.728285652644</v>
      </c>
      <c r="AQ33" s="23" t="n">
        <f aca="false">(AE33*AC33*(F33/1000))/AD33</f>
        <v>1920</v>
      </c>
      <c r="AR33" s="23" t="n">
        <f aca="false">((T33*0.000001)^3*AE33*(U33-AE33)*9.81)/AD33^2</f>
        <v>0.0049663125</v>
      </c>
      <c r="AS33" s="23" t="n">
        <f aca="false">(U33*((T33/10^6)^2)/(18*AD33))*AC33/(F33/1000)</f>
        <v>0.146484375</v>
      </c>
      <c r="AT33" s="23" t="n">
        <f aca="false">AE33*(T33/10^6)*AC33/AD33</f>
        <v>45</v>
      </c>
      <c r="AU33" s="23" t="n">
        <f aca="false">(T33/10^6)/(F33/1000)</f>
        <v>0.0234375</v>
      </c>
      <c r="AV33" s="23" t="n">
        <f aca="false">AE33/U33</f>
        <v>0.4</v>
      </c>
      <c r="AW33" s="23" t="n">
        <f aca="false">(J33*10^9)/(K33*AC33^2)</f>
        <v>132.001836547291</v>
      </c>
      <c r="AX33" s="23" t="n">
        <f aca="false">V33</f>
        <v>0.0605035700864337</v>
      </c>
      <c r="AY33" s="23" t="n">
        <f aca="false">MAX(W33,1)</f>
        <v>1</v>
      </c>
      <c r="AZ33" s="23" t="n">
        <f aca="false">X33</f>
        <v>0.0191716482509293</v>
      </c>
      <c r="BA33" s="24" t="n">
        <f aca="false">0.8*AZ33</f>
        <v>0.0153373186007434</v>
      </c>
      <c r="BB33" s="24" t="n">
        <f aca="false">AZ33*1.2</f>
        <v>0.0230059779011152</v>
      </c>
      <c r="BC33" s="0" t="str">
        <f aca="false">Z33</f>
        <v>https://www.sciencedirect.com/science/article/pii/S0043164815003749</v>
      </c>
    </row>
    <row r="34" customFormat="false" ht="12.8" hidden="false" customHeight="false" outlineLevel="0" collapsed="false">
      <c r="A34" s="1" t="n">
        <v>11</v>
      </c>
      <c r="B34" s="1" t="s">
        <v>48</v>
      </c>
      <c r="C34" s="1" t="s">
        <v>53</v>
      </c>
      <c r="D34" s="1" t="s">
        <v>54</v>
      </c>
      <c r="E34" s="11" t="n">
        <v>90</v>
      </c>
      <c r="F34" s="11" t="n">
        <v>6.4</v>
      </c>
      <c r="G34" s="26" t="n">
        <v>50</v>
      </c>
      <c r="H34" s="11" t="n">
        <f aca="false">3*F34</f>
        <v>19.2</v>
      </c>
      <c r="I34" s="27" t="s">
        <v>55</v>
      </c>
      <c r="J34" s="26" t="n">
        <f aca="false">((8+15)/2)/100</f>
        <v>0.115</v>
      </c>
      <c r="K34" s="28" t="n">
        <f aca="false">(886+1050)/2</f>
        <v>968</v>
      </c>
      <c r="L34" s="1" t="n">
        <v>0</v>
      </c>
      <c r="M34" s="1" t="n">
        <v>0</v>
      </c>
      <c r="N34" s="1" t="n">
        <v>0</v>
      </c>
      <c r="O34" s="11" t="n">
        <v>30</v>
      </c>
      <c r="P34" s="1" t="n">
        <v>1</v>
      </c>
      <c r="Q34" s="11" t="n">
        <v>1000</v>
      </c>
      <c r="R34" s="13" t="n">
        <f aca="false">(N34*L34+O34*Q34)/(L34+O34)</f>
        <v>1000</v>
      </c>
      <c r="S34" s="14" t="n">
        <f aca="false">(M34*L34+O34*P34*0.1)/(L34+O34)</f>
        <v>0.1</v>
      </c>
      <c r="T34" s="11" t="n">
        <v>150</v>
      </c>
      <c r="U34" s="28" t="n">
        <v>2500</v>
      </c>
      <c r="V34" s="16" t="n">
        <v>0.0605035700864337</v>
      </c>
      <c r="W34" s="11" t="n">
        <v>1</v>
      </c>
      <c r="X34" s="17" t="n">
        <v>0.0156688157448252</v>
      </c>
      <c r="Z34" s="29" t="s">
        <v>56</v>
      </c>
      <c r="AC34" s="18" t="n">
        <f aca="false">MAX(L34,O34)</f>
        <v>30</v>
      </c>
      <c r="AD34" s="17" t="n">
        <f aca="false">MAX(M34,P34*0.1)</f>
        <v>0.1</v>
      </c>
      <c r="AE34" s="1" t="n">
        <f aca="false">MAX(N34,Q34)</f>
        <v>1000</v>
      </c>
      <c r="AG34" s="16"/>
      <c r="AH34" s="19" t="n">
        <v>32</v>
      </c>
      <c r="AI34" s="20" t="str">
        <f aca="false">B34</f>
        <v>DI</v>
      </c>
      <c r="AJ34" s="20" t="str">
        <f aca="false">C34</f>
        <v>Liquid-Solid</v>
      </c>
      <c r="AK34" s="20" t="str">
        <f aca="false">D34</f>
        <v>V-H</v>
      </c>
      <c r="AL34" s="21" t="n">
        <f aca="false">E34</f>
        <v>90</v>
      </c>
      <c r="AM34" s="22" t="n">
        <v>1E-006</v>
      </c>
      <c r="AN34" s="23" t="n">
        <f aca="false">MAX(G34/(F34/1000),25000)</f>
        <v>25000</v>
      </c>
      <c r="AO34" s="23" t="n">
        <f aca="false">H34/F34</f>
        <v>3</v>
      </c>
      <c r="AP34" s="23" t="n">
        <f aca="false">AC34/SQRT(9.81*(F34/1000))</f>
        <v>119.728285652644</v>
      </c>
      <c r="AQ34" s="23" t="n">
        <f aca="false">(AE34*AC34*(F34/1000))/AD34</f>
        <v>1920</v>
      </c>
      <c r="AR34" s="23" t="n">
        <f aca="false">((T34*0.000001)^3*AE34*(U34-AE34)*9.81)/AD34^2</f>
        <v>0.0049663125</v>
      </c>
      <c r="AS34" s="23" t="n">
        <f aca="false">(U34*((T34/10^6)^2)/(18*AD34))*AC34/(F34/1000)</f>
        <v>0.146484375</v>
      </c>
      <c r="AT34" s="23" t="n">
        <f aca="false">AE34*(T34/10^6)*AC34/AD34</f>
        <v>45</v>
      </c>
      <c r="AU34" s="23" t="n">
        <f aca="false">(T34/10^6)/(F34/1000)</f>
        <v>0.0234375</v>
      </c>
      <c r="AV34" s="23" t="n">
        <f aca="false">AE34/U34</f>
        <v>0.4</v>
      </c>
      <c r="AW34" s="23" t="n">
        <f aca="false">(J34*10^9)/(K34*AC34^2)</f>
        <v>132.001836547291</v>
      </c>
      <c r="AX34" s="23" t="n">
        <f aca="false">V34</f>
        <v>0.0605035700864337</v>
      </c>
      <c r="AY34" s="23" t="n">
        <f aca="false">MAX(W34,1)</f>
        <v>1</v>
      </c>
      <c r="AZ34" s="23" t="n">
        <f aca="false">X34</f>
        <v>0.0156688157448252</v>
      </c>
      <c r="BA34" s="24" t="n">
        <f aca="false">0.8*AZ34</f>
        <v>0.0125350525958602</v>
      </c>
      <c r="BB34" s="24" t="n">
        <f aca="false">AZ34*1.2</f>
        <v>0.0188025788937902</v>
      </c>
      <c r="BC34" s="0" t="str">
        <f aca="false">Z34</f>
        <v>https://www.sciencedirect.com/science/article/pii/S0043164815003749</v>
      </c>
    </row>
    <row r="35" customFormat="false" ht="12.8" hidden="false" customHeight="false" outlineLevel="0" collapsed="false">
      <c r="A35" s="1" t="n">
        <v>12</v>
      </c>
      <c r="B35" s="1" t="s">
        <v>48</v>
      </c>
      <c r="C35" s="1" t="s">
        <v>53</v>
      </c>
      <c r="D35" s="1" t="s">
        <v>54</v>
      </c>
      <c r="E35" s="11" t="n">
        <v>90</v>
      </c>
      <c r="F35" s="11" t="n">
        <v>6.4</v>
      </c>
      <c r="G35" s="26" t="n">
        <v>50</v>
      </c>
      <c r="H35" s="11" t="n">
        <f aca="false">3*F35</f>
        <v>19.2</v>
      </c>
      <c r="I35" s="27" t="s">
        <v>55</v>
      </c>
      <c r="J35" s="26" t="n">
        <f aca="false">((8+15)/2)/100</f>
        <v>0.115</v>
      </c>
      <c r="K35" s="28" t="n">
        <f aca="false">(886+1050)/2</f>
        <v>968</v>
      </c>
      <c r="L35" s="1" t="n">
        <v>0</v>
      </c>
      <c r="M35" s="1" t="n">
        <v>0</v>
      </c>
      <c r="N35" s="1" t="n">
        <v>0</v>
      </c>
      <c r="O35" s="11" t="n">
        <v>30</v>
      </c>
      <c r="P35" s="1" t="n">
        <v>1</v>
      </c>
      <c r="Q35" s="11" t="n">
        <v>1000</v>
      </c>
      <c r="R35" s="13" t="n">
        <f aca="false">(N35*L35+O35*Q35)/(L35+O35)</f>
        <v>1000</v>
      </c>
      <c r="S35" s="14" t="n">
        <f aca="false">(M35*L35+O35*P35*0.1)/(L35+O35)</f>
        <v>0.1</v>
      </c>
      <c r="T35" s="11" t="n">
        <v>150</v>
      </c>
      <c r="U35" s="28" t="n">
        <v>2500</v>
      </c>
      <c r="V35" s="16" t="n">
        <v>0.0605035700864337</v>
      </c>
      <c r="W35" s="11" t="n">
        <v>1</v>
      </c>
      <c r="X35" s="17" t="n">
        <v>0.0138279043494634</v>
      </c>
      <c r="Z35" s="29" t="s">
        <v>56</v>
      </c>
      <c r="AC35" s="18" t="n">
        <f aca="false">MAX(L35,O35)</f>
        <v>30</v>
      </c>
      <c r="AD35" s="17" t="n">
        <f aca="false">MAX(M35,P35*0.1)</f>
        <v>0.1</v>
      </c>
      <c r="AE35" s="1" t="n">
        <f aca="false">MAX(N35,Q35)</f>
        <v>1000</v>
      </c>
      <c r="AG35" s="16"/>
      <c r="AH35" s="19" t="n">
        <v>33</v>
      </c>
      <c r="AI35" s="20" t="str">
        <f aca="false">B35</f>
        <v>DI</v>
      </c>
      <c r="AJ35" s="20" t="str">
        <f aca="false">C35</f>
        <v>Liquid-Solid</v>
      </c>
      <c r="AK35" s="20" t="str">
        <f aca="false">D35</f>
        <v>V-H</v>
      </c>
      <c r="AL35" s="21" t="n">
        <f aca="false">E35</f>
        <v>90</v>
      </c>
      <c r="AM35" s="22" t="n">
        <v>1E-006</v>
      </c>
      <c r="AN35" s="23" t="n">
        <f aca="false">MAX(G35/(F35/1000),25000)</f>
        <v>25000</v>
      </c>
      <c r="AO35" s="23" t="n">
        <f aca="false">H35/F35</f>
        <v>3</v>
      </c>
      <c r="AP35" s="23" t="n">
        <f aca="false">AC35/SQRT(9.81*(F35/1000))</f>
        <v>119.728285652644</v>
      </c>
      <c r="AQ35" s="23" t="n">
        <f aca="false">(AE35*AC35*(F35/1000))/AD35</f>
        <v>1920</v>
      </c>
      <c r="AR35" s="23" t="n">
        <f aca="false">((T35*0.000001)^3*AE35*(U35-AE35)*9.81)/AD35^2</f>
        <v>0.0049663125</v>
      </c>
      <c r="AS35" s="23" t="n">
        <f aca="false">(U35*((T35/10^6)^2)/(18*AD35))*AC35/(F35/1000)</f>
        <v>0.146484375</v>
      </c>
      <c r="AT35" s="23" t="n">
        <f aca="false">AE35*(T35/10^6)*AC35/AD35</f>
        <v>45</v>
      </c>
      <c r="AU35" s="23" t="n">
        <f aca="false">(T35/10^6)/(F35/1000)</f>
        <v>0.0234375</v>
      </c>
      <c r="AV35" s="23" t="n">
        <f aca="false">AE35/U35</f>
        <v>0.4</v>
      </c>
      <c r="AW35" s="23" t="n">
        <f aca="false">(J35*10^9)/(K35*AC35^2)</f>
        <v>132.001836547291</v>
      </c>
      <c r="AX35" s="23" t="n">
        <f aca="false">V35</f>
        <v>0.0605035700864337</v>
      </c>
      <c r="AY35" s="23" t="n">
        <f aca="false">MAX(W35,1)</f>
        <v>1</v>
      </c>
      <c r="AZ35" s="23" t="n">
        <f aca="false">X35</f>
        <v>0.0138279043494634</v>
      </c>
      <c r="BA35" s="24" t="n">
        <f aca="false">0.8*AZ35</f>
        <v>0.0110623234795707</v>
      </c>
      <c r="BB35" s="24" t="n">
        <f aca="false">AZ35*1.2</f>
        <v>0.0165934852193561</v>
      </c>
      <c r="BC35" s="0" t="str">
        <f aca="false">Z35</f>
        <v>https://www.sciencedirect.com/science/article/pii/S0043164815003749</v>
      </c>
    </row>
    <row r="36" customFormat="false" ht="12.8" hidden="false" customHeight="false" outlineLevel="0" collapsed="false">
      <c r="A36" s="1" t="n">
        <v>13</v>
      </c>
      <c r="B36" s="1" t="s">
        <v>48</v>
      </c>
      <c r="C36" s="1" t="s">
        <v>53</v>
      </c>
      <c r="D36" s="1" t="s">
        <v>54</v>
      </c>
      <c r="E36" s="11" t="n">
        <v>90</v>
      </c>
      <c r="F36" s="11" t="n">
        <v>6.4</v>
      </c>
      <c r="G36" s="26" t="n">
        <v>50</v>
      </c>
      <c r="H36" s="11" t="n">
        <f aca="false">3*F36</f>
        <v>19.2</v>
      </c>
      <c r="I36" s="27" t="s">
        <v>55</v>
      </c>
      <c r="J36" s="26" t="n">
        <f aca="false">((8+15)/2)/100</f>
        <v>0.115</v>
      </c>
      <c r="K36" s="28" t="n">
        <f aca="false">(886+1050)/2</f>
        <v>968</v>
      </c>
      <c r="L36" s="1" t="n">
        <v>0</v>
      </c>
      <c r="M36" s="1" t="n">
        <v>0</v>
      </c>
      <c r="N36" s="1" t="n">
        <v>0</v>
      </c>
      <c r="O36" s="11" t="n">
        <v>30</v>
      </c>
      <c r="P36" s="1" t="n">
        <v>1</v>
      </c>
      <c r="Q36" s="11" t="n">
        <v>1000</v>
      </c>
      <c r="R36" s="13" t="n">
        <f aca="false">(N36*L36+O36*Q36)/(L36+O36)</f>
        <v>1000</v>
      </c>
      <c r="S36" s="14" t="n">
        <f aca="false">(M36*L36+O36*P36*0.1)/(L36+O36)</f>
        <v>0.1</v>
      </c>
      <c r="T36" s="11" t="n">
        <v>150</v>
      </c>
      <c r="U36" s="28" t="n">
        <v>2500</v>
      </c>
      <c r="V36" s="16" t="n">
        <v>0.0605035700864337</v>
      </c>
      <c r="W36" s="11" t="n">
        <v>1</v>
      </c>
      <c r="X36" s="17" t="n">
        <v>0.0129045142905854</v>
      </c>
      <c r="Z36" s="29" t="s">
        <v>56</v>
      </c>
      <c r="AC36" s="18" t="n">
        <f aca="false">MAX(L36,O36)</f>
        <v>30</v>
      </c>
      <c r="AD36" s="17" t="n">
        <f aca="false">MAX(M36,P36*0.1)</f>
        <v>0.1</v>
      </c>
      <c r="AE36" s="1" t="n">
        <f aca="false">MAX(N36,Q36)</f>
        <v>1000</v>
      </c>
      <c r="AG36" s="16"/>
      <c r="AH36" s="19" t="n">
        <v>34</v>
      </c>
      <c r="AI36" s="20" t="str">
        <f aca="false">B36</f>
        <v>DI</v>
      </c>
      <c r="AJ36" s="20" t="str">
        <f aca="false">C36</f>
        <v>Liquid-Solid</v>
      </c>
      <c r="AK36" s="20" t="str">
        <f aca="false">D36</f>
        <v>V-H</v>
      </c>
      <c r="AL36" s="21" t="n">
        <f aca="false">E36</f>
        <v>90</v>
      </c>
      <c r="AM36" s="22" t="n">
        <v>1E-006</v>
      </c>
      <c r="AN36" s="23" t="n">
        <f aca="false">MAX(G36/(F36/1000),25000)</f>
        <v>25000</v>
      </c>
      <c r="AO36" s="23" t="n">
        <f aca="false">H36/F36</f>
        <v>3</v>
      </c>
      <c r="AP36" s="23" t="n">
        <f aca="false">AC36/SQRT(9.81*(F36/1000))</f>
        <v>119.728285652644</v>
      </c>
      <c r="AQ36" s="23" t="n">
        <f aca="false">(AE36*AC36*(F36/1000))/AD36</f>
        <v>1920</v>
      </c>
      <c r="AR36" s="23" t="n">
        <f aca="false">((T36*0.000001)^3*AE36*(U36-AE36)*9.81)/AD36^2</f>
        <v>0.0049663125</v>
      </c>
      <c r="AS36" s="23" t="n">
        <f aca="false">(U36*((T36/10^6)^2)/(18*AD36))*AC36/(F36/1000)</f>
        <v>0.146484375</v>
      </c>
      <c r="AT36" s="23" t="n">
        <f aca="false">AE36*(T36/10^6)*AC36/AD36</f>
        <v>45</v>
      </c>
      <c r="AU36" s="23" t="n">
        <f aca="false">(T36/10^6)/(F36/1000)</f>
        <v>0.0234375</v>
      </c>
      <c r="AV36" s="23" t="n">
        <f aca="false">AE36/U36</f>
        <v>0.4</v>
      </c>
      <c r="AW36" s="23" t="n">
        <f aca="false">(J36*10^9)/(K36*AC36^2)</f>
        <v>132.001836547291</v>
      </c>
      <c r="AX36" s="23" t="n">
        <f aca="false">V36</f>
        <v>0.0605035700864337</v>
      </c>
      <c r="AY36" s="23" t="n">
        <f aca="false">MAX(W36,1)</f>
        <v>1</v>
      </c>
      <c r="AZ36" s="23" t="n">
        <f aca="false">X36</f>
        <v>0.0129045142905854</v>
      </c>
      <c r="BA36" s="24" t="n">
        <f aca="false">0.8*AZ36</f>
        <v>0.0103236114324683</v>
      </c>
      <c r="BB36" s="24" t="n">
        <f aca="false">AZ36*1.2</f>
        <v>0.0154854171487025</v>
      </c>
      <c r="BC36" s="0" t="str">
        <f aca="false">Z36</f>
        <v>https://www.sciencedirect.com/science/article/pii/S0043164815003749</v>
      </c>
    </row>
    <row r="37" customFormat="false" ht="12.8" hidden="false" customHeight="false" outlineLevel="0" collapsed="false">
      <c r="A37" s="1" t="n">
        <v>14</v>
      </c>
      <c r="B37" s="1" t="s">
        <v>48</v>
      </c>
      <c r="C37" s="1" t="s">
        <v>53</v>
      </c>
      <c r="D37" s="1" t="s">
        <v>54</v>
      </c>
      <c r="E37" s="11" t="n">
        <v>90</v>
      </c>
      <c r="F37" s="11" t="n">
        <v>6.4</v>
      </c>
      <c r="G37" s="26" t="n">
        <v>50</v>
      </c>
      <c r="H37" s="11" t="n">
        <f aca="false">3*F37</f>
        <v>19.2</v>
      </c>
      <c r="I37" s="27" t="s">
        <v>55</v>
      </c>
      <c r="J37" s="26" t="n">
        <f aca="false">((8+15)/2)/100</f>
        <v>0.115</v>
      </c>
      <c r="K37" s="28" t="n">
        <f aca="false">(886+1050)/2</f>
        <v>968</v>
      </c>
      <c r="L37" s="1" t="n">
        <v>0</v>
      </c>
      <c r="M37" s="1" t="n">
        <v>0</v>
      </c>
      <c r="N37" s="1" t="n">
        <v>0</v>
      </c>
      <c r="O37" s="11" t="n">
        <v>30</v>
      </c>
      <c r="P37" s="1" t="n">
        <v>1</v>
      </c>
      <c r="Q37" s="11" t="n">
        <v>1000</v>
      </c>
      <c r="R37" s="13" t="n">
        <f aca="false">(N37*L37+O37*Q37)/(L37+O37)</f>
        <v>1000</v>
      </c>
      <c r="S37" s="14" t="n">
        <f aca="false">(M37*L37+O37*P37*0.1)/(L37+O37)</f>
        <v>0.1</v>
      </c>
      <c r="T37" s="11" t="n">
        <v>150</v>
      </c>
      <c r="U37" s="28" t="n">
        <v>2500</v>
      </c>
      <c r="V37" s="16" t="n">
        <v>0.0605035700864337</v>
      </c>
      <c r="W37" s="11" t="n">
        <v>1</v>
      </c>
      <c r="X37" s="17" t="n">
        <v>0.0128020890711386</v>
      </c>
      <c r="Z37" s="29" t="s">
        <v>56</v>
      </c>
      <c r="AC37" s="18" t="n">
        <f aca="false">MAX(L37,O37)</f>
        <v>30</v>
      </c>
      <c r="AD37" s="17" t="n">
        <f aca="false">MAX(M37,P37*0.1)</f>
        <v>0.1</v>
      </c>
      <c r="AE37" s="1" t="n">
        <f aca="false">MAX(N37,Q37)</f>
        <v>1000</v>
      </c>
      <c r="AG37" s="16"/>
      <c r="AH37" s="19" t="n">
        <v>35</v>
      </c>
      <c r="AI37" s="20" t="str">
        <f aca="false">B37</f>
        <v>DI</v>
      </c>
      <c r="AJ37" s="20" t="str">
        <f aca="false">C37</f>
        <v>Liquid-Solid</v>
      </c>
      <c r="AK37" s="20" t="str">
        <f aca="false">D37</f>
        <v>V-H</v>
      </c>
      <c r="AL37" s="21" t="n">
        <f aca="false">E37</f>
        <v>90</v>
      </c>
      <c r="AM37" s="22" t="n">
        <v>1E-006</v>
      </c>
      <c r="AN37" s="23" t="n">
        <f aca="false">MAX(G37/(F37/1000),25000)</f>
        <v>25000</v>
      </c>
      <c r="AO37" s="23" t="n">
        <f aca="false">H37/F37</f>
        <v>3</v>
      </c>
      <c r="AP37" s="23" t="n">
        <f aca="false">AC37/SQRT(9.81*(F37/1000))</f>
        <v>119.728285652644</v>
      </c>
      <c r="AQ37" s="23" t="n">
        <f aca="false">(AE37*AC37*(F37/1000))/AD37</f>
        <v>1920</v>
      </c>
      <c r="AR37" s="23" t="n">
        <f aca="false">((T37*0.000001)^3*AE37*(U37-AE37)*9.81)/AD37^2</f>
        <v>0.0049663125</v>
      </c>
      <c r="AS37" s="23" t="n">
        <f aca="false">(U37*((T37/10^6)^2)/(18*AD37))*AC37/(F37/1000)</f>
        <v>0.146484375</v>
      </c>
      <c r="AT37" s="23" t="n">
        <f aca="false">AE37*(T37/10^6)*AC37/AD37</f>
        <v>45</v>
      </c>
      <c r="AU37" s="23" t="n">
        <f aca="false">(T37/10^6)/(F37/1000)</f>
        <v>0.0234375</v>
      </c>
      <c r="AV37" s="23" t="n">
        <f aca="false">AE37/U37</f>
        <v>0.4</v>
      </c>
      <c r="AW37" s="23" t="n">
        <f aca="false">(J37*10^9)/(K37*AC37^2)</f>
        <v>132.001836547291</v>
      </c>
      <c r="AX37" s="23" t="n">
        <f aca="false">V37</f>
        <v>0.0605035700864337</v>
      </c>
      <c r="AY37" s="23" t="n">
        <f aca="false">MAX(W37,1)</f>
        <v>1</v>
      </c>
      <c r="AZ37" s="23" t="n">
        <f aca="false">X37</f>
        <v>0.0128020890711386</v>
      </c>
      <c r="BA37" s="24" t="n">
        <f aca="false">0.8*AZ37</f>
        <v>0.0102416712569109</v>
      </c>
      <c r="BB37" s="24" t="n">
        <f aca="false">AZ37*1.2</f>
        <v>0.0153625068853663</v>
      </c>
      <c r="BC37" s="0" t="str">
        <f aca="false">Z37</f>
        <v>https://www.sciencedirect.com/science/article/pii/S0043164815003749</v>
      </c>
    </row>
    <row r="38" customFormat="false" ht="12.8" hidden="false" customHeight="false" outlineLevel="0" collapsed="false">
      <c r="A38" s="1" t="n">
        <v>15</v>
      </c>
      <c r="B38" s="1" t="s">
        <v>48</v>
      </c>
      <c r="C38" s="1" t="s">
        <v>53</v>
      </c>
      <c r="D38" s="1" t="s">
        <v>54</v>
      </c>
      <c r="E38" s="11" t="n">
        <v>90</v>
      </c>
      <c r="F38" s="11" t="n">
        <v>6.4</v>
      </c>
      <c r="G38" s="26" t="n">
        <v>50</v>
      </c>
      <c r="H38" s="11" t="n">
        <f aca="false">3*F38</f>
        <v>19.2</v>
      </c>
      <c r="I38" s="27" t="s">
        <v>55</v>
      </c>
      <c r="J38" s="26" t="n">
        <f aca="false">((8+15)/2)/100</f>
        <v>0.115</v>
      </c>
      <c r="K38" s="28" t="n">
        <f aca="false">(886+1050)/2</f>
        <v>968</v>
      </c>
      <c r="L38" s="1" t="n">
        <v>0</v>
      </c>
      <c r="M38" s="1" t="n">
        <v>0</v>
      </c>
      <c r="N38" s="1" t="n">
        <v>0</v>
      </c>
      <c r="O38" s="11" t="n">
        <v>30</v>
      </c>
      <c r="P38" s="1" t="n">
        <v>1</v>
      </c>
      <c r="Q38" s="11" t="n">
        <v>1000</v>
      </c>
      <c r="R38" s="13" t="n">
        <f aca="false">(N38*L38+O38*Q38)/(L38+O38)</f>
        <v>1000</v>
      </c>
      <c r="S38" s="14" t="n">
        <f aca="false">(M38*L38+O38*P38*0.1)/(L38+O38)</f>
        <v>0.1</v>
      </c>
      <c r="T38" s="11" t="n">
        <v>150</v>
      </c>
      <c r="U38" s="28" t="n">
        <v>2500</v>
      </c>
      <c r="V38" s="16" t="n">
        <v>0.0605035700864337</v>
      </c>
      <c r="W38" s="11" t="n">
        <v>1</v>
      </c>
      <c r="X38" s="17" t="n">
        <v>0.0130133345739391</v>
      </c>
      <c r="Z38" s="29" t="s">
        <v>56</v>
      </c>
      <c r="AC38" s="18" t="n">
        <f aca="false">MAX(L38,O38)</f>
        <v>30</v>
      </c>
      <c r="AD38" s="17" t="n">
        <f aca="false">MAX(M38,P38*0.1)</f>
        <v>0.1</v>
      </c>
      <c r="AE38" s="1" t="n">
        <f aca="false">MAX(N38,Q38)</f>
        <v>1000</v>
      </c>
      <c r="AG38" s="16"/>
      <c r="AH38" s="19" t="n">
        <v>36</v>
      </c>
      <c r="AI38" s="20" t="str">
        <f aca="false">B38</f>
        <v>DI</v>
      </c>
      <c r="AJ38" s="20" t="str">
        <f aca="false">C38</f>
        <v>Liquid-Solid</v>
      </c>
      <c r="AK38" s="20" t="str">
        <f aca="false">D38</f>
        <v>V-H</v>
      </c>
      <c r="AL38" s="21" t="n">
        <f aca="false">E38</f>
        <v>90</v>
      </c>
      <c r="AM38" s="22" t="n">
        <v>1E-006</v>
      </c>
      <c r="AN38" s="23" t="n">
        <f aca="false">MAX(G38/(F38/1000),25000)</f>
        <v>25000</v>
      </c>
      <c r="AO38" s="23" t="n">
        <f aca="false">H38/F38</f>
        <v>3</v>
      </c>
      <c r="AP38" s="23" t="n">
        <f aca="false">AC38/SQRT(9.81*(F38/1000))</f>
        <v>119.728285652644</v>
      </c>
      <c r="AQ38" s="23" t="n">
        <f aca="false">(AE38*AC38*(F38/1000))/AD38</f>
        <v>1920</v>
      </c>
      <c r="AR38" s="23" t="n">
        <f aca="false">((T38*0.000001)^3*AE38*(U38-AE38)*9.81)/AD38^2</f>
        <v>0.0049663125</v>
      </c>
      <c r="AS38" s="23" t="n">
        <f aca="false">(U38*((T38/10^6)^2)/(18*AD38))*AC38/(F38/1000)</f>
        <v>0.146484375</v>
      </c>
      <c r="AT38" s="23" t="n">
        <f aca="false">AE38*(T38/10^6)*AC38/AD38</f>
        <v>45</v>
      </c>
      <c r="AU38" s="23" t="n">
        <f aca="false">(T38/10^6)/(F38/1000)</f>
        <v>0.0234375</v>
      </c>
      <c r="AV38" s="23" t="n">
        <f aca="false">AE38/U38</f>
        <v>0.4</v>
      </c>
      <c r="AW38" s="23" t="n">
        <f aca="false">(J38*10^9)/(K38*AC38^2)</f>
        <v>132.001836547291</v>
      </c>
      <c r="AX38" s="23" t="n">
        <f aca="false">V38</f>
        <v>0.0605035700864337</v>
      </c>
      <c r="AY38" s="23" t="n">
        <f aca="false">MAX(W38,1)</f>
        <v>1</v>
      </c>
      <c r="AZ38" s="23" t="n">
        <f aca="false">X38</f>
        <v>0.0130133345739391</v>
      </c>
      <c r="BA38" s="24" t="n">
        <f aca="false">0.8*AZ38</f>
        <v>0.0104106676591513</v>
      </c>
      <c r="BB38" s="24" t="n">
        <f aca="false">AZ38*1.2</f>
        <v>0.0156160014887269</v>
      </c>
      <c r="BC38" s="0" t="str">
        <f aca="false">Z38</f>
        <v>https://www.sciencedirect.com/science/article/pii/S0043164815003749</v>
      </c>
    </row>
    <row r="39" customFormat="false" ht="12.8" hidden="false" customHeight="false" outlineLevel="0" collapsed="false">
      <c r="A39" s="1" t="n">
        <v>16</v>
      </c>
      <c r="B39" s="1" t="s">
        <v>48</v>
      </c>
      <c r="C39" s="1" t="s">
        <v>53</v>
      </c>
      <c r="D39" s="1" t="s">
        <v>54</v>
      </c>
      <c r="E39" s="11" t="n">
        <v>90</v>
      </c>
      <c r="F39" s="11" t="n">
        <v>6.4</v>
      </c>
      <c r="G39" s="26" t="n">
        <v>50</v>
      </c>
      <c r="H39" s="11" t="n">
        <f aca="false">3*F39</f>
        <v>19.2</v>
      </c>
      <c r="I39" s="27" t="s">
        <v>55</v>
      </c>
      <c r="J39" s="26" t="n">
        <f aca="false">((8+15)/2)/100</f>
        <v>0.115</v>
      </c>
      <c r="K39" s="28" t="n">
        <f aca="false">(886+1050)/2</f>
        <v>968</v>
      </c>
      <c r="L39" s="1" t="n">
        <v>0</v>
      </c>
      <c r="M39" s="1" t="n">
        <v>0</v>
      </c>
      <c r="N39" s="1" t="n">
        <v>0</v>
      </c>
      <c r="O39" s="11" t="n">
        <v>30</v>
      </c>
      <c r="P39" s="1" t="n">
        <v>1</v>
      </c>
      <c r="Q39" s="11" t="n">
        <v>1000</v>
      </c>
      <c r="R39" s="13" t="n">
        <f aca="false">(N39*L39+O39*Q39)/(L39+O39)</f>
        <v>1000</v>
      </c>
      <c r="S39" s="14" t="n">
        <f aca="false">(M39*L39+O39*P39*0.1)/(L39+O39)</f>
        <v>0.1</v>
      </c>
      <c r="T39" s="11" t="n">
        <v>150</v>
      </c>
      <c r="U39" s="28" t="n">
        <v>2500</v>
      </c>
      <c r="V39" s="16" t="n">
        <v>0.0605035700864337</v>
      </c>
      <c r="W39" s="11" t="n">
        <v>1</v>
      </c>
      <c r="X39" s="17" t="n">
        <v>0.0132607207508709</v>
      </c>
      <c r="Z39" s="29" t="s">
        <v>56</v>
      </c>
      <c r="AC39" s="18" t="n">
        <f aca="false">MAX(L39,O39)</f>
        <v>30</v>
      </c>
      <c r="AD39" s="17" t="n">
        <f aca="false">MAX(M39,P39*0.1)</f>
        <v>0.1</v>
      </c>
      <c r="AE39" s="1" t="n">
        <f aca="false">MAX(N39,Q39)</f>
        <v>1000</v>
      </c>
      <c r="AG39" s="16"/>
      <c r="AH39" s="19" t="n">
        <v>37</v>
      </c>
      <c r="AI39" s="20" t="str">
        <f aca="false">B39</f>
        <v>DI</v>
      </c>
      <c r="AJ39" s="20" t="str">
        <f aca="false">C39</f>
        <v>Liquid-Solid</v>
      </c>
      <c r="AK39" s="20" t="str">
        <f aca="false">D39</f>
        <v>V-H</v>
      </c>
      <c r="AL39" s="21" t="n">
        <f aca="false">E39</f>
        <v>90</v>
      </c>
      <c r="AM39" s="22" t="n">
        <v>1E-006</v>
      </c>
      <c r="AN39" s="23" t="n">
        <f aca="false">MAX(G39/(F39/1000),25000)</f>
        <v>25000</v>
      </c>
      <c r="AO39" s="23" t="n">
        <f aca="false">H39/F39</f>
        <v>3</v>
      </c>
      <c r="AP39" s="23" t="n">
        <f aca="false">AC39/SQRT(9.81*(F39/1000))</f>
        <v>119.728285652644</v>
      </c>
      <c r="AQ39" s="23" t="n">
        <f aca="false">(AE39*AC39*(F39/1000))/AD39</f>
        <v>1920</v>
      </c>
      <c r="AR39" s="23" t="n">
        <f aca="false">((T39*0.000001)^3*AE39*(U39-AE39)*9.81)/AD39^2</f>
        <v>0.0049663125</v>
      </c>
      <c r="AS39" s="23" t="n">
        <f aca="false">(U39*((T39/10^6)^2)/(18*AD39))*AC39/(F39/1000)</f>
        <v>0.146484375</v>
      </c>
      <c r="AT39" s="23" t="n">
        <f aca="false">AE39*(T39/10^6)*AC39/AD39</f>
        <v>45</v>
      </c>
      <c r="AU39" s="23" t="n">
        <f aca="false">(T39/10^6)/(F39/1000)</f>
        <v>0.0234375</v>
      </c>
      <c r="AV39" s="23" t="n">
        <f aca="false">AE39/U39</f>
        <v>0.4</v>
      </c>
      <c r="AW39" s="23" t="n">
        <f aca="false">(J39*10^9)/(K39*AC39^2)</f>
        <v>132.001836547291</v>
      </c>
      <c r="AX39" s="23" t="n">
        <f aca="false">V39</f>
        <v>0.0605035700864337</v>
      </c>
      <c r="AY39" s="23" t="n">
        <f aca="false">MAX(W39,1)</f>
        <v>1</v>
      </c>
      <c r="AZ39" s="23" t="n">
        <f aca="false">X39</f>
        <v>0.0132607207508709</v>
      </c>
      <c r="BA39" s="24" t="n">
        <f aca="false">0.8*AZ39</f>
        <v>0.0106085766006967</v>
      </c>
      <c r="BB39" s="24" t="n">
        <f aca="false">AZ39*1.2</f>
        <v>0.0159128649010451</v>
      </c>
      <c r="BC39" s="0" t="str">
        <f aca="false">Z39</f>
        <v>https://www.sciencedirect.com/science/article/pii/S0043164815003749</v>
      </c>
    </row>
    <row r="40" customFormat="false" ht="12.8" hidden="false" customHeight="false" outlineLevel="0" collapsed="false">
      <c r="A40" s="1" t="n">
        <v>17</v>
      </c>
      <c r="B40" s="1" t="s">
        <v>48</v>
      </c>
      <c r="C40" s="1" t="s">
        <v>53</v>
      </c>
      <c r="D40" s="1" t="s">
        <v>54</v>
      </c>
      <c r="E40" s="11" t="n">
        <v>90</v>
      </c>
      <c r="F40" s="11" t="n">
        <v>6.4</v>
      </c>
      <c r="G40" s="26" t="n">
        <v>50</v>
      </c>
      <c r="H40" s="11" t="n">
        <f aca="false">3*F40</f>
        <v>19.2</v>
      </c>
      <c r="I40" s="27" t="s">
        <v>55</v>
      </c>
      <c r="J40" s="26" t="n">
        <f aca="false">((8+15)/2)/100</f>
        <v>0.115</v>
      </c>
      <c r="K40" s="28" t="n">
        <f aca="false">(886+1050)/2</f>
        <v>968</v>
      </c>
      <c r="L40" s="1" t="n">
        <v>0</v>
      </c>
      <c r="M40" s="1" t="n">
        <v>0</v>
      </c>
      <c r="N40" s="1" t="n">
        <v>0</v>
      </c>
      <c r="O40" s="11" t="n">
        <v>30</v>
      </c>
      <c r="P40" s="1" t="n">
        <v>1</v>
      </c>
      <c r="Q40" s="11" t="n">
        <v>1000</v>
      </c>
      <c r="R40" s="13" t="n">
        <f aca="false">(N40*L40+O40*Q40)/(L40+O40)</f>
        <v>1000</v>
      </c>
      <c r="S40" s="14" t="n">
        <f aca="false">(M40*L40+O40*P40*0.1)/(L40+O40)</f>
        <v>0.1</v>
      </c>
      <c r="T40" s="11" t="n">
        <v>150</v>
      </c>
      <c r="U40" s="28" t="n">
        <v>2500</v>
      </c>
      <c r="V40" s="16" t="n">
        <v>0.0605035700864337</v>
      </c>
      <c r="W40" s="11" t="n">
        <v>1</v>
      </c>
      <c r="X40" s="17" t="n">
        <v>0.0136543924677363</v>
      </c>
      <c r="Z40" s="29" t="s">
        <v>56</v>
      </c>
      <c r="AC40" s="18" t="n">
        <f aca="false">MAX(L40,O40)</f>
        <v>30</v>
      </c>
      <c r="AD40" s="17" t="n">
        <f aca="false">MAX(M40,P40*0.1)</f>
        <v>0.1</v>
      </c>
      <c r="AE40" s="1" t="n">
        <f aca="false">MAX(N40,Q40)</f>
        <v>1000</v>
      </c>
      <c r="AG40" s="16"/>
      <c r="AH40" s="19" t="n">
        <v>38</v>
      </c>
      <c r="AI40" s="20" t="str">
        <f aca="false">B40</f>
        <v>DI</v>
      </c>
      <c r="AJ40" s="20" t="str">
        <f aca="false">C40</f>
        <v>Liquid-Solid</v>
      </c>
      <c r="AK40" s="20" t="str">
        <f aca="false">D40</f>
        <v>V-H</v>
      </c>
      <c r="AL40" s="21" t="n">
        <f aca="false">E40</f>
        <v>90</v>
      </c>
      <c r="AM40" s="22" t="n">
        <v>1E-006</v>
      </c>
      <c r="AN40" s="23" t="n">
        <f aca="false">MAX(G40/(F40/1000),25000)</f>
        <v>25000</v>
      </c>
      <c r="AO40" s="23" t="n">
        <f aca="false">H40/F40</f>
        <v>3</v>
      </c>
      <c r="AP40" s="23" t="n">
        <f aca="false">AC40/SQRT(9.81*(F40/1000))</f>
        <v>119.728285652644</v>
      </c>
      <c r="AQ40" s="23" t="n">
        <f aca="false">(AE40*AC40*(F40/1000))/AD40</f>
        <v>1920</v>
      </c>
      <c r="AR40" s="23" t="n">
        <f aca="false">((T40*0.000001)^3*AE40*(U40-AE40)*9.81)/AD40^2</f>
        <v>0.0049663125</v>
      </c>
      <c r="AS40" s="23" t="n">
        <f aca="false">(U40*((T40/10^6)^2)/(18*AD40))*AC40/(F40/1000)</f>
        <v>0.146484375</v>
      </c>
      <c r="AT40" s="23" t="n">
        <f aca="false">AE40*(T40/10^6)*AC40/AD40</f>
        <v>45</v>
      </c>
      <c r="AU40" s="23" t="n">
        <f aca="false">(T40/10^6)/(F40/1000)</f>
        <v>0.0234375</v>
      </c>
      <c r="AV40" s="23" t="n">
        <f aca="false">AE40/U40</f>
        <v>0.4</v>
      </c>
      <c r="AW40" s="23" t="n">
        <f aca="false">(J40*10^9)/(K40*AC40^2)</f>
        <v>132.001836547291</v>
      </c>
      <c r="AX40" s="23" t="n">
        <f aca="false">V40</f>
        <v>0.0605035700864337</v>
      </c>
      <c r="AY40" s="23" t="n">
        <f aca="false">MAX(W40,1)</f>
        <v>1</v>
      </c>
      <c r="AZ40" s="23" t="n">
        <f aca="false">X40</f>
        <v>0.0136543924677363</v>
      </c>
      <c r="BA40" s="24" t="n">
        <f aca="false">0.8*AZ40</f>
        <v>0.010923513974189</v>
      </c>
      <c r="BB40" s="24" t="n">
        <f aca="false">AZ40*1.2</f>
        <v>0.0163852709612836</v>
      </c>
      <c r="BC40" s="0" t="str">
        <f aca="false">Z40</f>
        <v>https://www.sciencedirect.com/science/article/pii/S0043164815003749</v>
      </c>
    </row>
    <row r="41" customFormat="false" ht="12.8" hidden="false" customHeight="false" outlineLevel="0" collapsed="false">
      <c r="A41" s="1" t="n">
        <v>18</v>
      </c>
      <c r="B41" s="1" t="s">
        <v>48</v>
      </c>
      <c r="C41" s="1" t="s">
        <v>53</v>
      </c>
      <c r="D41" s="1" t="s">
        <v>54</v>
      </c>
      <c r="E41" s="11" t="n">
        <v>90</v>
      </c>
      <c r="F41" s="11" t="n">
        <v>6.4</v>
      </c>
      <c r="G41" s="26" t="n">
        <v>50</v>
      </c>
      <c r="H41" s="11" t="n">
        <f aca="false">3*F41</f>
        <v>19.2</v>
      </c>
      <c r="I41" s="27" t="s">
        <v>55</v>
      </c>
      <c r="J41" s="26" t="n">
        <f aca="false">((8+15)/2)/100</f>
        <v>0.115</v>
      </c>
      <c r="K41" s="28" t="n">
        <f aca="false">(886+1050)/2</f>
        <v>968</v>
      </c>
      <c r="L41" s="1" t="n">
        <v>0</v>
      </c>
      <c r="M41" s="1" t="n">
        <v>0</v>
      </c>
      <c r="N41" s="1" t="n">
        <v>0</v>
      </c>
      <c r="O41" s="11" t="n">
        <v>30</v>
      </c>
      <c r="P41" s="1" t="n">
        <v>1</v>
      </c>
      <c r="Q41" s="11" t="n">
        <v>1000</v>
      </c>
      <c r="R41" s="13" t="n">
        <f aca="false">(N41*L41+O41*Q41)/(L41+O41)</f>
        <v>1000</v>
      </c>
      <c r="S41" s="14" t="n">
        <f aca="false">(M41*L41+O41*P41*0.1)/(L41+O41)</f>
        <v>0.1</v>
      </c>
      <c r="T41" s="11" t="n">
        <v>150</v>
      </c>
      <c r="U41" s="28" t="n">
        <v>2500</v>
      </c>
      <c r="V41" s="16" t="n">
        <v>0.0822320117474302</v>
      </c>
      <c r="W41" s="11" t="n">
        <v>1</v>
      </c>
      <c r="X41" s="17" t="n">
        <v>0.017325978018276</v>
      </c>
      <c r="Z41" s="29" t="s">
        <v>56</v>
      </c>
      <c r="AC41" s="18" t="n">
        <f aca="false">MAX(L41,O41)</f>
        <v>30</v>
      </c>
      <c r="AD41" s="17" t="n">
        <f aca="false">MAX(M41,P41*0.1)</f>
        <v>0.1</v>
      </c>
      <c r="AE41" s="1" t="n">
        <f aca="false">MAX(N41,Q41)</f>
        <v>1000</v>
      </c>
      <c r="AG41" s="16"/>
      <c r="AH41" s="19" t="n">
        <v>39</v>
      </c>
      <c r="AI41" s="20" t="str">
        <f aca="false">B41</f>
        <v>DI</v>
      </c>
      <c r="AJ41" s="20" t="str">
        <f aca="false">C41</f>
        <v>Liquid-Solid</v>
      </c>
      <c r="AK41" s="20" t="str">
        <f aca="false">D41</f>
        <v>V-H</v>
      </c>
      <c r="AL41" s="21" t="n">
        <f aca="false">E41</f>
        <v>90</v>
      </c>
      <c r="AM41" s="22" t="n">
        <v>1E-006</v>
      </c>
      <c r="AN41" s="23" t="n">
        <f aca="false">MAX(G41/(F41/1000),25000)</f>
        <v>25000</v>
      </c>
      <c r="AO41" s="23" t="n">
        <f aca="false">H41/F41</f>
        <v>3</v>
      </c>
      <c r="AP41" s="23" t="n">
        <f aca="false">AC41/SQRT(9.81*(F41/1000))</f>
        <v>119.728285652644</v>
      </c>
      <c r="AQ41" s="23" t="n">
        <f aca="false">(AE41*AC41*(F41/1000))/AD41</f>
        <v>1920</v>
      </c>
      <c r="AR41" s="23" t="n">
        <f aca="false">((T41*0.000001)^3*AE41*(U41-AE41)*9.81)/AD41^2</f>
        <v>0.0049663125</v>
      </c>
      <c r="AS41" s="23" t="n">
        <f aca="false">(U41*((T41/10^6)^2)/(18*AD41))*AC41/(F41/1000)</f>
        <v>0.146484375</v>
      </c>
      <c r="AT41" s="23" t="n">
        <f aca="false">AE41*(T41/10^6)*AC41/AD41</f>
        <v>45</v>
      </c>
      <c r="AU41" s="23" t="n">
        <f aca="false">(T41/10^6)/(F41/1000)</f>
        <v>0.0234375</v>
      </c>
      <c r="AV41" s="23" t="n">
        <f aca="false">AE41/U41</f>
        <v>0.4</v>
      </c>
      <c r="AW41" s="23" t="n">
        <f aca="false">(J41*10^9)/(K41*AC41^2)</f>
        <v>132.001836547291</v>
      </c>
      <c r="AX41" s="23" t="n">
        <f aca="false">V41</f>
        <v>0.0822320117474302</v>
      </c>
      <c r="AY41" s="23" t="n">
        <f aca="false">MAX(W41,1)</f>
        <v>1</v>
      </c>
      <c r="AZ41" s="23" t="n">
        <f aca="false">X41</f>
        <v>0.017325978018276</v>
      </c>
      <c r="BA41" s="24" t="n">
        <f aca="false">0.8*AZ41</f>
        <v>0.0138607824146208</v>
      </c>
      <c r="BB41" s="24" t="n">
        <f aca="false">AZ41*1.2</f>
        <v>0.0207911736219312</v>
      </c>
      <c r="BC41" s="0" t="str">
        <f aca="false">Z41</f>
        <v>https://www.sciencedirect.com/science/article/pii/S0043164815003749</v>
      </c>
    </row>
    <row r="42" customFormat="false" ht="12.8" hidden="false" customHeight="false" outlineLevel="0" collapsed="false">
      <c r="A42" s="1" t="n">
        <v>19</v>
      </c>
      <c r="B42" s="1" t="s">
        <v>48</v>
      </c>
      <c r="C42" s="1" t="s">
        <v>53</v>
      </c>
      <c r="D42" s="1" t="s">
        <v>54</v>
      </c>
      <c r="E42" s="11" t="n">
        <v>90</v>
      </c>
      <c r="F42" s="11" t="n">
        <v>6.4</v>
      </c>
      <c r="G42" s="26" t="n">
        <v>50</v>
      </c>
      <c r="H42" s="11" t="n">
        <f aca="false">3*F42</f>
        <v>19.2</v>
      </c>
      <c r="I42" s="27" t="s">
        <v>55</v>
      </c>
      <c r="J42" s="26" t="n">
        <f aca="false">((8+15)/2)/100</f>
        <v>0.115</v>
      </c>
      <c r="K42" s="28" t="n">
        <f aca="false">(886+1050)/2</f>
        <v>968</v>
      </c>
      <c r="L42" s="1" t="n">
        <v>0</v>
      </c>
      <c r="M42" s="1" t="n">
        <v>0</v>
      </c>
      <c r="N42" s="1" t="n">
        <v>0</v>
      </c>
      <c r="O42" s="11" t="n">
        <v>30</v>
      </c>
      <c r="P42" s="1" t="n">
        <v>1</v>
      </c>
      <c r="Q42" s="11" t="n">
        <v>1000</v>
      </c>
      <c r="R42" s="13" t="n">
        <f aca="false">(N42*L42+O42*Q42)/(L42+O42)</f>
        <v>1000</v>
      </c>
      <c r="S42" s="14" t="n">
        <f aca="false">(M42*L42+O42*P42*0.1)/(L42+O42)</f>
        <v>0.1</v>
      </c>
      <c r="T42" s="11" t="n">
        <v>150</v>
      </c>
      <c r="U42" s="28" t="n">
        <v>2500</v>
      </c>
      <c r="V42" s="16" t="n">
        <v>0.0822320117474302</v>
      </c>
      <c r="W42" s="11" t="n">
        <v>1</v>
      </c>
      <c r="X42" s="17" t="n">
        <v>0.0130830343232974</v>
      </c>
      <c r="Z42" s="29" t="s">
        <v>56</v>
      </c>
      <c r="AC42" s="18" t="n">
        <f aca="false">MAX(L42,O42)</f>
        <v>30</v>
      </c>
      <c r="AD42" s="17" t="n">
        <f aca="false">MAX(M42,P42*0.1)</f>
        <v>0.1</v>
      </c>
      <c r="AE42" s="1" t="n">
        <f aca="false">MAX(N42,Q42)</f>
        <v>1000</v>
      </c>
      <c r="AG42" s="16"/>
      <c r="AH42" s="19" t="n">
        <v>40</v>
      </c>
      <c r="AI42" s="20" t="str">
        <f aca="false">B42</f>
        <v>DI</v>
      </c>
      <c r="AJ42" s="20" t="str">
        <f aca="false">C42</f>
        <v>Liquid-Solid</v>
      </c>
      <c r="AK42" s="20" t="str">
        <f aca="false">D42</f>
        <v>V-H</v>
      </c>
      <c r="AL42" s="21" t="n">
        <f aca="false">E42</f>
        <v>90</v>
      </c>
      <c r="AM42" s="22" t="n">
        <v>1E-006</v>
      </c>
      <c r="AN42" s="23" t="n">
        <f aca="false">MAX(G42/(F42/1000),25000)</f>
        <v>25000</v>
      </c>
      <c r="AO42" s="23" t="n">
        <f aca="false">H42/F42</f>
        <v>3</v>
      </c>
      <c r="AP42" s="23" t="n">
        <f aca="false">AC42/SQRT(9.81*(F42/1000))</f>
        <v>119.728285652644</v>
      </c>
      <c r="AQ42" s="23" t="n">
        <f aca="false">(AE42*AC42*(F42/1000))/AD42</f>
        <v>1920</v>
      </c>
      <c r="AR42" s="23" t="n">
        <f aca="false">((T42*0.000001)^3*AE42*(U42-AE42)*9.81)/AD42^2</f>
        <v>0.0049663125</v>
      </c>
      <c r="AS42" s="23" t="n">
        <f aca="false">(U42*((T42/10^6)^2)/(18*AD42))*AC42/(F42/1000)</f>
        <v>0.146484375</v>
      </c>
      <c r="AT42" s="23" t="n">
        <f aca="false">AE42*(T42/10^6)*AC42/AD42</f>
        <v>45</v>
      </c>
      <c r="AU42" s="23" t="n">
        <f aca="false">(T42/10^6)/(F42/1000)</f>
        <v>0.0234375</v>
      </c>
      <c r="AV42" s="23" t="n">
        <f aca="false">AE42/U42</f>
        <v>0.4</v>
      </c>
      <c r="AW42" s="23" t="n">
        <f aca="false">(J42*10^9)/(K42*AC42^2)</f>
        <v>132.001836547291</v>
      </c>
      <c r="AX42" s="23" t="n">
        <f aca="false">V42</f>
        <v>0.0822320117474302</v>
      </c>
      <c r="AY42" s="23" t="n">
        <f aca="false">MAX(W42,1)</f>
        <v>1</v>
      </c>
      <c r="AZ42" s="23" t="n">
        <f aca="false">X42</f>
        <v>0.0130830343232974</v>
      </c>
      <c r="BA42" s="24" t="n">
        <f aca="false">0.8*AZ42</f>
        <v>0.0104664274586379</v>
      </c>
      <c r="BB42" s="24" t="n">
        <f aca="false">AZ42*1.2</f>
        <v>0.0156996411879569</v>
      </c>
      <c r="BC42" s="0" t="str">
        <f aca="false">Z42</f>
        <v>https://www.sciencedirect.com/science/article/pii/S0043164815003749</v>
      </c>
    </row>
    <row r="43" customFormat="false" ht="12.8" hidden="false" customHeight="false" outlineLevel="0" collapsed="false">
      <c r="A43" s="1" t="n">
        <v>20</v>
      </c>
      <c r="B43" s="1" t="s">
        <v>48</v>
      </c>
      <c r="C43" s="1" t="s">
        <v>53</v>
      </c>
      <c r="D43" s="1" t="s">
        <v>54</v>
      </c>
      <c r="E43" s="11" t="n">
        <v>90</v>
      </c>
      <c r="F43" s="11" t="n">
        <v>6.4</v>
      </c>
      <c r="G43" s="26" t="n">
        <v>50</v>
      </c>
      <c r="H43" s="11" t="n">
        <f aca="false">3*F43</f>
        <v>19.2</v>
      </c>
      <c r="I43" s="27" t="s">
        <v>55</v>
      </c>
      <c r="J43" s="26" t="n">
        <f aca="false">((8+15)/2)/100</f>
        <v>0.115</v>
      </c>
      <c r="K43" s="28" t="n">
        <f aca="false">(886+1050)/2</f>
        <v>968</v>
      </c>
      <c r="L43" s="1" t="n">
        <v>0</v>
      </c>
      <c r="M43" s="1" t="n">
        <v>0</v>
      </c>
      <c r="N43" s="1" t="n">
        <v>0</v>
      </c>
      <c r="O43" s="11" t="n">
        <v>30</v>
      </c>
      <c r="P43" s="1" t="n">
        <v>1</v>
      </c>
      <c r="Q43" s="11" t="n">
        <v>1000</v>
      </c>
      <c r="R43" s="13" t="n">
        <f aca="false">(N43*L43+O43*Q43)/(L43+O43)</f>
        <v>1000</v>
      </c>
      <c r="S43" s="14" t="n">
        <f aca="false">(M43*L43+O43*P43*0.1)/(L43+O43)</f>
        <v>0.1</v>
      </c>
      <c r="T43" s="11" t="n">
        <v>150</v>
      </c>
      <c r="U43" s="28" t="n">
        <v>2500</v>
      </c>
      <c r="V43" s="16" t="n">
        <v>0.0822320117474302</v>
      </c>
      <c r="W43" s="11" t="n">
        <v>1</v>
      </c>
      <c r="X43" s="17" t="n">
        <v>0.010847661489815</v>
      </c>
      <c r="Z43" s="29" t="s">
        <v>56</v>
      </c>
      <c r="AC43" s="18" t="n">
        <f aca="false">MAX(L43,O43)</f>
        <v>30</v>
      </c>
      <c r="AD43" s="17" t="n">
        <f aca="false">MAX(M43,P43*0.1)</f>
        <v>0.1</v>
      </c>
      <c r="AE43" s="1" t="n">
        <f aca="false">MAX(N43,Q43)</f>
        <v>1000</v>
      </c>
      <c r="AG43" s="16"/>
      <c r="AH43" s="19" t="n">
        <v>41</v>
      </c>
      <c r="AI43" s="20" t="str">
        <f aca="false">B43</f>
        <v>DI</v>
      </c>
      <c r="AJ43" s="20" t="str">
        <f aca="false">C43</f>
        <v>Liquid-Solid</v>
      </c>
      <c r="AK43" s="20" t="str">
        <f aca="false">D43</f>
        <v>V-H</v>
      </c>
      <c r="AL43" s="21" t="n">
        <f aca="false">E43</f>
        <v>90</v>
      </c>
      <c r="AM43" s="22" t="n">
        <v>1E-006</v>
      </c>
      <c r="AN43" s="23" t="n">
        <f aca="false">MAX(G43/(F43/1000),25000)</f>
        <v>25000</v>
      </c>
      <c r="AO43" s="23" t="n">
        <f aca="false">H43/F43</f>
        <v>3</v>
      </c>
      <c r="AP43" s="23" t="n">
        <f aca="false">AC43/SQRT(9.81*(F43/1000))</f>
        <v>119.728285652644</v>
      </c>
      <c r="AQ43" s="23" t="n">
        <f aca="false">(AE43*AC43*(F43/1000))/AD43</f>
        <v>1920</v>
      </c>
      <c r="AR43" s="23" t="n">
        <f aca="false">((T43*0.000001)^3*AE43*(U43-AE43)*9.81)/AD43^2</f>
        <v>0.0049663125</v>
      </c>
      <c r="AS43" s="23" t="n">
        <f aca="false">(U43*((T43/10^6)^2)/(18*AD43))*AC43/(F43/1000)</f>
        <v>0.146484375</v>
      </c>
      <c r="AT43" s="23" t="n">
        <f aca="false">AE43*(T43/10^6)*AC43/AD43</f>
        <v>45</v>
      </c>
      <c r="AU43" s="23" t="n">
        <f aca="false">(T43/10^6)/(F43/1000)</f>
        <v>0.0234375</v>
      </c>
      <c r="AV43" s="23" t="n">
        <f aca="false">AE43/U43</f>
        <v>0.4</v>
      </c>
      <c r="AW43" s="23" t="n">
        <f aca="false">(J43*10^9)/(K43*AC43^2)</f>
        <v>132.001836547291</v>
      </c>
      <c r="AX43" s="23" t="n">
        <f aca="false">V43</f>
        <v>0.0822320117474302</v>
      </c>
      <c r="AY43" s="23" t="n">
        <f aca="false">MAX(W43,1)</f>
        <v>1</v>
      </c>
      <c r="AZ43" s="23" t="n">
        <f aca="false">X43</f>
        <v>0.010847661489815</v>
      </c>
      <c r="BA43" s="24" t="n">
        <f aca="false">0.8*AZ43</f>
        <v>0.008678129191852</v>
      </c>
      <c r="BB43" s="24" t="n">
        <f aca="false">AZ43*1.2</f>
        <v>0.013017193787778</v>
      </c>
      <c r="BC43" s="0" t="str">
        <f aca="false">Z43</f>
        <v>https://www.sciencedirect.com/science/article/pii/S0043164815003749</v>
      </c>
    </row>
    <row r="44" customFormat="false" ht="12.8" hidden="false" customHeight="false" outlineLevel="0" collapsed="false">
      <c r="A44" s="1" t="n">
        <v>21</v>
      </c>
      <c r="B44" s="1" t="s">
        <v>48</v>
      </c>
      <c r="C44" s="1" t="s">
        <v>53</v>
      </c>
      <c r="D44" s="1" t="s">
        <v>54</v>
      </c>
      <c r="E44" s="11" t="n">
        <v>90</v>
      </c>
      <c r="F44" s="11" t="n">
        <v>6.4</v>
      </c>
      <c r="G44" s="26" t="n">
        <v>50</v>
      </c>
      <c r="H44" s="11" t="n">
        <f aca="false">3*F44</f>
        <v>19.2</v>
      </c>
      <c r="I44" s="27" t="s">
        <v>55</v>
      </c>
      <c r="J44" s="26" t="n">
        <f aca="false">((8+15)/2)/100</f>
        <v>0.115</v>
      </c>
      <c r="K44" s="28" t="n">
        <f aca="false">(886+1050)/2</f>
        <v>968</v>
      </c>
      <c r="L44" s="1" t="n">
        <v>0</v>
      </c>
      <c r="M44" s="1" t="n">
        <v>0</v>
      </c>
      <c r="N44" s="1" t="n">
        <v>0</v>
      </c>
      <c r="O44" s="11" t="n">
        <v>30</v>
      </c>
      <c r="P44" s="1" t="n">
        <v>1</v>
      </c>
      <c r="Q44" s="11" t="n">
        <v>1000</v>
      </c>
      <c r="R44" s="13" t="n">
        <f aca="false">(N44*L44+O44*Q44)/(L44+O44)</f>
        <v>1000</v>
      </c>
      <c r="S44" s="14" t="n">
        <f aca="false">(M44*L44+O44*P44*0.1)/(L44+O44)</f>
        <v>0.1</v>
      </c>
      <c r="T44" s="11" t="n">
        <v>150</v>
      </c>
      <c r="U44" s="28" t="n">
        <v>2500</v>
      </c>
      <c r="V44" s="16" t="n">
        <v>0.0822320117474302</v>
      </c>
      <c r="W44" s="11" t="n">
        <v>1</v>
      </c>
      <c r="X44" s="17" t="n">
        <v>0.00988700385814703</v>
      </c>
      <c r="Z44" s="29" t="s">
        <v>56</v>
      </c>
      <c r="AC44" s="18" t="n">
        <f aca="false">MAX(L44,O44)</f>
        <v>30</v>
      </c>
      <c r="AD44" s="17" t="n">
        <f aca="false">MAX(M44,P44*0.1)</f>
        <v>0.1</v>
      </c>
      <c r="AE44" s="1" t="n">
        <f aca="false">MAX(N44,Q44)</f>
        <v>1000</v>
      </c>
      <c r="AG44" s="16"/>
      <c r="AH44" s="19" t="n">
        <v>42</v>
      </c>
      <c r="AI44" s="20" t="str">
        <f aca="false">B44</f>
        <v>DI</v>
      </c>
      <c r="AJ44" s="20" t="str">
        <f aca="false">C44</f>
        <v>Liquid-Solid</v>
      </c>
      <c r="AK44" s="20" t="str">
        <f aca="false">D44</f>
        <v>V-H</v>
      </c>
      <c r="AL44" s="21" t="n">
        <f aca="false">E44</f>
        <v>90</v>
      </c>
      <c r="AM44" s="22" t="n">
        <v>1E-006</v>
      </c>
      <c r="AN44" s="23" t="n">
        <f aca="false">MAX(G44/(F44/1000),25000)</f>
        <v>25000</v>
      </c>
      <c r="AO44" s="23" t="n">
        <f aca="false">H44/F44</f>
        <v>3</v>
      </c>
      <c r="AP44" s="23" t="n">
        <f aca="false">AC44/SQRT(9.81*(F44/1000))</f>
        <v>119.728285652644</v>
      </c>
      <c r="AQ44" s="23" t="n">
        <f aca="false">(AE44*AC44*(F44/1000))/AD44</f>
        <v>1920</v>
      </c>
      <c r="AR44" s="23" t="n">
        <f aca="false">((T44*0.000001)^3*AE44*(U44-AE44)*9.81)/AD44^2</f>
        <v>0.0049663125</v>
      </c>
      <c r="AS44" s="23" t="n">
        <f aca="false">(U44*((T44/10^6)^2)/(18*AD44))*AC44/(F44/1000)</f>
        <v>0.146484375</v>
      </c>
      <c r="AT44" s="23" t="n">
        <f aca="false">AE44*(T44/10^6)*AC44/AD44</f>
        <v>45</v>
      </c>
      <c r="AU44" s="23" t="n">
        <f aca="false">(T44/10^6)/(F44/1000)</f>
        <v>0.0234375</v>
      </c>
      <c r="AV44" s="23" t="n">
        <f aca="false">AE44/U44</f>
        <v>0.4</v>
      </c>
      <c r="AW44" s="23" t="n">
        <f aca="false">(J44*10^9)/(K44*AC44^2)</f>
        <v>132.001836547291</v>
      </c>
      <c r="AX44" s="23" t="n">
        <f aca="false">V44</f>
        <v>0.0822320117474302</v>
      </c>
      <c r="AY44" s="23" t="n">
        <f aca="false">MAX(W44,1)</f>
        <v>1</v>
      </c>
      <c r="AZ44" s="23" t="n">
        <f aca="false">X44</f>
        <v>0.00988700385814703</v>
      </c>
      <c r="BA44" s="24" t="n">
        <f aca="false">0.8*AZ44</f>
        <v>0.00790960308651762</v>
      </c>
      <c r="BB44" s="24" t="n">
        <f aca="false">AZ44*1.2</f>
        <v>0.0118644046297764</v>
      </c>
      <c r="BC44" s="0" t="str">
        <f aca="false">Z44</f>
        <v>https://www.sciencedirect.com/science/article/pii/S0043164815003749</v>
      </c>
    </row>
    <row r="45" customFormat="false" ht="12.8" hidden="false" customHeight="false" outlineLevel="0" collapsed="false">
      <c r="A45" s="1" t="n">
        <v>22</v>
      </c>
      <c r="B45" s="1" t="s">
        <v>48</v>
      </c>
      <c r="C45" s="1" t="s">
        <v>53</v>
      </c>
      <c r="D45" s="1" t="s">
        <v>54</v>
      </c>
      <c r="E45" s="11" t="n">
        <v>90</v>
      </c>
      <c r="F45" s="11" t="n">
        <v>6.4</v>
      </c>
      <c r="G45" s="26" t="n">
        <v>50</v>
      </c>
      <c r="H45" s="11" t="n">
        <f aca="false">3*F45</f>
        <v>19.2</v>
      </c>
      <c r="I45" s="27" t="s">
        <v>55</v>
      </c>
      <c r="J45" s="26" t="n">
        <f aca="false">((8+15)/2)/100</f>
        <v>0.115</v>
      </c>
      <c r="K45" s="28" t="n">
        <f aca="false">(886+1050)/2</f>
        <v>968</v>
      </c>
      <c r="L45" s="1" t="n">
        <v>0</v>
      </c>
      <c r="M45" s="1" t="n">
        <v>0</v>
      </c>
      <c r="N45" s="1" t="n">
        <v>0</v>
      </c>
      <c r="O45" s="11" t="n">
        <v>30</v>
      </c>
      <c r="P45" s="1" t="n">
        <v>1</v>
      </c>
      <c r="Q45" s="11" t="n">
        <v>1000</v>
      </c>
      <c r="R45" s="13" t="n">
        <f aca="false">(N45*L45+O45*Q45)/(L45+O45)</f>
        <v>1000</v>
      </c>
      <c r="S45" s="14" t="n">
        <f aca="false">(M45*L45+O45*P45*0.1)/(L45+O45)</f>
        <v>0.1</v>
      </c>
      <c r="T45" s="11" t="n">
        <v>150</v>
      </c>
      <c r="U45" s="28" t="n">
        <v>2500</v>
      </c>
      <c r="V45" s="16" t="n">
        <v>0.0822320117474302</v>
      </c>
      <c r="W45" s="11" t="n">
        <v>1</v>
      </c>
      <c r="X45" s="17" t="n">
        <v>0.00951761795116681</v>
      </c>
      <c r="Z45" s="29" t="s">
        <v>56</v>
      </c>
      <c r="AC45" s="18" t="n">
        <f aca="false">MAX(L45,O45)</f>
        <v>30</v>
      </c>
      <c r="AD45" s="17" t="n">
        <f aca="false">MAX(M45,P45*0.1)</f>
        <v>0.1</v>
      </c>
      <c r="AE45" s="1" t="n">
        <f aca="false">MAX(N45,Q45)</f>
        <v>1000</v>
      </c>
      <c r="AG45" s="16"/>
      <c r="AH45" s="19" t="n">
        <v>43</v>
      </c>
      <c r="AI45" s="20" t="str">
        <f aca="false">B45</f>
        <v>DI</v>
      </c>
      <c r="AJ45" s="20" t="str">
        <f aca="false">C45</f>
        <v>Liquid-Solid</v>
      </c>
      <c r="AK45" s="20" t="str">
        <f aca="false">D45</f>
        <v>V-H</v>
      </c>
      <c r="AL45" s="21" t="n">
        <f aca="false">E45</f>
        <v>90</v>
      </c>
      <c r="AM45" s="22" t="n">
        <v>1E-006</v>
      </c>
      <c r="AN45" s="23" t="n">
        <f aca="false">MAX(G45/(F45/1000),25000)</f>
        <v>25000</v>
      </c>
      <c r="AO45" s="23" t="n">
        <f aca="false">H45/F45</f>
        <v>3</v>
      </c>
      <c r="AP45" s="23" t="n">
        <f aca="false">AC45/SQRT(9.81*(F45/1000))</f>
        <v>119.728285652644</v>
      </c>
      <c r="AQ45" s="23" t="n">
        <f aca="false">(AE45*AC45*(F45/1000))/AD45</f>
        <v>1920</v>
      </c>
      <c r="AR45" s="23" t="n">
        <f aca="false">((T45*0.000001)^3*AE45*(U45-AE45)*9.81)/AD45^2</f>
        <v>0.0049663125</v>
      </c>
      <c r="AS45" s="23" t="n">
        <f aca="false">(U45*((T45/10^6)^2)/(18*AD45))*AC45/(F45/1000)</f>
        <v>0.146484375</v>
      </c>
      <c r="AT45" s="23" t="n">
        <f aca="false">AE45*(T45/10^6)*AC45/AD45</f>
        <v>45</v>
      </c>
      <c r="AU45" s="23" t="n">
        <f aca="false">(T45/10^6)/(F45/1000)</f>
        <v>0.0234375</v>
      </c>
      <c r="AV45" s="23" t="n">
        <f aca="false">AE45/U45</f>
        <v>0.4</v>
      </c>
      <c r="AW45" s="23" t="n">
        <f aca="false">(J45*10^9)/(K45*AC45^2)</f>
        <v>132.001836547291</v>
      </c>
      <c r="AX45" s="23" t="n">
        <f aca="false">V45</f>
        <v>0.0822320117474302</v>
      </c>
      <c r="AY45" s="23" t="n">
        <f aca="false">MAX(W45,1)</f>
        <v>1</v>
      </c>
      <c r="AZ45" s="23" t="n">
        <f aca="false">X45</f>
        <v>0.00951761795116681</v>
      </c>
      <c r="BA45" s="24" t="n">
        <f aca="false">0.8*AZ45</f>
        <v>0.00761409436093345</v>
      </c>
      <c r="BB45" s="24" t="n">
        <f aca="false">AZ45*1.2</f>
        <v>0.0114211415414002</v>
      </c>
      <c r="BC45" s="0" t="str">
        <f aca="false">Z45</f>
        <v>https://www.sciencedirect.com/science/article/pii/S0043164815003749</v>
      </c>
    </row>
    <row r="46" customFormat="false" ht="12.8" hidden="false" customHeight="false" outlineLevel="0" collapsed="false">
      <c r="A46" s="1" t="n">
        <v>23</v>
      </c>
      <c r="B46" s="1" t="s">
        <v>48</v>
      </c>
      <c r="C46" s="1" t="s">
        <v>53</v>
      </c>
      <c r="D46" s="1" t="s">
        <v>54</v>
      </c>
      <c r="E46" s="11" t="n">
        <v>90</v>
      </c>
      <c r="F46" s="11" t="n">
        <v>6.4</v>
      </c>
      <c r="G46" s="26" t="n">
        <v>50</v>
      </c>
      <c r="H46" s="11" t="n">
        <f aca="false">3*F46</f>
        <v>19.2</v>
      </c>
      <c r="I46" s="27" t="s">
        <v>55</v>
      </c>
      <c r="J46" s="26" t="n">
        <f aca="false">((8+15)/2)/100</f>
        <v>0.115</v>
      </c>
      <c r="K46" s="28" t="n">
        <f aca="false">(886+1050)/2</f>
        <v>968</v>
      </c>
      <c r="L46" s="1" t="n">
        <v>0</v>
      </c>
      <c r="M46" s="1" t="n">
        <v>0</v>
      </c>
      <c r="N46" s="1" t="n">
        <v>0</v>
      </c>
      <c r="O46" s="11" t="n">
        <v>30</v>
      </c>
      <c r="P46" s="1" t="n">
        <v>1</v>
      </c>
      <c r="Q46" s="11" t="n">
        <v>1000</v>
      </c>
      <c r="R46" s="13" t="n">
        <f aca="false">(N46*L46+O46*Q46)/(L46+O46)</f>
        <v>1000</v>
      </c>
      <c r="S46" s="14" t="n">
        <f aca="false">(M46*L46+O46*P46*0.1)/(L46+O46)</f>
        <v>0.1</v>
      </c>
      <c r="T46" s="11" t="n">
        <v>150</v>
      </c>
      <c r="U46" s="28" t="n">
        <v>2500</v>
      </c>
      <c r="V46" s="16" t="n">
        <v>0.0822320117474302</v>
      </c>
      <c r="W46" s="11" t="n">
        <v>1</v>
      </c>
      <c r="X46" s="17" t="n">
        <v>0.00974836386131074</v>
      </c>
      <c r="Z46" s="29" t="s">
        <v>56</v>
      </c>
      <c r="AC46" s="18" t="n">
        <f aca="false">MAX(L46,O46)</f>
        <v>30</v>
      </c>
      <c r="AD46" s="17" t="n">
        <f aca="false">MAX(M46,P46*0.1)</f>
        <v>0.1</v>
      </c>
      <c r="AE46" s="1" t="n">
        <f aca="false">MAX(N46,Q46)</f>
        <v>1000</v>
      </c>
      <c r="AG46" s="16"/>
      <c r="AH46" s="19" t="n">
        <v>44</v>
      </c>
      <c r="AI46" s="20" t="str">
        <f aca="false">B46</f>
        <v>DI</v>
      </c>
      <c r="AJ46" s="20" t="str">
        <f aca="false">C46</f>
        <v>Liquid-Solid</v>
      </c>
      <c r="AK46" s="20" t="str">
        <f aca="false">D46</f>
        <v>V-H</v>
      </c>
      <c r="AL46" s="21" t="n">
        <f aca="false">E46</f>
        <v>90</v>
      </c>
      <c r="AM46" s="22" t="n">
        <v>1E-006</v>
      </c>
      <c r="AN46" s="23" t="n">
        <f aca="false">MAX(G46/(F46/1000),25000)</f>
        <v>25000</v>
      </c>
      <c r="AO46" s="23" t="n">
        <f aca="false">H46/F46</f>
        <v>3</v>
      </c>
      <c r="AP46" s="23" t="n">
        <f aca="false">AC46/SQRT(9.81*(F46/1000))</f>
        <v>119.728285652644</v>
      </c>
      <c r="AQ46" s="23" t="n">
        <f aca="false">(AE46*AC46*(F46/1000))/AD46</f>
        <v>1920</v>
      </c>
      <c r="AR46" s="23" t="n">
        <f aca="false">((T46*0.000001)^3*AE46*(U46-AE46)*9.81)/AD46^2</f>
        <v>0.0049663125</v>
      </c>
      <c r="AS46" s="23" t="n">
        <f aca="false">(U46*((T46/10^6)^2)/(18*AD46))*AC46/(F46/1000)</f>
        <v>0.146484375</v>
      </c>
      <c r="AT46" s="23" t="n">
        <f aca="false">AE46*(T46/10^6)*AC46/AD46</f>
        <v>45</v>
      </c>
      <c r="AU46" s="23" t="n">
        <f aca="false">(T46/10^6)/(F46/1000)</f>
        <v>0.0234375</v>
      </c>
      <c r="AV46" s="23" t="n">
        <f aca="false">AE46/U46</f>
        <v>0.4</v>
      </c>
      <c r="AW46" s="23" t="n">
        <f aca="false">(J46*10^9)/(K46*AC46^2)</f>
        <v>132.001836547291</v>
      </c>
      <c r="AX46" s="23" t="n">
        <f aca="false">V46</f>
        <v>0.0822320117474302</v>
      </c>
      <c r="AY46" s="23" t="n">
        <f aca="false">MAX(W46,1)</f>
        <v>1</v>
      </c>
      <c r="AZ46" s="23" t="n">
        <f aca="false">X46</f>
        <v>0.00974836386131074</v>
      </c>
      <c r="BA46" s="24" t="n">
        <f aca="false">0.8*AZ46</f>
        <v>0.00779869108904859</v>
      </c>
      <c r="BB46" s="24" t="n">
        <f aca="false">AZ46*1.2</f>
        <v>0.0116980366335729</v>
      </c>
      <c r="BC46" s="0" t="str">
        <f aca="false">Z46</f>
        <v>https://www.sciencedirect.com/science/article/pii/S0043164815003749</v>
      </c>
    </row>
    <row r="47" customFormat="false" ht="12.8" hidden="false" customHeight="false" outlineLevel="0" collapsed="false">
      <c r="A47" s="1" t="n">
        <v>24</v>
      </c>
      <c r="B47" s="1" t="s">
        <v>48</v>
      </c>
      <c r="C47" s="1" t="s">
        <v>53</v>
      </c>
      <c r="D47" s="1" t="s">
        <v>54</v>
      </c>
      <c r="E47" s="11" t="n">
        <v>90</v>
      </c>
      <c r="F47" s="11" t="n">
        <v>6.4</v>
      </c>
      <c r="G47" s="26" t="n">
        <v>50</v>
      </c>
      <c r="H47" s="11" t="n">
        <f aca="false">3*F47</f>
        <v>19.2</v>
      </c>
      <c r="I47" s="27" t="s">
        <v>55</v>
      </c>
      <c r="J47" s="26" t="n">
        <f aca="false">((8+15)/2)/100</f>
        <v>0.115</v>
      </c>
      <c r="K47" s="28" t="n">
        <f aca="false">(886+1050)/2</f>
        <v>968</v>
      </c>
      <c r="L47" s="1" t="n">
        <v>0</v>
      </c>
      <c r="M47" s="1" t="n">
        <v>0</v>
      </c>
      <c r="N47" s="1" t="n">
        <v>0</v>
      </c>
      <c r="O47" s="11" t="n">
        <v>30</v>
      </c>
      <c r="P47" s="1" t="n">
        <v>1</v>
      </c>
      <c r="Q47" s="11" t="n">
        <v>1000</v>
      </c>
      <c r="R47" s="13" t="n">
        <f aca="false">(N47*L47+O47*Q47)/(L47+O47)</f>
        <v>1000</v>
      </c>
      <c r="S47" s="14" t="n">
        <f aca="false">(M47*L47+O47*P47*0.1)/(L47+O47)</f>
        <v>0.1</v>
      </c>
      <c r="T47" s="11" t="n">
        <v>150</v>
      </c>
      <c r="U47" s="28" t="n">
        <v>2500</v>
      </c>
      <c r="V47" s="16" t="n">
        <v>0.0822320117474302</v>
      </c>
      <c r="W47" s="11" t="n">
        <v>1</v>
      </c>
      <c r="X47" s="17" t="n">
        <v>0.00940854794333271</v>
      </c>
      <c r="Z47" s="29" t="s">
        <v>56</v>
      </c>
      <c r="AC47" s="18" t="n">
        <f aca="false">MAX(L47,O47)</f>
        <v>30</v>
      </c>
      <c r="AD47" s="17" t="n">
        <f aca="false">MAX(M47,P47*0.1)</f>
        <v>0.1</v>
      </c>
      <c r="AE47" s="1" t="n">
        <f aca="false">MAX(N47,Q47)</f>
        <v>1000</v>
      </c>
      <c r="AG47" s="16"/>
      <c r="AH47" s="19" t="n">
        <v>45</v>
      </c>
      <c r="AI47" s="20" t="str">
        <f aca="false">B47</f>
        <v>DI</v>
      </c>
      <c r="AJ47" s="20" t="str">
        <f aca="false">C47</f>
        <v>Liquid-Solid</v>
      </c>
      <c r="AK47" s="20" t="str">
        <f aca="false">D47</f>
        <v>V-H</v>
      </c>
      <c r="AL47" s="21" t="n">
        <f aca="false">E47</f>
        <v>90</v>
      </c>
      <c r="AM47" s="22" t="n">
        <v>1E-006</v>
      </c>
      <c r="AN47" s="23" t="n">
        <f aca="false">MAX(G47/(F47/1000),25000)</f>
        <v>25000</v>
      </c>
      <c r="AO47" s="23" t="n">
        <f aca="false">H47/F47</f>
        <v>3</v>
      </c>
      <c r="AP47" s="23" t="n">
        <f aca="false">AC47/SQRT(9.81*(F47/1000))</f>
        <v>119.728285652644</v>
      </c>
      <c r="AQ47" s="23" t="n">
        <f aca="false">(AE47*AC47*(F47/1000))/AD47</f>
        <v>1920</v>
      </c>
      <c r="AR47" s="23" t="n">
        <f aca="false">((T47*0.000001)^3*AE47*(U47-AE47)*9.81)/AD47^2</f>
        <v>0.0049663125</v>
      </c>
      <c r="AS47" s="23" t="n">
        <f aca="false">(U47*((T47/10^6)^2)/(18*AD47))*AC47/(F47/1000)</f>
        <v>0.146484375</v>
      </c>
      <c r="AT47" s="23" t="n">
        <f aca="false">AE47*(T47/10^6)*AC47/AD47</f>
        <v>45</v>
      </c>
      <c r="AU47" s="23" t="n">
        <f aca="false">(T47/10^6)/(F47/1000)</f>
        <v>0.0234375</v>
      </c>
      <c r="AV47" s="23" t="n">
        <f aca="false">AE47/U47</f>
        <v>0.4</v>
      </c>
      <c r="AW47" s="23" t="n">
        <f aca="false">(J47*10^9)/(K47*AC47^2)</f>
        <v>132.001836547291</v>
      </c>
      <c r="AX47" s="23" t="n">
        <f aca="false">V47</f>
        <v>0.0822320117474302</v>
      </c>
      <c r="AY47" s="23" t="n">
        <f aca="false">MAX(W47,1)</f>
        <v>1</v>
      </c>
      <c r="AZ47" s="23" t="n">
        <f aca="false">X47</f>
        <v>0.00940854794333271</v>
      </c>
      <c r="BA47" s="24" t="n">
        <f aca="false">0.8*AZ47</f>
        <v>0.00752683835466617</v>
      </c>
      <c r="BB47" s="24" t="n">
        <f aca="false">AZ47*1.2</f>
        <v>0.0112902575319993</v>
      </c>
      <c r="BC47" s="0" t="str">
        <f aca="false">Z47</f>
        <v>https://www.sciencedirect.com/science/article/pii/S0043164815003749</v>
      </c>
    </row>
    <row r="48" customFormat="false" ht="12.8" hidden="false" customHeight="false" outlineLevel="0" collapsed="false">
      <c r="A48" s="1" t="n">
        <v>25</v>
      </c>
      <c r="B48" s="1" t="s">
        <v>48</v>
      </c>
      <c r="C48" s="1" t="s">
        <v>53</v>
      </c>
      <c r="D48" s="1" t="s">
        <v>54</v>
      </c>
      <c r="E48" s="11" t="n">
        <v>90</v>
      </c>
      <c r="F48" s="11" t="n">
        <v>6.4</v>
      </c>
      <c r="G48" s="26" t="n">
        <v>50</v>
      </c>
      <c r="H48" s="11" t="n">
        <f aca="false">3*F48</f>
        <v>19.2</v>
      </c>
      <c r="I48" s="27" t="s">
        <v>55</v>
      </c>
      <c r="J48" s="26" t="n">
        <f aca="false">((8+15)/2)/100</f>
        <v>0.115</v>
      </c>
      <c r="K48" s="28" t="n">
        <f aca="false">(886+1050)/2</f>
        <v>968</v>
      </c>
      <c r="L48" s="1" t="n">
        <v>0</v>
      </c>
      <c r="M48" s="1" t="n">
        <v>0</v>
      </c>
      <c r="N48" s="1" t="n">
        <v>0</v>
      </c>
      <c r="O48" s="11" t="n">
        <v>30</v>
      </c>
      <c r="P48" s="1" t="n">
        <v>1</v>
      </c>
      <c r="Q48" s="11" t="n">
        <v>1000</v>
      </c>
      <c r="R48" s="13" t="n">
        <f aca="false">(N48*L48+O48*Q48)/(L48+O48)</f>
        <v>1000</v>
      </c>
      <c r="S48" s="14" t="n">
        <f aca="false">(M48*L48+O48*P48*0.1)/(L48+O48)</f>
        <v>0.1</v>
      </c>
      <c r="T48" s="11" t="n">
        <v>150</v>
      </c>
      <c r="U48" s="28" t="n">
        <v>2500</v>
      </c>
      <c r="V48" s="16" t="n">
        <v>0.0822320117474302</v>
      </c>
      <c r="W48" s="11" t="n">
        <v>1</v>
      </c>
      <c r="X48" s="17" t="n">
        <v>0.0102331707025053</v>
      </c>
      <c r="Z48" s="29" t="s">
        <v>56</v>
      </c>
      <c r="AC48" s="18" t="n">
        <f aca="false">MAX(L48,O48)</f>
        <v>30</v>
      </c>
      <c r="AD48" s="17" t="n">
        <f aca="false">MAX(M48,P48*0.1)</f>
        <v>0.1</v>
      </c>
      <c r="AE48" s="1" t="n">
        <f aca="false">MAX(N48,Q48)</f>
        <v>1000</v>
      </c>
      <c r="AG48" s="16"/>
      <c r="AH48" s="19" t="n">
        <v>46</v>
      </c>
      <c r="AI48" s="20" t="str">
        <f aca="false">B48</f>
        <v>DI</v>
      </c>
      <c r="AJ48" s="20" t="str">
        <f aca="false">C48</f>
        <v>Liquid-Solid</v>
      </c>
      <c r="AK48" s="20" t="str">
        <f aca="false">D48</f>
        <v>V-H</v>
      </c>
      <c r="AL48" s="21" t="n">
        <f aca="false">E48</f>
        <v>90</v>
      </c>
      <c r="AM48" s="22" t="n">
        <v>1E-006</v>
      </c>
      <c r="AN48" s="23" t="n">
        <f aca="false">MAX(G48/(F48/1000),25000)</f>
        <v>25000</v>
      </c>
      <c r="AO48" s="23" t="n">
        <f aca="false">H48/F48</f>
        <v>3</v>
      </c>
      <c r="AP48" s="23" t="n">
        <f aca="false">AC48/SQRT(9.81*(F48/1000))</f>
        <v>119.728285652644</v>
      </c>
      <c r="AQ48" s="23" t="n">
        <f aca="false">(AE48*AC48*(F48/1000))/AD48</f>
        <v>1920</v>
      </c>
      <c r="AR48" s="23" t="n">
        <f aca="false">((T48*0.000001)^3*AE48*(U48-AE48)*9.81)/AD48^2</f>
        <v>0.0049663125</v>
      </c>
      <c r="AS48" s="23" t="n">
        <f aca="false">(U48*((T48/10^6)^2)/(18*AD48))*AC48/(F48/1000)</f>
        <v>0.146484375</v>
      </c>
      <c r="AT48" s="23" t="n">
        <f aca="false">AE48*(T48/10^6)*AC48/AD48</f>
        <v>45</v>
      </c>
      <c r="AU48" s="23" t="n">
        <f aca="false">(T48/10^6)/(F48/1000)</f>
        <v>0.0234375</v>
      </c>
      <c r="AV48" s="23" t="n">
        <f aca="false">AE48/U48</f>
        <v>0.4</v>
      </c>
      <c r="AW48" s="23" t="n">
        <f aca="false">(J48*10^9)/(K48*AC48^2)</f>
        <v>132.001836547291</v>
      </c>
      <c r="AX48" s="23" t="n">
        <f aca="false">V48</f>
        <v>0.0822320117474302</v>
      </c>
      <c r="AY48" s="23" t="n">
        <f aca="false">MAX(W48,1)</f>
        <v>1</v>
      </c>
      <c r="AZ48" s="23" t="n">
        <f aca="false">X48</f>
        <v>0.0102331707025053</v>
      </c>
      <c r="BA48" s="24" t="n">
        <f aca="false">0.8*AZ48</f>
        <v>0.00818653656200424</v>
      </c>
      <c r="BB48" s="24" t="n">
        <f aca="false">AZ48*1.2</f>
        <v>0.0122798048430064</v>
      </c>
      <c r="BC48" s="0" t="str">
        <f aca="false">Z48</f>
        <v>https://www.sciencedirect.com/science/article/pii/S0043164815003749</v>
      </c>
    </row>
    <row r="49" customFormat="false" ht="12.8" hidden="false" customHeight="false" outlineLevel="0" collapsed="false">
      <c r="A49" s="1" t="n">
        <v>26</v>
      </c>
      <c r="B49" s="1" t="s">
        <v>48</v>
      </c>
      <c r="C49" s="1" t="s">
        <v>53</v>
      </c>
      <c r="D49" s="1" t="s">
        <v>54</v>
      </c>
      <c r="E49" s="11" t="n">
        <v>90</v>
      </c>
      <c r="F49" s="11" t="n">
        <v>6.4</v>
      </c>
      <c r="G49" s="26" t="n">
        <v>50</v>
      </c>
      <c r="H49" s="11" t="n">
        <f aca="false">5.2*F49</f>
        <v>33.28</v>
      </c>
      <c r="I49" s="27" t="s">
        <v>55</v>
      </c>
      <c r="J49" s="26" t="n">
        <f aca="false">((8+15)/2)/100</f>
        <v>0.115</v>
      </c>
      <c r="K49" s="28" t="n">
        <f aca="false">(886+1050)/2</f>
        <v>968</v>
      </c>
      <c r="L49" s="1" t="n">
        <v>0</v>
      </c>
      <c r="M49" s="1" t="n">
        <v>0</v>
      </c>
      <c r="N49" s="1" t="n">
        <v>0</v>
      </c>
      <c r="O49" s="11" t="n">
        <v>30</v>
      </c>
      <c r="P49" s="1" t="n">
        <v>1</v>
      </c>
      <c r="Q49" s="11" t="n">
        <v>1000</v>
      </c>
      <c r="R49" s="13" t="n">
        <f aca="false">(N49*L49+O49*Q49)/(L49+O49)</f>
        <v>1000</v>
      </c>
      <c r="S49" s="14" t="n">
        <f aca="false">(M49*L49+O49*P49*0.1)/(L49+O49)</f>
        <v>0.1</v>
      </c>
      <c r="T49" s="11" t="n">
        <v>150</v>
      </c>
      <c r="U49" s="28" t="n">
        <v>2500</v>
      </c>
      <c r="V49" s="16" t="n">
        <v>0.0340030911901082</v>
      </c>
      <c r="W49" s="11" t="n">
        <v>1</v>
      </c>
      <c r="X49" s="17" t="n">
        <v>0.0142666853898783</v>
      </c>
      <c r="Z49" s="29" t="s">
        <v>56</v>
      </c>
      <c r="AC49" s="18" t="n">
        <f aca="false">MAX(L49,O49)</f>
        <v>30</v>
      </c>
      <c r="AD49" s="17" t="n">
        <f aca="false">MAX(M49,P49*0.1)</f>
        <v>0.1</v>
      </c>
      <c r="AE49" s="1" t="n">
        <f aca="false">MAX(N49,Q49)</f>
        <v>1000</v>
      </c>
      <c r="AG49" s="16"/>
      <c r="AH49" s="19" t="n">
        <v>47</v>
      </c>
      <c r="AI49" s="20" t="str">
        <f aca="false">B49</f>
        <v>DI</v>
      </c>
      <c r="AJ49" s="20" t="str">
        <f aca="false">C49</f>
        <v>Liquid-Solid</v>
      </c>
      <c r="AK49" s="20" t="str">
        <f aca="false">D49</f>
        <v>V-H</v>
      </c>
      <c r="AL49" s="21" t="n">
        <f aca="false">E49</f>
        <v>90</v>
      </c>
      <c r="AM49" s="22" t="n">
        <v>1E-006</v>
      </c>
      <c r="AN49" s="23" t="n">
        <f aca="false">MAX(G49/(F49/1000),25000)</f>
        <v>25000</v>
      </c>
      <c r="AO49" s="23" t="n">
        <f aca="false">H49/F49</f>
        <v>5.2</v>
      </c>
      <c r="AP49" s="23" t="n">
        <f aca="false">AC49/SQRT(9.81*(F49/1000))</f>
        <v>119.728285652644</v>
      </c>
      <c r="AQ49" s="23" t="n">
        <f aca="false">(AE49*AC49*(F49/1000))/AD49</f>
        <v>1920</v>
      </c>
      <c r="AR49" s="23" t="n">
        <f aca="false">((T49*0.000001)^3*AE49*(U49-AE49)*9.81)/AD49^2</f>
        <v>0.0049663125</v>
      </c>
      <c r="AS49" s="23" t="n">
        <f aca="false">(U49*((T49/10^6)^2)/(18*AD49))*AC49/(F49/1000)</f>
        <v>0.146484375</v>
      </c>
      <c r="AT49" s="23" t="n">
        <f aca="false">AE49*(T49/10^6)*AC49/AD49</f>
        <v>45</v>
      </c>
      <c r="AU49" s="23" t="n">
        <f aca="false">(T49/10^6)/(F49/1000)</f>
        <v>0.0234375</v>
      </c>
      <c r="AV49" s="23" t="n">
        <f aca="false">AE49/U49</f>
        <v>0.4</v>
      </c>
      <c r="AW49" s="23" t="n">
        <f aca="false">(J49*10^9)/(K49*AC49^2)</f>
        <v>132.001836547291</v>
      </c>
      <c r="AX49" s="23" t="n">
        <f aca="false">V49</f>
        <v>0.0340030911901082</v>
      </c>
      <c r="AY49" s="23" t="n">
        <f aca="false">MAX(W49,1)</f>
        <v>1</v>
      </c>
      <c r="AZ49" s="23" t="n">
        <f aca="false">X49</f>
        <v>0.0142666853898783</v>
      </c>
      <c r="BA49" s="24" t="n">
        <f aca="false">0.8*AZ49</f>
        <v>0.0114133483119026</v>
      </c>
      <c r="BB49" s="24" t="n">
        <f aca="false">AZ49*1.2</f>
        <v>0.017120022467854</v>
      </c>
      <c r="BC49" s="0" t="str">
        <f aca="false">Z49</f>
        <v>https://www.sciencedirect.com/science/article/pii/S0043164815003749</v>
      </c>
    </row>
    <row r="50" customFormat="false" ht="12.8" hidden="false" customHeight="false" outlineLevel="0" collapsed="false">
      <c r="A50" s="1" t="n">
        <v>27</v>
      </c>
      <c r="B50" s="1" t="s">
        <v>48</v>
      </c>
      <c r="C50" s="1" t="s">
        <v>53</v>
      </c>
      <c r="D50" s="1" t="s">
        <v>54</v>
      </c>
      <c r="E50" s="11" t="n">
        <v>90</v>
      </c>
      <c r="F50" s="11" t="n">
        <v>6.4</v>
      </c>
      <c r="G50" s="26" t="n">
        <v>50</v>
      </c>
      <c r="H50" s="11" t="n">
        <f aca="false">5.2*F50</f>
        <v>33.28</v>
      </c>
      <c r="I50" s="27" t="s">
        <v>55</v>
      </c>
      <c r="J50" s="26" t="n">
        <f aca="false">((8+15)/2)/100</f>
        <v>0.115</v>
      </c>
      <c r="K50" s="28" t="n">
        <f aca="false">(886+1050)/2</f>
        <v>968</v>
      </c>
      <c r="L50" s="1" t="n">
        <v>0</v>
      </c>
      <c r="M50" s="1" t="n">
        <v>0</v>
      </c>
      <c r="N50" s="1" t="n">
        <v>0</v>
      </c>
      <c r="O50" s="11" t="n">
        <v>30</v>
      </c>
      <c r="P50" s="1" t="n">
        <v>1</v>
      </c>
      <c r="Q50" s="11" t="n">
        <v>1000</v>
      </c>
      <c r="R50" s="13" t="n">
        <f aca="false">(N50*L50+O50*Q50)/(L50+O50)</f>
        <v>1000</v>
      </c>
      <c r="S50" s="14" t="n">
        <f aca="false">(M50*L50+O50*P50*0.1)/(L50+O50)</f>
        <v>0.1</v>
      </c>
      <c r="T50" s="11" t="n">
        <v>150</v>
      </c>
      <c r="U50" s="28" t="n">
        <v>2500</v>
      </c>
      <c r="V50" s="16" t="n">
        <v>0.0340030911901082</v>
      </c>
      <c r="W50" s="11" t="n">
        <v>1</v>
      </c>
      <c r="X50" s="17" t="n">
        <v>0.0121547302478914</v>
      </c>
      <c r="Z50" s="29" t="s">
        <v>56</v>
      </c>
      <c r="AC50" s="18" t="n">
        <f aca="false">MAX(L50,O50)</f>
        <v>30</v>
      </c>
      <c r="AD50" s="17" t="n">
        <f aca="false">MAX(M50,P50*0.1)</f>
        <v>0.1</v>
      </c>
      <c r="AE50" s="1" t="n">
        <f aca="false">MAX(N50,Q50)</f>
        <v>1000</v>
      </c>
      <c r="AG50" s="16"/>
      <c r="AH50" s="19" t="n">
        <v>48</v>
      </c>
      <c r="AI50" s="20" t="str">
        <f aca="false">B50</f>
        <v>DI</v>
      </c>
      <c r="AJ50" s="20" t="str">
        <f aca="false">C50</f>
        <v>Liquid-Solid</v>
      </c>
      <c r="AK50" s="20" t="str">
        <f aca="false">D50</f>
        <v>V-H</v>
      </c>
      <c r="AL50" s="21" t="n">
        <f aca="false">E50</f>
        <v>90</v>
      </c>
      <c r="AM50" s="22" t="n">
        <v>1E-006</v>
      </c>
      <c r="AN50" s="23" t="n">
        <f aca="false">MAX(G50/(F50/1000),25000)</f>
        <v>25000</v>
      </c>
      <c r="AO50" s="23" t="n">
        <f aca="false">H50/F50</f>
        <v>5.2</v>
      </c>
      <c r="AP50" s="23" t="n">
        <f aca="false">AC50/SQRT(9.81*(F50/1000))</f>
        <v>119.728285652644</v>
      </c>
      <c r="AQ50" s="23" t="n">
        <f aca="false">(AE50*AC50*(F50/1000))/AD50</f>
        <v>1920</v>
      </c>
      <c r="AR50" s="23" t="n">
        <f aca="false">((T50*0.000001)^3*AE50*(U50-AE50)*9.81)/AD50^2</f>
        <v>0.0049663125</v>
      </c>
      <c r="AS50" s="23" t="n">
        <f aca="false">(U50*((T50/10^6)^2)/(18*AD50))*AC50/(F50/1000)</f>
        <v>0.146484375</v>
      </c>
      <c r="AT50" s="23" t="n">
        <f aca="false">AE50*(T50/10^6)*AC50/AD50</f>
        <v>45</v>
      </c>
      <c r="AU50" s="23" t="n">
        <f aca="false">(T50/10^6)/(F50/1000)</f>
        <v>0.0234375</v>
      </c>
      <c r="AV50" s="23" t="n">
        <f aca="false">AE50/U50</f>
        <v>0.4</v>
      </c>
      <c r="AW50" s="23" t="n">
        <f aca="false">(J50*10^9)/(K50*AC50^2)</f>
        <v>132.001836547291</v>
      </c>
      <c r="AX50" s="23" t="n">
        <f aca="false">V50</f>
        <v>0.0340030911901082</v>
      </c>
      <c r="AY50" s="23" t="n">
        <f aca="false">MAX(W50,1)</f>
        <v>1</v>
      </c>
      <c r="AZ50" s="23" t="n">
        <f aca="false">X50</f>
        <v>0.0121547302478914</v>
      </c>
      <c r="BA50" s="24" t="n">
        <f aca="false">0.8*AZ50</f>
        <v>0.00972378419831312</v>
      </c>
      <c r="BB50" s="24" t="n">
        <f aca="false">AZ50*1.2</f>
        <v>0.0145856762974697</v>
      </c>
      <c r="BC50" s="0" t="str">
        <f aca="false">Z50</f>
        <v>https://www.sciencedirect.com/science/article/pii/S0043164815003749</v>
      </c>
    </row>
    <row r="51" customFormat="false" ht="12.8" hidden="false" customHeight="false" outlineLevel="0" collapsed="false">
      <c r="A51" s="1" t="n">
        <v>28</v>
      </c>
      <c r="B51" s="1" t="s">
        <v>48</v>
      </c>
      <c r="C51" s="1" t="s">
        <v>53</v>
      </c>
      <c r="D51" s="1" t="s">
        <v>54</v>
      </c>
      <c r="E51" s="11" t="n">
        <v>90</v>
      </c>
      <c r="F51" s="11" t="n">
        <v>6.4</v>
      </c>
      <c r="G51" s="26" t="n">
        <v>50</v>
      </c>
      <c r="H51" s="11" t="n">
        <f aca="false">5.2*F51</f>
        <v>33.28</v>
      </c>
      <c r="I51" s="27" t="s">
        <v>55</v>
      </c>
      <c r="J51" s="26" t="n">
        <f aca="false">((8+15)/2)/100</f>
        <v>0.115</v>
      </c>
      <c r="K51" s="28" t="n">
        <f aca="false">(886+1050)/2</f>
        <v>968</v>
      </c>
      <c r="L51" s="1" t="n">
        <v>0</v>
      </c>
      <c r="M51" s="1" t="n">
        <v>0</v>
      </c>
      <c r="N51" s="1" t="n">
        <v>0</v>
      </c>
      <c r="O51" s="11" t="n">
        <v>30</v>
      </c>
      <c r="P51" s="1" t="n">
        <v>1</v>
      </c>
      <c r="Q51" s="11" t="n">
        <v>1000</v>
      </c>
      <c r="R51" s="13" t="n">
        <f aca="false">(N51*L51+O51*Q51)/(L51+O51)</f>
        <v>1000</v>
      </c>
      <c r="S51" s="14" t="n">
        <f aca="false">(M51*L51+O51*P51*0.1)/(L51+O51)</f>
        <v>0.1</v>
      </c>
      <c r="T51" s="11" t="n">
        <v>150</v>
      </c>
      <c r="U51" s="28" t="n">
        <v>2500</v>
      </c>
      <c r="V51" s="16" t="n">
        <v>0.0340030911901082</v>
      </c>
      <c r="W51" s="11" t="n">
        <v>1</v>
      </c>
      <c r="X51" s="17" t="n">
        <v>0.0119190279090198</v>
      </c>
      <c r="Z51" s="29" t="s">
        <v>56</v>
      </c>
      <c r="AC51" s="18" t="n">
        <f aca="false">MAX(L51,O51)</f>
        <v>30</v>
      </c>
      <c r="AD51" s="17" t="n">
        <f aca="false">MAX(M51,P51*0.1)</f>
        <v>0.1</v>
      </c>
      <c r="AE51" s="1" t="n">
        <f aca="false">MAX(N51,Q51)</f>
        <v>1000</v>
      </c>
      <c r="AG51" s="16"/>
      <c r="AH51" s="19" t="n">
        <v>49</v>
      </c>
      <c r="AI51" s="20" t="str">
        <f aca="false">B51</f>
        <v>DI</v>
      </c>
      <c r="AJ51" s="20" t="str">
        <f aca="false">C51</f>
        <v>Liquid-Solid</v>
      </c>
      <c r="AK51" s="20" t="str">
        <f aca="false">D51</f>
        <v>V-H</v>
      </c>
      <c r="AL51" s="21" t="n">
        <f aca="false">E51</f>
        <v>90</v>
      </c>
      <c r="AM51" s="22" t="n">
        <v>1E-006</v>
      </c>
      <c r="AN51" s="23" t="n">
        <f aca="false">MAX(G51/(F51/1000),25000)</f>
        <v>25000</v>
      </c>
      <c r="AO51" s="23" t="n">
        <f aca="false">H51/F51</f>
        <v>5.2</v>
      </c>
      <c r="AP51" s="23" t="n">
        <f aca="false">AC51/SQRT(9.81*(F51/1000))</f>
        <v>119.728285652644</v>
      </c>
      <c r="AQ51" s="23" t="n">
        <f aca="false">(AE51*AC51*(F51/1000))/AD51</f>
        <v>1920</v>
      </c>
      <c r="AR51" s="23" t="n">
        <f aca="false">((T51*0.000001)^3*AE51*(U51-AE51)*9.81)/AD51^2</f>
        <v>0.0049663125</v>
      </c>
      <c r="AS51" s="23" t="n">
        <f aca="false">(U51*((T51/10^6)^2)/(18*AD51))*AC51/(F51/1000)</f>
        <v>0.146484375</v>
      </c>
      <c r="AT51" s="23" t="n">
        <f aca="false">AE51*(T51/10^6)*AC51/AD51</f>
        <v>45</v>
      </c>
      <c r="AU51" s="23" t="n">
        <f aca="false">(T51/10^6)/(F51/1000)</f>
        <v>0.0234375</v>
      </c>
      <c r="AV51" s="23" t="n">
        <f aca="false">AE51/U51</f>
        <v>0.4</v>
      </c>
      <c r="AW51" s="23" t="n">
        <f aca="false">(J51*10^9)/(K51*AC51^2)</f>
        <v>132.001836547291</v>
      </c>
      <c r="AX51" s="23" t="n">
        <f aca="false">V51</f>
        <v>0.0340030911901082</v>
      </c>
      <c r="AY51" s="23" t="n">
        <f aca="false">MAX(W51,1)</f>
        <v>1</v>
      </c>
      <c r="AZ51" s="23" t="n">
        <f aca="false">X51</f>
        <v>0.0119190279090198</v>
      </c>
      <c r="BA51" s="24" t="n">
        <f aca="false">0.8*AZ51</f>
        <v>0.00953522232721584</v>
      </c>
      <c r="BB51" s="24" t="n">
        <f aca="false">AZ51*1.2</f>
        <v>0.0143028334908238</v>
      </c>
      <c r="BC51" s="0" t="str">
        <f aca="false">Z51</f>
        <v>https://www.sciencedirect.com/science/article/pii/S0043164815003749</v>
      </c>
    </row>
    <row r="52" customFormat="false" ht="12.8" hidden="false" customHeight="false" outlineLevel="0" collapsed="false">
      <c r="A52" s="1" t="n">
        <v>29</v>
      </c>
      <c r="B52" s="1" t="s">
        <v>48</v>
      </c>
      <c r="C52" s="1" t="s">
        <v>53</v>
      </c>
      <c r="D52" s="1" t="s">
        <v>54</v>
      </c>
      <c r="E52" s="11" t="n">
        <v>90</v>
      </c>
      <c r="F52" s="11" t="n">
        <v>6.4</v>
      </c>
      <c r="G52" s="26" t="n">
        <v>50</v>
      </c>
      <c r="H52" s="11" t="n">
        <f aca="false">5.2*F52</f>
        <v>33.28</v>
      </c>
      <c r="I52" s="27" t="s">
        <v>55</v>
      </c>
      <c r="J52" s="26" t="n">
        <f aca="false">((8+15)/2)/100</f>
        <v>0.115</v>
      </c>
      <c r="K52" s="28" t="n">
        <f aca="false">(886+1050)/2</f>
        <v>968</v>
      </c>
      <c r="L52" s="1" t="n">
        <v>0</v>
      </c>
      <c r="M52" s="1" t="n">
        <v>0</v>
      </c>
      <c r="N52" s="1" t="n">
        <v>0</v>
      </c>
      <c r="O52" s="11" t="n">
        <v>30</v>
      </c>
      <c r="P52" s="1" t="n">
        <v>1</v>
      </c>
      <c r="Q52" s="11" t="n">
        <v>1000</v>
      </c>
      <c r="R52" s="13" t="n">
        <f aca="false">(N52*L52+O52*Q52)/(L52+O52)</f>
        <v>1000</v>
      </c>
      <c r="S52" s="14" t="n">
        <f aca="false">(M52*L52+O52*P52*0.1)/(L52+O52)</f>
        <v>0.1</v>
      </c>
      <c r="T52" s="11" t="n">
        <v>150</v>
      </c>
      <c r="U52" s="28" t="n">
        <v>2500</v>
      </c>
      <c r="V52" s="16" t="n">
        <v>0.0340030911901082</v>
      </c>
      <c r="W52" s="11" t="n">
        <v>1</v>
      </c>
      <c r="X52" s="17" t="n">
        <v>0.0118412489910108</v>
      </c>
      <c r="Z52" s="29" t="s">
        <v>56</v>
      </c>
      <c r="AC52" s="18" t="n">
        <f aca="false">MAX(L52,O52)</f>
        <v>30</v>
      </c>
      <c r="AD52" s="17" t="n">
        <f aca="false">MAX(M52,P52*0.1)</f>
        <v>0.1</v>
      </c>
      <c r="AE52" s="1" t="n">
        <f aca="false">MAX(N52,Q52)</f>
        <v>1000</v>
      </c>
      <c r="AG52" s="16"/>
      <c r="AH52" s="19" t="n">
        <v>50</v>
      </c>
      <c r="AI52" s="20" t="str">
        <f aca="false">B52</f>
        <v>DI</v>
      </c>
      <c r="AJ52" s="20" t="str">
        <f aca="false">C52</f>
        <v>Liquid-Solid</v>
      </c>
      <c r="AK52" s="20" t="str">
        <f aca="false">D52</f>
        <v>V-H</v>
      </c>
      <c r="AL52" s="21" t="n">
        <f aca="false">E52</f>
        <v>90</v>
      </c>
      <c r="AM52" s="22" t="n">
        <v>1E-006</v>
      </c>
      <c r="AN52" s="23" t="n">
        <f aca="false">MAX(G52/(F52/1000),25000)</f>
        <v>25000</v>
      </c>
      <c r="AO52" s="23" t="n">
        <f aca="false">H52/F52</f>
        <v>5.2</v>
      </c>
      <c r="AP52" s="23" t="n">
        <f aca="false">AC52/SQRT(9.81*(F52/1000))</f>
        <v>119.728285652644</v>
      </c>
      <c r="AQ52" s="23" t="n">
        <f aca="false">(AE52*AC52*(F52/1000))/AD52</f>
        <v>1920</v>
      </c>
      <c r="AR52" s="23" t="n">
        <f aca="false">((T52*0.000001)^3*AE52*(U52-AE52)*9.81)/AD52^2</f>
        <v>0.0049663125</v>
      </c>
      <c r="AS52" s="23" t="n">
        <f aca="false">(U52*((T52/10^6)^2)/(18*AD52))*AC52/(F52/1000)</f>
        <v>0.146484375</v>
      </c>
      <c r="AT52" s="23" t="n">
        <f aca="false">AE52*(T52/10^6)*AC52/AD52</f>
        <v>45</v>
      </c>
      <c r="AU52" s="23" t="n">
        <f aca="false">(T52/10^6)/(F52/1000)</f>
        <v>0.0234375</v>
      </c>
      <c r="AV52" s="23" t="n">
        <f aca="false">AE52/U52</f>
        <v>0.4</v>
      </c>
      <c r="AW52" s="23" t="n">
        <f aca="false">(J52*10^9)/(K52*AC52^2)</f>
        <v>132.001836547291</v>
      </c>
      <c r="AX52" s="23" t="n">
        <f aca="false">V52</f>
        <v>0.0340030911901082</v>
      </c>
      <c r="AY52" s="23" t="n">
        <f aca="false">MAX(W52,1)</f>
        <v>1</v>
      </c>
      <c r="AZ52" s="23" t="n">
        <f aca="false">X52</f>
        <v>0.0118412489910108</v>
      </c>
      <c r="BA52" s="24" t="n">
        <f aca="false">0.8*AZ52</f>
        <v>0.00947299919280864</v>
      </c>
      <c r="BB52" s="24" t="n">
        <f aca="false">AZ52*1.2</f>
        <v>0.014209498789213</v>
      </c>
      <c r="BC52" s="0" t="str">
        <f aca="false">Z52</f>
        <v>https://www.sciencedirect.com/science/article/pii/S0043164815003749</v>
      </c>
    </row>
    <row r="53" customFormat="false" ht="12.8" hidden="false" customHeight="false" outlineLevel="0" collapsed="false">
      <c r="A53" s="1" t="n">
        <v>30</v>
      </c>
      <c r="B53" s="1" t="s">
        <v>48</v>
      </c>
      <c r="C53" s="1" t="s">
        <v>53</v>
      </c>
      <c r="D53" s="1" t="s">
        <v>54</v>
      </c>
      <c r="E53" s="11" t="n">
        <v>90</v>
      </c>
      <c r="F53" s="11" t="n">
        <v>6.4</v>
      </c>
      <c r="G53" s="26" t="n">
        <v>50</v>
      </c>
      <c r="H53" s="11" t="n">
        <f aca="false">5.2*F53</f>
        <v>33.28</v>
      </c>
      <c r="I53" s="27" t="s">
        <v>55</v>
      </c>
      <c r="J53" s="26" t="n">
        <f aca="false">((8+15)/2)/100</f>
        <v>0.115</v>
      </c>
      <c r="K53" s="28" t="n">
        <f aca="false">(886+1050)/2</f>
        <v>968</v>
      </c>
      <c r="L53" s="1" t="n">
        <v>0</v>
      </c>
      <c r="M53" s="1" t="n">
        <v>0</v>
      </c>
      <c r="N53" s="1" t="n">
        <v>0</v>
      </c>
      <c r="O53" s="11" t="n">
        <v>30</v>
      </c>
      <c r="P53" s="1" t="n">
        <v>1</v>
      </c>
      <c r="Q53" s="11" t="n">
        <v>1000</v>
      </c>
      <c r="R53" s="13" t="n">
        <f aca="false">(N53*L53+O53*Q53)/(L53+O53)</f>
        <v>1000</v>
      </c>
      <c r="S53" s="14" t="n">
        <f aca="false">(M53*L53+O53*P53*0.1)/(L53+O53)</f>
        <v>0.1</v>
      </c>
      <c r="T53" s="11" t="n">
        <v>150</v>
      </c>
      <c r="U53" s="28" t="n">
        <v>2500</v>
      </c>
      <c r="V53" s="16" t="n">
        <v>0.0340030911901082</v>
      </c>
      <c r="W53" s="11" t="n">
        <v>1</v>
      </c>
      <c r="X53" s="17" t="n">
        <v>0.0128904256855416</v>
      </c>
      <c r="Z53" s="29" t="s">
        <v>56</v>
      </c>
      <c r="AC53" s="18" t="n">
        <f aca="false">MAX(L53,O53)</f>
        <v>30</v>
      </c>
      <c r="AD53" s="17" t="n">
        <f aca="false">MAX(M53,P53*0.1)</f>
        <v>0.1</v>
      </c>
      <c r="AE53" s="1" t="n">
        <f aca="false">MAX(N53,Q53)</f>
        <v>1000</v>
      </c>
      <c r="AG53" s="16"/>
      <c r="AH53" s="19" t="n">
        <v>51</v>
      </c>
      <c r="AI53" s="20" t="str">
        <f aca="false">B53</f>
        <v>DI</v>
      </c>
      <c r="AJ53" s="20" t="str">
        <f aca="false">C53</f>
        <v>Liquid-Solid</v>
      </c>
      <c r="AK53" s="20" t="str">
        <f aca="false">D53</f>
        <v>V-H</v>
      </c>
      <c r="AL53" s="21" t="n">
        <f aca="false">E53</f>
        <v>90</v>
      </c>
      <c r="AM53" s="22" t="n">
        <v>1E-006</v>
      </c>
      <c r="AN53" s="23" t="n">
        <f aca="false">MAX(G53/(F53/1000),25000)</f>
        <v>25000</v>
      </c>
      <c r="AO53" s="23" t="n">
        <f aca="false">H53/F53</f>
        <v>5.2</v>
      </c>
      <c r="AP53" s="23" t="n">
        <f aca="false">AC53/SQRT(9.81*(F53/1000))</f>
        <v>119.728285652644</v>
      </c>
      <c r="AQ53" s="23" t="n">
        <f aca="false">(AE53*AC53*(F53/1000))/AD53</f>
        <v>1920</v>
      </c>
      <c r="AR53" s="23" t="n">
        <f aca="false">((T53*0.000001)^3*AE53*(U53-AE53)*9.81)/AD53^2</f>
        <v>0.0049663125</v>
      </c>
      <c r="AS53" s="23" t="n">
        <f aca="false">(U53*((T53/10^6)^2)/(18*AD53))*AC53/(F53/1000)</f>
        <v>0.146484375</v>
      </c>
      <c r="AT53" s="23" t="n">
        <f aca="false">AE53*(T53/10^6)*AC53/AD53</f>
        <v>45</v>
      </c>
      <c r="AU53" s="23" t="n">
        <f aca="false">(T53/10^6)/(F53/1000)</f>
        <v>0.0234375</v>
      </c>
      <c r="AV53" s="23" t="n">
        <f aca="false">AE53/U53</f>
        <v>0.4</v>
      </c>
      <c r="AW53" s="23" t="n">
        <f aca="false">(J53*10^9)/(K53*AC53^2)</f>
        <v>132.001836547291</v>
      </c>
      <c r="AX53" s="23" t="n">
        <f aca="false">V53</f>
        <v>0.0340030911901082</v>
      </c>
      <c r="AY53" s="23" t="n">
        <f aca="false">MAX(W53,1)</f>
        <v>1</v>
      </c>
      <c r="AZ53" s="23" t="n">
        <f aca="false">X53</f>
        <v>0.0128904256855416</v>
      </c>
      <c r="BA53" s="24" t="n">
        <f aca="false">0.8*AZ53</f>
        <v>0.0103123405484333</v>
      </c>
      <c r="BB53" s="24" t="n">
        <f aca="false">AZ53*1.2</f>
        <v>0.0154685108226499</v>
      </c>
      <c r="BC53" s="0" t="str">
        <f aca="false">Z53</f>
        <v>https://www.sciencedirect.com/science/article/pii/S0043164815003749</v>
      </c>
    </row>
    <row r="54" customFormat="false" ht="12.8" hidden="false" customHeight="false" outlineLevel="0" collapsed="false">
      <c r="A54" s="1" t="n">
        <v>31</v>
      </c>
      <c r="B54" s="1" t="s">
        <v>48</v>
      </c>
      <c r="C54" s="1" t="s">
        <v>53</v>
      </c>
      <c r="D54" s="1" t="s">
        <v>54</v>
      </c>
      <c r="E54" s="11" t="n">
        <v>90</v>
      </c>
      <c r="F54" s="11" t="n">
        <v>6.4</v>
      </c>
      <c r="G54" s="26" t="n">
        <v>50</v>
      </c>
      <c r="H54" s="11" t="n">
        <f aca="false">5.2*F54</f>
        <v>33.28</v>
      </c>
      <c r="I54" s="27" t="s">
        <v>55</v>
      </c>
      <c r="J54" s="26" t="n">
        <f aca="false">((8+15)/2)/100</f>
        <v>0.115</v>
      </c>
      <c r="K54" s="28" t="n">
        <f aca="false">(886+1050)/2</f>
        <v>968</v>
      </c>
      <c r="L54" s="1" t="n">
        <v>0</v>
      </c>
      <c r="M54" s="1" t="n">
        <v>0</v>
      </c>
      <c r="N54" s="1" t="n">
        <v>0</v>
      </c>
      <c r="O54" s="11" t="n">
        <v>30</v>
      </c>
      <c r="P54" s="1" t="n">
        <v>1</v>
      </c>
      <c r="Q54" s="11" t="n">
        <v>1000</v>
      </c>
      <c r="R54" s="13" t="n">
        <f aca="false">(N54*L54+O54*Q54)/(L54+O54)</f>
        <v>1000</v>
      </c>
      <c r="S54" s="14" t="n">
        <f aca="false">(M54*L54+O54*P54*0.1)/(L54+O54)</f>
        <v>0.1</v>
      </c>
      <c r="T54" s="11" t="n">
        <v>150</v>
      </c>
      <c r="U54" s="28" t="n">
        <v>2500</v>
      </c>
      <c r="V54" s="16" t="n">
        <v>0.0340030911901082</v>
      </c>
      <c r="W54" s="11" t="n">
        <v>1</v>
      </c>
      <c r="X54" s="17" t="n">
        <v>0.013120284125176</v>
      </c>
      <c r="Z54" s="29" t="s">
        <v>56</v>
      </c>
      <c r="AC54" s="18" t="n">
        <f aca="false">MAX(L54,O54)</f>
        <v>30</v>
      </c>
      <c r="AD54" s="17" t="n">
        <f aca="false">MAX(M54,P54*0.1)</f>
        <v>0.1</v>
      </c>
      <c r="AE54" s="1" t="n">
        <f aca="false">MAX(N54,Q54)</f>
        <v>1000</v>
      </c>
      <c r="AG54" s="16"/>
      <c r="AH54" s="19" t="n">
        <v>52</v>
      </c>
      <c r="AI54" s="20" t="str">
        <f aca="false">B54</f>
        <v>DI</v>
      </c>
      <c r="AJ54" s="20" t="str">
        <f aca="false">C54</f>
        <v>Liquid-Solid</v>
      </c>
      <c r="AK54" s="20" t="str">
        <f aca="false">D54</f>
        <v>V-H</v>
      </c>
      <c r="AL54" s="21" t="n">
        <f aca="false">E54</f>
        <v>90</v>
      </c>
      <c r="AM54" s="22" t="n">
        <v>1E-006</v>
      </c>
      <c r="AN54" s="23" t="n">
        <f aca="false">MAX(G54/(F54/1000),25000)</f>
        <v>25000</v>
      </c>
      <c r="AO54" s="23" t="n">
        <f aca="false">H54/F54</f>
        <v>5.2</v>
      </c>
      <c r="AP54" s="23" t="n">
        <f aca="false">AC54/SQRT(9.81*(F54/1000))</f>
        <v>119.728285652644</v>
      </c>
      <c r="AQ54" s="23" t="n">
        <f aca="false">(AE54*AC54*(F54/1000))/AD54</f>
        <v>1920</v>
      </c>
      <c r="AR54" s="23" t="n">
        <f aca="false">((T54*0.000001)^3*AE54*(U54-AE54)*9.81)/AD54^2</f>
        <v>0.0049663125</v>
      </c>
      <c r="AS54" s="23" t="n">
        <f aca="false">(U54*((T54/10^6)^2)/(18*AD54))*AC54/(F54/1000)</f>
        <v>0.146484375</v>
      </c>
      <c r="AT54" s="23" t="n">
        <f aca="false">AE54*(T54/10^6)*AC54/AD54</f>
        <v>45</v>
      </c>
      <c r="AU54" s="23" t="n">
        <f aca="false">(T54/10^6)/(F54/1000)</f>
        <v>0.0234375</v>
      </c>
      <c r="AV54" s="23" t="n">
        <f aca="false">AE54/U54</f>
        <v>0.4</v>
      </c>
      <c r="AW54" s="23" t="n">
        <f aca="false">(J54*10^9)/(K54*AC54^2)</f>
        <v>132.001836547291</v>
      </c>
      <c r="AX54" s="23" t="n">
        <f aca="false">V54</f>
        <v>0.0340030911901082</v>
      </c>
      <c r="AY54" s="23" t="n">
        <f aca="false">MAX(W54,1)</f>
        <v>1</v>
      </c>
      <c r="AZ54" s="23" t="n">
        <f aca="false">X54</f>
        <v>0.013120284125176</v>
      </c>
      <c r="BA54" s="24" t="n">
        <f aca="false">0.8*AZ54</f>
        <v>0.0104962273001408</v>
      </c>
      <c r="BB54" s="24" t="n">
        <f aca="false">AZ54*1.2</f>
        <v>0.0157443409502112</v>
      </c>
      <c r="BC54" s="0" t="str">
        <f aca="false">Z54</f>
        <v>https://www.sciencedirect.com/science/article/pii/S0043164815003749</v>
      </c>
    </row>
    <row r="55" customFormat="false" ht="12.8" hidden="false" customHeight="false" outlineLevel="0" collapsed="false">
      <c r="A55" s="1" t="n">
        <v>32</v>
      </c>
      <c r="B55" s="1" t="s">
        <v>48</v>
      </c>
      <c r="C55" s="1" t="s">
        <v>53</v>
      </c>
      <c r="D55" s="1" t="s">
        <v>54</v>
      </c>
      <c r="E55" s="11" t="n">
        <v>90</v>
      </c>
      <c r="F55" s="11" t="n">
        <v>6.4</v>
      </c>
      <c r="G55" s="26" t="n">
        <v>50</v>
      </c>
      <c r="H55" s="11" t="n">
        <f aca="false">5.2*F55</f>
        <v>33.28</v>
      </c>
      <c r="I55" s="27" t="s">
        <v>55</v>
      </c>
      <c r="J55" s="26" t="n">
        <f aca="false">((8+15)/2)/100</f>
        <v>0.115</v>
      </c>
      <c r="K55" s="28" t="n">
        <f aca="false">(886+1050)/2</f>
        <v>968</v>
      </c>
      <c r="L55" s="1" t="n">
        <v>0</v>
      </c>
      <c r="M55" s="1" t="n">
        <v>0</v>
      </c>
      <c r="N55" s="1" t="n">
        <v>0</v>
      </c>
      <c r="O55" s="11" t="n">
        <v>30</v>
      </c>
      <c r="P55" s="1" t="n">
        <v>1</v>
      </c>
      <c r="Q55" s="11" t="n">
        <v>1000</v>
      </c>
      <c r="R55" s="13" t="n">
        <f aca="false">(N55*L55+O55*Q55)/(L55+O55)</f>
        <v>1000</v>
      </c>
      <c r="S55" s="14" t="n">
        <f aca="false">(M55*L55+O55*P55*0.1)/(L55+O55)</f>
        <v>0.1</v>
      </c>
      <c r="T55" s="11" t="n">
        <v>150</v>
      </c>
      <c r="U55" s="28" t="n">
        <v>2500</v>
      </c>
      <c r="V55" s="16" t="n">
        <v>0.0340030911901082</v>
      </c>
      <c r="W55" s="11" t="n">
        <v>1</v>
      </c>
      <c r="X55" s="17" t="n">
        <v>0.0126784273759456</v>
      </c>
      <c r="Z55" s="29" t="s">
        <v>56</v>
      </c>
      <c r="AC55" s="18" t="n">
        <f aca="false">MAX(L55,O55)</f>
        <v>30</v>
      </c>
      <c r="AD55" s="17" t="n">
        <f aca="false">MAX(M55,P55*0.1)</f>
        <v>0.1</v>
      </c>
      <c r="AE55" s="1" t="n">
        <f aca="false">MAX(N55,Q55)</f>
        <v>1000</v>
      </c>
      <c r="AG55" s="16"/>
      <c r="AH55" s="19" t="n">
        <v>53</v>
      </c>
      <c r="AI55" s="20" t="str">
        <f aca="false">B55</f>
        <v>DI</v>
      </c>
      <c r="AJ55" s="20" t="str">
        <f aca="false">C55</f>
        <v>Liquid-Solid</v>
      </c>
      <c r="AK55" s="20" t="str">
        <f aca="false">D55</f>
        <v>V-H</v>
      </c>
      <c r="AL55" s="21" t="n">
        <f aca="false">E55</f>
        <v>90</v>
      </c>
      <c r="AM55" s="22" t="n">
        <v>1E-006</v>
      </c>
      <c r="AN55" s="23" t="n">
        <f aca="false">MAX(G55/(F55/1000),25000)</f>
        <v>25000</v>
      </c>
      <c r="AO55" s="23" t="n">
        <f aca="false">H55/F55</f>
        <v>5.2</v>
      </c>
      <c r="AP55" s="23" t="n">
        <f aca="false">AC55/SQRT(9.81*(F55/1000))</f>
        <v>119.728285652644</v>
      </c>
      <c r="AQ55" s="23" t="n">
        <f aca="false">(AE55*AC55*(F55/1000))/AD55</f>
        <v>1920</v>
      </c>
      <c r="AR55" s="23" t="n">
        <f aca="false">((T55*0.000001)^3*AE55*(U55-AE55)*9.81)/AD55^2</f>
        <v>0.0049663125</v>
      </c>
      <c r="AS55" s="23" t="n">
        <f aca="false">(U55*((T55/10^6)^2)/(18*AD55))*AC55/(F55/1000)</f>
        <v>0.146484375</v>
      </c>
      <c r="AT55" s="23" t="n">
        <f aca="false">AE55*(T55/10^6)*AC55/AD55</f>
        <v>45</v>
      </c>
      <c r="AU55" s="23" t="n">
        <f aca="false">(T55/10^6)/(F55/1000)</f>
        <v>0.0234375</v>
      </c>
      <c r="AV55" s="23" t="n">
        <f aca="false">AE55/U55</f>
        <v>0.4</v>
      </c>
      <c r="AW55" s="23" t="n">
        <f aca="false">(J55*10^9)/(K55*AC55^2)</f>
        <v>132.001836547291</v>
      </c>
      <c r="AX55" s="23" t="n">
        <f aca="false">V55</f>
        <v>0.0340030911901082</v>
      </c>
      <c r="AY55" s="23" t="n">
        <f aca="false">MAX(W55,1)</f>
        <v>1</v>
      </c>
      <c r="AZ55" s="23" t="n">
        <f aca="false">X55</f>
        <v>0.0126784273759456</v>
      </c>
      <c r="BA55" s="24" t="n">
        <f aca="false">0.8*AZ55</f>
        <v>0.0101427419007565</v>
      </c>
      <c r="BB55" s="24" t="n">
        <f aca="false">AZ55*1.2</f>
        <v>0.0152141128511347</v>
      </c>
      <c r="BC55" s="0" t="str">
        <f aca="false">Z55</f>
        <v>https://www.sciencedirect.com/science/article/pii/S0043164815003749</v>
      </c>
    </row>
    <row r="56" customFormat="false" ht="12.8" hidden="false" customHeight="false" outlineLevel="0" collapsed="false">
      <c r="A56" s="1" t="n">
        <v>33</v>
      </c>
      <c r="B56" s="1" t="s">
        <v>48</v>
      </c>
      <c r="C56" s="1" t="s">
        <v>53</v>
      </c>
      <c r="D56" s="1" t="s">
        <v>54</v>
      </c>
      <c r="E56" s="11" t="n">
        <v>90</v>
      </c>
      <c r="F56" s="11" t="n">
        <v>6.4</v>
      </c>
      <c r="G56" s="26" t="n">
        <v>50</v>
      </c>
      <c r="H56" s="11" t="n">
        <f aca="false">5.2*F56</f>
        <v>33.28</v>
      </c>
      <c r="I56" s="27" t="s">
        <v>55</v>
      </c>
      <c r="J56" s="26" t="n">
        <f aca="false">((8+15)/2)/100</f>
        <v>0.115</v>
      </c>
      <c r="K56" s="28" t="n">
        <f aca="false">(886+1050)/2</f>
        <v>968</v>
      </c>
      <c r="L56" s="1" t="n">
        <v>0</v>
      </c>
      <c r="M56" s="1" t="n">
        <v>0</v>
      </c>
      <c r="N56" s="1" t="n">
        <v>0</v>
      </c>
      <c r="O56" s="11" t="n">
        <v>30</v>
      </c>
      <c r="P56" s="1" t="n">
        <v>1</v>
      </c>
      <c r="Q56" s="11" t="n">
        <v>1000</v>
      </c>
      <c r="R56" s="13" t="n">
        <f aca="false">(N56*L56+O56*Q56)/(L56+O56)</f>
        <v>1000</v>
      </c>
      <c r="S56" s="14" t="n">
        <f aca="false">(M56*L56+O56*P56*0.1)/(L56+O56)</f>
        <v>0.1</v>
      </c>
      <c r="T56" s="11" t="n">
        <v>150</v>
      </c>
      <c r="U56" s="28" t="n">
        <v>2500</v>
      </c>
      <c r="V56" s="16" t="n">
        <v>0.0340030911901082</v>
      </c>
      <c r="W56" s="11" t="n">
        <v>1</v>
      </c>
      <c r="X56" s="17" t="n">
        <v>0.0129434456016455</v>
      </c>
      <c r="Z56" s="29" t="s">
        <v>56</v>
      </c>
      <c r="AC56" s="18" t="n">
        <f aca="false">MAX(L56,O56)</f>
        <v>30</v>
      </c>
      <c r="AD56" s="17" t="n">
        <f aca="false">MAX(M56,P56*0.1)</f>
        <v>0.1</v>
      </c>
      <c r="AE56" s="1" t="n">
        <f aca="false">MAX(N56,Q56)</f>
        <v>1000</v>
      </c>
      <c r="AG56" s="16"/>
      <c r="AH56" s="19" t="n">
        <v>54</v>
      </c>
      <c r="AI56" s="20" t="str">
        <f aca="false">B56</f>
        <v>DI</v>
      </c>
      <c r="AJ56" s="20" t="str">
        <f aca="false">C56</f>
        <v>Liquid-Solid</v>
      </c>
      <c r="AK56" s="20" t="str">
        <f aca="false">D56</f>
        <v>V-H</v>
      </c>
      <c r="AL56" s="21" t="n">
        <f aca="false">E56</f>
        <v>90</v>
      </c>
      <c r="AM56" s="22" t="n">
        <v>1E-006</v>
      </c>
      <c r="AN56" s="23" t="n">
        <f aca="false">MAX(G56/(F56/1000),25000)</f>
        <v>25000</v>
      </c>
      <c r="AO56" s="23" t="n">
        <f aca="false">H56/F56</f>
        <v>5.2</v>
      </c>
      <c r="AP56" s="23" t="n">
        <f aca="false">AC56/SQRT(9.81*(F56/1000))</f>
        <v>119.728285652644</v>
      </c>
      <c r="AQ56" s="23" t="n">
        <f aca="false">(AE56*AC56*(F56/1000))/AD56</f>
        <v>1920</v>
      </c>
      <c r="AR56" s="23" t="n">
        <f aca="false">((T56*0.000001)^3*AE56*(U56-AE56)*9.81)/AD56^2</f>
        <v>0.0049663125</v>
      </c>
      <c r="AS56" s="23" t="n">
        <f aca="false">(U56*((T56/10^6)^2)/(18*AD56))*AC56/(F56/1000)</f>
        <v>0.146484375</v>
      </c>
      <c r="AT56" s="23" t="n">
        <f aca="false">AE56*(T56/10^6)*AC56/AD56</f>
        <v>45</v>
      </c>
      <c r="AU56" s="23" t="n">
        <f aca="false">(T56/10^6)/(F56/1000)</f>
        <v>0.0234375</v>
      </c>
      <c r="AV56" s="23" t="n">
        <f aca="false">AE56/U56</f>
        <v>0.4</v>
      </c>
      <c r="AW56" s="23" t="n">
        <f aca="false">(J56*10^9)/(K56*AC56^2)</f>
        <v>132.001836547291</v>
      </c>
      <c r="AX56" s="23" t="n">
        <f aca="false">V56</f>
        <v>0.0340030911901082</v>
      </c>
      <c r="AY56" s="23" t="n">
        <f aca="false">MAX(W56,1)</f>
        <v>1</v>
      </c>
      <c r="AZ56" s="23" t="n">
        <f aca="false">X56</f>
        <v>0.0129434456016455</v>
      </c>
      <c r="BA56" s="24" t="n">
        <f aca="false">0.8*AZ56</f>
        <v>0.0103547564813164</v>
      </c>
      <c r="BB56" s="24" t="n">
        <f aca="false">AZ56*1.2</f>
        <v>0.0155321347219746</v>
      </c>
      <c r="BC56" s="0" t="str">
        <f aca="false">Z56</f>
        <v>https://www.sciencedirect.com/science/article/pii/S0043164815003749</v>
      </c>
    </row>
    <row r="57" customFormat="false" ht="12.8" hidden="false" customHeight="false" outlineLevel="0" collapsed="false">
      <c r="A57" s="1" t="n">
        <v>34</v>
      </c>
      <c r="B57" s="1" t="s">
        <v>48</v>
      </c>
      <c r="C57" s="1" t="s">
        <v>53</v>
      </c>
      <c r="D57" s="1" t="s">
        <v>54</v>
      </c>
      <c r="E57" s="11" t="n">
        <v>90</v>
      </c>
      <c r="F57" s="11" t="n">
        <v>6.4</v>
      </c>
      <c r="G57" s="26" t="n">
        <v>50</v>
      </c>
      <c r="H57" s="11" t="n">
        <f aca="false">5.2*F57</f>
        <v>33.28</v>
      </c>
      <c r="I57" s="27" t="s">
        <v>55</v>
      </c>
      <c r="J57" s="26" t="n">
        <f aca="false">((8+15)/2)/100</f>
        <v>0.115</v>
      </c>
      <c r="K57" s="28" t="n">
        <f aca="false">(886+1050)/2</f>
        <v>968</v>
      </c>
      <c r="L57" s="1" t="n">
        <v>0</v>
      </c>
      <c r="M57" s="1" t="n">
        <v>0</v>
      </c>
      <c r="N57" s="1" t="n">
        <v>0</v>
      </c>
      <c r="O57" s="11" t="n">
        <v>30</v>
      </c>
      <c r="P57" s="1" t="n">
        <v>1</v>
      </c>
      <c r="Q57" s="11" t="n">
        <v>1000</v>
      </c>
      <c r="R57" s="13" t="n">
        <f aca="false">(N57*L57+O57*Q57)/(L57+O57)</f>
        <v>1000</v>
      </c>
      <c r="S57" s="14" t="n">
        <f aca="false">(M57*L57+O57*P57*0.1)/(L57+O57)</f>
        <v>0.1</v>
      </c>
      <c r="T57" s="11" t="n">
        <v>150</v>
      </c>
      <c r="U57" s="28" t="n">
        <v>2500</v>
      </c>
      <c r="V57" s="16" t="n">
        <v>0.0605035700864337</v>
      </c>
      <c r="W57" s="11" t="n">
        <v>1</v>
      </c>
      <c r="X57" s="17" t="n">
        <v>0.0128556131034341</v>
      </c>
      <c r="Z57" s="29" t="s">
        <v>56</v>
      </c>
      <c r="AC57" s="18" t="n">
        <f aca="false">MAX(L57,O57)</f>
        <v>30</v>
      </c>
      <c r="AD57" s="17" t="n">
        <f aca="false">MAX(M57,P57*0.1)</f>
        <v>0.1</v>
      </c>
      <c r="AE57" s="1" t="n">
        <f aca="false">MAX(N57,Q57)</f>
        <v>1000</v>
      </c>
      <c r="AG57" s="16"/>
      <c r="AH57" s="19" t="n">
        <v>55</v>
      </c>
      <c r="AI57" s="20" t="str">
        <f aca="false">B57</f>
        <v>DI</v>
      </c>
      <c r="AJ57" s="20" t="str">
        <f aca="false">C57</f>
        <v>Liquid-Solid</v>
      </c>
      <c r="AK57" s="20" t="str">
        <f aca="false">D57</f>
        <v>V-H</v>
      </c>
      <c r="AL57" s="21" t="n">
        <f aca="false">E57</f>
        <v>90</v>
      </c>
      <c r="AM57" s="22" t="n">
        <v>1E-006</v>
      </c>
      <c r="AN57" s="23" t="n">
        <f aca="false">MAX(G57/(F57/1000),25000)</f>
        <v>25000</v>
      </c>
      <c r="AO57" s="23" t="n">
        <f aca="false">H57/F57</f>
        <v>5.2</v>
      </c>
      <c r="AP57" s="23" t="n">
        <f aca="false">AC57/SQRT(9.81*(F57/1000))</f>
        <v>119.728285652644</v>
      </c>
      <c r="AQ57" s="23" t="n">
        <f aca="false">(AE57*AC57*(F57/1000))/AD57</f>
        <v>1920</v>
      </c>
      <c r="AR57" s="23" t="n">
        <f aca="false">((T57*0.000001)^3*AE57*(U57-AE57)*9.81)/AD57^2</f>
        <v>0.0049663125</v>
      </c>
      <c r="AS57" s="23" t="n">
        <f aca="false">(U57*((T57/10^6)^2)/(18*AD57))*AC57/(F57/1000)</f>
        <v>0.146484375</v>
      </c>
      <c r="AT57" s="23" t="n">
        <f aca="false">AE57*(T57/10^6)*AC57/AD57</f>
        <v>45</v>
      </c>
      <c r="AU57" s="23" t="n">
        <f aca="false">(T57/10^6)/(F57/1000)</f>
        <v>0.0234375</v>
      </c>
      <c r="AV57" s="23" t="n">
        <f aca="false">AE57/U57</f>
        <v>0.4</v>
      </c>
      <c r="AW57" s="23" t="n">
        <f aca="false">(J57*10^9)/(K57*AC57^2)</f>
        <v>132.001836547291</v>
      </c>
      <c r="AX57" s="23" t="n">
        <f aca="false">V57</f>
        <v>0.0605035700864337</v>
      </c>
      <c r="AY57" s="23" t="n">
        <f aca="false">MAX(W57,1)</f>
        <v>1</v>
      </c>
      <c r="AZ57" s="23" t="n">
        <f aca="false">X57</f>
        <v>0.0128556131034341</v>
      </c>
      <c r="BA57" s="24" t="n">
        <f aca="false">0.8*AZ57</f>
        <v>0.0102844904827473</v>
      </c>
      <c r="BB57" s="24" t="n">
        <f aca="false">AZ57*1.2</f>
        <v>0.0154267357241209</v>
      </c>
      <c r="BC57" s="0" t="str">
        <f aca="false">Z57</f>
        <v>https://www.sciencedirect.com/science/article/pii/S0043164815003749</v>
      </c>
    </row>
    <row r="58" customFormat="false" ht="12.8" hidden="false" customHeight="false" outlineLevel="0" collapsed="false">
      <c r="A58" s="1" t="n">
        <v>35</v>
      </c>
      <c r="B58" s="1" t="s">
        <v>48</v>
      </c>
      <c r="C58" s="1" t="s">
        <v>53</v>
      </c>
      <c r="D58" s="1" t="s">
        <v>54</v>
      </c>
      <c r="E58" s="11" t="n">
        <v>90</v>
      </c>
      <c r="F58" s="11" t="n">
        <v>6.4</v>
      </c>
      <c r="G58" s="26" t="n">
        <v>50</v>
      </c>
      <c r="H58" s="11" t="n">
        <f aca="false">5.2*F58</f>
        <v>33.28</v>
      </c>
      <c r="I58" s="27" t="s">
        <v>55</v>
      </c>
      <c r="J58" s="26" t="n">
        <f aca="false">((8+15)/2)/100</f>
        <v>0.115</v>
      </c>
      <c r="K58" s="28" t="n">
        <f aca="false">(886+1050)/2</f>
        <v>968</v>
      </c>
      <c r="L58" s="1" t="n">
        <v>0</v>
      </c>
      <c r="M58" s="1" t="n">
        <v>0</v>
      </c>
      <c r="N58" s="1" t="n">
        <v>0</v>
      </c>
      <c r="O58" s="11" t="n">
        <v>30</v>
      </c>
      <c r="P58" s="1" t="n">
        <v>1</v>
      </c>
      <c r="Q58" s="11" t="n">
        <v>1000</v>
      </c>
      <c r="R58" s="13" t="n">
        <f aca="false">(N58*L58+O58*Q58)/(L58+O58)</f>
        <v>1000</v>
      </c>
      <c r="S58" s="14" t="n">
        <f aca="false">(M58*L58+O58*P58*0.1)/(L58+O58)</f>
        <v>0.1</v>
      </c>
      <c r="T58" s="11" t="n">
        <v>150</v>
      </c>
      <c r="U58" s="28" t="n">
        <v>2500</v>
      </c>
      <c r="V58" s="16" t="n">
        <v>0.0605035700864337</v>
      </c>
      <c r="W58" s="11" t="n">
        <v>1</v>
      </c>
      <c r="X58" s="17" t="n">
        <v>0.0101700626546624</v>
      </c>
      <c r="Z58" s="29" t="s">
        <v>56</v>
      </c>
      <c r="AC58" s="18" t="n">
        <f aca="false">MAX(L58,O58)</f>
        <v>30</v>
      </c>
      <c r="AD58" s="17" t="n">
        <f aca="false">MAX(M58,P58*0.1)</f>
        <v>0.1</v>
      </c>
      <c r="AE58" s="1" t="n">
        <f aca="false">MAX(N58,Q58)</f>
        <v>1000</v>
      </c>
      <c r="AG58" s="16"/>
      <c r="AH58" s="19" t="n">
        <v>56</v>
      </c>
      <c r="AI58" s="20" t="str">
        <f aca="false">B58</f>
        <v>DI</v>
      </c>
      <c r="AJ58" s="20" t="str">
        <f aca="false">C58</f>
        <v>Liquid-Solid</v>
      </c>
      <c r="AK58" s="20" t="str">
        <f aca="false">D58</f>
        <v>V-H</v>
      </c>
      <c r="AL58" s="21" t="n">
        <f aca="false">E58</f>
        <v>90</v>
      </c>
      <c r="AM58" s="22" t="n">
        <v>1E-006</v>
      </c>
      <c r="AN58" s="23" t="n">
        <f aca="false">MAX(G58/(F58/1000),25000)</f>
        <v>25000</v>
      </c>
      <c r="AO58" s="23" t="n">
        <f aca="false">H58/F58</f>
        <v>5.2</v>
      </c>
      <c r="AP58" s="23" t="n">
        <f aca="false">AC58/SQRT(9.81*(F58/1000))</f>
        <v>119.728285652644</v>
      </c>
      <c r="AQ58" s="23" t="n">
        <f aca="false">(AE58*AC58*(F58/1000))/AD58</f>
        <v>1920</v>
      </c>
      <c r="AR58" s="23" t="n">
        <f aca="false">((T58*0.000001)^3*AE58*(U58-AE58)*9.81)/AD58^2</f>
        <v>0.0049663125</v>
      </c>
      <c r="AS58" s="23" t="n">
        <f aca="false">(U58*((T58/10^6)^2)/(18*AD58))*AC58/(F58/1000)</f>
        <v>0.146484375</v>
      </c>
      <c r="AT58" s="23" t="n">
        <f aca="false">AE58*(T58/10^6)*AC58/AD58</f>
        <v>45</v>
      </c>
      <c r="AU58" s="23" t="n">
        <f aca="false">(T58/10^6)/(F58/1000)</f>
        <v>0.0234375</v>
      </c>
      <c r="AV58" s="23" t="n">
        <f aca="false">AE58/U58</f>
        <v>0.4</v>
      </c>
      <c r="AW58" s="23" t="n">
        <f aca="false">(J58*10^9)/(K58*AC58^2)</f>
        <v>132.001836547291</v>
      </c>
      <c r="AX58" s="23" t="n">
        <f aca="false">V58</f>
        <v>0.0605035700864337</v>
      </c>
      <c r="AY58" s="23" t="n">
        <f aca="false">MAX(W58,1)</f>
        <v>1</v>
      </c>
      <c r="AZ58" s="23" t="n">
        <f aca="false">X58</f>
        <v>0.0101700626546624</v>
      </c>
      <c r="BA58" s="24" t="n">
        <f aca="false">0.8*AZ58</f>
        <v>0.00813605012372992</v>
      </c>
      <c r="BB58" s="24" t="n">
        <f aca="false">AZ58*1.2</f>
        <v>0.0122040751855949</v>
      </c>
      <c r="BC58" s="0" t="str">
        <f aca="false">Z58</f>
        <v>https://www.sciencedirect.com/science/article/pii/S0043164815003749</v>
      </c>
    </row>
    <row r="59" customFormat="false" ht="12.8" hidden="false" customHeight="false" outlineLevel="0" collapsed="false">
      <c r="A59" s="1" t="n">
        <v>36</v>
      </c>
      <c r="B59" s="1" t="s">
        <v>48</v>
      </c>
      <c r="C59" s="1" t="s">
        <v>53</v>
      </c>
      <c r="D59" s="1" t="s">
        <v>54</v>
      </c>
      <c r="E59" s="11" t="n">
        <v>90</v>
      </c>
      <c r="F59" s="11" t="n">
        <v>6.4</v>
      </c>
      <c r="G59" s="26" t="n">
        <v>50</v>
      </c>
      <c r="H59" s="11" t="n">
        <f aca="false">5.2*F59</f>
        <v>33.28</v>
      </c>
      <c r="I59" s="27" t="s">
        <v>55</v>
      </c>
      <c r="J59" s="26" t="n">
        <f aca="false">((8+15)/2)/100</f>
        <v>0.115</v>
      </c>
      <c r="K59" s="28" t="n">
        <f aca="false">(886+1050)/2</f>
        <v>968</v>
      </c>
      <c r="L59" s="1" t="n">
        <v>0</v>
      </c>
      <c r="M59" s="1" t="n">
        <v>0</v>
      </c>
      <c r="N59" s="1" t="n">
        <v>0</v>
      </c>
      <c r="O59" s="11" t="n">
        <v>30</v>
      </c>
      <c r="P59" s="1" t="n">
        <v>1</v>
      </c>
      <c r="Q59" s="11" t="n">
        <v>1000</v>
      </c>
      <c r="R59" s="13" t="n">
        <f aca="false">(N59*L59+O59*Q59)/(L59+O59)</f>
        <v>1000</v>
      </c>
      <c r="S59" s="14" t="n">
        <f aca="false">(M59*L59+O59*P59*0.1)/(L59+O59)</f>
        <v>0.1</v>
      </c>
      <c r="T59" s="11" t="n">
        <v>150</v>
      </c>
      <c r="U59" s="28" t="n">
        <v>2500</v>
      </c>
      <c r="V59" s="16" t="n">
        <v>0.0605035700864337</v>
      </c>
      <c r="W59" s="11" t="n">
        <v>1</v>
      </c>
      <c r="X59" s="17" t="n">
        <v>0.00805639850787454</v>
      </c>
      <c r="Z59" s="29" t="s">
        <v>56</v>
      </c>
      <c r="AC59" s="18" t="n">
        <f aca="false">MAX(L59,O59)</f>
        <v>30</v>
      </c>
      <c r="AD59" s="17" t="n">
        <f aca="false">MAX(M59,P59*0.1)</f>
        <v>0.1</v>
      </c>
      <c r="AE59" s="1" t="n">
        <f aca="false">MAX(N59,Q59)</f>
        <v>1000</v>
      </c>
      <c r="AG59" s="16"/>
      <c r="AH59" s="19" t="n">
        <v>57</v>
      </c>
      <c r="AI59" s="20" t="str">
        <f aca="false">B59</f>
        <v>DI</v>
      </c>
      <c r="AJ59" s="20" t="str">
        <f aca="false">C59</f>
        <v>Liquid-Solid</v>
      </c>
      <c r="AK59" s="20" t="str">
        <f aca="false">D59</f>
        <v>V-H</v>
      </c>
      <c r="AL59" s="21" t="n">
        <f aca="false">E59</f>
        <v>90</v>
      </c>
      <c r="AM59" s="22" t="n">
        <v>1E-006</v>
      </c>
      <c r="AN59" s="23" t="n">
        <f aca="false">MAX(G59/(F59/1000),25000)</f>
        <v>25000</v>
      </c>
      <c r="AO59" s="23" t="n">
        <f aca="false">H59/F59</f>
        <v>5.2</v>
      </c>
      <c r="AP59" s="23" t="n">
        <f aca="false">AC59/SQRT(9.81*(F59/1000))</f>
        <v>119.728285652644</v>
      </c>
      <c r="AQ59" s="23" t="n">
        <f aca="false">(AE59*AC59*(F59/1000))/AD59</f>
        <v>1920</v>
      </c>
      <c r="AR59" s="23" t="n">
        <f aca="false">((T59*0.000001)^3*AE59*(U59-AE59)*9.81)/AD59^2</f>
        <v>0.0049663125</v>
      </c>
      <c r="AS59" s="23" t="n">
        <f aca="false">(U59*((T59/10^6)^2)/(18*AD59))*AC59/(F59/1000)</f>
        <v>0.146484375</v>
      </c>
      <c r="AT59" s="23" t="n">
        <f aca="false">AE59*(T59/10^6)*AC59/AD59</f>
        <v>45</v>
      </c>
      <c r="AU59" s="23" t="n">
        <f aca="false">(T59/10^6)/(F59/1000)</f>
        <v>0.0234375</v>
      </c>
      <c r="AV59" s="23" t="n">
        <f aca="false">AE59/U59</f>
        <v>0.4</v>
      </c>
      <c r="AW59" s="23" t="n">
        <f aca="false">(J59*10^9)/(K59*AC59^2)</f>
        <v>132.001836547291</v>
      </c>
      <c r="AX59" s="23" t="n">
        <f aca="false">V59</f>
        <v>0.0605035700864337</v>
      </c>
      <c r="AY59" s="23" t="n">
        <f aca="false">MAX(W59,1)</f>
        <v>1</v>
      </c>
      <c r="AZ59" s="23" t="n">
        <f aca="false">X59</f>
        <v>0.00805639850787454</v>
      </c>
      <c r="BA59" s="24" t="n">
        <f aca="false">0.8*AZ59</f>
        <v>0.00644511880629963</v>
      </c>
      <c r="BB59" s="24" t="n">
        <f aca="false">AZ59*1.2</f>
        <v>0.00966767820944945</v>
      </c>
      <c r="BC59" s="0" t="str">
        <f aca="false">Z59</f>
        <v>https://www.sciencedirect.com/science/article/pii/S0043164815003749</v>
      </c>
    </row>
    <row r="60" customFormat="false" ht="12.8" hidden="false" customHeight="false" outlineLevel="0" collapsed="false">
      <c r="A60" s="1" t="n">
        <v>37</v>
      </c>
      <c r="B60" s="1" t="s">
        <v>48</v>
      </c>
      <c r="C60" s="1" t="s">
        <v>53</v>
      </c>
      <c r="D60" s="1" t="s">
        <v>54</v>
      </c>
      <c r="E60" s="11" t="n">
        <v>90</v>
      </c>
      <c r="F60" s="11" t="n">
        <v>6.4</v>
      </c>
      <c r="G60" s="26" t="n">
        <v>50</v>
      </c>
      <c r="H60" s="11" t="n">
        <f aca="false">5.2*F60</f>
        <v>33.28</v>
      </c>
      <c r="I60" s="27" t="s">
        <v>55</v>
      </c>
      <c r="J60" s="26" t="n">
        <f aca="false">((8+15)/2)/100</f>
        <v>0.115</v>
      </c>
      <c r="K60" s="28" t="n">
        <f aca="false">(886+1050)/2</f>
        <v>968</v>
      </c>
      <c r="L60" s="1" t="n">
        <v>0</v>
      </c>
      <c r="M60" s="1" t="n">
        <v>0</v>
      </c>
      <c r="N60" s="1" t="n">
        <v>0</v>
      </c>
      <c r="O60" s="11" t="n">
        <v>30</v>
      </c>
      <c r="P60" s="1" t="n">
        <v>1</v>
      </c>
      <c r="Q60" s="11" t="n">
        <v>1000</v>
      </c>
      <c r="R60" s="13" t="n">
        <f aca="false">(N60*L60+O60*Q60)/(L60+O60)</f>
        <v>1000</v>
      </c>
      <c r="S60" s="14" t="n">
        <f aca="false">(M60*L60+O60*P60*0.1)/(L60+O60)</f>
        <v>0.1</v>
      </c>
      <c r="T60" s="11" t="n">
        <v>150</v>
      </c>
      <c r="U60" s="28" t="n">
        <v>2500</v>
      </c>
      <c r="V60" s="16" t="n">
        <v>0.0605035700864337</v>
      </c>
      <c r="W60" s="11" t="n">
        <v>1</v>
      </c>
      <c r="X60" s="17" t="n">
        <v>0.00692574577862145</v>
      </c>
      <c r="Z60" s="29" t="s">
        <v>56</v>
      </c>
      <c r="AC60" s="18" t="n">
        <f aca="false">MAX(L60,O60)</f>
        <v>30</v>
      </c>
      <c r="AD60" s="17" t="n">
        <f aca="false">MAX(M60,P60*0.1)</f>
        <v>0.1</v>
      </c>
      <c r="AE60" s="1" t="n">
        <f aca="false">MAX(N60,Q60)</f>
        <v>1000</v>
      </c>
      <c r="AG60" s="16"/>
      <c r="AH60" s="19" t="n">
        <v>58</v>
      </c>
      <c r="AI60" s="20" t="str">
        <f aca="false">B60</f>
        <v>DI</v>
      </c>
      <c r="AJ60" s="20" t="str">
        <f aca="false">C60</f>
        <v>Liquid-Solid</v>
      </c>
      <c r="AK60" s="20" t="str">
        <f aca="false">D60</f>
        <v>V-H</v>
      </c>
      <c r="AL60" s="21" t="n">
        <f aca="false">E60</f>
        <v>90</v>
      </c>
      <c r="AM60" s="22" t="n">
        <v>1E-006</v>
      </c>
      <c r="AN60" s="23" t="n">
        <f aca="false">MAX(G60/(F60/1000),25000)</f>
        <v>25000</v>
      </c>
      <c r="AO60" s="23" t="n">
        <f aca="false">H60/F60</f>
        <v>5.2</v>
      </c>
      <c r="AP60" s="23" t="n">
        <f aca="false">AC60/SQRT(9.81*(F60/1000))</f>
        <v>119.728285652644</v>
      </c>
      <c r="AQ60" s="23" t="n">
        <f aca="false">(AE60*AC60*(F60/1000))/AD60</f>
        <v>1920</v>
      </c>
      <c r="AR60" s="23" t="n">
        <f aca="false">((T60*0.000001)^3*AE60*(U60-AE60)*9.81)/AD60^2</f>
        <v>0.0049663125</v>
      </c>
      <c r="AS60" s="23" t="n">
        <f aca="false">(U60*((T60/10^6)^2)/(18*AD60))*AC60/(F60/1000)</f>
        <v>0.146484375</v>
      </c>
      <c r="AT60" s="23" t="n">
        <f aca="false">AE60*(T60/10^6)*AC60/AD60</f>
        <v>45</v>
      </c>
      <c r="AU60" s="23" t="n">
        <f aca="false">(T60/10^6)/(F60/1000)</f>
        <v>0.0234375</v>
      </c>
      <c r="AV60" s="23" t="n">
        <f aca="false">AE60/U60</f>
        <v>0.4</v>
      </c>
      <c r="AW60" s="23" t="n">
        <f aca="false">(J60*10^9)/(K60*AC60^2)</f>
        <v>132.001836547291</v>
      </c>
      <c r="AX60" s="23" t="n">
        <f aca="false">V60</f>
        <v>0.0605035700864337</v>
      </c>
      <c r="AY60" s="23" t="n">
        <f aca="false">MAX(W60,1)</f>
        <v>1</v>
      </c>
      <c r="AZ60" s="23" t="n">
        <f aca="false">X60</f>
        <v>0.00692574577862145</v>
      </c>
      <c r="BA60" s="24" t="n">
        <f aca="false">0.8*AZ60</f>
        <v>0.00554059662289716</v>
      </c>
      <c r="BB60" s="24" t="n">
        <f aca="false">AZ60*1.2</f>
        <v>0.00831089493434574</v>
      </c>
      <c r="BC60" s="0" t="str">
        <f aca="false">Z60</f>
        <v>https://www.sciencedirect.com/science/article/pii/S0043164815003749</v>
      </c>
    </row>
    <row r="61" customFormat="false" ht="12.8" hidden="false" customHeight="false" outlineLevel="0" collapsed="false">
      <c r="A61" s="1" t="n">
        <v>38</v>
      </c>
      <c r="B61" s="1" t="s">
        <v>48</v>
      </c>
      <c r="C61" s="1" t="s">
        <v>53</v>
      </c>
      <c r="D61" s="1" t="s">
        <v>54</v>
      </c>
      <c r="E61" s="11" t="n">
        <v>90</v>
      </c>
      <c r="F61" s="11" t="n">
        <v>6.4</v>
      </c>
      <c r="G61" s="26" t="n">
        <v>50</v>
      </c>
      <c r="H61" s="11" t="n">
        <f aca="false">5.2*F61</f>
        <v>33.28</v>
      </c>
      <c r="I61" s="27" t="s">
        <v>55</v>
      </c>
      <c r="J61" s="26" t="n">
        <f aca="false">((8+15)/2)/100</f>
        <v>0.115</v>
      </c>
      <c r="K61" s="28" t="n">
        <f aca="false">(886+1050)/2</f>
        <v>968</v>
      </c>
      <c r="L61" s="1" t="n">
        <v>0</v>
      </c>
      <c r="M61" s="1" t="n">
        <v>0</v>
      </c>
      <c r="N61" s="1" t="n">
        <v>0</v>
      </c>
      <c r="O61" s="11" t="n">
        <v>30</v>
      </c>
      <c r="P61" s="1" t="n">
        <v>1</v>
      </c>
      <c r="Q61" s="11" t="n">
        <v>1000</v>
      </c>
      <c r="R61" s="13" t="n">
        <f aca="false">(N61*L61+O61*Q61)/(L61+O61)</f>
        <v>1000</v>
      </c>
      <c r="S61" s="14" t="n">
        <f aca="false">(M61*L61+O61*P61*0.1)/(L61+O61)</f>
        <v>0.1</v>
      </c>
      <c r="T61" s="11" t="n">
        <v>150</v>
      </c>
      <c r="U61" s="28" t="n">
        <v>2500</v>
      </c>
      <c r="V61" s="16" t="n">
        <v>0.0605035700864337</v>
      </c>
      <c r="W61" s="11" t="n">
        <v>1</v>
      </c>
      <c r="X61" s="17" t="n">
        <v>0.0071336783958941</v>
      </c>
      <c r="Z61" s="29" t="s">
        <v>56</v>
      </c>
      <c r="AC61" s="18" t="n">
        <f aca="false">MAX(L61,O61)</f>
        <v>30</v>
      </c>
      <c r="AD61" s="17" t="n">
        <f aca="false">MAX(M61,P61*0.1)</f>
        <v>0.1</v>
      </c>
      <c r="AE61" s="1" t="n">
        <f aca="false">MAX(N61,Q61)</f>
        <v>1000</v>
      </c>
      <c r="AG61" s="16"/>
      <c r="AH61" s="19" t="n">
        <v>59</v>
      </c>
      <c r="AI61" s="20" t="str">
        <f aca="false">B61</f>
        <v>DI</v>
      </c>
      <c r="AJ61" s="20" t="str">
        <f aca="false">C61</f>
        <v>Liquid-Solid</v>
      </c>
      <c r="AK61" s="20" t="str">
        <f aca="false">D61</f>
        <v>V-H</v>
      </c>
      <c r="AL61" s="21" t="n">
        <f aca="false">E61</f>
        <v>90</v>
      </c>
      <c r="AM61" s="22" t="n">
        <v>1E-006</v>
      </c>
      <c r="AN61" s="23" t="n">
        <f aca="false">MAX(G61/(F61/1000),25000)</f>
        <v>25000</v>
      </c>
      <c r="AO61" s="23" t="n">
        <f aca="false">H61/F61</f>
        <v>5.2</v>
      </c>
      <c r="AP61" s="23" t="n">
        <f aca="false">AC61/SQRT(9.81*(F61/1000))</f>
        <v>119.728285652644</v>
      </c>
      <c r="AQ61" s="23" t="n">
        <f aca="false">(AE61*AC61*(F61/1000))/AD61</f>
        <v>1920</v>
      </c>
      <c r="AR61" s="23" t="n">
        <f aca="false">((T61*0.000001)^3*AE61*(U61-AE61)*9.81)/AD61^2</f>
        <v>0.0049663125</v>
      </c>
      <c r="AS61" s="23" t="n">
        <f aca="false">(U61*((T61/10^6)^2)/(18*AD61))*AC61/(F61/1000)</f>
        <v>0.146484375</v>
      </c>
      <c r="AT61" s="23" t="n">
        <f aca="false">AE61*(T61/10^6)*AC61/AD61</f>
        <v>45</v>
      </c>
      <c r="AU61" s="23" t="n">
        <f aca="false">(T61/10^6)/(F61/1000)</f>
        <v>0.0234375</v>
      </c>
      <c r="AV61" s="23" t="n">
        <f aca="false">AE61/U61</f>
        <v>0.4</v>
      </c>
      <c r="AW61" s="23" t="n">
        <f aca="false">(J61*10^9)/(K61*AC61^2)</f>
        <v>132.001836547291</v>
      </c>
      <c r="AX61" s="23" t="n">
        <f aca="false">V61</f>
        <v>0.0605035700864337</v>
      </c>
      <c r="AY61" s="23" t="n">
        <f aca="false">MAX(W61,1)</f>
        <v>1</v>
      </c>
      <c r="AZ61" s="23" t="n">
        <f aca="false">X61</f>
        <v>0.0071336783958941</v>
      </c>
      <c r="BA61" s="24" t="n">
        <f aca="false">0.8*AZ61</f>
        <v>0.00570694271671528</v>
      </c>
      <c r="BB61" s="24" t="n">
        <f aca="false">AZ61*1.2</f>
        <v>0.00856041407507292</v>
      </c>
      <c r="BC61" s="0" t="str">
        <f aca="false">Z61</f>
        <v>https://www.sciencedirect.com/science/article/pii/S0043164815003749</v>
      </c>
    </row>
    <row r="62" customFormat="false" ht="12.8" hidden="false" customHeight="false" outlineLevel="0" collapsed="false">
      <c r="A62" s="1" t="n">
        <v>39</v>
      </c>
      <c r="B62" s="1" t="s">
        <v>48</v>
      </c>
      <c r="C62" s="1" t="s">
        <v>53</v>
      </c>
      <c r="D62" s="1" t="s">
        <v>54</v>
      </c>
      <c r="E62" s="11" t="n">
        <v>90</v>
      </c>
      <c r="F62" s="11" t="n">
        <v>6.4</v>
      </c>
      <c r="G62" s="26" t="n">
        <v>50</v>
      </c>
      <c r="H62" s="11" t="n">
        <f aca="false">5.2*F62</f>
        <v>33.28</v>
      </c>
      <c r="I62" s="27" t="s">
        <v>55</v>
      </c>
      <c r="J62" s="26" t="n">
        <f aca="false">((8+15)/2)/100</f>
        <v>0.115</v>
      </c>
      <c r="K62" s="28" t="n">
        <f aca="false">(886+1050)/2</f>
        <v>968</v>
      </c>
      <c r="L62" s="1" t="n">
        <v>0</v>
      </c>
      <c r="M62" s="1" t="n">
        <v>0</v>
      </c>
      <c r="N62" s="1" t="n">
        <v>0</v>
      </c>
      <c r="O62" s="11" t="n">
        <v>30</v>
      </c>
      <c r="P62" s="1" t="n">
        <v>1</v>
      </c>
      <c r="Q62" s="11" t="n">
        <v>1000</v>
      </c>
      <c r="R62" s="13" t="n">
        <f aca="false">(N62*L62+O62*Q62)/(L62+O62)</f>
        <v>1000</v>
      </c>
      <c r="S62" s="14" t="n">
        <f aca="false">(M62*L62+O62*P62*0.1)/(L62+O62)</f>
        <v>0.1</v>
      </c>
      <c r="T62" s="11" t="n">
        <v>150</v>
      </c>
      <c r="U62" s="28" t="n">
        <v>2500</v>
      </c>
      <c r="V62" s="16" t="n">
        <v>0.0605035700864337</v>
      </c>
      <c r="W62" s="11" t="n">
        <v>1</v>
      </c>
      <c r="X62" s="17" t="n">
        <v>0.00748878009279593</v>
      </c>
      <c r="Z62" s="29" t="s">
        <v>56</v>
      </c>
      <c r="AC62" s="18" t="n">
        <f aca="false">MAX(L62,O62)</f>
        <v>30</v>
      </c>
      <c r="AD62" s="17" t="n">
        <f aca="false">MAX(M62,P62*0.1)</f>
        <v>0.1</v>
      </c>
      <c r="AE62" s="1" t="n">
        <f aca="false">MAX(N62,Q62)</f>
        <v>1000</v>
      </c>
      <c r="AG62" s="16"/>
      <c r="AH62" s="19" t="n">
        <v>60</v>
      </c>
      <c r="AI62" s="20" t="str">
        <f aca="false">B62</f>
        <v>DI</v>
      </c>
      <c r="AJ62" s="20" t="str">
        <f aca="false">C62</f>
        <v>Liquid-Solid</v>
      </c>
      <c r="AK62" s="20" t="str">
        <f aca="false">D62</f>
        <v>V-H</v>
      </c>
      <c r="AL62" s="21" t="n">
        <f aca="false">E62</f>
        <v>90</v>
      </c>
      <c r="AM62" s="22" t="n">
        <v>1E-006</v>
      </c>
      <c r="AN62" s="23" t="n">
        <f aca="false">MAX(G62/(F62/1000),25000)</f>
        <v>25000</v>
      </c>
      <c r="AO62" s="23" t="n">
        <f aca="false">H62/F62</f>
        <v>5.2</v>
      </c>
      <c r="AP62" s="23" t="n">
        <f aca="false">AC62/SQRT(9.81*(F62/1000))</f>
        <v>119.728285652644</v>
      </c>
      <c r="AQ62" s="23" t="n">
        <f aca="false">(AE62*AC62*(F62/1000))/AD62</f>
        <v>1920</v>
      </c>
      <c r="AR62" s="23" t="n">
        <f aca="false">((T62*0.000001)^3*AE62*(U62-AE62)*9.81)/AD62^2</f>
        <v>0.0049663125</v>
      </c>
      <c r="AS62" s="23" t="n">
        <f aca="false">(U62*((T62/10^6)^2)/(18*AD62))*AC62/(F62/1000)</f>
        <v>0.146484375</v>
      </c>
      <c r="AT62" s="23" t="n">
        <f aca="false">AE62*(T62/10^6)*AC62/AD62</f>
        <v>45</v>
      </c>
      <c r="AU62" s="23" t="n">
        <f aca="false">(T62/10^6)/(F62/1000)</f>
        <v>0.0234375</v>
      </c>
      <c r="AV62" s="23" t="n">
        <f aca="false">AE62/U62</f>
        <v>0.4</v>
      </c>
      <c r="AW62" s="23" t="n">
        <f aca="false">(J62*10^9)/(K62*AC62^2)</f>
        <v>132.001836547291</v>
      </c>
      <c r="AX62" s="23" t="n">
        <f aca="false">V62</f>
        <v>0.0605035700864337</v>
      </c>
      <c r="AY62" s="23" t="n">
        <f aca="false">MAX(W62,1)</f>
        <v>1</v>
      </c>
      <c r="AZ62" s="23" t="n">
        <f aca="false">X62</f>
        <v>0.00748878009279593</v>
      </c>
      <c r="BA62" s="24" t="n">
        <f aca="false">0.8*AZ62</f>
        <v>0.00599102407423674</v>
      </c>
      <c r="BB62" s="24" t="n">
        <f aca="false">AZ62*1.2</f>
        <v>0.00898653611135512</v>
      </c>
      <c r="BC62" s="0" t="str">
        <f aca="false">Z62</f>
        <v>https://www.sciencedirect.com/science/article/pii/S0043164815003749</v>
      </c>
    </row>
    <row r="63" customFormat="false" ht="12.8" hidden="false" customHeight="false" outlineLevel="0" collapsed="false">
      <c r="A63" s="1" t="n">
        <v>40</v>
      </c>
      <c r="B63" s="1" t="s">
        <v>48</v>
      </c>
      <c r="C63" s="1" t="s">
        <v>53</v>
      </c>
      <c r="D63" s="1" t="s">
        <v>54</v>
      </c>
      <c r="E63" s="11" t="n">
        <v>90</v>
      </c>
      <c r="F63" s="11" t="n">
        <v>6.4</v>
      </c>
      <c r="G63" s="26" t="n">
        <v>50</v>
      </c>
      <c r="H63" s="11" t="n">
        <f aca="false">5.2*F63</f>
        <v>33.28</v>
      </c>
      <c r="I63" s="27" t="s">
        <v>55</v>
      </c>
      <c r="J63" s="26" t="n">
        <f aca="false">((8+15)/2)/100</f>
        <v>0.115</v>
      </c>
      <c r="K63" s="28" t="n">
        <f aca="false">(886+1050)/2</f>
        <v>968</v>
      </c>
      <c r="L63" s="1" t="n">
        <v>0</v>
      </c>
      <c r="M63" s="1" t="n">
        <v>0</v>
      </c>
      <c r="N63" s="1" t="n">
        <v>0</v>
      </c>
      <c r="O63" s="11" t="n">
        <v>30</v>
      </c>
      <c r="P63" s="1" t="n">
        <v>1</v>
      </c>
      <c r="Q63" s="11" t="n">
        <v>1000</v>
      </c>
      <c r="R63" s="13" t="n">
        <f aca="false">(N63*L63+O63*Q63)/(L63+O63)</f>
        <v>1000</v>
      </c>
      <c r="S63" s="14" t="n">
        <f aca="false">(M63*L63+O63*P63*0.1)/(L63+O63)</f>
        <v>0.1</v>
      </c>
      <c r="T63" s="11" t="n">
        <v>150</v>
      </c>
      <c r="U63" s="28" t="n">
        <v>2500</v>
      </c>
      <c r="V63" s="16" t="n">
        <v>0.0605035700864337</v>
      </c>
      <c r="W63" s="11" t="n">
        <v>1</v>
      </c>
      <c r="X63" s="17" t="n">
        <v>0.0076124392695158</v>
      </c>
      <c r="Z63" s="29" t="s">
        <v>56</v>
      </c>
      <c r="AC63" s="18" t="n">
        <f aca="false">MAX(L63,O63)</f>
        <v>30</v>
      </c>
      <c r="AD63" s="17" t="n">
        <f aca="false">MAX(M63,P63*0.1)</f>
        <v>0.1</v>
      </c>
      <c r="AE63" s="1" t="n">
        <f aca="false">MAX(N63,Q63)</f>
        <v>1000</v>
      </c>
      <c r="AG63" s="16"/>
      <c r="AH63" s="19" t="n">
        <v>61</v>
      </c>
      <c r="AI63" s="20" t="str">
        <f aca="false">B63</f>
        <v>DI</v>
      </c>
      <c r="AJ63" s="20" t="str">
        <f aca="false">C63</f>
        <v>Liquid-Solid</v>
      </c>
      <c r="AK63" s="20" t="str">
        <f aca="false">D63</f>
        <v>V-H</v>
      </c>
      <c r="AL63" s="21" t="n">
        <f aca="false">E63</f>
        <v>90</v>
      </c>
      <c r="AM63" s="22" t="n">
        <v>1E-006</v>
      </c>
      <c r="AN63" s="23" t="n">
        <f aca="false">MAX(G63/(F63/1000),25000)</f>
        <v>25000</v>
      </c>
      <c r="AO63" s="23" t="n">
        <f aca="false">H63/F63</f>
        <v>5.2</v>
      </c>
      <c r="AP63" s="23" t="n">
        <f aca="false">AC63/SQRT(9.81*(F63/1000))</f>
        <v>119.728285652644</v>
      </c>
      <c r="AQ63" s="23" t="n">
        <f aca="false">(AE63*AC63*(F63/1000))/AD63</f>
        <v>1920</v>
      </c>
      <c r="AR63" s="23" t="n">
        <f aca="false">((T63*0.000001)^3*AE63*(U63-AE63)*9.81)/AD63^2</f>
        <v>0.0049663125</v>
      </c>
      <c r="AS63" s="23" t="n">
        <f aca="false">(U63*((T63/10^6)^2)/(18*AD63))*AC63/(F63/1000)</f>
        <v>0.146484375</v>
      </c>
      <c r="AT63" s="23" t="n">
        <f aca="false">AE63*(T63/10^6)*AC63/AD63</f>
        <v>45</v>
      </c>
      <c r="AU63" s="23" t="n">
        <f aca="false">(T63/10^6)/(F63/1000)</f>
        <v>0.0234375</v>
      </c>
      <c r="AV63" s="23" t="n">
        <f aca="false">AE63/U63</f>
        <v>0.4</v>
      </c>
      <c r="AW63" s="23" t="n">
        <f aca="false">(J63*10^9)/(K63*AC63^2)</f>
        <v>132.001836547291</v>
      </c>
      <c r="AX63" s="23" t="n">
        <f aca="false">V63</f>
        <v>0.0605035700864337</v>
      </c>
      <c r="AY63" s="23" t="n">
        <f aca="false">MAX(W63,1)</f>
        <v>1</v>
      </c>
      <c r="AZ63" s="23" t="n">
        <f aca="false">X63</f>
        <v>0.0076124392695158</v>
      </c>
      <c r="BA63" s="24" t="n">
        <f aca="false">0.8*AZ63</f>
        <v>0.00608995141561264</v>
      </c>
      <c r="BB63" s="24" t="n">
        <f aca="false">AZ63*1.2</f>
        <v>0.00913492712341896</v>
      </c>
      <c r="BC63" s="0" t="str">
        <f aca="false">Z63</f>
        <v>https://www.sciencedirect.com/science/article/pii/S0043164815003749</v>
      </c>
    </row>
    <row r="64" customFormat="false" ht="12.8" hidden="false" customHeight="false" outlineLevel="0" collapsed="false">
      <c r="A64" s="1" t="n">
        <v>41</v>
      </c>
      <c r="B64" s="1" t="s">
        <v>48</v>
      </c>
      <c r="C64" s="1" t="s">
        <v>53</v>
      </c>
      <c r="D64" s="1" t="s">
        <v>54</v>
      </c>
      <c r="E64" s="11" t="n">
        <v>90</v>
      </c>
      <c r="F64" s="11" t="n">
        <v>6.4</v>
      </c>
      <c r="G64" s="26" t="n">
        <v>50</v>
      </c>
      <c r="H64" s="11" t="n">
        <f aca="false">5.2*F64</f>
        <v>33.28</v>
      </c>
      <c r="I64" s="27" t="s">
        <v>55</v>
      </c>
      <c r="J64" s="26" t="n">
        <f aca="false">((8+15)/2)/100</f>
        <v>0.115</v>
      </c>
      <c r="K64" s="28" t="n">
        <f aca="false">(886+1050)/2</f>
        <v>968</v>
      </c>
      <c r="L64" s="1" t="n">
        <v>0</v>
      </c>
      <c r="M64" s="1" t="n">
        <v>0</v>
      </c>
      <c r="N64" s="1" t="n">
        <v>0</v>
      </c>
      <c r="O64" s="11" t="n">
        <v>30</v>
      </c>
      <c r="P64" s="1" t="n">
        <v>1</v>
      </c>
      <c r="Q64" s="11" t="n">
        <v>1000</v>
      </c>
      <c r="R64" s="13" t="n">
        <f aca="false">(N64*L64+O64*Q64)/(L64+O64)</f>
        <v>1000</v>
      </c>
      <c r="S64" s="14" t="n">
        <f aca="false">(M64*L64+O64*P64*0.1)/(L64+O64)</f>
        <v>0.1</v>
      </c>
      <c r="T64" s="11" t="n">
        <v>150</v>
      </c>
      <c r="U64" s="28" t="n">
        <v>2500</v>
      </c>
      <c r="V64" s="16" t="n">
        <v>0.0605035700864337</v>
      </c>
      <c r="W64" s="11" t="n">
        <v>1</v>
      </c>
      <c r="X64" s="17" t="n">
        <v>0.00836269734302143</v>
      </c>
      <c r="Z64" s="29" t="s">
        <v>56</v>
      </c>
      <c r="AC64" s="18" t="n">
        <f aca="false">MAX(L64,O64)</f>
        <v>30</v>
      </c>
      <c r="AD64" s="17" t="n">
        <f aca="false">MAX(M64,P64*0.1)</f>
        <v>0.1</v>
      </c>
      <c r="AE64" s="1" t="n">
        <f aca="false">MAX(N64,Q64)</f>
        <v>1000</v>
      </c>
      <c r="AG64" s="16"/>
      <c r="AH64" s="19" t="n">
        <v>62</v>
      </c>
      <c r="AI64" s="20" t="str">
        <f aca="false">B64</f>
        <v>DI</v>
      </c>
      <c r="AJ64" s="20" t="str">
        <f aca="false">C64</f>
        <v>Liquid-Solid</v>
      </c>
      <c r="AK64" s="20" t="str">
        <f aca="false">D64</f>
        <v>V-H</v>
      </c>
      <c r="AL64" s="21" t="n">
        <f aca="false">E64</f>
        <v>90</v>
      </c>
      <c r="AM64" s="22" t="n">
        <v>1E-006</v>
      </c>
      <c r="AN64" s="23" t="n">
        <f aca="false">MAX(G64/(F64/1000),25000)</f>
        <v>25000</v>
      </c>
      <c r="AO64" s="23" t="n">
        <f aca="false">H64/F64</f>
        <v>5.2</v>
      </c>
      <c r="AP64" s="23" t="n">
        <f aca="false">AC64/SQRT(9.81*(F64/1000))</f>
        <v>119.728285652644</v>
      </c>
      <c r="AQ64" s="23" t="n">
        <f aca="false">(AE64*AC64*(F64/1000))/AD64</f>
        <v>1920</v>
      </c>
      <c r="AR64" s="23" t="n">
        <f aca="false">((T64*0.000001)^3*AE64*(U64-AE64)*9.81)/AD64^2</f>
        <v>0.0049663125</v>
      </c>
      <c r="AS64" s="23" t="n">
        <f aca="false">(U64*((T64/10^6)^2)/(18*AD64))*AC64/(F64/1000)</f>
        <v>0.146484375</v>
      </c>
      <c r="AT64" s="23" t="n">
        <f aca="false">AE64*(T64/10^6)*AC64/AD64</f>
        <v>45</v>
      </c>
      <c r="AU64" s="23" t="n">
        <f aca="false">(T64/10^6)/(F64/1000)</f>
        <v>0.0234375</v>
      </c>
      <c r="AV64" s="23" t="n">
        <f aca="false">AE64/U64</f>
        <v>0.4</v>
      </c>
      <c r="AW64" s="23" t="n">
        <f aca="false">(J64*10^9)/(K64*AC64^2)</f>
        <v>132.001836547291</v>
      </c>
      <c r="AX64" s="23" t="n">
        <f aca="false">V64</f>
        <v>0.0605035700864337</v>
      </c>
      <c r="AY64" s="23" t="n">
        <f aca="false">MAX(W64,1)</f>
        <v>1</v>
      </c>
      <c r="AZ64" s="23" t="n">
        <f aca="false">X64</f>
        <v>0.00836269734302143</v>
      </c>
      <c r="BA64" s="24" t="n">
        <f aca="false">0.8*AZ64</f>
        <v>0.00669015787441714</v>
      </c>
      <c r="BB64" s="24" t="n">
        <f aca="false">AZ64*1.2</f>
        <v>0.0100352368116257</v>
      </c>
      <c r="BC64" s="0" t="str">
        <f aca="false">Z64</f>
        <v>https://www.sciencedirect.com/science/article/pii/S0043164815003749</v>
      </c>
    </row>
    <row r="65" customFormat="false" ht="12.8" hidden="false" customHeight="false" outlineLevel="0" collapsed="false">
      <c r="A65" s="1" t="n">
        <v>42</v>
      </c>
      <c r="B65" s="1" t="s">
        <v>48</v>
      </c>
      <c r="C65" s="1" t="s">
        <v>53</v>
      </c>
      <c r="D65" s="1" t="s">
        <v>54</v>
      </c>
      <c r="E65" s="11" t="n">
        <v>90</v>
      </c>
      <c r="F65" s="11" t="n">
        <v>6.4</v>
      </c>
      <c r="G65" s="26" t="n">
        <v>50</v>
      </c>
      <c r="H65" s="11" t="n">
        <f aca="false">5.2*F65</f>
        <v>33.28</v>
      </c>
      <c r="I65" s="27" t="s">
        <v>55</v>
      </c>
      <c r="J65" s="26" t="n">
        <f aca="false">((8+15)/2)/100</f>
        <v>0.115</v>
      </c>
      <c r="K65" s="28" t="n">
        <f aca="false">(886+1050)/2</f>
        <v>968</v>
      </c>
      <c r="L65" s="1" t="n">
        <v>0</v>
      </c>
      <c r="M65" s="1" t="n">
        <v>0</v>
      </c>
      <c r="N65" s="1" t="n">
        <v>0</v>
      </c>
      <c r="O65" s="11" t="n">
        <v>30</v>
      </c>
      <c r="P65" s="1" t="n">
        <v>1</v>
      </c>
      <c r="Q65" s="11" t="n">
        <v>1000</v>
      </c>
      <c r="R65" s="13" t="n">
        <f aca="false">(N65*L65+O65*Q65)/(L65+O65)</f>
        <v>1000</v>
      </c>
      <c r="S65" s="14" t="n">
        <f aca="false">(M65*L65+O65*P65*0.1)/(L65+O65)</f>
        <v>0.1</v>
      </c>
      <c r="T65" s="11" t="n">
        <v>150</v>
      </c>
      <c r="U65" s="28" t="n">
        <v>2500</v>
      </c>
      <c r="V65" s="16" t="n">
        <v>0.0822320117474302</v>
      </c>
      <c r="W65" s="11" t="n">
        <v>1</v>
      </c>
      <c r="X65" s="17" t="n">
        <v>0.00974587675956068</v>
      </c>
      <c r="Z65" s="29" t="s">
        <v>56</v>
      </c>
      <c r="AC65" s="18" t="n">
        <f aca="false">MAX(L65,O65)</f>
        <v>30</v>
      </c>
      <c r="AD65" s="17" t="n">
        <f aca="false">MAX(M65,P65*0.1)</f>
        <v>0.1</v>
      </c>
      <c r="AE65" s="1" t="n">
        <f aca="false">MAX(N65,Q65)</f>
        <v>1000</v>
      </c>
      <c r="AG65" s="16"/>
      <c r="AH65" s="19" t="n">
        <v>63</v>
      </c>
      <c r="AI65" s="20" t="str">
        <f aca="false">B65</f>
        <v>DI</v>
      </c>
      <c r="AJ65" s="20" t="str">
        <f aca="false">C65</f>
        <v>Liquid-Solid</v>
      </c>
      <c r="AK65" s="20" t="str">
        <f aca="false">D65</f>
        <v>V-H</v>
      </c>
      <c r="AL65" s="21" t="n">
        <f aca="false">E65</f>
        <v>90</v>
      </c>
      <c r="AM65" s="22" t="n">
        <v>1E-006</v>
      </c>
      <c r="AN65" s="23" t="n">
        <f aca="false">MAX(G65/(F65/1000),25000)</f>
        <v>25000</v>
      </c>
      <c r="AO65" s="23" t="n">
        <f aca="false">H65/F65</f>
        <v>5.2</v>
      </c>
      <c r="AP65" s="23" t="n">
        <f aca="false">AC65/SQRT(9.81*(F65/1000))</f>
        <v>119.728285652644</v>
      </c>
      <c r="AQ65" s="23" t="n">
        <f aca="false">(AE65*AC65*(F65/1000))/AD65</f>
        <v>1920</v>
      </c>
      <c r="AR65" s="23" t="n">
        <f aca="false">((T65*0.000001)^3*AE65*(U65-AE65)*9.81)/AD65^2</f>
        <v>0.0049663125</v>
      </c>
      <c r="AS65" s="23" t="n">
        <f aca="false">(U65*((T65/10^6)^2)/(18*AD65))*AC65/(F65/1000)</f>
        <v>0.146484375</v>
      </c>
      <c r="AT65" s="23" t="n">
        <f aca="false">AE65*(T65/10^6)*AC65/AD65</f>
        <v>45</v>
      </c>
      <c r="AU65" s="23" t="n">
        <f aca="false">(T65/10^6)/(F65/1000)</f>
        <v>0.0234375</v>
      </c>
      <c r="AV65" s="23" t="n">
        <f aca="false">AE65/U65</f>
        <v>0.4</v>
      </c>
      <c r="AW65" s="23" t="n">
        <f aca="false">(J65*10^9)/(K65*AC65^2)</f>
        <v>132.001836547291</v>
      </c>
      <c r="AX65" s="23" t="n">
        <f aca="false">V65</f>
        <v>0.0822320117474302</v>
      </c>
      <c r="AY65" s="23" t="n">
        <f aca="false">MAX(W65,1)</f>
        <v>1</v>
      </c>
      <c r="AZ65" s="23" t="n">
        <f aca="false">X65</f>
        <v>0.00974587675956068</v>
      </c>
      <c r="BA65" s="24" t="n">
        <f aca="false">0.8*AZ65</f>
        <v>0.00779670140764855</v>
      </c>
      <c r="BB65" s="24" t="n">
        <f aca="false">AZ65*1.2</f>
        <v>0.0116950521114728</v>
      </c>
      <c r="BC65" s="0" t="str">
        <f aca="false">Z65</f>
        <v>https://www.sciencedirect.com/science/article/pii/S0043164815003749</v>
      </c>
    </row>
    <row r="66" customFormat="false" ht="12.8" hidden="false" customHeight="false" outlineLevel="0" collapsed="false">
      <c r="A66" s="1" t="n">
        <v>43</v>
      </c>
      <c r="B66" s="1" t="s">
        <v>48</v>
      </c>
      <c r="C66" s="1" t="s">
        <v>53</v>
      </c>
      <c r="D66" s="1" t="s">
        <v>54</v>
      </c>
      <c r="E66" s="11" t="n">
        <v>90</v>
      </c>
      <c r="F66" s="11" t="n">
        <v>6.4</v>
      </c>
      <c r="G66" s="26" t="n">
        <v>50</v>
      </c>
      <c r="H66" s="11" t="n">
        <f aca="false">5.2*F66</f>
        <v>33.28</v>
      </c>
      <c r="I66" s="27" t="s">
        <v>55</v>
      </c>
      <c r="J66" s="26" t="n">
        <f aca="false">((8+15)/2)/100</f>
        <v>0.115</v>
      </c>
      <c r="K66" s="28" t="n">
        <f aca="false">(886+1050)/2</f>
        <v>968</v>
      </c>
      <c r="L66" s="1" t="n">
        <v>0</v>
      </c>
      <c r="M66" s="1" t="n">
        <v>0</v>
      </c>
      <c r="N66" s="1" t="n">
        <v>0</v>
      </c>
      <c r="O66" s="11" t="n">
        <v>30</v>
      </c>
      <c r="P66" s="1" t="n">
        <v>1</v>
      </c>
      <c r="Q66" s="11" t="n">
        <v>1000</v>
      </c>
      <c r="R66" s="13" t="n">
        <f aca="false">(N66*L66+O66*Q66)/(L66+O66)</f>
        <v>1000</v>
      </c>
      <c r="S66" s="14" t="n">
        <f aca="false">(M66*L66+O66*P66*0.1)/(L66+O66)</f>
        <v>0.1</v>
      </c>
      <c r="T66" s="11" t="n">
        <v>150</v>
      </c>
      <c r="U66" s="28" t="n">
        <v>2500</v>
      </c>
      <c r="V66" s="16" t="n">
        <v>0.0822320117474302</v>
      </c>
      <c r="W66" s="11" t="n">
        <v>1</v>
      </c>
      <c r="X66" s="17" t="n">
        <v>0.00803803262616897</v>
      </c>
      <c r="Z66" s="29" t="s">
        <v>56</v>
      </c>
      <c r="AC66" s="18" t="n">
        <f aca="false">MAX(L66,O66)</f>
        <v>30</v>
      </c>
      <c r="AD66" s="17" t="n">
        <f aca="false">MAX(M66,P66*0.1)</f>
        <v>0.1</v>
      </c>
      <c r="AE66" s="1" t="n">
        <f aca="false">MAX(N66,Q66)</f>
        <v>1000</v>
      </c>
      <c r="AG66" s="16"/>
      <c r="AH66" s="19" t="n">
        <v>64</v>
      </c>
      <c r="AI66" s="20" t="str">
        <f aca="false">B66</f>
        <v>DI</v>
      </c>
      <c r="AJ66" s="20" t="str">
        <f aca="false">C66</f>
        <v>Liquid-Solid</v>
      </c>
      <c r="AK66" s="20" t="str">
        <f aca="false">D66</f>
        <v>V-H</v>
      </c>
      <c r="AL66" s="21" t="n">
        <f aca="false">E66</f>
        <v>90</v>
      </c>
      <c r="AM66" s="22" t="n">
        <v>1E-006</v>
      </c>
      <c r="AN66" s="23" t="n">
        <f aca="false">MAX(G66/(F66/1000),25000)</f>
        <v>25000</v>
      </c>
      <c r="AO66" s="23" t="n">
        <f aca="false">H66/F66</f>
        <v>5.2</v>
      </c>
      <c r="AP66" s="23" t="n">
        <f aca="false">AC66/SQRT(9.81*(F66/1000))</f>
        <v>119.728285652644</v>
      </c>
      <c r="AQ66" s="23" t="n">
        <f aca="false">(AE66*AC66*(F66/1000))/AD66</f>
        <v>1920</v>
      </c>
      <c r="AR66" s="23" t="n">
        <f aca="false">((T66*0.000001)^3*AE66*(U66-AE66)*9.81)/AD66^2</f>
        <v>0.0049663125</v>
      </c>
      <c r="AS66" s="23" t="n">
        <f aca="false">(U66*((T66/10^6)^2)/(18*AD66))*AC66/(F66/1000)</f>
        <v>0.146484375</v>
      </c>
      <c r="AT66" s="23" t="n">
        <f aca="false">AE66*(T66/10^6)*AC66/AD66</f>
        <v>45</v>
      </c>
      <c r="AU66" s="23" t="n">
        <f aca="false">(T66/10^6)/(F66/1000)</f>
        <v>0.0234375</v>
      </c>
      <c r="AV66" s="23" t="n">
        <f aca="false">AE66/U66</f>
        <v>0.4</v>
      </c>
      <c r="AW66" s="23" t="n">
        <f aca="false">(J66*10^9)/(K66*AC66^2)</f>
        <v>132.001836547291</v>
      </c>
      <c r="AX66" s="23" t="n">
        <f aca="false">V66</f>
        <v>0.0822320117474302</v>
      </c>
      <c r="AY66" s="23" t="n">
        <f aca="false">MAX(W66,1)</f>
        <v>1</v>
      </c>
      <c r="AZ66" s="23" t="n">
        <f aca="false">X66</f>
        <v>0.00803803262616897</v>
      </c>
      <c r="BA66" s="24" t="n">
        <f aca="false">0.8*AZ66</f>
        <v>0.00643042610093518</v>
      </c>
      <c r="BB66" s="24" t="n">
        <f aca="false">AZ66*1.2</f>
        <v>0.00964563915140276</v>
      </c>
      <c r="BC66" s="0" t="str">
        <f aca="false">Z66</f>
        <v>https://www.sciencedirect.com/science/article/pii/S0043164815003749</v>
      </c>
    </row>
    <row r="67" customFormat="false" ht="12.8" hidden="false" customHeight="false" outlineLevel="0" collapsed="false">
      <c r="A67" s="1" t="n">
        <v>44</v>
      </c>
      <c r="B67" s="1" t="s">
        <v>48</v>
      </c>
      <c r="C67" s="1" t="s">
        <v>53</v>
      </c>
      <c r="D67" s="1" t="s">
        <v>54</v>
      </c>
      <c r="E67" s="11" t="n">
        <v>90</v>
      </c>
      <c r="F67" s="11" t="n">
        <v>6.4</v>
      </c>
      <c r="G67" s="26" t="n">
        <v>50</v>
      </c>
      <c r="H67" s="11" t="n">
        <f aca="false">5.2*F67</f>
        <v>33.28</v>
      </c>
      <c r="I67" s="27" t="s">
        <v>55</v>
      </c>
      <c r="J67" s="26" t="n">
        <f aca="false">((8+15)/2)/100</f>
        <v>0.115</v>
      </c>
      <c r="K67" s="28" t="n">
        <f aca="false">(886+1050)/2</f>
        <v>968</v>
      </c>
      <c r="L67" s="1" t="n">
        <v>0</v>
      </c>
      <c r="M67" s="1" t="n">
        <v>0</v>
      </c>
      <c r="N67" s="1" t="n">
        <v>0</v>
      </c>
      <c r="O67" s="11" t="n">
        <v>30</v>
      </c>
      <c r="P67" s="1" t="n">
        <v>1</v>
      </c>
      <c r="Q67" s="11" t="n">
        <v>1000</v>
      </c>
      <c r="R67" s="13" t="n">
        <f aca="false">(N67*L67+O67*Q67)/(L67+O67)</f>
        <v>1000</v>
      </c>
      <c r="S67" s="14" t="n">
        <f aca="false">(M67*L67+O67*P67*0.1)/(L67+O67)</f>
        <v>0.1</v>
      </c>
      <c r="T67" s="11" t="n">
        <v>150</v>
      </c>
      <c r="U67" s="28" t="n">
        <v>2500</v>
      </c>
      <c r="V67" s="16" t="n">
        <v>0.0822320117474302</v>
      </c>
      <c r="W67" s="11" t="n">
        <v>1</v>
      </c>
      <c r="X67" s="17" t="n">
        <v>0.00658197133927517</v>
      </c>
      <c r="Z67" s="29" t="s">
        <v>56</v>
      </c>
      <c r="AC67" s="18" t="n">
        <f aca="false">MAX(L67,O67)</f>
        <v>30</v>
      </c>
      <c r="AD67" s="17" t="n">
        <f aca="false">MAX(M67,P67*0.1)</f>
        <v>0.1</v>
      </c>
      <c r="AE67" s="1" t="n">
        <f aca="false">MAX(N67,Q67)</f>
        <v>1000</v>
      </c>
      <c r="AG67" s="16"/>
      <c r="AH67" s="19" t="n">
        <v>65</v>
      </c>
      <c r="AI67" s="20" t="str">
        <f aca="false">B67</f>
        <v>DI</v>
      </c>
      <c r="AJ67" s="20" t="str">
        <f aca="false">C67</f>
        <v>Liquid-Solid</v>
      </c>
      <c r="AK67" s="20" t="str">
        <f aca="false">D67</f>
        <v>V-H</v>
      </c>
      <c r="AL67" s="21" t="n">
        <f aca="false">E67</f>
        <v>90</v>
      </c>
      <c r="AM67" s="22" t="n">
        <v>1E-006</v>
      </c>
      <c r="AN67" s="23" t="n">
        <f aca="false">MAX(G67/(F67/1000),25000)</f>
        <v>25000</v>
      </c>
      <c r="AO67" s="23" t="n">
        <f aca="false">H67/F67</f>
        <v>5.2</v>
      </c>
      <c r="AP67" s="23" t="n">
        <f aca="false">AC67/SQRT(9.81*(F67/1000))</f>
        <v>119.728285652644</v>
      </c>
      <c r="AQ67" s="23" t="n">
        <f aca="false">(AE67*AC67*(F67/1000))/AD67</f>
        <v>1920</v>
      </c>
      <c r="AR67" s="23" t="n">
        <f aca="false">((T67*0.000001)^3*AE67*(U67-AE67)*9.81)/AD67^2</f>
        <v>0.0049663125</v>
      </c>
      <c r="AS67" s="23" t="n">
        <f aca="false">(U67*((T67/10^6)^2)/(18*AD67))*AC67/(F67/1000)</f>
        <v>0.146484375</v>
      </c>
      <c r="AT67" s="23" t="n">
        <f aca="false">AE67*(T67/10^6)*AC67/AD67</f>
        <v>45</v>
      </c>
      <c r="AU67" s="23" t="n">
        <f aca="false">(T67/10^6)/(F67/1000)</f>
        <v>0.0234375</v>
      </c>
      <c r="AV67" s="23" t="n">
        <f aca="false">AE67/U67</f>
        <v>0.4</v>
      </c>
      <c r="AW67" s="23" t="n">
        <f aca="false">(J67*10^9)/(K67*AC67^2)</f>
        <v>132.001836547291</v>
      </c>
      <c r="AX67" s="23" t="n">
        <f aca="false">V67</f>
        <v>0.0822320117474302</v>
      </c>
      <c r="AY67" s="23" t="n">
        <f aca="false">MAX(W67,1)</f>
        <v>1</v>
      </c>
      <c r="AZ67" s="23" t="n">
        <f aca="false">X67</f>
        <v>0.00658197133927517</v>
      </c>
      <c r="BA67" s="24" t="n">
        <f aca="false">0.8*AZ67</f>
        <v>0.00526557707142014</v>
      </c>
      <c r="BB67" s="24" t="n">
        <f aca="false">AZ67*1.2</f>
        <v>0.00789836560713021</v>
      </c>
      <c r="BC67" s="0" t="str">
        <f aca="false">Z67</f>
        <v>https://www.sciencedirect.com/science/article/pii/S0043164815003749</v>
      </c>
    </row>
    <row r="68" customFormat="false" ht="12.8" hidden="false" customHeight="false" outlineLevel="0" collapsed="false">
      <c r="A68" s="1" t="n">
        <v>45</v>
      </c>
      <c r="B68" s="1" t="s">
        <v>48</v>
      </c>
      <c r="C68" s="1" t="s">
        <v>53</v>
      </c>
      <c r="D68" s="1" t="s">
        <v>54</v>
      </c>
      <c r="E68" s="11" t="n">
        <v>90</v>
      </c>
      <c r="F68" s="11" t="n">
        <v>6.4</v>
      </c>
      <c r="G68" s="26" t="n">
        <v>50</v>
      </c>
      <c r="H68" s="11" t="n">
        <f aca="false">5.2*F68</f>
        <v>33.28</v>
      </c>
      <c r="I68" s="27" t="s">
        <v>55</v>
      </c>
      <c r="J68" s="26" t="n">
        <f aca="false">((8+15)/2)/100</f>
        <v>0.115</v>
      </c>
      <c r="K68" s="28" t="n">
        <f aca="false">(886+1050)/2</f>
        <v>968</v>
      </c>
      <c r="L68" s="1" t="n">
        <v>0</v>
      </c>
      <c r="M68" s="1" t="n">
        <v>0</v>
      </c>
      <c r="N68" s="1" t="n">
        <v>0</v>
      </c>
      <c r="O68" s="11" t="n">
        <v>30</v>
      </c>
      <c r="P68" s="1" t="n">
        <v>1</v>
      </c>
      <c r="Q68" s="11" t="n">
        <v>1000</v>
      </c>
      <c r="R68" s="13" t="n">
        <f aca="false">(N68*L68+O68*Q68)/(L68+O68)</f>
        <v>1000</v>
      </c>
      <c r="S68" s="14" t="n">
        <f aca="false">(M68*L68+O68*P68*0.1)/(L68+O68)</f>
        <v>0.1</v>
      </c>
      <c r="T68" s="11" t="n">
        <v>150</v>
      </c>
      <c r="U68" s="28" t="n">
        <v>2500</v>
      </c>
      <c r="V68" s="16" t="n">
        <v>0.0822320117474302</v>
      </c>
      <c r="W68" s="11" t="n">
        <v>1</v>
      </c>
      <c r="X68" s="17" t="n">
        <v>0.00578650939456203</v>
      </c>
      <c r="Z68" s="29" t="s">
        <v>56</v>
      </c>
      <c r="AC68" s="18" t="n">
        <f aca="false">MAX(L68,O68)</f>
        <v>30</v>
      </c>
      <c r="AD68" s="17" t="n">
        <f aca="false">MAX(M68,P68*0.1)</f>
        <v>0.1</v>
      </c>
      <c r="AE68" s="1" t="n">
        <f aca="false">MAX(N68,Q68)</f>
        <v>1000</v>
      </c>
      <c r="AG68" s="16"/>
      <c r="AH68" s="19" t="n">
        <v>66</v>
      </c>
      <c r="AI68" s="20" t="str">
        <f aca="false">B68</f>
        <v>DI</v>
      </c>
      <c r="AJ68" s="20" t="str">
        <f aca="false">C68</f>
        <v>Liquid-Solid</v>
      </c>
      <c r="AK68" s="20" t="str">
        <f aca="false">D68</f>
        <v>V-H</v>
      </c>
      <c r="AL68" s="21" t="n">
        <f aca="false">E68</f>
        <v>90</v>
      </c>
      <c r="AM68" s="22" t="n">
        <v>1E-006</v>
      </c>
      <c r="AN68" s="23" t="n">
        <f aca="false">MAX(G68/(F68/1000),25000)</f>
        <v>25000</v>
      </c>
      <c r="AO68" s="23" t="n">
        <f aca="false">H68/F68</f>
        <v>5.2</v>
      </c>
      <c r="AP68" s="23" t="n">
        <f aca="false">AC68/SQRT(9.81*(F68/1000))</f>
        <v>119.728285652644</v>
      </c>
      <c r="AQ68" s="23" t="n">
        <f aca="false">(AE68*AC68*(F68/1000))/AD68</f>
        <v>1920</v>
      </c>
      <c r="AR68" s="23" t="n">
        <f aca="false">((T68*0.000001)^3*AE68*(U68-AE68)*9.81)/AD68^2</f>
        <v>0.0049663125</v>
      </c>
      <c r="AS68" s="23" t="n">
        <f aca="false">(U68*((T68/10^6)^2)/(18*AD68))*AC68/(F68/1000)</f>
        <v>0.146484375</v>
      </c>
      <c r="AT68" s="23" t="n">
        <f aca="false">AE68*(T68/10^6)*AC68/AD68</f>
        <v>45</v>
      </c>
      <c r="AU68" s="23" t="n">
        <f aca="false">(T68/10^6)/(F68/1000)</f>
        <v>0.0234375</v>
      </c>
      <c r="AV68" s="23" t="n">
        <f aca="false">AE68/U68</f>
        <v>0.4</v>
      </c>
      <c r="AW68" s="23" t="n">
        <f aca="false">(J68*10^9)/(K68*AC68^2)</f>
        <v>132.001836547291</v>
      </c>
      <c r="AX68" s="23" t="n">
        <f aca="false">V68</f>
        <v>0.0822320117474302</v>
      </c>
      <c r="AY68" s="23" t="n">
        <f aca="false">MAX(W68,1)</f>
        <v>1</v>
      </c>
      <c r="AZ68" s="23" t="n">
        <f aca="false">X68</f>
        <v>0.00578650939456203</v>
      </c>
      <c r="BA68" s="24" t="n">
        <f aca="false">0.8*AZ68</f>
        <v>0.00462920751564962</v>
      </c>
      <c r="BB68" s="24" t="n">
        <f aca="false">AZ68*1.2</f>
        <v>0.00694381127347444</v>
      </c>
      <c r="BC68" s="0" t="str">
        <f aca="false">Z68</f>
        <v>https://www.sciencedirect.com/science/article/pii/S0043164815003749</v>
      </c>
    </row>
    <row r="69" customFormat="false" ht="12.8" hidden="false" customHeight="false" outlineLevel="0" collapsed="false">
      <c r="A69" s="1" t="n">
        <v>46</v>
      </c>
      <c r="B69" s="1" t="s">
        <v>48</v>
      </c>
      <c r="C69" s="1" t="s">
        <v>53</v>
      </c>
      <c r="D69" s="1" t="s">
        <v>54</v>
      </c>
      <c r="E69" s="11" t="n">
        <v>90</v>
      </c>
      <c r="F69" s="11" t="n">
        <v>6.4</v>
      </c>
      <c r="G69" s="26" t="n">
        <v>50</v>
      </c>
      <c r="H69" s="11" t="n">
        <f aca="false">5.2*F69</f>
        <v>33.28</v>
      </c>
      <c r="I69" s="27" t="s">
        <v>55</v>
      </c>
      <c r="J69" s="26" t="n">
        <f aca="false">((8+15)/2)/100</f>
        <v>0.115</v>
      </c>
      <c r="K69" s="28" t="n">
        <f aca="false">(886+1050)/2</f>
        <v>968</v>
      </c>
      <c r="L69" s="1" t="n">
        <v>0</v>
      </c>
      <c r="M69" s="1" t="n">
        <v>0</v>
      </c>
      <c r="N69" s="1" t="n">
        <v>0</v>
      </c>
      <c r="O69" s="11" t="n">
        <v>30</v>
      </c>
      <c r="P69" s="1" t="n">
        <v>1</v>
      </c>
      <c r="Q69" s="11" t="n">
        <v>1000</v>
      </c>
      <c r="R69" s="13" t="n">
        <f aca="false">(N69*L69+O69*Q69)/(L69+O69)</f>
        <v>1000</v>
      </c>
      <c r="S69" s="14" t="n">
        <f aca="false">(M69*L69+O69*P69*0.1)/(L69+O69)</f>
        <v>0.1</v>
      </c>
      <c r="T69" s="11" t="n">
        <v>150</v>
      </c>
      <c r="U69" s="28" t="n">
        <v>2500</v>
      </c>
      <c r="V69" s="16" t="n">
        <v>0.0822320117474302</v>
      </c>
      <c r="W69" s="11" t="n">
        <v>1</v>
      </c>
      <c r="X69" s="17" t="n">
        <v>0.00559561701773259</v>
      </c>
      <c r="Z69" s="29" t="s">
        <v>56</v>
      </c>
      <c r="AC69" s="18" t="n">
        <f aca="false">MAX(L69,O69)</f>
        <v>30</v>
      </c>
      <c r="AD69" s="17" t="n">
        <f aca="false">MAX(M69,P69*0.1)</f>
        <v>0.1</v>
      </c>
      <c r="AE69" s="1" t="n">
        <f aca="false">MAX(N69,Q69)</f>
        <v>1000</v>
      </c>
      <c r="AG69" s="16"/>
      <c r="AH69" s="19" t="n">
        <v>67</v>
      </c>
      <c r="AI69" s="20" t="str">
        <f aca="false">B69</f>
        <v>DI</v>
      </c>
      <c r="AJ69" s="20" t="str">
        <f aca="false">C69</f>
        <v>Liquid-Solid</v>
      </c>
      <c r="AK69" s="20" t="str">
        <f aca="false">D69</f>
        <v>V-H</v>
      </c>
      <c r="AL69" s="21" t="n">
        <f aca="false">E69</f>
        <v>90</v>
      </c>
      <c r="AM69" s="22" t="n">
        <v>1E-006</v>
      </c>
      <c r="AN69" s="23" t="n">
        <f aca="false">MAX(G69/(F69/1000),25000)</f>
        <v>25000</v>
      </c>
      <c r="AO69" s="23" t="n">
        <f aca="false">H69/F69</f>
        <v>5.2</v>
      </c>
      <c r="AP69" s="23" t="n">
        <f aca="false">AC69/SQRT(9.81*(F69/1000))</f>
        <v>119.728285652644</v>
      </c>
      <c r="AQ69" s="23" t="n">
        <f aca="false">(AE69*AC69*(F69/1000))/AD69</f>
        <v>1920</v>
      </c>
      <c r="AR69" s="23" t="n">
        <f aca="false">((T69*0.000001)^3*AE69*(U69-AE69)*9.81)/AD69^2</f>
        <v>0.0049663125</v>
      </c>
      <c r="AS69" s="23" t="n">
        <f aca="false">(U69*((T69/10^6)^2)/(18*AD69))*AC69/(F69/1000)</f>
        <v>0.146484375</v>
      </c>
      <c r="AT69" s="23" t="n">
        <f aca="false">AE69*(T69/10^6)*AC69/AD69</f>
        <v>45</v>
      </c>
      <c r="AU69" s="23" t="n">
        <f aca="false">(T69/10^6)/(F69/1000)</f>
        <v>0.0234375</v>
      </c>
      <c r="AV69" s="23" t="n">
        <f aca="false">AE69/U69</f>
        <v>0.4</v>
      </c>
      <c r="AW69" s="23" t="n">
        <f aca="false">(J69*10^9)/(K69*AC69^2)</f>
        <v>132.001836547291</v>
      </c>
      <c r="AX69" s="23" t="n">
        <f aca="false">V69</f>
        <v>0.0822320117474302</v>
      </c>
      <c r="AY69" s="23" t="n">
        <f aca="false">MAX(W69,1)</f>
        <v>1</v>
      </c>
      <c r="AZ69" s="23" t="n">
        <f aca="false">X69</f>
        <v>0.00559561701773259</v>
      </c>
      <c r="BA69" s="24" t="n">
        <f aca="false">0.8*AZ69</f>
        <v>0.00447649361418607</v>
      </c>
      <c r="BB69" s="24" t="n">
        <f aca="false">AZ69*1.2</f>
        <v>0.00671474042127911</v>
      </c>
      <c r="BC69" s="0" t="str">
        <f aca="false">Z69</f>
        <v>https://www.sciencedirect.com/science/article/pii/S0043164815003749</v>
      </c>
    </row>
    <row r="70" customFormat="false" ht="12.8" hidden="false" customHeight="false" outlineLevel="0" collapsed="false">
      <c r="A70" s="1" t="n">
        <v>47</v>
      </c>
      <c r="B70" s="1" t="s">
        <v>48</v>
      </c>
      <c r="C70" s="1" t="s">
        <v>53</v>
      </c>
      <c r="D70" s="1" t="s">
        <v>54</v>
      </c>
      <c r="E70" s="11" t="n">
        <v>90</v>
      </c>
      <c r="F70" s="11" t="n">
        <v>6.4</v>
      </c>
      <c r="G70" s="26" t="n">
        <v>50</v>
      </c>
      <c r="H70" s="11" t="n">
        <f aca="false">5.2*F70</f>
        <v>33.28</v>
      </c>
      <c r="I70" s="27" t="s">
        <v>55</v>
      </c>
      <c r="J70" s="26" t="n">
        <f aca="false">((8+15)/2)/100</f>
        <v>0.115</v>
      </c>
      <c r="K70" s="28" t="n">
        <f aca="false">(886+1050)/2</f>
        <v>968</v>
      </c>
      <c r="L70" s="1" t="n">
        <v>0</v>
      </c>
      <c r="M70" s="1" t="n">
        <v>0</v>
      </c>
      <c r="N70" s="1" t="n">
        <v>0</v>
      </c>
      <c r="O70" s="11" t="n">
        <v>30</v>
      </c>
      <c r="P70" s="1" t="n">
        <v>1</v>
      </c>
      <c r="Q70" s="11" t="n">
        <v>1000</v>
      </c>
      <c r="R70" s="13" t="n">
        <f aca="false">(N70*L70+O70*Q70)/(L70+O70)</f>
        <v>1000</v>
      </c>
      <c r="S70" s="14" t="n">
        <f aca="false">(M70*L70+O70*P70*0.1)/(L70+O70)</f>
        <v>0.1</v>
      </c>
      <c r="T70" s="11" t="n">
        <v>150</v>
      </c>
      <c r="U70" s="28" t="n">
        <v>2500</v>
      </c>
      <c r="V70" s="16" t="n">
        <v>0.0822320117474302</v>
      </c>
      <c r="W70" s="11" t="n">
        <v>1</v>
      </c>
      <c r="X70" s="17" t="n">
        <v>0.00559887582740377</v>
      </c>
      <c r="Z70" s="29" t="s">
        <v>56</v>
      </c>
      <c r="AC70" s="18" t="n">
        <f aca="false">MAX(L70,O70)</f>
        <v>30</v>
      </c>
      <c r="AD70" s="17" t="n">
        <f aca="false">MAX(M70,P70*0.1)</f>
        <v>0.1</v>
      </c>
      <c r="AE70" s="1" t="n">
        <f aca="false">MAX(N70,Q70)</f>
        <v>1000</v>
      </c>
      <c r="AG70" s="16"/>
      <c r="AH70" s="19" t="n">
        <v>68</v>
      </c>
      <c r="AI70" s="20" t="str">
        <f aca="false">B70</f>
        <v>DI</v>
      </c>
      <c r="AJ70" s="20" t="str">
        <f aca="false">C70</f>
        <v>Liquid-Solid</v>
      </c>
      <c r="AK70" s="20" t="str">
        <f aca="false">D70</f>
        <v>V-H</v>
      </c>
      <c r="AL70" s="21" t="n">
        <f aca="false">E70</f>
        <v>90</v>
      </c>
      <c r="AM70" s="22" t="n">
        <v>1E-006</v>
      </c>
      <c r="AN70" s="23" t="n">
        <f aca="false">MAX(G70/(F70/1000),25000)</f>
        <v>25000</v>
      </c>
      <c r="AO70" s="23" t="n">
        <f aca="false">H70/F70</f>
        <v>5.2</v>
      </c>
      <c r="AP70" s="23" t="n">
        <f aca="false">AC70/SQRT(9.81*(F70/1000))</f>
        <v>119.728285652644</v>
      </c>
      <c r="AQ70" s="23" t="n">
        <f aca="false">(AE70*AC70*(F70/1000))/AD70</f>
        <v>1920</v>
      </c>
      <c r="AR70" s="23" t="n">
        <f aca="false">((T70*0.000001)^3*AE70*(U70-AE70)*9.81)/AD70^2</f>
        <v>0.0049663125</v>
      </c>
      <c r="AS70" s="23" t="n">
        <f aca="false">(U70*((T70/10^6)^2)/(18*AD70))*AC70/(F70/1000)</f>
        <v>0.146484375</v>
      </c>
      <c r="AT70" s="23" t="n">
        <f aca="false">AE70*(T70/10^6)*AC70/AD70</f>
        <v>45</v>
      </c>
      <c r="AU70" s="23" t="n">
        <f aca="false">(T70/10^6)/(F70/1000)</f>
        <v>0.0234375</v>
      </c>
      <c r="AV70" s="23" t="n">
        <f aca="false">AE70/U70</f>
        <v>0.4</v>
      </c>
      <c r="AW70" s="23" t="n">
        <f aca="false">(J70*10^9)/(K70*AC70^2)</f>
        <v>132.001836547291</v>
      </c>
      <c r="AX70" s="23" t="n">
        <f aca="false">V70</f>
        <v>0.0822320117474302</v>
      </c>
      <c r="AY70" s="23" t="n">
        <f aca="false">MAX(W70,1)</f>
        <v>1</v>
      </c>
      <c r="AZ70" s="23" t="n">
        <f aca="false">X70</f>
        <v>0.00559887582740377</v>
      </c>
      <c r="BA70" s="24" t="n">
        <f aca="false">0.8*AZ70</f>
        <v>0.00447910066192302</v>
      </c>
      <c r="BB70" s="24" t="n">
        <f aca="false">AZ70*1.2</f>
        <v>0.00671865099288452</v>
      </c>
      <c r="BC70" s="0" t="str">
        <f aca="false">Z70</f>
        <v>https://www.sciencedirect.com/science/article/pii/S0043164815003749</v>
      </c>
    </row>
    <row r="71" customFormat="false" ht="12.8" hidden="false" customHeight="false" outlineLevel="0" collapsed="false">
      <c r="A71" s="1" t="n">
        <v>48</v>
      </c>
      <c r="B71" s="1" t="s">
        <v>48</v>
      </c>
      <c r="C71" s="1" t="s">
        <v>53</v>
      </c>
      <c r="D71" s="1" t="s">
        <v>54</v>
      </c>
      <c r="E71" s="11" t="n">
        <v>90</v>
      </c>
      <c r="F71" s="11" t="n">
        <v>6.4</v>
      </c>
      <c r="G71" s="26" t="n">
        <v>50</v>
      </c>
      <c r="H71" s="11" t="n">
        <f aca="false">5.2*F71</f>
        <v>33.28</v>
      </c>
      <c r="I71" s="27" t="s">
        <v>55</v>
      </c>
      <c r="J71" s="26" t="n">
        <f aca="false">((8+15)/2)/100</f>
        <v>0.115</v>
      </c>
      <c r="K71" s="28" t="n">
        <f aca="false">(886+1050)/2</f>
        <v>968</v>
      </c>
      <c r="L71" s="1" t="n">
        <v>0</v>
      </c>
      <c r="M71" s="1" t="n">
        <v>0</v>
      </c>
      <c r="N71" s="1" t="n">
        <v>0</v>
      </c>
      <c r="O71" s="11" t="n">
        <v>30</v>
      </c>
      <c r="P71" s="1" t="n">
        <v>1</v>
      </c>
      <c r="Q71" s="11" t="n">
        <v>1000</v>
      </c>
      <c r="R71" s="13" t="n">
        <f aca="false">(N71*L71+O71*Q71)/(L71+O71)</f>
        <v>1000</v>
      </c>
      <c r="S71" s="14" t="n">
        <f aca="false">(M71*L71+O71*P71*0.1)/(L71+O71)</f>
        <v>0.1</v>
      </c>
      <c r="T71" s="11" t="n">
        <v>150</v>
      </c>
      <c r="U71" s="28" t="n">
        <v>2500</v>
      </c>
      <c r="V71" s="16" t="n">
        <v>0.0822320117474302</v>
      </c>
      <c r="W71" s="11" t="n">
        <v>1</v>
      </c>
      <c r="X71" s="17" t="n">
        <v>0.00594225251032926</v>
      </c>
      <c r="Z71" s="29" t="s">
        <v>56</v>
      </c>
      <c r="AC71" s="18" t="n">
        <f aca="false">MAX(L71,O71)</f>
        <v>30</v>
      </c>
      <c r="AD71" s="17" t="n">
        <f aca="false">MAX(M71,P71*0.1)</f>
        <v>0.1</v>
      </c>
      <c r="AE71" s="1" t="n">
        <f aca="false">MAX(N71,Q71)</f>
        <v>1000</v>
      </c>
      <c r="AG71" s="16"/>
      <c r="AH71" s="19" t="n">
        <v>69</v>
      </c>
      <c r="AI71" s="20" t="str">
        <f aca="false">B71</f>
        <v>DI</v>
      </c>
      <c r="AJ71" s="20" t="str">
        <f aca="false">C71</f>
        <v>Liquid-Solid</v>
      </c>
      <c r="AK71" s="20" t="str">
        <f aca="false">D71</f>
        <v>V-H</v>
      </c>
      <c r="AL71" s="21" t="n">
        <f aca="false">E71</f>
        <v>90</v>
      </c>
      <c r="AM71" s="22" t="n">
        <v>1E-006</v>
      </c>
      <c r="AN71" s="23" t="n">
        <f aca="false">MAX(G71/(F71/1000),25000)</f>
        <v>25000</v>
      </c>
      <c r="AO71" s="23" t="n">
        <f aca="false">H71/F71</f>
        <v>5.2</v>
      </c>
      <c r="AP71" s="23" t="n">
        <f aca="false">AC71/SQRT(9.81*(F71/1000))</f>
        <v>119.728285652644</v>
      </c>
      <c r="AQ71" s="23" t="n">
        <f aca="false">(AE71*AC71*(F71/1000))/AD71</f>
        <v>1920</v>
      </c>
      <c r="AR71" s="23" t="n">
        <f aca="false">((T71*0.000001)^3*AE71*(U71-AE71)*9.81)/AD71^2</f>
        <v>0.0049663125</v>
      </c>
      <c r="AS71" s="23" t="n">
        <f aca="false">(U71*((T71/10^6)^2)/(18*AD71))*AC71/(F71/1000)</f>
        <v>0.146484375</v>
      </c>
      <c r="AT71" s="23" t="n">
        <f aca="false">AE71*(T71/10^6)*AC71/AD71</f>
        <v>45</v>
      </c>
      <c r="AU71" s="23" t="n">
        <f aca="false">(T71/10^6)/(F71/1000)</f>
        <v>0.0234375</v>
      </c>
      <c r="AV71" s="23" t="n">
        <f aca="false">AE71/U71</f>
        <v>0.4</v>
      </c>
      <c r="AW71" s="23" t="n">
        <f aca="false">(J71*10^9)/(K71*AC71^2)</f>
        <v>132.001836547291</v>
      </c>
      <c r="AX71" s="23" t="n">
        <f aca="false">V71</f>
        <v>0.0822320117474302</v>
      </c>
      <c r="AY71" s="23" t="n">
        <f aca="false">MAX(W71,1)</f>
        <v>1</v>
      </c>
      <c r="AZ71" s="23" t="n">
        <f aca="false">X71</f>
        <v>0.00594225251032926</v>
      </c>
      <c r="BA71" s="24" t="n">
        <f aca="false">0.8*AZ71</f>
        <v>0.00475380200826341</v>
      </c>
      <c r="BB71" s="24" t="n">
        <f aca="false">AZ71*1.2</f>
        <v>0.00713070301239511</v>
      </c>
      <c r="BC71" s="0" t="str">
        <f aca="false">Z71</f>
        <v>https://www.sciencedirect.com/science/article/pii/S0043164815003749</v>
      </c>
    </row>
    <row r="72" customFormat="false" ht="12.8" hidden="false" customHeight="false" outlineLevel="0" collapsed="false">
      <c r="A72" s="1" t="n">
        <v>49</v>
      </c>
      <c r="B72" s="1" t="s">
        <v>48</v>
      </c>
      <c r="C72" s="1" t="s">
        <v>53</v>
      </c>
      <c r="D72" s="1" t="s">
        <v>54</v>
      </c>
      <c r="E72" s="11" t="n">
        <v>90</v>
      </c>
      <c r="F72" s="11" t="n">
        <v>6.4</v>
      </c>
      <c r="G72" s="26" t="n">
        <v>50</v>
      </c>
      <c r="H72" s="11" t="n">
        <f aca="false">5.2*F72</f>
        <v>33.28</v>
      </c>
      <c r="I72" s="27" t="s">
        <v>55</v>
      </c>
      <c r="J72" s="26" t="n">
        <f aca="false">((8+15)/2)/100</f>
        <v>0.115</v>
      </c>
      <c r="K72" s="28" t="n">
        <f aca="false">(886+1050)/2</f>
        <v>968</v>
      </c>
      <c r="L72" s="1" t="n">
        <v>0</v>
      </c>
      <c r="M72" s="1" t="n">
        <v>0</v>
      </c>
      <c r="N72" s="1" t="n">
        <v>0</v>
      </c>
      <c r="O72" s="11" t="n">
        <v>30</v>
      </c>
      <c r="P72" s="1" t="n">
        <v>1</v>
      </c>
      <c r="Q72" s="11" t="n">
        <v>1000</v>
      </c>
      <c r="R72" s="13" t="n">
        <f aca="false">(N72*L72+O72*Q72)/(L72+O72)</f>
        <v>1000</v>
      </c>
      <c r="S72" s="14" t="n">
        <f aca="false">(M72*L72+O72*P72*0.1)/(L72+O72)</f>
        <v>0.1</v>
      </c>
      <c r="T72" s="11" t="n">
        <v>150</v>
      </c>
      <c r="U72" s="28" t="n">
        <v>2500</v>
      </c>
      <c r="V72" s="16" t="n">
        <v>0.0822320117474302</v>
      </c>
      <c r="W72" s="11" t="n">
        <v>1</v>
      </c>
      <c r="X72" s="17" t="n">
        <v>0.00624178333134144</v>
      </c>
      <c r="Z72" s="29" t="s">
        <v>56</v>
      </c>
      <c r="AC72" s="18" t="n">
        <f aca="false">MAX(L72,O72)</f>
        <v>30</v>
      </c>
      <c r="AD72" s="17" t="n">
        <f aca="false">MAX(M72,P72*0.1)</f>
        <v>0.1</v>
      </c>
      <c r="AE72" s="1" t="n">
        <f aca="false">MAX(N72,Q72)</f>
        <v>1000</v>
      </c>
      <c r="AG72" s="16"/>
      <c r="AH72" s="19" t="n">
        <v>70</v>
      </c>
      <c r="AI72" s="20" t="str">
        <f aca="false">B72</f>
        <v>DI</v>
      </c>
      <c r="AJ72" s="20" t="str">
        <f aca="false">C72</f>
        <v>Liquid-Solid</v>
      </c>
      <c r="AK72" s="20" t="str">
        <f aca="false">D72</f>
        <v>V-H</v>
      </c>
      <c r="AL72" s="21" t="n">
        <f aca="false">E72</f>
        <v>90</v>
      </c>
      <c r="AM72" s="22" t="n">
        <v>1E-006</v>
      </c>
      <c r="AN72" s="23" t="n">
        <f aca="false">MAX(G72/(F72/1000),25000)</f>
        <v>25000</v>
      </c>
      <c r="AO72" s="23" t="n">
        <f aca="false">H72/F72</f>
        <v>5.2</v>
      </c>
      <c r="AP72" s="23" t="n">
        <f aca="false">AC72/SQRT(9.81*(F72/1000))</f>
        <v>119.728285652644</v>
      </c>
      <c r="AQ72" s="23" t="n">
        <f aca="false">(AE72*AC72*(F72/1000))/AD72</f>
        <v>1920</v>
      </c>
      <c r="AR72" s="23" t="n">
        <f aca="false">((T72*0.000001)^3*AE72*(U72-AE72)*9.81)/AD72^2</f>
        <v>0.0049663125</v>
      </c>
      <c r="AS72" s="23" t="n">
        <f aca="false">(U72*((T72/10^6)^2)/(18*AD72))*AC72/(F72/1000)</f>
        <v>0.146484375</v>
      </c>
      <c r="AT72" s="23" t="n">
        <f aca="false">AE72*(T72/10^6)*AC72/AD72</f>
        <v>45</v>
      </c>
      <c r="AU72" s="23" t="n">
        <f aca="false">(T72/10^6)/(F72/1000)</f>
        <v>0.0234375</v>
      </c>
      <c r="AV72" s="23" t="n">
        <f aca="false">AE72/U72</f>
        <v>0.4</v>
      </c>
      <c r="AW72" s="23" t="n">
        <f aca="false">(J72*10^9)/(K72*AC72^2)</f>
        <v>132.001836547291</v>
      </c>
      <c r="AX72" s="23" t="n">
        <f aca="false">V72</f>
        <v>0.0822320117474302</v>
      </c>
      <c r="AY72" s="23" t="n">
        <f aca="false">MAX(W72,1)</f>
        <v>1</v>
      </c>
      <c r="AZ72" s="23" t="n">
        <f aca="false">X72</f>
        <v>0.00624178333134144</v>
      </c>
      <c r="BA72" s="24" t="n">
        <f aca="false">0.8*AZ72</f>
        <v>0.00499342666507315</v>
      </c>
      <c r="BB72" s="24" t="n">
        <f aca="false">AZ72*1.2</f>
        <v>0.00749013999760973</v>
      </c>
      <c r="BC72" s="0" t="str">
        <f aca="false">Z72</f>
        <v>https://www.sciencedirect.com/science/article/pii/S0043164815003749</v>
      </c>
    </row>
    <row r="73" customFormat="false" ht="12.8" hidden="false" customHeight="false" outlineLevel="0" collapsed="false">
      <c r="A73" s="1" t="n">
        <v>50</v>
      </c>
      <c r="B73" s="1" t="s">
        <v>48</v>
      </c>
      <c r="C73" s="1" t="s">
        <v>53</v>
      </c>
      <c r="D73" s="1" t="s">
        <v>54</v>
      </c>
      <c r="E73" s="11" t="n">
        <v>90</v>
      </c>
      <c r="F73" s="11" t="n">
        <v>6.4</v>
      </c>
      <c r="G73" s="26" t="n">
        <v>50</v>
      </c>
      <c r="H73" s="11" t="n">
        <f aca="false">7.4*F73</f>
        <v>47.36</v>
      </c>
      <c r="I73" s="27" t="s">
        <v>55</v>
      </c>
      <c r="J73" s="26" t="n">
        <f aca="false">((8+15)/2)/100</f>
        <v>0.115</v>
      </c>
      <c r="K73" s="28" t="n">
        <f aca="false">(886+1050)/2</f>
        <v>968</v>
      </c>
      <c r="L73" s="1" t="n">
        <v>0</v>
      </c>
      <c r="M73" s="1" t="n">
        <v>0</v>
      </c>
      <c r="N73" s="1" t="n">
        <v>0</v>
      </c>
      <c r="O73" s="11" t="n">
        <v>30</v>
      </c>
      <c r="P73" s="1" t="n">
        <v>1</v>
      </c>
      <c r="Q73" s="11" t="n">
        <v>1000</v>
      </c>
      <c r="R73" s="13" t="n">
        <f aca="false">(N73*L73+O73*Q73)/(L73+O73)</f>
        <v>1000</v>
      </c>
      <c r="S73" s="14" t="n">
        <f aca="false">(M73*L73+O73*P73*0.1)/(L73+O73)</f>
        <v>0.1</v>
      </c>
      <c r="T73" s="11" t="n">
        <v>150</v>
      </c>
      <c r="U73" s="28" t="n">
        <v>2500</v>
      </c>
      <c r="V73" s="16" t="n">
        <v>0.0340030911901082</v>
      </c>
      <c r="W73" s="11" t="n">
        <v>1</v>
      </c>
      <c r="X73" s="17" t="n">
        <v>0.00699749348972877</v>
      </c>
      <c r="Z73" s="29" t="s">
        <v>56</v>
      </c>
      <c r="AC73" s="18" t="n">
        <f aca="false">MAX(L73,O73)</f>
        <v>30</v>
      </c>
      <c r="AD73" s="17" t="n">
        <f aca="false">MAX(M73,P73*0.1)</f>
        <v>0.1</v>
      </c>
      <c r="AE73" s="1" t="n">
        <f aca="false">MAX(N73,Q73)</f>
        <v>1000</v>
      </c>
      <c r="AG73" s="16"/>
      <c r="AH73" s="19" t="n">
        <v>71</v>
      </c>
      <c r="AI73" s="20" t="str">
        <f aca="false">B73</f>
        <v>DI</v>
      </c>
      <c r="AJ73" s="20" t="str">
        <f aca="false">C73</f>
        <v>Liquid-Solid</v>
      </c>
      <c r="AK73" s="20" t="str">
        <f aca="false">D73</f>
        <v>V-H</v>
      </c>
      <c r="AL73" s="21" t="n">
        <f aca="false">E73</f>
        <v>90</v>
      </c>
      <c r="AM73" s="22" t="n">
        <v>1E-006</v>
      </c>
      <c r="AN73" s="23" t="n">
        <f aca="false">MAX(G73/(F73/1000),25000)</f>
        <v>25000</v>
      </c>
      <c r="AO73" s="23" t="n">
        <f aca="false">H73/F73</f>
        <v>7.4</v>
      </c>
      <c r="AP73" s="23" t="n">
        <f aca="false">AC73/SQRT(9.81*(F73/1000))</f>
        <v>119.728285652644</v>
      </c>
      <c r="AQ73" s="23" t="n">
        <f aca="false">(AE73*AC73*(F73/1000))/AD73</f>
        <v>1920</v>
      </c>
      <c r="AR73" s="23" t="n">
        <f aca="false">((T73*0.000001)^3*AE73*(U73-AE73)*9.81)/AD73^2</f>
        <v>0.0049663125</v>
      </c>
      <c r="AS73" s="23" t="n">
        <f aca="false">(U73*((T73/10^6)^2)/(18*AD73))*AC73/(F73/1000)</f>
        <v>0.146484375</v>
      </c>
      <c r="AT73" s="23" t="n">
        <f aca="false">AE73*(T73/10^6)*AC73/AD73</f>
        <v>45</v>
      </c>
      <c r="AU73" s="23" t="n">
        <f aca="false">(T73/10^6)/(F73/1000)</f>
        <v>0.0234375</v>
      </c>
      <c r="AV73" s="23" t="n">
        <f aca="false">AE73/U73</f>
        <v>0.4</v>
      </c>
      <c r="AW73" s="23" t="n">
        <f aca="false">(J73*10^9)/(K73*AC73^2)</f>
        <v>132.001836547291</v>
      </c>
      <c r="AX73" s="23" t="n">
        <f aca="false">V73</f>
        <v>0.0340030911901082</v>
      </c>
      <c r="AY73" s="23" t="n">
        <f aca="false">MAX(W73,1)</f>
        <v>1</v>
      </c>
      <c r="AZ73" s="23" t="n">
        <f aca="false">X73</f>
        <v>0.00699749348972877</v>
      </c>
      <c r="BA73" s="24" t="n">
        <f aca="false">0.8*AZ73</f>
        <v>0.00559799479178302</v>
      </c>
      <c r="BB73" s="24" t="n">
        <f aca="false">AZ73*1.2</f>
        <v>0.00839699218767452</v>
      </c>
      <c r="BC73" s="0" t="str">
        <f aca="false">Z73</f>
        <v>https://www.sciencedirect.com/science/article/pii/S0043164815003749</v>
      </c>
    </row>
    <row r="74" customFormat="false" ht="12.8" hidden="false" customHeight="false" outlineLevel="0" collapsed="false">
      <c r="A74" s="1" t="n">
        <v>51</v>
      </c>
      <c r="B74" s="1" t="s">
        <v>48</v>
      </c>
      <c r="C74" s="1" t="s">
        <v>53</v>
      </c>
      <c r="D74" s="1" t="s">
        <v>54</v>
      </c>
      <c r="E74" s="11" t="n">
        <v>90</v>
      </c>
      <c r="F74" s="11" t="n">
        <v>6.4</v>
      </c>
      <c r="G74" s="26" t="n">
        <v>50</v>
      </c>
      <c r="H74" s="11" t="n">
        <f aca="false">7.4*F74</f>
        <v>47.36</v>
      </c>
      <c r="I74" s="27" t="s">
        <v>55</v>
      </c>
      <c r="J74" s="26" t="n">
        <f aca="false">((8+15)/2)/100</f>
        <v>0.115</v>
      </c>
      <c r="K74" s="28" t="n">
        <f aca="false">(886+1050)/2</f>
        <v>968</v>
      </c>
      <c r="L74" s="1" t="n">
        <v>0</v>
      </c>
      <c r="M74" s="1" t="n">
        <v>0</v>
      </c>
      <c r="N74" s="1" t="n">
        <v>0</v>
      </c>
      <c r="O74" s="11" t="n">
        <v>30</v>
      </c>
      <c r="P74" s="1" t="n">
        <v>1</v>
      </c>
      <c r="Q74" s="11" t="n">
        <v>1000</v>
      </c>
      <c r="R74" s="13" t="n">
        <f aca="false">(N74*L74+O74*Q74)/(L74+O74)</f>
        <v>1000</v>
      </c>
      <c r="S74" s="14" t="n">
        <f aca="false">(M74*L74+O74*P74*0.1)/(L74+O74)</f>
        <v>0.1</v>
      </c>
      <c r="T74" s="11" t="n">
        <v>150</v>
      </c>
      <c r="U74" s="28" t="n">
        <v>2500</v>
      </c>
      <c r="V74" s="16" t="n">
        <v>0.0340030911901082</v>
      </c>
      <c r="W74" s="11" t="n">
        <v>1</v>
      </c>
      <c r="X74" s="17" t="n">
        <v>0.00511913322789524</v>
      </c>
      <c r="Z74" s="29" t="s">
        <v>56</v>
      </c>
      <c r="AC74" s="18" t="n">
        <f aca="false">MAX(L74,O74)</f>
        <v>30</v>
      </c>
      <c r="AD74" s="17" t="n">
        <f aca="false">MAX(M74,P74*0.1)</f>
        <v>0.1</v>
      </c>
      <c r="AE74" s="1" t="n">
        <f aca="false">MAX(N74,Q74)</f>
        <v>1000</v>
      </c>
      <c r="AG74" s="16"/>
      <c r="AH74" s="19" t="n">
        <v>72</v>
      </c>
      <c r="AI74" s="20" t="str">
        <f aca="false">B74</f>
        <v>DI</v>
      </c>
      <c r="AJ74" s="20" t="str">
        <f aca="false">C74</f>
        <v>Liquid-Solid</v>
      </c>
      <c r="AK74" s="20" t="str">
        <f aca="false">D74</f>
        <v>V-H</v>
      </c>
      <c r="AL74" s="21" t="n">
        <f aca="false">E74</f>
        <v>90</v>
      </c>
      <c r="AM74" s="22" t="n">
        <v>1E-006</v>
      </c>
      <c r="AN74" s="23" t="n">
        <f aca="false">MAX(G74/(F74/1000),25000)</f>
        <v>25000</v>
      </c>
      <c r="AO74" s="23" t="n">
        <f aca="false">H74/F74</f>
        <v>7.4</v>
      </c>
      <c r="AP74" s="23" t="n">
        <f aca="false">AC74/SQRT(9.81*(F74/1000))</f>
        <v>119.728285652644</v>
      </c>
      <c r="AQ74" s="23" t="n">
        <f aca="false">(AE74*AC74*(F74/1000))/AD74</f>
        <v>1920</v>
      </c>
      <c r="AR74" s="23" t="n">
        <f aca="false">((T74*0.000001)^3*AE74*(U74-AE74)*9.81)/AD74^2</f>
        <v>0.0049663125</v>
      </c>
      <c r="AS74" s="23" t="n">
        <f aca="false">(U74*((T74/10^6)^2)/(18*AD74))*AC74/(F74/1000)</f>
        <v>0.146484375</v>
      </c>
      <c r="AT74" s="23" t="n">
        <f aca="false">AE74*(T74/10^6)*AC74/AD74</f>
        <v>45</v>
      </c>
      <c r="AU74" s="23" t="n">
        <f aca="false">(T74/10^6)/(F74/1000)</f>
        <v>0.0234375</v>
      </c>
      <c r="AV74" s="23" t="n">
        <f aca="false">AE74/U74</f>
        <v>0.4</v>
      </c>
      <c r="AW74" s="23" t="n">
        <f aca="false">(J74*10^9)/(K74*AC74^2)</f>
        <v>132.001836547291</v>
      </c>
      <c r="AX74" s="23" t="n">
        <f aca="false">V74</f>
        <v>0.0340030911901082</v>
      </c>
      <c r="AY74" s="23" t="n">
        <f aca="false">MAX(W74,1)</f>
        <v>1</v>
      </c>
      <c r="AZ74" s="23" t="n">
        <f aca="false">X74</f>
        <v>0.00511913322789524</v>
      </c>
      <c r="BA74" s="24" t="n">
        <f aca="false">0.8*AZ74</f>
        <v>0.00409530658231619</v>
      </c>
      <c r="BB74" s="24" t="n">
        <f aca="false">AZ74*1.2</f>
        <v>0.00614295987347429</v>
      </c>
      <c r="BC74" s="0" t="str">
        <f aca="false">Z74</f>
        <v>https://www.sciencedirect.com/science/article/pii/S0043164815003749</v>
      </c>
    </row>
    <row r="75" customFormat="false" ht="12.8" hidden="false" customHeight="false" outlineLevel="0" collapsed="false">
      <c r="A75" s="1" t="n">
        <v>52</v>
      </c>
      <c r="B75" s="1" t="s">
        <v>48</v>
      </c>
      <c r="C75" s="1" t="s">
        <v>53</v>
      </c>
      <c r="D75" s="1" t="s">
        <v>54</v>
      </c>
      <c r="E75" s="11" t="n">
        <v>90</v>
      </c>
      <c r="F75" s="11" t="n">
        <v>6.4</v>
      </c>
      <c r="G75" s="26" t="n">
        <v>50</v>
      </c>
      <c r="H75" s="11" t="n">
        <f aca="false">7.4*F75</f>
        <v>47.36</v>
      </c>
      <c r="I75" s="27" t="s">
        <v>55</v>
      </c>
      <c r="J75" s="26" t="n">
        <f aca="false">((8+15)/2)/100</f>
        <v>0.115</v>
      </c>
      <c r="K75" s="28" t="n">
        <f aca="false">(886+1050)/2</f>
        <v>968</v>
      </c>
      <c r="L75" s="1" t="n">
        <v>0</v>
      </c>
      <c r="M75" s="1" t="n">
        <v>0</v>
      </c>
      <c r="N75" s="1" t="n">
        <v>0</v>
      </c>
      <c r="O75" s="11" t="n">
        <v>30</v>
      </c>
      <c r="P75" s="1" t="n">
        <v>1</v>
      </c>
      <c r="Q75" s="11" t="n">
        <v>1000</v>
      </c>
      <c r="R75" s="13" t="n">
        <f aca="false">(N75*L75+O75*Q75)/(L75+O75)</f>
        <v>1000</v>
      </c>
      <c r="S75" s="14" t="n">
        <f aca="false">(M75*L75+O75*P75*0.1)/(L75+O75)</f>
        <v>0.1</v>
      </c>
      <c r="T75" s="11" t="n">
        <v>150</v>
      </c>
      <c r="U75" s="28" t="n">
        <v>2500</v>
      </c>
      <c r="V75" s="16" t="n">
        <v>0.0340030911901082</v>
      </c>
      <c r="W75" s="11" t="n">
        <v>1</v>
      </c>
      <c r="X75" s="17" t="n">
        <v>0.00391632956751395</v>
      </c>
      <c r="Z75" s="29" t="s">
        <v>56</v>
      </c>
      <c r="AC75" s="18" t="n">
        <f aca="false">MAX(L75,O75)</f>
        <v>30</v>
      </c>
      <c r="AD75" s="17" t="n">
        <f aca="false">MAX(M75,P75*0.1)</f>
        <v>0.1</v>
      </c>
      <c r="AE75" s="1" t="n">
        <f aca="false">MAX(N75,Q75)</f>
        <v>1000</v>
      </c>
      <c r="AG75" s="16"/>
      <c r="AH75" s="19" t="n">
        <v>73</v>
      </c>
      <c r="AI75" s="20" t="str">
        <f aca="false">B75</f>
        <v>DI</v>
      </c>
      <c r="AJ75" s="20" t="str">
        <f aca="false">C75</f>
        <v>Liquid-Solid</v>
      </c>
      <c r="AK75" s="20" t="str">
        <f aca="false">D75</f>
        <v>V-H</v>
      </c>
      <c r="AL75" s="21" t="n">
        <f aca="false">E75</f>
        <v>90</v>
      </c>
      <c r="AM75" s="22" t="n">
        <v>1E-006</v>
      </c>
      <c r="AN75" s="23" t="n">
        <f aca="false">MAX(G75/(F75/1000),25000)</f>
        <v>25000</v>
      </c>
      <c r="AO75" s="23" t="n">
        <f aca="false">H75/F75</f>
        <v>7.4</v>
      </c>
      <c r="AP75" s="23" t="n">
        <f aca="false">AC75/SQRT(9.81*(F75/1000))</f>
        <v>119.728285652644</v>
      </c>
      <c r="AQ75" s="23" t="n">
        <f aca="false">(AE75*AC75*(F75/1000))/AD75</f>
        <v>1920</v>
      </c>
      <c r="AR75" s="23" t="n">
        <f aca="false">((T75*0.000001)^3*AE75*(U75-AE75)*9.81)/AD75^2</f>
        <v>0.0049663125</v>
      </c>
      <c r="AS75" s="23" t="n">
        <f aca="false">(U75*((T75/10^6)^2)/(18*AD75))*AC75/(F75/1000)</f>
        <v>0.146484375</v>
      </c>
      <c r="AT75" s="23" t="n">
        <f aca="false">AE75*(T75/10^6)*AC75/AD75</f>
        <v>45</v>
      </c>
      <c r="AU75" s="23" t="n">
        <f aca="false">(T75/10^6)/(F75/1000)</f>
        <v>0.0234375</v>
      </c>
      <c r="AV75" s="23" t="n">
        <f aca="false">AE75/U75</f>
        <v>0.4</v>
      </c>
      <c r="AW75" s="23" t="n">
        <f aca="false">(J75*10^9)/(K75*AC75^2)</f>
        <v>132.001836547291</v>
      </c>
      <c r="AX75" s="23" t="n">
        <f aca="false">V75</f>
        <v>0.0340030911901082</v>
      </c>
      <c r="AY75" s="23" t="n">
        <f aca="false">MAX(W75,1)</f>
        <v>1</v>
      </c>
      <c r="AZ75" s="23" t="n">
        <f aca="false">X75</f>
        <v>0.00391632956751395</v>
      </c>
      <c r="BA75" s="24" t="n">
        <f aca="false">0.8*AZ75</f>
        <v>0.00313306365401116</v>
      </c>
      <c r="BB75" s="24" t="n">
        <f aca="false">AZ75*1.2</f>
        <v>0.00469959548101674</v>
      </c>
      <c r="BC75" s="0" t="str">
        <f aca="false">Z75</f>
        <v>https://www.sciencedirect.com/science/article/pii/S0043164815003749</v>
      </c>
    </row>
    <row r="76" customFormat="false" ht="12.8" hidden="false" customHeight="false" outlineLevel="0" collapsed="false">
      <c r="A76" s="1" t="n">
        <v>53</v>
      </c>
      <c r="B76" s="1" t="s">
        <v>48</v>
      </c>
      <c r="C76" s="1" t="s">
        <v>53</v>
      </c>
      <c r="D76" s="1" t="s">
        <v>54</v>
      </c>
      <c r="E76" s="11" t="n">
        <v>90</v>
      </c>
      <c r="F76" s="11" t="n">
        <v>6.4</v>
      </c>
      <c r="G76" s="26" t="n">
        <v>50</v>
      </c>
      <c r="H76" s="11" t="n">
        <f aca="false">7.4*F76</f>
        <v>47.36</v>
      </c>
      <c r="I76" s="27" t="s">
        <v>55</v>
      </c>
      <c r="J76" s="26" t="n">
        <f aca="false">((8+15)/2)/100</f>
        <v>0.115</v>
      </c>
      <c r="K76" s="28" t="n">
        <f aca="false">(886+1050)/2</f>
        <v>968</v>
      </c>
      <c r="L76" s="1" t="n">
        <v>0</v>
      </c>
      <c r="M76" s="1" t="n">
        <v>0</v>
      </c>
      <c r="N76" s="1" t="n">
        <v>0</v>
      </c>
      <c r="O76" s="11" t="n">
        <v>30</v>
      </c>
      <c r="P76" s="1" t="n">
        <v>1</v>
      </c>
      <c r="Q76" s="11" t="n">
        <v>1000</v>
      </c>
      <c r="R76" s="13" t="n">
        <f aca="false">(N76*L76+O76*Q76)/(L76+O76)</f>
        <v>1000</v>
      </c>
      <c r="S76" s="14" t="n">
        <f aca="false">(M76*L76+O76*P76*0.1)/(L76+O76)</f>
        <v>0.1</v>
      </c>
      <c r="T76" s="11" t="n">
        <v>150</v>
      </c>
      <c r="U76" s="28" t="n">
        <v>2500</v>
      </c>
      <c r="V76" s="16" t="n">
        <v>0.0340030911901082</v>
      </c>
      <c r="W76" s="11" t="n">
        <v>1</v>
      </c>
      <c r="X76" s="17" t="n">
        <v>0.00409993031812331</v>
      </c>
      <c r="Z76" s="29" t="s">
        <v>56</v>
      </c>
      <c r="AC76" s="18" t="n">
        <f aca="false">MAX(L76,O76)</f>
        <v>30</v>
      </c>
      <c r="AD76" s="17" t="n">
        <f aca="false">MAX(M76,P76*0.1)</f>
        <v>0.1</v>
      </c>
      <c r="AE76" s="1" t="n">
        <f aca="false">MAX(N76,Q76)</f>
        <v>1000</v>
      </c>
      <c r="AG76" s="16"/>
      <c r="AH76" s="19" t="n">
        <v>74</v>
      </c>
      <c r="AI76" s="20" t="str">
        <f aca="false">B76</f>
        <v>DI</v>
      </c>
      <c r="AJ76" s="20" t="str">
        <f aca="false">C76</f>
        <v>Liquid-Solid</v>
      </c>
      <c r="AK76" s="20" t="str">
        <f aca="false">D76</f>
        <v>V-H</v>
      </c>
      <c r="AL76" s="21" t="n">
        <f aca="false">E76</f>
        <v>90</v>
      </c>
      <c r="AM76" s="22" t="n">
        <v>1E-006</v>
      </c>
      <c r="AN76" s="23" t="n">
        <f aca="false">MAX(G76/(F76/1000),25000)</f>
        <v>25000</v>
      </c>
      <c r="AO76" s="23" t="n">
        <f aca="false">H76/F76</f>
        <v>7.4</v>
      </c>
      <c r="AP76" s="23" t="n">
        <f aca="false">AC76/SQRT(9.81*(F76/1000))</f>
        <v>119.728285652644</v>
      </c>
      <c r="AQ76" s="23" t="n">
        <f aca="false">(AE76*AC76*(F76/1000))/AD76</f>
        <v>1920</v>
      </c>
      <c r="AR76" s="23" t="n">
        <f aca="false">((T76*0.000001)^3*AE76*(U76-AE76)*9.81)/AD76^2</f>
        <v>0.0049663125</v>
      </c>
      <c r="AS76" s="23" t="n">
        <f aca="false">(U76*((T76/10^6)^2)/(18*AD76))*AC76/(F76/1000)</f>
        <v>0.146484375</v>
      </c>
      <c r="AT76" s="23" t="n">
        <f aca="false">AE76*(T76/10^6)*AC76/AD76</f>
        <v>45</v>
      </c>
      <c r="AU76" s="23" t="n">
        <f aca="false">(T76/10^6)/(F76/1000)</f>
        <v>0.0234375</v>
      </c>
      <c r="AV76" s="23" t="n">
        <f aca="false">AE76/U76</f>
        <v>0.4</v>
      </c>
      <c r="AW76" s="23" t="n">
        <f aca="false">(J76*10^9)/(K76*AC76^2)</f>
        <v>132.001836547291</v>
      </c>
      <c r="AX76" s="23" t="n">
        <f aca="false">V76</f>
        <v>0.0340030911901082</v>
      </c>
      <c r="AY76" s="23" t="n">
        <f aca="false">MAX(W76,1)</f>
        <v>1</v>
      </c>
      <c r="AZ76" s="23" t="n">
        <f aca="false">X76</f>
        <v>0.00409993031812331</v>
      </c>
      <c r="BA76" s="24" t="n">
        <f aca="false">0.8*AZ76</f>
        <v>0.00327994425449865</v>
      </c>
      <c r="BB76" s="24" t="n">
        <f aca="false">AZ76*1.2</f>
        <v>0.00491991638174797</v>
      </c>
      <c r="BC76" s="0" t="str">
        <f aca="false">Z76</f>
        <v>https://www.sciencedirect.com/science/article/pii/S0043164815003749</v>
      </c>
    </row>
    <row r="77" customFormat="false" ht="12.8" hidden="false" customHeight="false" outlineLevel="0" collapsed="false">
      <c r="A77" s="1" t="n">
        <v>54</v>
      </c>
      <c r="B77" s="1" t="s">
        <v>48</v>
      </c>
      <c r="C77" s="1" t="s">
        <v>53</v>
      </c>
      <c r="D77" s="1" t="s">
        <v>54</v>
      </c>
      <c r="E77" s="11" t="n">
        <v>90</v>
      </c>
      <c r="F77" s="11" t="n">
        <v>6.4</v>
      </c>
      <c r="G77" s="26" t="n">
        <v>50</v>
      </c>
      <c r="H77" s="11" t="n">
        <f aca="false">7.4*F77</f>
        <v>47.36</v>
      </c>
      <c r="I77" s="27" t="s">
        <v>55</v>
      </c>
      <c r="J77" s="26" t="n">
        <f aca="false">((8+15)/2)/100</f>
        <v>0.115</v>
      </c>
      <c r="K77" s="28" t="n">
        <f aca="false">(886+1050)/2</f>
        <v>968</v>
      </c>
      <c r="L77" s="1" t="n">
        <v>0</v>
      </c>
      <c r="M77" s="1" t="n">
        <v>0</v>
      </c>
      <c r="N77" s="1" t="n">
        <v>0</v>
      </c>
      <c r="O77" s="11" t="n">
        <v>30</v>
      </c>
      <c r="P77" s="1" t="n">
        <v>1</v>
      </c>
      <c r="Q77" s="11" t="n">
        <v>1000</v>
      </c>
      <c r="R77" s="13" t="n">
        <f aca="false">(N77*L77+O77*Q77)/(L77+O77)</f>
        <v>1000</v>
      </c>
      <c r="S77" s="14" t="n">
        <f aca="false">(M77*L77+O77*P77*0.1)/(L77+O77)</f>
        <v>0.1</v>
      </c>
      <c r="T77" s="11" t="n">
        <v>150</v>
      </c>
      <c r="U77" s="28" t="n">
        <v>2500</v>
      </c>
      <c r="V77" s="16" t="n">
        <v>0.0340030911901082</v>
      </c>
      <c r="W77" s="11" t="n">
        <v>1</v>
      </c>
      <c r="X77" s="17" t="n">
        <v>0.00600852841874841</v>
      </c>
      <c r="Z77" s="29" t="s">
        <v>56</v>
      </c>
      <c r="AC77" s="18" t="n">
        <f aca="false">MAX(L77,O77)</f>
        <v>30</v>
      </c>
      <c r="AD77" s="17" t="n">
        <f aca="false">MAX(M77,P77*0.1)</f>
        <v>0.1</v>
      </c>
      <c r="AE77" s="1" t="n">
        <f aca="false">MAX(N77,Q77)</f>
        <v>1000</v>
      </c>
      <c r="AG77" s="16"/>
      <c r="AH77" s="19" t="n">
        <v>75</v>
      </c>
      <c r="AI77" s="20" t="str">
        <f aca="false">B77</f>
        <v>DI</v>
      </c>
      <c r="AJ77" s="20" t="str">
        <f aca="false">C77</f>
        <v>Liquid-Solid</v>
      </c>
      <c r="AK77" s="20" t="str">
        <f aca="false">D77</f>
        <v>V-H</v>
      </c>
      <c r="AL77" s="21" t="n">
        <f aca="false">E77</f>
        <v>90</v>
      </c>
      <c r="AM77" s="22" t="n">
        <v>1E-006</v>
      </c>
      <c r="AN77" s="23" t="n">
        <f aca="false">MAX(G77/(F77/1000),25000)</f>
        <v>25000</v>
      </c>
      <c r="AO77" s="23" t="n">
        <f aca="false">H77/F77</f>
        <v>7.4</v>
      </c>
      <c r="AP77" s="23" t="n">
        <f aca="false">AC77/SQRT(9.81*(F77/1000))</f>
        <v>119.728285652644</v>
      </c>
      <c r="AQ77" s="23" t="n">
        <f aca="false">(AE77*AC77*(F77/1000))/AD77</f>
        <v>1920</v>
      </c>
      <c r="AR77" s="23" t="n">
        <f aca="false">((T77*0.000001)^3*AE77*(U77-AE77)*9.81)/AD77^2</f>
        <v>0.0049663125</v>
      </c>
      <c r="AS77" s="23" t="n">
        <f aca="false">(U77*((T77/10^6)^2)/(18*AD77))*AC77/(F77/1000)</f>
        <v>0.146484375</v>
      </c>
      <c r="AT77" s="23" t="n">
        <f aca="false">AE77*(T77/10^6)*AC77/AD77</f>
        <v>45</v>
      </c>
      <c r="AU77" s="23" t="n">
        <f aca="false">(T77/10^6)/(F77/1000)</f>
        <v>0.0234375</v>
      </c>
      <c r="AV77" s="23" t="n">
        <f aca="false">AE77/U77</f>
        <v>0.4</v>
      </c>
      <c r="AW77" s="23" t="n">
        <f aca="false">(J77*10^9)/(K77*AC77^2)</f>
        <v>132.001836547291</v>
      </c>
      <c r="AX77" s="23" t="n">
        <f aca="false">V77</f>
        <v>0.0340030911901082</v>
      </c>
      <c r="AY77" s="23" t="n">
        <f aca="false">MAX(W77,1)</f>
        <v>1</v>
      </c>
      <c r="AZ77" s="23" t="n">
        <f aca="false">X77</f>
        <v>0.00600852841874841</v>
      </c>
      <c r="BA77" s="24" t="n">
        <f aca="false">0.8*AZ77</f>
        <v>0.00480682273499873</v>
      </c>
      <c r="BB77" s="24" t="n">
        <f aca="false">AZ77*1.2</f>
        <v>0.00721023410249809</v>
      </c>
      <c r="BC77" s="0" t="str">
        <f aca="false">Z77</f>
        <v>https://www.sciencedirect.com/science/article/pii/S0043164815003749</v>
      </c>
    </row>
    <row r="78" customFormat="false" ht="12.8" hidden="false" customHeight="false" outlineLevel="0" collapsed="false">
      <c r="A78" s="1" t="n">
        <v>55</v>
      </c>
      <c r="B78" s="1" t="s">
        <v>48</v>
      </c>
      <c r="C78" s="1" t="s">
        <v>53</v>
      </c>
      <c r="D78" s="1" t="s">
        <v>54</v>
      </c>
      <c r="E78" s="11" t="n">
        <v>90</v>
      </c>
      <c r="F78" s="11" t="n">
        <v>6.4</v>
      </c>
      <c r="G78" s="26" t="n">
        <v>50</v>
      </c>
      <c r="H78" s="11" t="n">
        <f aca="false">7.4*F78</f>
        <v>47.36</v>
      </c>
      <c r="I78" s="27" t="s">
        <v>55</v>
      </c>
      <c r="J78" s="26" t="n">
        <f aca="false">((8+15)/2)/100</f>
        <v>0.115</v>
      </c>
      <c r="K78" s="28" t="n">
        <f aca="false">(886+1050)/2</f>
        <v>968</v>
      </c>
      <c r="L78" s="1" t="n">
        <v>0</v>
      </c>
      <c r="M78" s="1" t="n">
        <v>0</v>
      </c>
      <c r="N78" s="1" t="n">
        <v>0</v>
      </c>
      <c r="O78" s="11" t="n">
        <v>30</v>
      </c>
      <c r="P78" s="1" t="n">
        <v>1</v>
      </c>
      <c r="Q78" s="11" t="n">
        <v>1000</v>
      </c>
      <c r="R78" s="13" t="n">
        <f aca="false">(N78*L78+O78*Q78)/(L78+O78)</f>
        <v>1000</v>
      </c>
      <c r="S78" s="14" t="n">
        <f aca="false">(M78*L78+O78*P78*0.1)/(L78+O78)</f>
        <v>0.1</v>
      </c>
      <c r="T78" s="11" t="n">
        <v>150</v>
      </c>
      <c r="U78" s="28" t="n">
        <v>2500</v>
      </c>
      <c r="V78" s="16" t="n">
        <v>0.0340030911901082</v>
      </c>
      <c r="W78" s="11" t="n">
        <v>1</v>
      </c>
      <c r="X78" s="17" t="n">
        <v>0.00702504506231818</v>
      </c>
      <c r="Z78" s="29" t="s">
        <v>56</v>
      </c>
      <c r="AC78" s="18" t="n">
        <f aca="false">MAX(L78,O78)</f>
        <v>30</v>
      </c>
      <c r="AD78" s="17" t="n">
        <f aca="false">MAX(M78,P78*0.1)</f>
        <v>0.1</v>
      </c>
      <c r="AE78" s="1" t="n">
        <f aca="false">MAX(N78,Q78)</f>
        <v>1000</v>
      </c>
      <c r="AG78" s="16"/>
      <c r="AH78" s="19" t="n">
        <v>76</v>
      </c>
      <c r="AI78" s="20" t="str">
        <f aca="false">B78</f>
        <v>DI</v>
      </c>
      <c r="AJ78" s="20" t="str">
        <f aca="false">C78</f>
        <v>Liquid-Solid</v>
      </c>
      <c r="AK78" s="20" t="str">
        <f aca="false">D78</f>
        <v>V-H</v>
      </c>
      <c r="AL78" s="21" t="n">
        <f aca="false">E78</f>
        <v>90</v>
      </c>
      <c r="AM78" s="22" t="n">
        <v>1E-006</v>
      </c>
      <c r="AN78" s="23" t="n">
        <f aca="false">MAX(G78/(F78/1000),25000)</f>
        <v>25000</v>
      </c>
      <c r="AO78" s="23" t="n">
        <f aca="false">H78/F78</f>
        <v>7.4</v>
      </c>
      <c r="AP78" s="23" t="n">
        <f aca="false">AC78/SQRT(9.81*(F78/1000))</f>
        <v>119.728285652644</v>
      </c>
      <c r="AQ78" s="23" t="n">
        <f aca="false">(AE78*AC78*(F78/1000))/AD78</f>
        <v>1920</v>
      </c>
      <c r="AR78" s="23" t="n">
        <f aca="false">((T78*0.000001)^3*AE78*(U78-AE78)*9.81)/AD78^2</f>
        <v>0.0049663125</v>
      </c>
      <c r="AS78" s="23" t="n">
        <f aca="false">(U78*((T78/10^6)^2)/(18*AD78))*AC78/(F78/1000)</f>
        <v>0.146484375</v>
      </c>
      <c r="AT78" s="23" t="n">
        <f aca="false">AE78*(T78/10^6)*AC78/AD78</f>
        <v>45</v>
      </c>
      <c r="AU78" s="23" t="n">
        <f aca="false">(T78/10^6)/(F78/1000)</f>
        <v>0.0234375</v>
      </c>
      <c r="AV78" s="23" t="n">
        <f aca="false">AE78/U78</f>
        <v>0.4</v>
      </c>
      <c r="AW78" s="23" t="n">
        <f aca="false">(J78*10^9)/(K78*AC78^2)</f>
        <v>132.001836547291</v>
      </c>
      <c r="AX78" s="23" t="n">
        <f aca="false">V78</f>
        <v>0.0340030911901082</v>
      </c>
      <c r="AY78" s="23" t="n">
        <f aca="false">MAX(W78,1)</f>
        <v>1</v>
      </c>
      <c r="AZ78" s="23" t="n">
        <f aca="false">X78</f>
        <v>0.00702504506231818</v>
      </c>
      <c r="BA78" s="24" t="n">
        <f aca="false">0.8*AZ78</f>
        <v>0.00562003604985454</v>
      </c>
      <c r="BB78" s="24" t="n">
        <f aca="false">AZ78*1.2</f>
        <v>0.00843005407478182</v>
      </c>
      <c r="BC78" s="0" t="str">
        <f aca="false">Z78</f>
        <v>https://www.sciencedirect.com/science/article/pii/S0043164815003749</v>
      </c>
    </row>
    <row r="79" customFormat="false" ht="12.8" hidden="false" customHeight="false" outlineLevel="0" collapsed="false">
      <c r="A79" s="1" t="n">
        <v>56</v>
      </c>
      <c r="B79" s="1" t="s">
        <v>48</v>
      </c>
      <c r="C79" s="1" t="s">
        <v>53</v>
      </c>
      <c r="D79" s="1" t="s">
        <v>54</v>
      </c>
      <c r="E79" s="11" t="n">
        <v>90</v>
      </c>
      <c r="F79" s="11" t="n">
        <v>6.4</v>
      </c>
      <c r="G79" s="26" t="n">
        <v>50</v>
      </c>
      <c r="H79" s="11" t="n">
        <f aca="false">7.4*F79</f>
        <v>47.36</v>
      </c>
      <c r="I79" s="27" t="s">
        <v>55</v>
      </c>
      <c r="J79" s="26" t="n">
        <f aca="false">((8+15)/2)/100</f>
        <v>0.115</v>
      </c>
      <c r="K79" s="28" t="n">
        <f aca="false">(886+1050)/2</f>
        <v>968</v>
      </c>
      <c r="L79" s="1" t="n">
        <v>0</v>
      </c>
      <c r="M79" s="1" t="n">
        <v>0</v>
      </c>
      <c r="N79" s="1" t="n">
        <v>0</v>
      </c>
      <c r="O79" s="11" t="n">
        <v>30</v>
      </c>
      <c r="P79" s="1" t="n">
        <v>1</v>
      </c>
      <c r="Q79" s="11" t="n">
        <v>1000</v>
      </c>
      <c r="R79" s="13" t="n">
        <f aca="false">(N79*L79+O79*Q79)/(L79+O79)</f>
        <v>1000</v>
      </c>
      <c r="S79" s="14" t="n">
        <f aca="false">(M79*L79+O79*P79*0.1)/(L79+O79)</f>
        <v>0.1</v>
      </c>
      <c r="T79" s="11" t="n">
        <v>150</v>
      </c>
      <c r="U79" s="28" t="n">
        <v>2500</v>
      </c>
      <c r="V79" s="16" t="n">
        <v>0.0340030911901082</v>
      </c>
      <c r="W79" s="11" t="n">
        <v>1</v>
      </c>
      <c r="X79" s="17" t="n">
        <v>0.0067876757101771</v>
      </c>
      <c r="Z79" s="29" t="s">
        <v>56</v>
      </c>
      <c r="AC79" s="18" t="n">
        <f aca="false">MAX(L79,O79)</f>
        <v>30</v>
      </c>
      <c r="AD79" s="17" t="n">
        <f aca="false">MAX(M79,P79*0.1)</f>
        <v>0.1</v>
      </c>
      <c r="AE79" s="1" t="n">
        <f aca="false">MAX(N79,Q79)</f>
        <v>1000</v>
      </c>
      <c r="AG79" s="16"/>
      <c r="AH79" s="19" t="n">
        <v>77</v>
      </c>
      <c r="AI79" s="20" t="str">
        <f aca="false">B79</f>
        <v>DI</v>
      </c>
      <c r="AJ79" s="20" t="str">
        <f aca="false">C79</f>
        <v>Liquid-Solid</v>
      </c>
      <c r="AK79" s="20" t="str">
        <f aca="false">D79</f>
        <v>V-H</v>
      </c>
      <c r="AL79" s="21" t="n">
        <f aca="false">E79</f>
        <v>90</v>
      </c>
      <c r="AM79" s="22" t="n">
        <v>1E-006</v>
      </c>
      <c r="AN79" s="23" t="n">
        <f aca="false">MAX(G79/(F79/1000),25000)</f>
        <v>25000</v>
      </c>
      <c r="AO79" s="23" t="n">
        <f aca="false">H79/F79</f>
        <v>7.4</v>
      </c>
      <c r="AP79" s="23" t="n">
        <f aca="false">AC79/SQRT(9.81*(F79/1000))</f>
        <v>119.728285652644</v>
      </c>
      <c r="AQ79" s="23" t="n">
        <f aca="false">(AE79*AC79*(F79/1000))/AD79</f>
        <v>1920</v>
      </c>
      <c r="AR79" s="23" t="n">
        <f aca="false">((T79*0.000001)^3*AE79*(U79-AE79)*9.81)/AD79^2</f>
        <v>0.0049663125</v>
      </c>
      <c r="AS79" s="23" t="n">
        <f aca="false">(U79*((T79/10^6)^2)/(18*AD79))*AC79/(F79/1000)</f>
        <v>0.146484375</v>
      </c>
      <c r="AT79" s="23" t="n">
        <f aca="false">AE79*(T79/10^6)*AC79/AD79</f>
        <v>45</v>
      </c>
      <c r="AU79" s="23" t="n">
        <f aca="false">(T79/10^6)/(F79/1000)</f>
        <v>0.0234375</v>
      </c>
      <c r="AV79" s="23" t="n">
        <f aca="false">AE79/U79</f>
        <v>0.4</v>
      </c>
      <c r="AW79" s="23" t="n">
        <f aca="false">(J79*10^9)/(K79*AC79^2)</f>
        <v>132.001836547291</v>
      </c>
      <c r="AX79" s="23" t="n">
        <f aca="false">V79</f>
        <v>0.0340030911901082</v>
      </c>
      <c r="AY79" s="23" t="n">
        <f aca="false">MAX(W79,1)</f>
        <v>1</v>
      </c>
      <c r="AZ79" s="23" t="n">
        <f aca="false">X79</f>
        <v>0.0067876757101771</v>
      </c>
      <c r="BA79" s="24" t="n">
        <f aca="false">0.8*AZ79</f>
        <v>0.00543014056814168</v>
      </c>
      <c r="BB79" s="24" t="n">
        <f aca="false">AZ79*1.2</f>
        <v>0.00814521085221252</v>
      </c>
      <c r="BC79" s="0" t="str">
        <f aca="false">Z79</f>
        <v>https://www.sciencedirect.com/science/article/pii/S0043164815003749</v>
      </c>
    </row>
    <row r="80" customFormat="false" ht="12.8" hidden="false" customHeight="false" outlineLevel="0" collapsed="false">
      <c r="A80" s="1" t="n">
        <v>57</v>
      </c>
      <c r="B80" s="1" t="s">
        <v>48</v>
      </c>
      <c r="C80" s="1" t="s">
        <v>53</v>
      </c>
      <c r="D80" s="1" t="s">
        <v>54</v>
      </c>
      <c r="E80" s="11" t="n">
        <v>90</v>
      </c>
      <c r="F80" s="11" t="n">
        <v>6.4</v>
      </c>
      <c r="G80" s="26" t="n">
        <v>50</v>
      </c>
      <c r="H80" s="11" t="n">
        <f aca="false">7.4*F80</f>
        <v>47.36</v>
      </c>
      <c r="I80" s="27" t="s">
        <v>55</v>
      </c>
      <c r="J80" s="26" t="n">
        <f aca="false">((8+15)/2)/100</f>
        <v>0.115</v>
      </c>
      <c r="K80" s="28" t="n">
        <f aca="false">(886+1050)/2</f>
        <v>968</v>
      </c>
      <c r="L80" s="1" t="n">
        <v>0</v>
      </c>
      <c r="M80" s="1" t="n">
        <v>0</v>
      </c>
      <c r="N80" s="1" t="n">
        <v>0</v>
      </c>
      <c r="O80" s="11" t="n">
        <v>30</v>
      </c>
      <c r="P80" s="1" t="n">
        <v>1</v>
      </c>
      <c r="Q80" s="11" t="n">
        <v>1000</v>
      </c>
      <c r="R80" s="13" t="n">
        <f aca="false">(N80*L80+O80*Q80)/(L80+O80)</f>
        <v>1000</v>
      </c>
      <c r="S80" s="14" t="n">
        <f aca="false">(M80*L80+O80*P80*0.1)/(L80+O80)</f>
        <v>0.1</v>
      </c>
      <c r="T80" s="11" t="n">
        <v>150</v>
      </c>
      <c r="U80" s="28" t="n">
        <v>2500</v>
      </c>
      <c r="V80" s="16" t="n">
        <v>0.0340030911901082</v>
      </c>
      <c r="W80" s="11" t="n">
        <v>1</v>
      </c>
      <c r="X80" s="17" t="n">
        <v>0.00639612004511205</v>
      </c>
      <c r="Z80" s="29" t="s">
        <v>56</v>
      </c>
      <c r="AC80" s="18" t="n">
        <f aca="false">MAX(L80,O80)</f>
        <v>30</v>
      </c>
      <c r="AD80" s="17" t="n">
        <f aca="false">MAX(M80,P80*0.1)</f>
        <v>0.1</v>
      </c>
      <c r="AE80" s="1" t="n">
        <f aca="false">MAX(N80,Q80)</f>
        <v>1000</v>
      </c>
      <c r="AG80" s="16"/>
      <c r="AH80" s="19" t="n">
        <v>78</v>
      </c>
      <c r="AI80" s="20" t="str">
        <f aca="false">B80</f>
        <v>DI</v>
      </c>
      <c r="AJ80" s="20" t="str">
        <f aca="false">C80</f>
        <v>Liquid-Solid</v>
      </c>
      <c r="AK80" s="20" t="str">
        <f aca="false">D80</f>
        <v>V-H</v>
      </c>
      <c r="AL80" s="21" t="n">
        <f aca="false">E80</f>
        <v>90</v>
      </c>
      <c r="AM80" s="22" t="n">
        <v>1E-006</v>
      </c>
      <c r="AN80" s="23" t="n">
        <f aca="false">MAX(G80/(F80/1000),25000)</f>
        <v>25000</v>
      </c>
      <c r="AO80" s="23" t="n">
        <f aca="false">H80/F80</f>
        <v>7.4</v>
      </c>
      <c r="AP80" s="23" t="n">
        <f aca="false">AC80/SQRT(9.81*(F80/1000))</f>
        <v>119.728285652644</v>
      </c>
      <c r="AQ80" s="23" t="n">
        <f aca="false">(AE80*AC80*(F80/1000))/AD80</f>
        <v>1920</v>
      </c>
      <c r="AR80" s="23" t="n">
        <f aca="false">((T80*0.000001)^3*AE80*(U80-AE80)*9.81)/AD80^2</f>
        <v>0.0049663125</v>
      </c>
      <c r="AS80" s="23" t="n">
        <f aca="false">(U80*((T80/10^6)^2)/(18*AD80))*AC80/(F80/1000)</f>
        <v>0.146484375</v>
      </c>
      <c r="AT80" s="23" t="n">
        <f aca="false">AE80*(T80/10^6)*AC80/AD80</f>
        <v>45</v>
      </c>
      <c r="AU80" s="23" t="n">
        <f aca="false">(T80/10^6)/(F80/1000)</f>
        <v>0.0234375</v>
      </c>
      <c r="AV80" s="23" t="n">
        <f aca="false">AE80/U80</f>
        <v>0.4</v>
      </c>
      <c r="AW80" s="23" t="n">
        <f aca="false">(J80*10^9)/(K80*AC80^2)</f>
        <v>132.001836547291</v>
      </c>
      <c r="AX80" s="23" t="n">
        <f aca="false">V80</f>
        <v>0.0340030911901082</v>
      </c>
      <c r="AY80" s="23" t="n">
        <f aca="false">MAX(W80,1)</f>
        <v>1</v>
      </c>
      <c r="AZ80" s="23" t="n">
        <f aca="false">X80</f>
        <v>0.00639612004511205</v>
      </c>
      <c r="BA80" s="24" t="n">
        <f aca="false">0.8*AZ80</f>
        <v>0.00511689603608964</v>
      </c>
      <c r="BB80" s="24" t="n">
        <f aca="false">AZ80*1.2</f>
        <v>0.00767534405413446</v>
      </c>
      <c r="BC80" s="0" t="str">
        <f aca="false">Z80</f>
        <v>https://www.sciencedirect.com/science/article/pii/S0043164815003749</v>
      </c>
    </row>
    <row r="81" customFormat="false" ht="12.8" hidden="false" customHeight="false" outlineLevel="0" collapsed="false">
      <c r="A81" s="1" t="n">
        <v>58</v>
      </c>
      <c r="B81" s="1" t="s">
        <v>48</v>
      </c>
      <c r="C81" s="1" t="s">
        <v>53</v>
      </c>
      <c r="D81" s="1" t="s">
        <v>54</v>
      </c>
      <c r="E81" s="11" t="n">
        <v>90</v>
      </c>
      <c r="F81" s="11" t="n">
        <v>6.4</v>
      </c>
      <c r="G81" s="26" t="n">
        <v>50</v>
      </c>
      <c r="H81" s="11" t="n">
        <f aca="false">7.4*F81</f>
        <v>47.36</v>
      </c>
      <c r="I81" s="27" t="s">
        <v>55</v>
      </c>
      <c r="J81" s="26" t="n">
        <f aca="false">((8+15)/2)/100</f>
        <v>0.115</v>
      </c>
      <c r="K81" s="28" t="n">
        <f aca="false">(886+1050)/2</f>
        <v>968</v>
      </c>
      <c r="L81" s="1" t="n">
        <v>0</v>
      </c>
      <c r="M81" s="1" t="n">
        <v>0</v>
      </c>
      <c r="N81" s="1" t="n">
        <v>0</v>
      </c>
      <c r="O81" s="11" t="n">
        <v>30</v>
      </c>
      <c r="P81" s="1" t="n">
        <v>1</v>
      </c>
      <c r="Q81" s="11" t="n">
        <v>1000</v>
      </c>
      <c r="R81" s="13" t="n">
        <f aca="false">(N81*L81+O81*Q81)/(L81+O81)</f>
        <v>1000</v>
      </c>
      <c r="S81" s="14" t="n">
        <f aca="false">(M81*L81+O81*P81*0.1)/(L81+O81)</f>
        <v>0.1</v>
      </c>
      <c r="T81" s="11" t="n">
        <v>150</v>
      </c>
      <c r="U81" s="28" t="n">
        <v>2500</v>
      </c>
      <c r="V81" s="16" t="n">
        <v>0.0605035700864337</v>
      </c>
      <c r="W81" s="11" t="n">
        <v>1</v>
      </c>
      <c r="X81" s="17" t="n">
        <v>0.00332183942567495</v>
      </c>
      <c r="Z81" s="29" t="s">
        <v>56</v>
      </c>
      <c r="AC81" s="18" t="n">
        <f aca="false">MAX(L81,O81)</f>
        <v>30</v>
      </c>
      <c r="AD81" s="17" t="n">
        <f aca="false">MAX(M81,P81*0.1)</f>
        <v>0.1</v>
      </c>
      <c r="AE81" s="1" t="n">
        <f aca="false">MAX(N81,Q81)</f>
        <v>1000</v>
      </c>
      <c r="AG81" s="16"/>
      <c r="AH81" s="19" t="n">
        <v>79</v>
      </c>
      <c r="AI81" s="20" t="str">
        <f aca="false">B81</f>
        <v>DI</v>
      </c>
      <c r="AJ81" s="20" t="str">
        <f aca="false">C81</f>
        <v>Liquid-Solid</v>
      </c>
      <c r="AK81" s="20" t="str">
        <f aca="false">D81</f>
        <v>V-H</v>
      </c>
      <c r="AL81" s="21" t="n">
        <f aca="false">E81</f>
        <v>90</v>
      </c>
      <c r="AM81" s="22" t="n">
        <v>1E-006</v>
      </c>
      <c r="AN81" s="23" t="n">
        <f aca="false">MAX(G81/(F81/1000),25000)</f>
        <v>25000</v>
      </c>
      <c r="AO81" s="23" t="n">
        <f aca="false">H81/F81</f>
        <v>7.4</v>
      </c>
      <c r="AP81" s="23" t="n">
        <f aca="false">AC81/SQRT(9.81*(F81/1000))</f>
        <v>119.728285652644</v>
      </c>
      <c r="AQ81" s="23" t="n">
        <f aca="false">(AE81*AC81*(F81/1000))/AD81</f>
        <v>1920</v>
      </c>
      <c r="AR81" s="23" t="n">
        <f aca="false">((T81*0.000001)^3*AE81*(U81-AE81)*9.81)/AD81^2</f>
        <v>0.0049663125</v>
      </c>
      <c r="AS81" s="23" t="n">
        <f aca="false">(U81*((T81/10^6)^2)/(18*AD81))*AC81/(F81/1000)</f>
        <v>0.146484375</v>
      </c>
      <c r="AT81" s="23" t="n">
        <f aca="false">AE81*(T81/10^6)*AC81/AD81</f>
        <v>45</v>
      </c>
      <c r="AU81" s="23" t="n">
        <f aca="false">(T81/10^6)/(F81/1000)</f>
        <v>0.0234375</v>
      </c>
      <c r="AV81" s="23" t="n">
        <f aca="false">AE81/U81</f>
        <v>0.4</v>
      </c>
      <c r="AW81" s="23" t="n">
        <f aca="false">(J81*10^9)/(K81*AC81^2)</f>
        <v>132.001836547291</v>
      </c>
      <c r="AX81" s="23" t="n">
        <f aca="false">V81</f>
        <v>0.0605035700864337</v>
      </c>
      <c r="AY81" s="23" t="n">
        <f aca="false">MAX(W81,1)</f>
        <v>1</v>
      </c>
      <c r="AZ81" s="23" t="n">
        <f aca="false">X81</f>
        <v>0.00332183942567495</v>
      </c>
      <c r="BA81" s="24" t="n">
        <f aca="false">0.8*AZ81</f>
        <v>0.00265747154053996</v>
      </c>
      <c r="BB81" s="24" t="n">
        <f aca="false">AZ81*1.2</f>
        <v>0.00398620731080994</v>
      </c>
      <c r="BC81" s="0" t="str">
        <f aca="false">Z81</f>
        <v>https://www.sciencedirect.com/science/article/pii/S0043164815003749</v>
      </c>
    </row>
    <row r="82" customFormat="false" ht="12.8" hidden="false" customHeight="false" outlineLevel="0" collapsed="false">
      <c r="A82" s="1" t="n">
        <v>59</v>
      </c>
      <c r="B82" s="1" t="s">
        <v>48</v>
      </c>
      <c r="C82" s="1" t="s">
        <v>53</v>
      </c>
      <c r="D82" s="1" t="s">
        <v>54</v>
      </c>
      <c r="E82" s="11" t="n">
        <v>90</v>
      </c>
      <c r="F82" s="11" t="n">
        <v>6.4</v>
      </c>
      <c r="G82" s="26" t="n">
        <v>50</v>
      </c>
      <c r="H82" s="11" t="n">
        <f aca="false">7.4*F82</f>
        <v>47.36</v>
      </c>
      <c r="I82" s="27" t="s">
        <v>55</v>
      </c>
      <c r="J82" s="26" t="n">
        <f aca="false">((8+15)/2)/100</f>
        <v>0.115</v>
      </c>
      <c r="K82" s="28" t="n">
        <f aca="false">(886+1050)/2</f>
        <v>968</v>
      </c>
      <c r="L82" s="1" t="n">
        <v>0</v>
      </c>
      <c r="M82" s="1" t="n">
        <v>0</v>
      </c>
      <c r="N82" s="1" t="n">
        <v>0</v>
      </c>
      <c r="O82" s="11" t="n">
        <v>30</v>
      </c>
      <c r="P82" s="1" t="n">
        <v>1</v>
      </c>
      <c r="Q82" s="11" t="n">
        <v>1000</v>
      </c>
      <c r="R82" s="13" t="n">
        <f aca="false">(N82*L82+O82*Q82)/(L82+O82)</f>
        <v>1000</v>
      </c>
      <c r="S82" s="14" t="n">
        <f aca="false">(M82*L82+O82*P82*0.1)/(L82+O82)</f>
        <v>0.1</v>
      </c>
      <c r="T82" s="11" t="n">
        <v>150</v>
      </c>
      <c r="U82" s="28" t="n">
        <v>2500</v>
      </c>
      <c r="V82" s="16" t="n">
        <v>0.0605035700864337</v>
      </c>
      <c r="W82" s="11" t="n">
        <v>1</v>
      </c>
      <c r="X82" s="17" t="n">
        <v>0.00255097624172227</v>
      </c>
      <c r="Z82" s="29" t="s">
        <v>56</v>
      </c>
      <c r="AC82" s="18" t="n">
        <f aca="false">MAX(L82,O82)</f>
        <v>30</v>
      </c>
      <c r="AD82" s="17" t="n">
        <f aca="false">MAX(M82,P82*0.1)</f>
        <v>0.1</v>
      </c>
      <c r="AE82" s="1" t="n">
        <f aca="false">MAX(N82,Q82)</f>
        <v>1000</v>
      </c>
      <c r="AG82" s="16"/>
      <c r="AH82" s="19" t="n">
        <v>80</v>
      </c>
      <c r="AI82" s="20" t="str">
        <f aca="false">B82</f>
        <v>DI</v>
      </c>
      <c r="AJ82" s="20" t="str">
        <f aca="false">C82</f>
        <v>Liquid-Solid</v>
      </c>
      <c r="AK82" s="20" t="str">
        <f aca="false">D82</f>
        <v>V-H</v>
      </c>
      <c r="AL82" s="21" t="n">
        <f aca="false">E82</f>
        <v>90</v>
      </c>
      <c r="AM82" s="22" t="n">
        <v>1E-006</v>
      </c>
      <c r="AN82" s="23" t="n">
        <f aca="false">MAX(G82/(F82/1000),25000)</f>
        <v>25000</v>
      </c>
      <c r="AO82" s="23" t="n">
        <f aca="false">H82/F82</f>
        <v>7.4</v>
      </c>
      <c r="AP82" s="23" t="n">
        <f aca="false">AC82/SQRT(9.81*(F82/1000))</f>
        <v>119.728285652644</v>
      </c>
      <c r="AQ82" s="23" t="n">
        <f aca="false">(AE82*AC82*(F82/1000))/AD82</f>
        <v>1920</v>
      </c>
      <c r="AR82" s="23" t="n">
        <f aca="false">((T82*0.000001)^3*AE82*(U82-AE82)*9.81)/AD82^2</f>
        <v>0.0049663125</v>
      </c>
      <c r="AS82" s="23" t="n">
        <f aca="false">(U82*((T82/10^6)^2)/(18*AD82))*AC82/(F82/1000)</f>
        <v>0.146484375</v>
      </c>
      <c r="AT82" s="23" t="n">
        <f aca="false">AE82*(T82/10^6)*AC82/AD82</f>
        <v>45</v>
      </c>
      <c r="AU82" s="23" t="n">
        <f aca="false">(T82/10^6)/(F82/1000)</f>
        <v>0.0234375</v>
      </c>
      <c r="AV82" s="23" t="n">
        <f aca="false">AE82/U82</f>
        <v>0.4</v>
      </c>
      <c r="AW82" s="23" t="n">
        <f aca="false">(J82*10^9)/(K82*AC82^2)</f>
        <v>132.001836547291</v>
      </c>
      <c r="AX82" s="23" t="n">
        <f aca="false">V82</f>
        <v>0.0605035700864337</v>
      </c>
      <c r="AY82" s="23" t="n">
        <f aca="false">MAX(W82,1)</f>
        <v>1</v>
      </c>
      <c r="AZ82" s="23" t="n">
        <f aca="false">X82</f>
        <v>0.00255097624172227</v>
      </c>
      <c r="BA82" s="24" t="n">
        <f aca="false">0.8*AZ82</f>
        <v>0.00204078099337782</v>
      </c>
      <c r="BB82" s="24" t="n">
        <f aca="false">AZ82*1.2</f>
        <v>0.00306117149006672</v>
      </c>
      <c r="BC82" s="0" t="str">
        <f aca="false">Z82</f>
        <v>https://www.sciencedirect.com/science/article/pii/S0043164815003749</v>
      </c>
    </row>
    <row r="83" customFormat="false" ht="12.8" hidden="false" customHeight="false" outlineLevel="0" collapsed="false">
      <c r="A83" s="1" t="n">
        <v>60</v>
      </c>
      <c r="B83" s="1" t="s">
        <v>48</v>
      </c>
      <c r="C83" s="1" t="s">
        <v>53</v>
      </c>
      <c r="D83" s="1" t="s">
        <v>54</v>
      </c>
      <c r="E83" s="11" t="n">
        <v>90</v>
      </c>
      <c r="F83" s="11" t="n">
        <v>6.4</v>
      </c>
      <c r="G83" s="26" t="n">
        <v>50</v>
      </c>
      <c r="H83" s="11" t="n">
        <f aca="false">7.4*F83</f>
        <v>47.36</v>
      </c>
      <c r="I83" s="27" t="s">
        <v>55</v>
      </c>
      <c r="J83" s="26" t="n">
        <f aca="false">((8+15)/2)/100</f>
        <v>0.115</v>
      </c>
      <c r="K83" s="28" t="n">
        <f aca="false">(886+1050)/2</f>
        <v>968</v>
      </c>
      <c r="L83" s="1" t="n">
        <v>0</v>
      </c>
      <c r="M83" s="1" t="n">
        <v>0</v>
      </c>
      <c r="N83" s="1" t="n">
        <v>0</v>
      </c>
      <c r="O83" s="11" t="n">
        <v>30</v>
      </c>
      <c r="P83" s="1" t="n">
        <v>1</v>
      </c>
      <c r="Q83" s="11" t="n">
        <v>1000</v>
      </c>
      <c r="R83" s="13" t="n">
        <f aca="false">(N83*L83+O83*Q83)/(L83+O83)</f>
        <v>1000</v>
      </c>
      <c r="S83" s="14" t="n">
        <f aca="false">(M83*L83+O83*P83*0.1)/(L83+O83)</f>
        <v>0.1</v>
      </c>
      <c r="T83" s="11" t="n">
        <v>150</v>
      </c>
      <c r="U83" s="28" t="n">
        <v>2500</v>
      </c>
      <c r="V83" s="16" t="n">
        <v>0.0605035700864337</v>
      </c>
      <c r="W83" s="11" t="n">
        <v>1</v>
      </c>
      <c r="X83" s="17" t="n">
        <v>0.00255347829764524</v>
      </c>
      <c r="Z83" s="29" t="s">
        <v>56</v>
      </c>
      <c r="AC83" s="18" t="n">
        <f aca="false">MAX(L83,O83)</f>
        <v>30</v>
      </c>
      <c r="AD83" s="17" t="n">
        <f aca="false">MAX(M83,P83*0.1)</f>
        <v>0.1</v>
      </c>
      <c r="AE83" s="1" t="n">
        <f aca="false">MAX(N83,Q83)</f>
        <v>1000</v>
      </c>
      <c r="AG83" s="16"/>
      <c r="AH83" s="19" t="n">
        <v>81</v>
      </c>
      <c r="AI83" s="20" t="str">
        <f aca="false">B83</f>
        <v>DI</v>
      </c>
      <c r="AJ83" s="20" t="str">
        <f aca="false">C83</f>
        <v>Liquid-Solid</v>
      </c>
      <c r="AK83" s="20" t="str">
        <f aca="false">D83</f>
        <v>V-H</v>
      </c>
      <c r="AL83" s="21" t="n">
        <f aca="false">E83</f>
        <v>90</v>
      </c>
      <c r="AM83" s="22" t="n">
        <v>1E-006</v>
      </c>
      <c r="AN83" s="23" t="n">
        <f aca="false">MAX(G83/(F83/1000),25000)</f>
        <v>25000</v>
      </c>
      <c r="AO83" s="23" t="n">
        <f aca="false">H83/F83</f>
        <v>7.4</v>
      </c>
      <c r="AP83" s="23" t="n">
        <f aca="false">AC83/SQRT(9.81*(F83/1000))</f>
        <v>119.728285652644</v>
      </c>
      <c r="AQ83" s="23" t="n">
        <f aca="false">(AE83*AC83*(F83/1000))/AD83</f>
        <v>1920</v>
      </c>
      <c r="AR83" s="23" t="n">
        <f aca="false">((T83*0.000001)^3*AE83*(U83-AE83)*9.81)/AD83^2</f>
        <v>0.0049663125</v>
      </c>
      <c r="AS83" s="23" t="n">
        <f aca="false">(U83*((T83/10^6)^2)/(18*AD83))*AC83/(F83/1000)</f>
        <v>0.146484375</v>
      </c>
      <c r="AT83" s="23" t="n">
        <f aca="false">AE83*(T83/10^6)*AC83/AD83</f>
        <v>45</v>
      </c>
      <c r="AU83" s="23" t="n">
        <f aca="false">(T83/10^6)/(F83/1000)</f>
        <v>0.0234375</v>
      </c>
      <c r="AV83" s="23" t="n">
        <f aca="false">AE83/U83</f>
        <v>0.4</v>
      </c>
      <c r="AW83" s="23" t="n">
        <f aca="false">(J83*10^9)/(K83*AC83^2)</f>
        <v>132.001836547291</v>
      </c>
      <c r="AX83" s="23" t="n">
        <f aca="false">V83</f>
        <v>0.0605035700864337</v>
      </c>
      <c r="AY83" s="23" t="n">
        <f aca="false">MAX(W83,1)</f>
        <v>1</v>
      </c>
      <c r="AZ83" s="23" t="n">
        <f aca="false">X83</f>
        <v>0.00255347829764524</v>
      </c>
      <c r="BA83" s="24" t="n">
        <f aca="false">0.8*AZ83</f>
        <v>0.00204278263811619</v>
      </c>
      <c r="BB83" s="24" t="n">
        <f aca="false">AZ83*1.2</f>
        <v>0.00306417395717429</v>
      </c>
      <c r="BC83" s="0" t="str">
        <f aca="false">Z83</f>
        <v>https://www.sciencedirect.com/science/article/pii/S0043164815003749</v>
      </c>
    </row>
    <row r="84" customFormat="false" ht="12.8" hidden="false" customHeight="false" outlineLevel="0" collapsed="false">
      <c r="A84" s="1" t="n">
        <v>61</v>
      </c>
      <c r="B84" s="1" t="s">
        <v>48</v>
      </c>
      <c r="C84" s="1" t="s">
        <v>53</v>
      </c>
      <c r="D84" s="1" t="s">
        <v>54</v>
      </c>
      <c r="E84" s="11" t="n">
        <v>90</v>
      </c>
      <c r="F84" s="11" t="n">
        <v>6.4</v>
      </c>
      <c r="G84" s="26" t="n">
        <v>50</v>
      </c>
      <c r="H84" s="11" t="n">
        <f aca="false">7.4*F84</f>
        <v>47.36</v>
      </c>
      <c r="I84" s="27" t="s">
        <v>55</v>
      </c>
      <c r="J84" s="26" t="n">
        <f aca="false">((8+15)/2)/100</f>
        <v>0.115</v>
      </c>
      <c r="K84" s="28" t="n">
        <f aca="false">(886+1050)/2</f>
        <v>968</v>
      </c>
      <c r="L84" s="1" t="n">
        <v>0</v>
      </c>
      <c r="M84" s="1" t="n">
        <v>0</v>
      </c>
      <c r="N84" s="1" t="n">
        <v>0</v>
      </c>
      <c r="O84" s="11" t="n">
        <v>30</v>
      </c>
      <c r="P84" s="1" t="n">
        <v>1</v>
      </c>
      <c r="Q84" s="11" t="n">
        <v>1000</v>
      </c>
      <c r="R84" s="13" t="n">
        <f aca="false">(N84*L84+O84*Q84)/(L84+O84)</f>
        <v>1000</v>
      </c>
      <c r="S84" s="14" t="n">
        <f aca="false">(M84*L84+O84*P84*0.1)/(L84+O84)</f>
        <v>0.1</v>
      </c>
      <c r="T84" s="11" t="n">
        <v>150</v>
      </c>
      <c r="U84" s="28" t="n">
        <v>2500</v>
      </c>
      <c r="V84" s="16" t="n">
        <v>0.0605035700864337</v>
      </c>
      <c r="W84" s="11" t="n">
        <v>1</v>
      </c>
      <c r="X84" s="17" t="n">
        <v>0.00275054804109346</v>
      </c>
      <c r="Z84" s="29" t="s">
        <v>56</v>
      </c>
      <c r="AC84" s="18" t="n">
        <f aca="false">MAX(L84,O84)</f>
        <v>30</v>
      </c>
      <c r="AD84" s="17" t="n">
        <f aca="false">MAX(M84,P84*0.1)</f>
        <v>0.1</v>
      </c>
      <c r="AE84" s="1" t="n">
        <f aca="false">MAX(N84,Q84)</f>
        <v>1000</v>
      </c>
      <c r="AG84" s="16"/>
      <c r="AH84" s="19" t="n">
        <v>82</v>
      </c>
      <c r="AI84" s="20" t="str">
        <f aca="false">B84</f>
        <v>DI</v>
      </c>
      <c r="AJ84" s="20" t="str">
        <f aca="false">C84</f>
        <v>Liquid-Solid</v>
      </c>
      <c r="AK84" s="20" t="str">
        <f aca="false">D84</f>
        <v>V-H</v>
      </c>
      <c r="AL84" s="21" t="n">
        <f aca="false">E84</f>
        <v>90</v>
      </c>
      <c r="AM84" s="22" t="n">
        <v>1E-006</v>
      </c>
      <c r="AN84" s="23" t="n">
        <f aca="false">MAX(G84/(F84/1000),25000)</f>
        <v>25000</v>
      </c>
      <c r="AO84" s="23" t="n">
        <f aca="false">H84/F84</f>
        <v>7.4</v>
      </c>
      <c r="AP84" s="23" t="n">
        <f aca="false">AC84/SQRT(9.81*(F84/1000))</f>
        <v>119.728285652644</v>
      </c>
      <c r="AQ84" s="23" t="n">
        <f aca="false">(AE84*AC84*(F84/1000))/AD84</f>
        <v>1920</v>
      </c>
      <c r="AR84" s="23" t="n">
        <f aca="false">((T84*0.000001)^3*AE84*(U84-AE84)*9.81)/AD84^2</f>
        <v>0.0049663125</v>
      </c>
      <c r="AS84" s="23" t="n">
        <f aca="false">(U84*((T84/10^6)^2)/(18*AD84))*AC84/(F84/1000)</f>
        <v>0.146484375</v>
      </c>
      <c r="AT84" s="23" t="n">
        <f aca="false">AE84*(T84/10^6)*AC84/AD84</f>
        <v>45</v>
      </c>
      <c r="AU84" s="23" t="n">
        <f aca="false">(T84/10^6)/(F84/1000)</f>
        <v>0.0234375</v>
      </c>
      <c r="AV84" s="23" t="n">
        <f aca="false">AE84/U84</f>
        <v>0.4</v>
      </c>
      <c r="AW84" s="23" t="n">
        <f aca="false">(J84*10^9)/(K84*AC84^2)</f>
        <v>132.001836547291</v>
      </c>
      <c r="AX84" s="23" t="n">
        <f aca="false">V84</f>
        <v>0.0605035700864337</v>
      </c>
      <c r="AY84" s="23" t="n">
        <f aca="false">MAX(W84,1)</f>
        <v>1</v>
      </c>
      <c r="AZ84" s="23" t="n">
        <f aca="false">X84</f>
        <v>0.00275054804109346</v>
      </c>
      <c r="BA84" s="24" t="n">
        <f aca="false">0.8*AZ84</f>
        <v>0.00220043843287477</v>
      </c>
      <c r="BB84" s="24" t="n">
        <f aca="false">AZ84*1.2</f>
        <v>0.00330065764931215</v>
      </c>
      <c r="BC84" s="0" t="str">
        <f aca="false">Z84</f>
        <v>https://www.sciencedirect.com/science/article/pii/S0043164815003749</v>
      </c>
    </row>
    <row r="85" customFormat="false" ht="12.8" hidden="false" customHeight="false" outlineLevel="0" collapsed="false">
      <c r="A85" s="1" t="n">
        <v>62</v>
      </c>
      <c r="B85" s="1" t="s">
        <v>48</v>
      </c>
      <c r="C85" s="1" t="s">
        <v>53</v>
      </c>
      <c r="D85" s="1" t="s">
        <v>54</v>
      </c>
      <c r="E85" s="11" t="n">
        <v>90</v>
      </c>
      <c r="F85" s="11" t="n">
        <v>6.4</v>
      </c>
      <c r="G85" s="26" t="n">
        <v>50</v>
      </c>
      <c r="H85" s="11" t="n">
        <f aca="false">7.4*F85</f>
        <v>47.36</v>
      </c>
      <c r="I85" s="27" t="s">
        <v>55</v>
      </c>
      <c r="J85" s="26" t="n">
        <f aca="false">((8+15)/2)/100</f>
        <v>0.115</v>
      </c>
      <c r="K85" s="28" t="n">
        <f aca="false">(886+1050)/2</f>
        <v>968</v>
      </c>
      <c r="L85" s="1" t="n">
        <v>0</v>
      </c>
      <c r="M85" s="1" t="n">
        <v>0</v>
      </c>
      <c r="N85" s="1" t="n">
        <v>0</v>
      </c>
      <c r="O85" s="11" t="n">
        <v>30</v>
      </c>
      <c r="P85" s="1" t="n">
        <v>1</v>
      </c>
      <c r="Q85" s="11" t="n">
        <v>1000</v>
      </c>
      <c r="R85" s="13" t="n">
        <f aca="false">(N85*L85+O85*Q85)/(L85+O85)</f>
        <v>1000</v>
      </c>
      <c r="S85" s="14" t="n">
        <f aca="false">(M85*L85+O85*P85*0.1)/(L85+O85)</f>
        <v>0.1</v>
      </c>
      <c r="T85" s="11" t="n">
        <v>150</v>
      </c>
      <c r="U85" s="28" t="n">
        <v>2500</v>
      </c>
      <c r="V85" s="16" t="n">
        <v>0.0605035700864337</v>
      </c>
      <c r="W85" s="11" t="n">
        <v>1</v>
      </c>
      <c r="X85" s="17" t="n">
        <v>0.00281919727038795</v>
      </c>
      <c r="Z85" s="29" t="s">
        <v>56</v>
      </c>
      <c r="AC85" s="18" t="n">
        <f aca="false">MAX(L85,O85)</f>
        <v>30</v>
      </c>
      <c r="AD85" s="17" t="n">
        <f aca="false">MAX(M85,P85*0.1)</f>
        <v>0.1</v>
      </c>
      <c r="AE85" s="1" t="n">
        <f aca="false">MAX(N85,Q85)</f>
        <v>1000</v>
      </c>
      <c r="AG85" s="16"/>
      <c r="AH85" s="19" t="n">
        <v>83</v>
      </c>
      <c r="AI85" s="20" t="str">
        <f aca="false">B85</f>
        <v>DI</v>
      </c>
      <c r="AJ85" s="20" t="str">
        <f aca="false">C85</f>
        <v>Liquid-Solid</v>
      </c>
      <c r="AK85" s="20" t="str">
        <f aca="false">D85</f>
        <v>V-H</v>
      </c>
      <c r="AL85" s="21" t="n">
        <f aca="false">E85</f>
        <v>90</v>
      </c>
      <c r="AM85" s="22" t="n">
        <v>1E-006</v>
      </c>
      <c r="AN85" s="23" t="n">
        <f aca="false">MAX(G85/(F85/1000),25000)</f>
        <v>25000</v>
      </c>
      <c r="AO85" s="23" t="n">
        <f aca="false">H85/F85</f>
        <v>7.4</v>
      </c>
      <c r="AP85" s="23" t="n">
        <f aca="false">AC85/SQRT(9.81*(F85/1000))</f>
        <v>119.728285652644</v>
      </c>
      <c r="AQ85" s="23" t="n">
        <f aca="false">(AE85*AC85*(F85/1000))/AD85</f>
        <v>1920</v>
      </c>
      <c r="AR85" s="23" t="n">
        <f aca="false">((T85*0.000001)^3*AE85*(U85-AE85)*9.81)/AD85^2</f>
        <v>0.0049663125</v>
      </c>
      <c r="AS85" s="23" t="n">
        <f aca="false">(U85*((T85/10^6)^2)/(18*AD85))*AC85/(F85/1000)</f>
        <v>0.146484375</v>
      </c>
      <c r="AT85" s="23" t="n">
        <f aca="false">AE85*(T85/10^6)*AC85/AD85</f>
        <v>45</v>
      </c>
      <c r="AU85" s="23" t="n">
        <f aca="false">(T85/10^6)/(F85/1000)</f>
        <v>0.0234375</v>
      </c>
      <c r="AV85" s="23" t="n">
        <f aca="false">AE85/U85</f>
        <v>0.4</v>
      </c>
      <c r="AW85" s="23" t="n">
        <f aca="false">(J85*10^9)/(K85*AC85^2)</f>
        <v>132.001836547291</v>
      </c>
      <c r="AX85" s="23" t="n">
        <f aca="false">V85</f>
        <v>0.0605035700864337</v>
      </c>
      <c r="AY85" s="23" t="n">
        <f aca="false">MAX(W85,1)</f>
        <v>1</v>
      </c>
      <c r="AZ85" s="23" t="n">
        <f aca="false">X85</f>
        <v>0.00281919727038795</v>
      </c>
      <c r="BA85" s="24" t="n">
        <f aca="false">0.8*AZ85</f>
        <v>0.00225535781631036</v>
      </c>
      <c r="BB85" s="24" t="n">
        <f aca="false">AZ85*1.2</f>
        <v>0.00338303672446554</v>
      </c>
      <c r="BC85" s="0" t="str">
        <f aca="false">Z85</f>
        <v>https://www.sciencedirect.com/science/article/pii/S0043164815003749</v>
      </c>
    </row>
    <row r="86" customFormat="false" ht="12.8" hidden="false" customHeight="false" outlineLevel="0" collapsed="false">
      <c r="A86" s="1" t="n">
        <v>63</v>
      </c>
      <c r="B86" s="1" t="s">
        <v>48</v>
      </c>
      <c r="C86" s="1" t="s">
        <v>53</v>
      </c>
      <c r="D86" s="1" t="s">
        <v>54</v>
      </c>
      <c r="E86" s="11" t="n">
        <v>90</v>
      </c>
      <c r="F86" s="11" t="n">
        <v>6.4</v>
      </c>
      <c r="G86" s="26" t="n">
        <v>50</v>
      </c>
      <c r="H86" s="11" t="n">
        <f aca="false">7.4*F86</f>
        <v>47.36</v>
      </c>
      <c r="I86" s="27" t="s">
        <v>55</v>
      </c>
      <c r="J86" s="26" t="n">
        <f aca="false">((8+15)/2)/100</f>
        <v>0.115</v>
      </c>
      <c r="K86" s="28" t="n">
        <f aca="false">(886+1050)/2</f>
        <v>968</v>
      </c>
      <c r="L86" s="1" t="n">
        <v>0</v>
      </c>
      <c r="M86" s="1" t="n">
        <v>0</v>
      </c>
      <c r="N86" s="1" t="n">
        <v>0</v>
      </c>
      <c r="O86" s="11" t="n">
        <v>30</v>
      </c>
      <c r="P86" s="1" t="n">
        <v>1</v>
      </c>
      <c r="Q86" s="11" t="n">
        <v>1000</v>
      </c>
      <c r="R86" s="13" t="n">
        <f aca="false">(N86*L86+O86*Q86)/(L86+O86)</f>
        <v>1000</v>
      </c>
      <c r="S86" s="14" t="n">
        <f aca="false">(M86*L86+O86*P86*0.1)/(L86+O86)</f>
        <v>0.1</v>
      </c>
      <c r="T86" s="11" t="n">
        <v>150</v>
      </c>
      <c r="U86" s="28" t="n">
        <v>2500</v>
      </c>
      <c r="V86" s="16" t="n">
        <v>0.0605035700864337</v>
      </c>
      <c r="W86" s="11" t="n">
        <v>1</v>
      </c>
      <c r="X86" s="17" t="n">
        <v>0.00308926214061574</v>
      </c>
      <c r="Z86" s="29" t="s">
        <v>56</v>
      </c>
      <c r="AC86" s="18" t="n">
        <f aca="false">MAX(L86,O86)</f>
        <v>30</v>
      </c>
      <c r="AD86" s="17" t="n">
        <f aca="false">MAX(M86,P86*0.1)</f>
        <v>0.1</v>
      </c>
      <c r="AE86" s="1" t="n">
        <f aca="false">MAX(N86,Q86)</f>
        <v>1000</v>
      </c>
      <c r="AG86" s="16"/>
      <c r="AH86" s="19" t="n">
        <v>84</v>
      </c>
      <c r="AI86" s="20" t="str">
        <f aca="false">B86</f>
        <v>DI</v>
      </c>
      <c r="AJ86" s="20" t="str">
        <f aca="false">C86</f>
        <v>Liquid-Solid</v>
      </c>
      <c r="AK86" s="20" t="str">
        <f aca="false">D86</f>
        <v>V-H</v>
      </c>
      <c r="AL86" s="21" t="n">
        <f aca="false">E86</f>
        <v>90</v>
      </c>
      <c r="AM86" s="22" t="n">
        <v>1E-006</v>
      </c>
      <c r="AN86" s="23" t="n">
        <f aca="false">MAX(G86/(F86/1000),25000)</f>
        <v>25000</v>
      </c>
      <c r="AO86" s="23" t="n">
        <f aca="false">H86/F86</f>
        <v>7.4</v>
      </c>
      <c r="AP86" s="23" t="n">
        <f aca="false">AC86/SQRT(9.81*(F86/1000))</f>
        <v>119.728285652644</v>
      </c>
      <c r="AQ86" s="23" t="n">
        <f aca="false">(AE86*AC86*(F86/1000))/AD86</f>
        <v>1920</v>
      </c>
      <c r="AR86" s="23" t="n">
        <f aca="false">((T86*0.000001)^3*AE86*(U86-AE86)*9.81)/AD86^2</f>
        <v>0.0049663125</v>
      </c>
      <c r="AS86" s="23" t="n">
        <f aca="false">(U86*((T86/10^6)^2)/(18*AD86))*AC86/(F86/1000)</f>
        <v>0.146484375</v>
      </c>
      <c r="AT86" s="23" t="n">
        <f aca="false">AE86*(T86/10^6)*AC86/AD86</f>
        <v>45</v>
      </c>
      <c r="AU86" s="23" t="n">
        <f aca="false">(T86/10^6)/(F86/1000)</f>
        <v>0.0234375</v>
      </c>
      <c r="AV86" s="23" t="n">
        <f aca="false">AE86/U86</f>
        <v>0.4</v>
      </c>
      <c r="AW86" s="23" t="n">
        <f aca="false">(J86*10^9)/(K86*AC86^2)</f>
        <v>132.001836547291</v>
      </c>
      <c r="AX86" s="23" t="n">
        <f aca="false">V86</f>
        <v>0.0605035700864337</v>
      </c>
      <c r="AY86" s="23" t="n">
        <f aca="false">MAX(W86,1)</f>
        <v>1</v>
      </c>
      <c r="AZ86" s="23" t="n">
        <f aca="false">X86</f>
        <v>0.00308926214061574</v>
      </c>
      <c r="BA86" s="24" t="n">
        <f aca="false">0.8*AZ86</f>
        <v>0.00247140971249259</v>
      </c>
      <c r="BB86" s="24" t="n">
        <f aca="false">AZ86*1.2</f>
        <v>0.00370711456873889</v>
      </c>
      <c r="BC86" s="0" t="str">
        <f aca="false">Z86</f>
        <v>https://www.sciencedirect.com/science/article/pii/S0043164815003749</v>
      </c>
    </row>
    <row r="87" customFormat="false" ht="12.8" hidden="false" customHeight="false" outlineLevel="0" collapsed="false">
      <c r="A87" s="1" t="n">
        <v>64</v>
      </c>
      <c r="B87" s="1" t="s">
        <v>48</v>
      </c>
      <c r="C87" s="1" t="s">
        <v>53</v>
      </c>
      <c r="D87" s="1" t="s">
        <v>54</v>
      </c>
      <c r="E87" s="11" t="n">
        <v>90</v>
      </c>
      <c r="F87" s="11" t="n">
        <v>6.4</v>
      </c>
      <c r="G87" s="26" t="n">
        <v>50</v>
      </c>
      <c r="H87" s="11" t="n">
        <f aca="false">7.4*F87</f>
        <v>47.36</v>
      </c>
      <c r="I87" s="27" t="s">
        <v>55</v>
      </c>
      <c r="J87" s="26" t="n">
        <f aca="false">((8+15)/2)/100</f>
        <v>0.115</v>
      </c>
      <c r="K87" s="28" t="n">
        <f aca="false">(886+1050)/2</f>
        <v>968</v>
      </c>
      <c r="L87" s="1" t="n">
        <v>0</v>
      </c>
      <c r="M87" s="1" t="n">
        <v>0</v>
      </c>
      <c r="N87" s="1" t="n">
        <v>0</v>
      </c>
      <c r="O87" s="11" t="n">
        <v>30</v>
      </c>
      <c r="P87" s="1" t="n">
        <v>1</v>
      </c>
      <c r="Q87" s="11" t="n">
        <v>1000</v>
      </c>
      <c r="R87" s="13" t="n">
        <f aca="false">(N87*L87+O87*Q87)/(L87+O87)</f>
        <v>1000</v>
      </c>
      <c r="S87" s="14" t="n">
        <f aca="false">(M87*L87+O87*P87*0.1)/(L87+O87)</f>
        <v>0.1</v>
      </c>
      <c r="T87" s="11" t="n">
        <v>150</v>
      </c>
      <c r="U87" s="28" t="n">
        <v>2500</v>
      </c>
      <c r="V87" s="16" t="n">
        <v>0.0605035700864337</v>
      </c>
      <c r="W87" s="11" t="n">
        <v>1</v>
      </c>
      <c r="X87" s="17" t="n">
        <v>0.00326491898442043</v>
      </c>
      <c r="Z87" s="29" t="s">
        <v>56</v>
      </c>
      <c r="AC87" s="18" t="n">
        <f aca="false">MAX(L87,O87)</f>
        <v>30</v>
      </c>
      <c r="AD87" s="17" t="n">
        <f aca="false">MAX(M87,P87*0.1)</f>
        <v>0.1</v>
      </c>
      <c r="AE87" s="1" t="n">
        <f aca="false">MAX(N87,Q87)</f>
        <v>1000</v>
      </c>
      <c r="AG87" s="16"/>
      <c r="AH87" s="19" t="n">
        <v>85</v>
      </c>
      <c r="AI87" s="20" t="str">
        <f aca="false">B87</f>
        <v>DI</v>
      </c>
      <c r="AJ87" s="20" t="str">
        <f aca="false">C87</f>
        <v>Liquid-Solid</v>
      </c>
      <c r="AK87" s="20" t="str">
        <f aca="false">D87</f>
        <v>V-H</v>
      </c>
      <c r="AL87" s="21" t="n">
        <f aca="false">E87</f>
        <v>90</v>
      </c>
      <c r="AM87" s="22" t="n">
        <v>1E-006</v>
      </c>
      <c r="AN87" s="23" t="n">
        <f aca="false">MAX(G87/(F87/1000),25000)</f>
        <v>25000</v>
      </c>
      <c r="AO87" s="23" t="n">
        <f aca="false">H87/F87</f>
        <v>7.4</v>
      </c>
      <c r="AP87" s="23" t="n">
        <f aca="false">AC87/SQRT(9.81*(F87/1000))</f>
        <v>119.728285652644</v>
      </c>
      <c r="AQ87" s="23" t="n">
        <f aca="false">(AE87*AC87*(F87/1000))/AD87</f>
        <v>1920</v>
      </c>
      <c r="AR87" s="23" t="n">
        <f aca="false">((T87*0.000001)^3*AE87*(U87-AE87)*9.81)/AD87^2</f>
        <v>0.0049663125</v>
      </c>
      <c r="AS87" s="23" t="n">
        <f aca="false">(U87*((T87/10^6)^2)/(18*AD87))*AC87/(F87/1000)</f>
        <v>0.146484375</v>
      </c>
      <c r="AT87" s="23" t="n">
        <f aca="false">AE87*(T87/10^6)*AC87/AD87</f>
        <v>45</v>
      </c>
      <c r="AU87" s="23" t="n">
        <f aca="false">(T87/10^6)/(F87/1000)</f>
        <v>0.0234375</v>
      </c>
      <c r="AV87" s="23" t="n">
        <f aca="false">AE87/U87</f>
        <v>0.4</v>
      </c>
      <c r="AW87" s="23" t="n">
        <f aca="false">(J87*10^9)/(K87*AC87^2)</f>
        <v>132.001836547291</v>
      </c>
      <c r="AX87" s="23" t="n">
        <f aca="false">V87</f>
        <v>0.0605035700864337</v>
      </c>
      <c r="AY87" s="23" t="n">
        <f aca="false">MAX(W87,1)</f>
        <v>1</v>
      </c>
      <c r="AZ87" s="23" t="n">
        <f aca="false">X87</f>
        <v>0.00326491898442043</v>
      </c>
      <c r="BA87" s="24" t="n">
        <f aca="false">0.8*AZ87</f>
        <v>0.00261193518753634</v>
      </c>
      <c r="BB87" s="24" t="n">
        <f aca="false">AZ87*1.2</f>
        <v>0.00391790278130452</v>
      </c>
      <c r="BC87" s="0" t="str">
        <f aca="false">Z87</f>
        <v>https://www.sciencedirect.com/science/article/pii/S0043164815003749</v>
      </c>
    </row>
    <row r="88" customFormat="false" ht="12.8" hidden="false" customHeight="false" outlineLevel="0" collapsed="false">
      <c r="A88" s="1" t="n">
        <v>65</v>
      </c>
      <c r="B88" s="1" t="s">
        <v>48</v>
      </c>
      <c r="C88" s="1" t="s">
        <v>53</v>
      </c>
      <c r="D88" s="1" t="s">
        <v>54</v>
      </c>
      <c r="E88" s="11" t="n">
        <v>90</v>
      </c>
      <c r="F88" s="11" t="n">
        <v>6.4</v>
      </c>
      <c r="G88" s="26" t="n">
        <v>50</v>
      </c>
      <c r="H88" s="11" t="n">
        <f aca="false">7.4*F88</f>
        <v>47.36</v>
      </c>
      <c r="I88" s="27" t="s">
        <v>55</v>
      </c>
      <c r="J88" s="26" t="n">
        <f aca="false">((8+15)/2)/100</f>
        <v>0.115</v>
      </c>
      <c r="K88" s="28" t="n">
        <f aca="false">(886+1050)/2</f>
        <v>968</v>
      </c>
      <c r="L88" s="1" t="n">
        <v>0</v>
      </c>
      <c r="M88" s="1" t="n">
        <v>0</v>
      </c>
      <c r="N88" s="1" t="n">
        <v>0</v>
      </c>
      <c r="O88" s="11" t="n">
        <v>30</v>
      </c>
      <c r="P88" s="1" t="n">
        <v>1</v>
      </c>
      <c r="Q88" s="11" t="n">
        <v>1000</v>
      </c>
      <c r="R88" s="13" t="n">
        <f aca="false">(N88*L88+O88*Q88)/(L88+O88)</f>
        <v>1000</v>
      </c>
      <c r="S88" s="14" t="n">
        <f aca="false">(M88*L88+O88*P88*0.1)/(L88+O88)</f>
        <v>0.1</v>
      </c>
      <c r="T88" s="11" t="n">
        <v>150</v>
      </c>
      <c r="U88" s="28" t="n">
        <v>2500</v>
      </c>
      <c r="V88" s="16" t="n">
        <v>0.0605035700864337</v>
      </c>
      <c r="W88" s="11" t="n">
        <v>1</v>
      </c>
      <c r="X88" s="17" t="n">
        <v>0.00377543550317921</v>
      </c>
      <c r="Z88" s="29" t="s">
        <v>56</v>
      </c>
      <c r="AC88" s="18" t="n">
        <f aca="false">MAX(L88,O88)</f>
        <v>30</v>
      </c>
      <c r="AD88" s="17" t="n">
        <f aca="false">MAX(M88,P88*0.1)</f>
        <v>0.1</v>
      </c>
      <c r="AE88" s="1" t="n">
        <f aca="false">MAX(N88,Q88)</f>
        <v>1000</v>
      </c>
      <c r="AG88" s="16"/>
      <c r="AH88" s="19" t="n">
        <v>86</v>
      </c>
      <c r="AI88" s="20" t="str">
        <f aca="false">B88</f>
        <v>DI</v>
      </c>
      <c r="AJ88" s="20" t="str">
        <f aca="false">C88</f>
        <v>Liquid-Solid</v>
      </c>
      <c r="AK88" s="20" t="str">
        <f aca="false">D88</f>
        <v>V-H</v>
      </c>
      <c r="AL88" s="21" t="n">
        <f aca="false">E88</f>
        <v>90</v>
      </c>
      <c r="AM88" s="22" t="n">
        <v>1E-006</v>
      </c>
      <c r="AN88" s="23" t="n">
        <f aca="false">MAX(G88/(F88/1000),25000)</f>
        <v>25000</v>
      </c>
      <c r="AO88" s="23" t="n">
        <f aca="false">H88/F88</f>
        <v>7.4</v>
      </c>
      <c r="AP88" s="23" t="n">
        <f aca="false">AC88/SQRT(9.81*(F88/1000))</f>
        <v>119.728285652644</v>
      </c>
      <c r="AQ88" s="23" t="n">
        <f aca="false">(AE88*AC88*(F88/1000))/AD88</f>
        <v>1920</v>
      </c>
      <c r="AR88" s="23" t="n">
        <f aca="false">((T88*0.000001)^3*AE88*(U88-AE88)*9.81)/AD88^2</f>
        <v>0.0049663125</v>
      </c>
      <c r="AS88" s="23" t="n">
        <f aca="false">(U88*((T88/10^6)^2)/(18*AD88))*AC88/(F88/1000)</f>
        <v>0.146484375</v>
      </c>
      <c r="AT88" s="23" t="n">
        <f aca="false">AE88*(T88/10^6)*AC88/AD88</f>
        <v>45</v>
      </c>
      <c r="AU88" s="23" t="n">
        <f aca="false">(T88/10^6)/(F88/1000)</f>
        <v>0.0234375</v>
      </c>
      <c r="AV88" s="23" t="n">
        <f aca="false">AE88/U88</f>
        <v>0.4</v>
      </c>
      <c r="AW88" s="23" t="n">
        <f aca="false">(J88*10^9)/(K88*AC88^2)</f>
        <v>132.001836547291</v>
      </c>
      <c r="AX88" s="23" t="n">
        <f aca="false">V88</f>
        <v>0.0605035700864337</v>
      </c>
      <c r="AY88" s="23" t="n">
        <f aca="false">MAX(W88,1)</f>
        <v>1</v>
      </c>
      <c r="AZ88" s="23" t="n">
        <f aca="false">X88</f>
        <v>0.00377543550317921</v>
      </c>
      <c r="BA88" s="24" t="n">
        <f aca="false">0.8*AZ88</f>
        <v>0.00302034840254337</v>
      </c>
      <c r="BB88" s="24" t="n">
        <f aca="false">AZ88*1.2</f>
        <v>0.00453052260381505</v>
      </c>
      <c r="BC88" s="0" t="str">
        <f aca="false">Z88</f>
        <v>https://www.sciencedirect.com/science/article/pii/S0043164815003749</v>
      </c>
    </row>
    <row r="89" customFormat="false" ht="12.8" hidden="false" customHeight="false" outlineLevel="0" collapsed="false">
      <c r="A89" s="1" t="n">
        <v>66</v>
      </c>
      <c r="B89" s="1" t="s">
        <v>48</v>
      </c>
      <c r="C89" s="1" t="s">
        <v>53</v>
      </c>
      <c r="D89" s="1" t="s">
        <v>54</v>
      </c>
      <c r="E89" s="11" t="n">
        <v>90</v>
      </c>
      <c r="F89" s="11" t="n">
        <v>6.4</v>
      </c>
      <c r="G89" s="26" t="n">
        <v>50</v>
      </c>
      <c r="H89" s="11" t="n">
        <f aca="false">7.4*F89</f>
        <v>47.36</v>
      </c>
      <c r="I89" s="27" t="s">
        <v>55</v>
      </c>
      <c r="J89" s="26" t="n">
        <f aca="false">((8+15)/2)/100</f>
        <v>0.115</v>
      </c>
      <c r="K89" s="28" t="n">
        <f aca="false">(886+1050)/2</f>
        <v>968</v>
      </c>
      <c r="L89" s="1" t="n">
        <v>0</v>
      </c>
      <c r="M89" s="1" t="n">
        <v>0</v>
      </c>
      <c r="N89" s="1" t="n">
        <v>0</v>
      </c>
      <c r="O89" s="11" t="n">
        <v>30</v>
      </c>
      <c r="P89" s="1" t="n">
        <v>1</v>
      </c>
      <c r="Q89" s="11" t="n">
        <v>1000</v>
      </c>
      <c r="R89" s="13" t="n">
        <f aca="false">(N89*L89+O89*Q89)/(L89+O89)</f>
        <v>1000</v>
      </c>
      <c r="S89" s="14" t="n">
        <f aca="false">(M89*L89+O89*P89*0.1)/(L89+O89)</f>
        <v>0.1</v>
      </c>
      <c r="T89" s="11" t="n">
        <v>150</v>
      </c>
      <c r="U89" s="28" t="n">
        <v>2500</v>
      </c>
      <c r="V89" s="16" t="n">
        <v>0.0340030911901082</v>
      </c>
      <c r="W89" s="11" t="n">
        <v>1</v>
      </c>
      <c r="X89" s="17" t="n">
        <v>0.00276215726754453</v>
      </c>
      <c r="Z89" s="29" t="s">
        <v>56</v>
      </c>
      <c r="AC89" s="18" t="n">
        <f aca="false">MAX(L89,O89)</f>
        <v>30</v>
      </c>
      <c r="AD89" s="17" t="n">
        <f aca="false">MAX(M89,P89*0.1)</f>
        <v>0.1</v>
      </c>
      <c r="AE89" s="1" t="n">
        <f aca="false">MAX(N89,Q89)</f>
        <v>1000</v>
      </c>
      <c r="AG89" s="16"/>
      <c r="AH89" s="19" t="n">
        <v>87</v>
      </c>
      <c r="AI89" s="20" t="str">
        <f aca="false">B89</f>
        <v>DI</v>
      </c>
      <c r="AJ89" s="20" t="str">
        <f aca="false">C89</f>
        <v>Liquid-Solid</v>
      </c>
      <c r="AK89" s="20" t="str">
        <f aca="false">D89</f>
        <v>V-H</v>
      </c>
      <c r="AL89" s="21" t="n">
        <f aca="false">E89</f>
        <v>90</v>
      </c>
      <c r="AM89" s="22" t="n">
        <v>1E-006</v>
      </c>
      <c r="AN89" s="23" t="n">
        <f aca="false">MAX(G89/(F89/1000),25000)</f>
        <v>25000</v>
      </c>
      <c r="AO89" s="23" t="n">
        <f aca="false">H89/F89</f>
        <v>7.4</v>
      </c>
      <c r="AP89" s="23" t="n">
        <f aca="false">AC89/SQRT(9.81*(F89/1000))</f>
        <v>119.728285652644</v>
      </c>
      <c r="AQ89" s="23" t="n">
        <f aca="false">(AE89*AC89*(F89/1000))/AD89</f>
        <v>1920</v>
      </c>
      <c r="AR89" s="23" t="n">
        <f aca="false">((T89*0.000001)^3*AE89*(U89-AE89)*9.81)/AD89^2</f>
        <v>0.0049663125</v>
      </c>
      <c r="AS89" s="23" t="n">
        <f aca="false">(U89*((T89/10^6)^2)/(18*AD89))*AC89/(F89/1000)</f>
        <v>0.146484375</v>
      </c>
      <c r="AT89" s="23" t="n">
        <f aca="false">AE89*(T89/10^6)*AC89/AD89</f>
        <v>45</v>
      </c>
      <c r="AU89" s="23" t="n">
        <f aca="false">(T89/10^6)/(F89/1000)</f>
        <v>0.0234375</v>
      </c>
      <c r="AV89" s="23" t="n">
        <f aca="false">AE89/U89</f>
        <v>0.4</v>
      </c>
      <c r="AW89" s="23" t="n">
        <f aca="false">(J89*10^9)/(K89*AC89^2)</f>
        <v>132.001836547291</v>
      </c>
      <c r="AX89" s="23" t="n">
        <f aca="false">V89</f>
        <v>0.0340030911901082</v>
      </c>
      <c r="AY89" s="23" t="n">
        <f aca="false">MAX(W89,1)</f>
        <v>1</v>
      </c>
      <c r="AZ89" s="23" t="n">
        <f aca="false">X89</f>
        <v>0.00276215726754453</v>
      </c>
      <c r="BA89" s="24" t="n">
        <f aca="false">0.8*AZ89</f>
        <v>0.00220972581403562</v>
      </c>
      <c r="BB89" s="24" t="n">
        <f aca="false">AZ89*1.2</f>
        <v>0.00331458872105344</v>
      </c>
      <c r="BC89" s="0" t="str">
        <f aca="false">Z89</f>
        <v>https://www.sciencedirect.com/science/article/pii/S0043164815003749</v>
      </c>
    </row>
    <row r="90" customFormat="false" ht="12.8" hidden="false" customHeight="false" outlineLevel="0" collapsed="false">
      <c r="A90" s="1" t="n">
        <v>67</v>
      </c>
      <c r="B90" s="1" t="s">
        <v>48</v>
      </c>
      <c r="C90" s="1" t="s">
        <v>53</v>
      </c>
      <c r="D90" s="1" t="s">
        <v>54</v>
      </c>
      <c r="E90" s="11" t="n">
        <v>90</v>
      </c>
      <c r="F90" s="11" t="n">
        <v>6.4</v>
      </c>
      <c r="G90" s="26" t="n">
        <v>50</v>
      </c>
      <c r="H90" s="11" t="n">
        <f aca="false">7.4*F90</f>
        <v>47.36</v>
      </c>
      <c r="I90" s="27" t="s">
        <v>55</v>
      </c>
      <c r="J90" s="26" t="n">
        <f aca="false">((8+15)/2)/100</f>
        <v>0.115</v>
      </c>
      <c r="K90" s="28" t="n">
        <f aca="false">(886+1050)/2</f>
        <v>968</v>
      </c>
      <c r="L90" s="1" t="n">
        <v>0</v>
      </c>
      <c r="M90" s="1" t="n">
        <v>0</v>
      </c>
      <c r="N90" s="1" t="n">
        <v>0</v>
      </c>
      <c r="O90" s="11" t="n">
        <v>30</v>
      </c>
      <c r="P90" s="1" t="n">
        <v>1</v>
      </c>
      <c r="Q90" s="11" t="n">
        <v>1000</v>
      </c>
      <c r="R90" s="13" t="n">
        <f aca="false">(N90*L90+O90*Q90)/(L90+O90)</f>
        <v>1000</v>
      </c>
      <c r="S90" s="14" t="n">
        <f aca="false">(M90*L90+O90*P90*0.1)/(L90+O90)</f>
        <v>0.1</v>
      </c>
      <c r="T90" s="11" t="n">
        <v>150</v>
      </c>
      <c r="U90" s="28" t="n">
        <v>2500</v>
      </c>
      <c r="V90" s="16" t="n">
        <v>0.0340030911901082</v>
      </c>
      <c r="W90" s="11" t="n">
        <v>1</v>
      </c>
      <c r="X90" s="17" t="n">
        <v>0.00266767658666622</v>
      </c>
      <c r="Z90" s="29" t="s">
        <v>56</v>
      </c>
      <c r="AC90" s="18" t="n">
        <f aca="false">MAX(L90,O90)</f>
        <v>30</v>
      </c>
      <c r="AD90" s="17" t="n">
        <f aca="false">MAX(M90,P90*0.1)</f>
        <v>0.1</v>
      </c>
      <c r="AE90" s="1" t="n">
        <f aca="false">MAX(N90,Q90)</f>
        <v>1000</v>
      </c>
      <c r="AG90" s="16"/>
      <c r="AH90" s="19" t="n">
        <v>88</v>
      </c>
      <c r="AI90" s="20" t="str">
        <f aca="false">B90</f>
        <v>DI</v>
      </c>
      <c r="AJ90" s="20" t="str">
        <f aca="false">C90</f>
        <v>Liquid-Solid</v>
      </c>
      <c r="AK90" s="20" t="str">
        <f aca="false">D90</f>
        <v>V-H</v>
      </c>
      <c r="AL90" s="21" t="n">
        <f aca="false">E90</f>
        <v>90</v>
      </c>
      <c r="AM90" s="22" t="n">
        <v>1E-006</v>
      </c>
      <c r="AN90" s="23" t="n">
        <f aca="false">MAX(G90/(F90/1000),25000)</f>
        <v>25000</v>
      </c>
      <c r="AO90" s="23" t="n">
        <f aca="false">H90/F90</f>
        <v>7.4</v>
      </c>
      <c r="AP90" s="23" t="n">
        <f aca="false">AC90/SQRT(9.81*(F90/1000))</f>
        <v>119.728285652644</v>
      </c>
      <c r="AQ90" s="23" t="n">
        <f aca="false">(AE90*AC90*(F90/1000))/AD90</f>
        <v>1920</v>
      </c>
      <c r="AR90" s="23" t="n">
        <f aca="false">((T90*0.000001)^3*AE90*(U90-AE90)*9.81)/AD90^2</f>
        <v>0.0049663125</v>
      </c>
      <c r="AS90" s="23" t="n">
        <f aca="false">(U90*((T90/10^6)^2)/(18*AD90))*AC90/(F90/1000)</f>
        <v>0.146484375</v>
      </c>
      <c r="AT90" s="23" t="n">
        <f aca="false">AE90*(T90/10^6)*AC90/AD90</f>
        <v>45</v>
      </c>
      <c r="AU90" s="23" t="n">
        <f aca="false">(T90/10^6)/(F90/1000)</f>
        <v>0.0234375</v>
      </c>
      <c r="AV90" s="23" t="n">
        <f aca="false">AE90/U90</f>
        <v>0.4</v>
      </c>
      <c r="AW90" s="23" t="n">
        <f aca="false">(J90*10^9)/(K90*AC90^2)</f>
        <v>132.001836547291</v>
      </c>
      <c r="AX90" s="23" t="n">
        <f aca="false">V90</f>
        <v>0.0340030911901082</v>
      </c>
      <c r="AY90" s="23" t="n">
        <f aca="false">MAX(W90,1)</f>
        <v>1</v>
      </c>
      <c r="AZ90" s="23" t="n">
        <f aca="false">X90</f>
        <v>0.00266767658666622</v>
      </c>
      <c r="BA90" s="24" t="n">
        <f aca="false">0.8*AZ90</f>
        <v>0.00213414126933298</v>
      </c>
      <c r="BB90" s="24" t="n">
        <f aca="false">AZ90*1.2</f>
        <v>0.00320121190399946</v>
      </c>
      <c r="BC90" s="0" t="str">
        <f aca="false">Z90</f>
        <v>https://www.sciencedirect.com/science/article/pii/S0043164815003749</v>
      </c>
    </row>
    <row r="91" customFormat="false" ht="12.8" hidden="false" customHeight="false" outlineLevel="0" collapsed="false">
      <c r="A91" s="1" t="n">
        <v>68</v>
      </c>
      <c r="B91" s="1" t="s">
        <v>48</v>
      </c>
      <c r="C91" s="1" t="s">
        <v>53</v>
      </c>
      <c r="D91" s="1" t="s">
        <v>54</v>
      </c>
      <c r="E91" s="11" t="n">
        <v>90</v>
      </c>
      <c r="F91" s="11" t="n">
        <v>6.4</v>
      </c>
      <c r="G91" s="26" t="n">
        <v>50</v>
      </c>
      <c r="H91" s="11" t="n">
        <f aca="false">7.4*F91</f>
        <v>47.36</v>
      </c>
      <c r="I91" s="27" t="s">
        <v>55</v>
      </c>
      <c r="J91" s="26" t="n">
        <f aca="false">((8+15)/2)/100</f>
        <v>0.115</v>
      </c>
      <c r="K91" s="28" t="n">
        <f aca="false">(886+1050)/2</f>
        <v>968</v>
      </c>
      <c r="L91" s="1" t="n">
        <v>0</v>
      </c>
      <c r="M91" s="1" t="n">
        <v>0</v>
      </c>
      <c r="N91" s="1" t="n">
        <v>0</v>
      </c>
      <c r="O91" s="11" t="n">
        <v>30</v>
      </c>
      <c r="P91" s="1" t="n">
        <v>1</v>
      </c>
      <c r="Q91" s="11" t="n">
        <v>1000</v>
      </c>
      <c r="R91" s="13" t="n">
        <f aca="false">(N91*L91+O91*Q91)/(L91+O91)</f>
        <v>1000</v>
      </c>
      <c r="S91" s="14" t="n">
        <f aca="false">(M91*L91+O91*P91*0.1)/(L91+O91)</f>
        <v>0.1</v>
      </c>
      <c r="T91" s="11" t="n">
        <v>150</v>
      </c>
      <c r="U91" s="28" t="n">
        <v>2500</v>
      </c>
      <c r="V91" s="16" t="n">
        <v>0.0340030911901082</v>
      </c>
      <c r="W91" s="11" t="n">
        <v>1</v>
      </c>
      <c r="X91" s="17" t="n">
        <v>0.00222864284411791</v>
      </c>
      <c r="Z91" s="29" t="s">
        <v>56</v>
      </c>
      <c r="AC91" s="18" t="n">
        <f aca="false">MAX(L91,O91)</f>
        <v>30</v>
      </c>
      <c r="AD91" s="17" t="n">
        <f aca="false">MAX(M91,P91*0.1)</f>
        <v>0.1</v>
      </c>
      <c r="AE91" s="1" t="n">
        <f aca="false">MAX(N91,Q91)</f>
        <v>1000</v>
      </c>
      <c r="AG91" s="16"/>
      <c r="AH91" s="19" t="n">
        <v>89</v>
      </c>
      <c r="AI91" s="20" t="str">
        <f aca="false">B91</f>
        <v>DI</v>
      </c>
      <c r="AJ91" s="20" t="str">
        <f aca="false">C91</f>
        <v>Liquid-Solid</v>
      </c>
      <c r="AK91" s="20" t="str">
        <f aca="false">D91</f>
        <v>V-H</v>
      </c>
      <c r="AL91" s="21" t="n">
        <f aca="false">E91</f>
        <v>90</v>
      </c>
      <c r="AM91" s="22" t="n">
        <v>1E-006</v>
      </c>
      <c r="AN91" s="23" t="n">
        <f aca="false">MAX(G91/(F91/1000),25000)</f>
        <v>25000</v>
      </c>
      <c r="AO91" s="23" t="n">
        <f aca="false">H91/F91</f>
        <v>7.4</v>
      </c>
      <c r="AP91" s="23" t="n">
        <f aca="false">AC91/SQRT(9.81*(F91/1000))</f>
        <v>119.728285652644</v>
      </c>
      <c r="AQ91" s="23" t="n">
        <f aca="false">(AE91*AC91*(F91/1000))/AD91</f>
        <v>1920</v>
      </c>
      <c r="AR91" s="23" t="n">
        <f aca="false">((T91*0.000001)^3*AE91*(U91-AE91)*9.81)/AD91^2</f>
        <v>0.0049663125</v>
      </c>
      <c r="AS91" s="23" t="n">
        <f aca="false">(U91*((T91/10^6)^2)/(18*AD91))*AC91/(F91/1000)</f>
        <v>0.146484375</v>
      </c>
      <c r="AT91" s="23" t="n">
        <f aca="false">AE91*(T91/10^6)*AC91/AD91</f>
        <v>45</v>
      </c>
      <c r="AU91" s="23" t="n">
        <f aca="false">(T91/10^6)/(F91/1000)</f>
        <v>0.0234375</v>
      </c>
      <c r="AV91" s="23" t="n">
        <f aca="false">AE91/U91</f>
        <v>0.4</v>
      </c>
      <c r="AW91" s="23" t="n">
        <f aca="false">(J91*10^9)/(K91*AC91^2)</f>
        <v>132.001836547291</v>
      </c>
      <c r="AX91" s="23" t="n">
        <f aca="false">V91</f>
        <v>0.0340030911901082</v>
      </c>
      <c r="AY91" s="23" t="n">
        <f aca="false">MAX(W91,1)</f>
        <v>1</v>
      </c>
      <c r="AZ91" s="23" t="n">
        <f aca="false">X91</f>
        <v>0.00222864284411791</v>
      </c>
      <c r="BA91" s="24" t="n">
        <f aca="false">0.8*AZ91</f>
        <v>0.00178291427529433</v>
      </c>
      <c r="BB91" s="24" t="n">
        <f aca="false">AZ91*1.2</f>
        <v>0.00267437141294149</v>
      </c>
      <c r="BC91" s="0" t="str">
        <f aca="false">Z91</f>
        <v>https://www.sciencedirect.com/science/article/pii/S0043164815003749</v>
      </c>
    </row>
    <row r="92" customFormat="false" ht="12.8" hidden="false" customHeight="false" outlineLevel="0" collapsed="false">
      <c r="A92" s="1" t="n">
        <v>69</v>
      </c>
      <c r="B92" s="1" t="s">
        <v>48</v>
      </c>
      <c r="C92" s="1" t="s">
        <v>53</v>
      </c>
      <c r="D92" s="1" t="s">
        <v>54</v>
      </c>
      <c r="E92" s="11" t="n">
        <v>90</v>
      </c>
      <c r="F92" s="11" t="n">
        <v>6.4</v>
      </c>
      <c r="G92" s="26" t="n">
        <v>50</v>
      </c>
      <c r="H92" s="11" t="n">
        <f aca="false">7.4*F92</f>
        <v>47.36</v>
      </c>
      <c r="I92" s="27" t="s">
        <v>55</v>
      </c>
      <c r="J92" s="26" t="n">
        <f aca="false">((8+15)/2)/100</f>
        <v>0.115</v>
      </c>
      <c r="K92" s="28" t="n">
        <f aca="false">(886+1050)/2</f>
        <v>968</v>
      </c>
      <c r="L92" s="1" t="n">
        <v>0</v>
      </c>
      <c r="M92" s="1" t="n">
        <v>0</v>
      </c>
      <c r="N92" s="1" t="n">
        <v>0</v>
      </c>
      <c r="O92" s="11" t="n">
        <v>30</v>
      </c>
      <c r="P92" s="1" t="n">
        <v>1</v>
      </c>
      <c r="Q92" s="11" t="n">
        <v>1000</v>
      </c>
      <c r="R92" s="13" t="n">
        <f aca="false">(N92*L92+O92*Q92)/(L92+O92)</f>
        <v>1000</v>
      </c>
      <c r="S92" s="14" t="n">
        <f aca="false">(M92*L92+O92*P92*0.1)/(L92+O92)</f>
        <v>0.1</v>
      </c>
      <c r="T92" s="11" t="n">
        <v>150</v>
      </c>
      <c r="U92" s="28" t="n">
        <v>2500</v>
      </c>
      <c r="V92" s="16" t="n">
        <v>0.0340030911901082</v>
      </c>
      <c r="W92" s="11" t="n">
        <v>1</v>
      </c>
      <c r="X92" s="17" t="n">
        <v>0.00218227216556397</v>
      </c>
      <c r="Z92" s="29" t="s">
        <v>56</v>
      </c>
      <c r="AC92" s="18" t="n">
        <f aca="false">MAX(L92,O92)</f>
        <v>30</v>
      </c>
      <c r="AD92" s="17" t="n">
        <f aca="false">MAX(M92,P92*0.1)</f>
        <v>0.1</v>
      </c>
      <c r="AE92" s="1" t="n">
        <f aca="false">MAX(N92,Q92)</f>
        <v>1000</v>
      </c>
      <c r="AG92" s="16"/>
      <c r="AH92" s="19" t="n">
        <v>90</v>
      </c>
      <c r="AI92" s="20" t="str">
        <f aca="false">B92</f>
        <v>DI</v>
      </c>
      <c r="AJ92" s="20" t="str">
        <f aca="false">C92</f>
        <v>Liquid-Solid</v>
      </c>
      <c r="AK92" s="20" t="str">
        <f aca="false">D92</f>
        <v>V-H</v>
      </c>
      <c r="AL92" s="21" t="n">
        <f aca="false">E92</f>
        <v>90</v>
      </c>
      <c r="AM92" s="22" t="n">
        <v>1E-006</v>
      </c>
      <c r="AN92" s="23" t="n">
        <f aca="false">MAX(G92/(F92/1000),25000)</f>
        <v>25000</v>
      </c>
      <c r="AO92" s="23" t="n">
        <f aca="false">H92/F92</f>
        <v>7.4</v>
      </c>
      <c r="AP92" s="23" t="n">
        <f aca="false">AC92/SQRT(9.81*(F92/1000))</f>
        <v>119.728285652644</v>
      </c>
      <c r="AQ92" s="23" t="n">
        <f aca="false">(AE92*AC92*(F92/1000))/AD92</f>
        <v>1920</v>
      </c>
      <c r="AR92" s="23" t="n">
        <f aca="false">((T92*0.000001)^3*AE92*(U92-AE92)*9.81)/AD92^2</f>
        <v>0.0049663125</v>
      </c>
      <c r="AS92" s="23" t="n">
        <f aca="false">(U92*((T92/10^6)^2)/(18*AD92))*AC92/(F92/1000)</f>
        <v>0.146484375</v>
      </c>
      <c r="AT92" s="23" t="n">
        <f aca="false">AE92*(T92/10^6)*AC92/AD92</f>
        <v>45</v>
      </c>
      <c r="AU92" s="23" t="n">
        <f aca="false">(T92/10^6)/(F92/1000)</f>
        <v>0.0234375</v>
      </c>
      <c r="AV92" s="23" t="n">
        <f aca="false">AE92/U92</f>
        <v>0.4</v>
      </c>
      <c r="AW92" s="23" t="n">
        <f aca="false">(J92*10^9)/(K92*AC92^2)</f>
        <v>132.001836547291</v>
      </c>
      <c r="AX92" s="23" t="n">
        <f aca="false">V92</f>
        <v>0.0340030911901082</v>
      </c>
      <c r="AY92" s="23" t="n">
        <f aca="false">MAX(W92,1)</f>
        <v>1</v>
      </c>
      <c r="AZ92" s="23" t="n">
        <f aca="false">X92</f>
        <v>0.00218227216556397</v>
      </c>
      <c r="BA92" s="24" t="n">
        <f aca="false">0.8*AZ92</f>
        <v>0.00174581773245118</v>
      </c>
      <c r="BB92" s="24" t="n">
        <f aca="false">AZ92*1.2</f>
        <v>0.00261872659867676</v>
      </c>
      <c r="BC92" s="0" t="str">
        <f aca="false">Z92</f>
        <v>https://www.sciencedirect.com/science/article/pii/S0043164815003749</v>
      </c>
    </row>
    <row r="93" customFormat="false" ht="12.8" hidden="false" customHeight="false" outlineLevel="0" collapsed="false">
      <c r="A93" s="1" t="n">
        <v>70</v>
      </c>
      <c r="B93" s="1" t="s">
        <v>48</v>
      </c>
      <c r="C93" s="1" t="s">
        <v>53</v>
      </c>
      <c r="D93" s="1" t="s">
        <v>54</v>
      </c>
      <c r="E93" s="11" t="n">
        <v>90</v>
      </c>
      <c r="F93" s="11" t="n">
        <v>6.4</v>
      </c>
      <c r="G93" s="26" t="n">
        <v>50</v>
      </c>
      <c r="H93" s="11" t="n">
        <f aca="false">7.4*F93</f>
        <v>47.36</v>
      </c>
      <c r="I93" s="27" t="s">
        <v>55</v>
      </c>
      <c r="J93" s="26" t="n">
        <f aca="false">((8+15)/2)/100</f>
        <v>0.115</v>
      </c>
      <c r="K93" s="28" t="n">
        <f aca="false">(886+1050)/2</f>
        <v>968</v>
      </c>
      <c r="L93" s="1" t="n">
        <v>0</v>
      </c>
      <c r="M93" s="1" t="n">
        <v>0</v>
      </c>
      <c r="N93" s="1" t="n">
        <v>0</v>
      </c>
      <c r="O93" s="11" t="n">
        <v>30</v>
      </c>
      <c r="P93" s="1" t="n">
        <v>1</v>
      </c>
      <c r="Q93" s="11" t="n">
        <v>1000</v>
      </c>
      <c r="R93" s="13" t="n">
        <f aca="false">(N93*L93+O93*Q93)/(L93+O93)</f>
        <v>1000</v>
      </c>
      <c r="S93" s="14" t="n">
        <f aca="false">(M93*L93+O93*P93*0.1)/(L93+O93)</f>
        <v>0.1</v>
      </c>
      <c r="T93" s="11" t="n">
        <v>150</v>
      </c>
      <c r="U93" s="28" t="n">
        <v>2500</v>
      </c>
      <c r="V93" s="16" t="n">
        <v>0.0340030911901082</v>
      </c>
      <c r="W93" s="11" t="n">
        <v>1</v>
      </c>
      <c r="X93" s="17" t="n">
        <v>0.00207958249524656</v>
      </c>
      <c r="Z93" s="29" t="s">
        <v>56</v>
      </c>
      <c r="AC93" s="18" t="n">
        <f aca="false">MAX(L93,O93)</f>
        <v>30</v>
      </c>
      <c r="AD93" s="17" t="n">
        <f aca="false">MAX(M93,P93*0.1)</f>
        <v>0.1</v>
      </c>
      <c r="AE93" s="1" t="n">
        <f aca="false">MAX(N93,Q93)</f>
        <v>1000</v>
      </c>
      <c r="AG93" s="16"/>
      <c r="AH93" s="19" t="n">
        <v>91</v>
      </c>
      <c r="AI93" s="20" t="str">
        <f aca="false">B93</f>
        <v>DI</v>
      </c>
      <c r="AJ93" s="20" t="str">
        <f aca="false">C93</f>
        <v>Liquid-Solid</v>
      </c>
      <c r="AK93" s="20" t="str">
        <f aca="false">D93</f>
        <v>V-H</v>
      </c>
      <c r="AL93" s="21" t="n">
        <f aca="false">E93</f>
        <v>90</v>
      </c>
      <c r="AM93" s="22" t="n">
        <v>1E-006</v>
      </c>
      <c r="AN93" s="23" t="n">
        <f aca="false">MAX(G93/(F93/1000),25000)</f>
        <v>25000</v>
      </c>
      <c r="AO93" s="23" t="n">
        <f aca="false">H93/F93</f>
        <v>7.4</v>
      </c>
      <c r="AP93" s="23" t="n">
        <f aca="false">AC93/SQRT(9.81*(F93/1000))</f>
        <v>119.728285652644</v>
      </c>
      <c r="AQ93" s="23" t="n">
        <f aca="false">(AE93*AC93*(F93/1000))/AD93</f>
        <v>1920</v>
      </c>
      <c r="AR93" s="23" t="n">
        <f aca="false">((T93*0.000001)^3*AE93*(U93-AE93)*9.81)/AD93^2</f>
        <v>0.0049663125</v>
      </c>
      <c r="AS93" s="23" t="n">
        <f aca="false">(U93*((T93/10^6)^2)/(18*AD93))*AC93/(F93/1000)</f>
        <v>0.146484375</v>
      </c>
      <c r="AT93" s="23" t="n">
        <f aca="false">AE93*(T93/10^6)*AC93/AD93</f>
        <v>45</v>
      </c>
      <c r="AU93" s="23" t="n">
        <f aca="false">(T93/10^6)/(F93/1000)</f>
        <v>0.0234375</v>
      </c>
      <c r="AV93" s="23" t="n">
        <f aca="false">AE93/U93</f>
        <v>0.4</v>
      </c>
      <c r="AW93" s="23" t="n">
        <f aca="false">(J93*10^9)/(K93*AC93^2)</f>
        <v>132.001836547291</v>
      </c>
      <c r="AX93" s="23" t="n">
        <f aca="false">V93</f>
        <v>0.0340030911901082</v>
      </c>
      <c r="AY93" s="23" t="n">
        <f aca="false">MAX(W93,1)</f>
        <v>1</v>
      </c>
      <c r="AZ93" s="23" t="n">
        <f aca="false">X93</f>
        <v>0.00207958249524656</v>
      </c>
      <c r="BA93" s="24" t="n">
        <f aca="false">0.8*AZ93</f>
        <v>0.00166366599619725</v>
      </c>
      <c r="BB93" s="24" t="n">
        <f aca="false">AZ93*1.2</f>
        <v>0.00249549899429587</v>
      </c>
      <c r="BC93" s="0" t="str">
        <f aca="false">Z93</f>
        <v>https://www.sciencedirect.com/science/article/pii/S0043164815003749</v>
      </c>
    </row>
    <row r="94" customFormat="false" ht="12.8" hidden="false" customHeight="false" outlineLevel="0" collapsed="false">
      <c r="A94" s="1" t="n">
        <v>71</v>
      </c>
      <c r="B94" s="1" t="s">
        <v>48</v>
      </c>
      <c r="C94" s="1" t="s">
        <v>53</v>
      </c>
      <c r="D94" s="1" t="s">
        <v>54</v>
      </c>
      <c r="E94" s="11" t="n">
        <v>90</v>
      </c>
      <c r="F94" s="11" t="n">
        <v>6.4</v>
      </c>
      <c r="G94" s="26" t="n">
        <v>50</v>
      </c>
      <c r="H94" s="11" t="n">
        <f aca="false">7.4*F94</f>
        <v>47.36</v>
      </c>
      <c r="I94" s="27" t="s">
        <v>55</v>
      </c>
      <c r="J94" s="26" t="n">
        <f aca="false">((8+15)/2)/100</f>
        <v>0.115</v>
      </c>
      <c r="K94" s="28" t="n">
        <f aca="false">(886+1050)/2</f>
        <v>968</v>
      </c>
      <c r="L94" s="1" t="n">
        <v>0</v>
      </c>
      <c r="M94" s="1" t="n">
        <v>0</v>
      </c>
      <c r="N94" s="1" t="n">
        <v>0</v>
      </c>
      <c r="O94" s="11" t="n">
        <v>30</v>
      </c>
      <c r="P94" s="1" t="n">
        <v>1</v>
      </c>
      <c r="Q94" s="11" t="n">
        <v>1000</v>
      </c>
      <c r="R94" s="13" t="n">
        <f aca="false">(N94*L94+O94*Q94)/(L94+O94)</f>
        <v>1000</v>
      </c>
      <c r="S94" s="14" t="n">
        <f aca="false">(M94*L94+O94*P94*0.1)/(L94+O94)</f>
        <v>0.1</v>
      </c>
      <c r="T94" s="11" t="n">
        <v>150</v>
      </c>
      <c r="U94" s="28" t="n">
        <v>2500</v>
      </c>
      <c r="V94" s="16" t="n">
        <v>0.0340030911901082</v>
      </c>
      <c r="W94" s="11" t="n">
        <v>1</v>
      </c>
      <c r="X94" s="17" t="n">
        <v>0.00216797821725611</v>
      </c>
      <c r="Z94" s="29" t="s">
        <v>56</v>
      </c>
      <c r="AC94" s="18" t="n">
        <f aca="false">MAX(L94,O94)</f>
        <v>30</v>
      </c>
      <c r="AD94" s="17" t="n">
        <f aca="false">MAX(M94,P94*0.1)</f>
        <v>0.1</v>
      </c>
      <c r="AE94" s="1" t="n">
        <f aca="false">MAX(N94,Q94)</f>
        <v>1000</v>
      </c>
      <c r="AG94" s="16"/>
      <c r="AH94" s="19" t="n">
        <v>92</v>
      </c>
      <c r="AI94" s="20" t="str">
        <f aca="false">B94</f>
        <v>DI</v>
      </c>
      <c r="AJ94" s="20" t="str">
        <f aca="false">C94</f>
        <v>Liquid-Solid</v>
      </c>
      <c r="AK94" s="20" t="str">
        <f aca="false">D94</f>
        <v>V-H</v>
      </c>
      <c r="AL94" s="21" t="n">
        <f aca="false">E94</f>
        <v>90</v>
      </c>
      <c r="AM94" s="22" t="n">
        <v>1E-006</v>
      </c>
      <c r="AN94" s="23" t="n">
        <f aca="false">MAX(G94/(F94/1000),25000)</f>
        <v>25000</v>
      </c>
      <c r="AO94" s="23" t="n">
        <f aca="false">H94/F94</f>
        <v>7.4</v>
      </c>
      <c r="AP94" s="23" t="n">
        <f aca="false">AC94/SQRT(9.81*(F94/1000))</f>
        <v>119.728285652644</v>
      </c>
      <c r="AQ94" s="23" t="n">
        <f aca="false">(AE94*AC94*(F94/1000))/AD94</f>
        <v>1920</v>
      </c>
      <c r="AR94" s="23" t="n">
        <f aca="false">((T94*0.000001)^3*AE94*(U94-AE94)*9.81)/AD94^2</f>
        <v>0.0049663125</v>
      </c>
      <c r="AS94" s="23" t="n">
        <f aca="false">(U94*((T94/10^6)^2)/(18*AD94))*AC94/(F94/1000)</f>
        <v>0.146484375</v>
      </c>
      <c r="AT94" s="23" t="n">
        <f aca="false">AE94*(T94/10^6)*AC94/AD94</f>
        <v>45</v>
      </c>
      <c r="AU94" s="23" t="n">
        <f aca="false">(T94/10^6)/(F94/1000)</f>
        <v>0.0234375</v>
      </c>
      <c r="AV94" s="23" t="n">
        <f aca="false">AE94/U94</f>
        <v>0.4</v>
      </c>
      <c r="AW94" s="23" t="n">
        <f aca="false">(J94*10^9)/(K94*AC94^2)</f>
        <v>132.001836547291</v>
      </c>
      <c r="AX94" s="23" t="n">
        <f aca="false">V94</f>
        <v>0.0340030911901082</v>
      </c>
      <c r="AY94" s="23" t="n">
        <f aca="false">MAX(W94,1)</f>
        <v>1</v>
      </c>
      <c r="AZ94" s="23" t="n">
        <f aca="false">X94</f>
        <v>0.00216797821725611</v>
      </c>
      <c r="BA94" s="24" t="n">
        <f aca="false">0.8*AZ94</f>
        <v>0.00173438257380489</v>
      </c>
      <c r="BB94" s="24" t="n">
        <f aca="false">AZ94*1.2</f>
        <v>0.00260157386070733</v>
      </c>
      <c r="BC94" s="0" t="str">
        <f aca="false">Z94</f>
        <v>https://www.sciencedirect.com/science/article/pii/S0043164815003749</v>
      </c>
    </row>
    <row r="95" customFormat="false" ht="12.8" hidden="false" customHeight="false" outlineLevel="0" collapsed="false">
      <c r="A95" s="1" t="n">
        <v>72</v>
      </c>
      <c r="B95" s="1" t="s">
        <v>48</v>
      </c>
      <c r="C95" s="1" t="s">
        <v>53</v>
      </c>
      <c r="D95" s="1" t="s">
        <v>54</v>
      </c>
      <c r="E95" s="11" t="n">
        <v>90</v>
      </c>
      <c r="F95" s="11" t="n">
        <v>6.4</v>
      </c>
      <c r="G95" s="26" t="n">
        <v>50</v>
      </c>
      <c r="H95" s="11" t="n">
        <f aca="false">7.4*F95</f>
        <v>47.36</v>
      </c>
      <c r="I95" s="27" t="s">
        <v>55</v>
      </c>
      <c r="J95" s="26" t="n">
        <f aca="false">((8+15)/2)/100</f>
        <v>0.115</v>
      </c>
      <c r="K95" s="28" t="n">
        <f aca="false">(886+1050)/2</f>
        <v>968</v>
      </c>
      <c r="L95" s="1" t="n">
        <v>0</v>
      </c>
      <c r="M95" s="1" t="n">
        <v>0</v>
      </c>
      <c r="N95" s="1" t="n">
        <v>0</v>
      </c>
      <c r="O95" s="11" t="n">
        <v>30</v>
      </c>
      <c r="P95" s="1" t="n">
        <v>1</v>
      </c>
      <c r="Q95" s="11" t="n">
        <v>1000</v>
      </c>
      <c r="R95" s="13" t="n">
        <f aca="false">(N95*L95+O95*Q95)/(L95+O95)</f>
        <v>1000</v>
      </c>
      <c r="S95" s="14" t="n">
        <f aca="false">(M95*L95+O95*P95*0.1)/(L95+O95)</f>
        <v>0.1</v>
      </c>
      <c r="T95" s="11" t="n">
        <v>150</v>
      </c>
      <c r="U95" s="28" t="n">
        <v>2500</v>
      </c>
      <c r="V95" s="16" t="n">
        <v>0.0340030911901082</v>
      </c>
      <c r="W95" s="11" t="n">
        <v>1</v>
      </c>
      <c r="X95" s="17" t="n">
        <v>0.0017439903503109</v>
      </c>
      <c r="Z95" s="29" t="s">
        <v>56</v>
      </c>
      <c r="AC95" s="18" t="n">
        <f aca="false">MAX(L95,O95)</f>
        <v>30</v>
      </c>
      <c r="AD95" s="17" t="n">
        <f aca="false">MAX(M95,P95*0.1)</f>
        <v>0.1</v>
      </c>
      <c r="AE95" s="1" t="n">
        <f aca="false">MAX(N95,Q95)</f>
        <v>1000</v>
      </c>
      <c r="AG95" s="16"/>
      <c r="AH95" s="19" t="n">
        <v>93</v>
      </c>
      <c r="AI95" s="20" t="str">
        <f aca="false">B95</f>
        <v>DI</v>
      </c>
      <c r="AJ95" s="20" t="str">
        <f aca="false">C95</f>
        <v>Liquid-Solid</v>
      </c>
      <c r="AK95" s="20" t="str">
        <f aca="false">D95</f>
        <v>V-H</v>
      </c>
      <c r="AL95" s="21" t="n">
        <f aca="false">E95</f>
        <v>90</v>
      </c>
      <c r="AM95" s="22" t="n">
        <v>1E-006</v>
      </c>
      <c r="AN95" s="23" t="n">
        <f aca="false">MAX(G95/(F95/1000),25000)</f>
        <v>25000</v>
      </c>
      <c r="AO95" s="23" t="n">
        <f aca="false">H95/F95</f>
        <v>7.4</v>
      </c>
      <c r="AP95" s="23" t="n">
        <f aca="false">AC95/SQRT(9.81*(F95/1000))</f>
        <v>119.728285652644</v>
      </c>
      <c r="AQ95" s="23" t="n">
        <f aca="false">(AE95*AC95*(F95/1000))/AD95</f>
        <v>1920</v>
      </c>
      <c r="AR95" s="23" t="n">
        <f aca="false">((T95*0.000001)^3*AE95*(U95-AE95)*9.81)/AD95^2</f>
        <v>0.0049663125</v>
      </c>
      <c r="AS95" s="23" t="n">
        <f aca="false">(U95*((T95/10^6)^2)/(18*AD95))*AC95/(F95/1000)</f>
        <v>0.146484375</v>
      </c>
      <c r="AT95" s="23" t="n">
        <f aca="false">AE95*(T95/10^6)*AC95/AD95</f>
        <v>45</v>
      </c>
      <c r="AU95" s="23" t="n">
        <f aca="false">(T95/10^6)/(F95/1000)</f>
        <v>0.0234375</v>
      </c>
      <c r="AV95" s="23" t="n">
        <f aca="false">AE95/U95</f>
        <v>0.4</v>
      </c>
      <c r="AW95" s="23" t="n">
        <f aca="false">(J95*10^9)/(K95*AC95^2)</f>
        <v>132.001836547291</v>
      </c>
      <c r="AX95" s="23" t="n">
        <f aca="false">V95</f>
        <v>0.0340030911901082</v>
      </c>
      <c r="AY95" s="23" t="n">
        <f aca="false">MAX(W95,1)</f>
        <v>1</v>
      </c>
      <c r="AZ95" s="23" t="n">
        <f aca="false">X95</f>
        <v>0.0017439903503109</v>
      </c>
      <c r="BA95" s="24" t="n">
        <f aca="false">0.8*AZ95</f>
        <v>0.00139519228024872</v>
      </c>
      <c r="BB95" s="24" t="n">
        <f aca="false">AZ95*1.2</f>
        <v>0.00209278842037308</v>
      </c>
      <c r="BC95" s="0" t="str">
        <f aca="false">Z95</f>
        <v>https://www.sciencedirect.com/science/article/pii/S0043164815003749</v>
      </c>
    </row>
    <row r="96" customFormat="false" ht="12.8" hidden="false" customHeight="false" outlineLevel="0" collapsed="false">
      <c r="A96" s="1" t="n">
        <v>73</v>
      </c>
      <c r="B96" s="1" t="s">
        <v>48</v>
      </c>
      <c r="C96" s="1" t="s">
        <v>53</v>
      </c>
      <c r="D96" s="1" t="s">
        <v>54</v>
      </c>
      <c r="E96" s="11" t="n">
        <v>90</v>
      </c>
      <c r="F96" s="11" t="n">
        <v>6.4</v>
      </c>
      <c r="G96" s="26" t="n">
        <v>50</v>
      </c>
      <c r="H96" s="11" t="n">
        <f aca="false">7.4*F96</f>
        <v>47.36</v>
      </c>
      <c r="I96" s="27" t="s">
        <v>55</v>
      </c>
      <c r="J96" s="26" t="n">
        <f aca="false">((8+15)/2)/100</f>
        <v>0.115</v>
      </c>
      <c r="K96" s="28" t="n">
        <f aca="false">(886+1050)/2</f>
        <v>968</v>
      </c>
      <c r="L96" s="1" t="n">
        <v>0</v>
      </c>
      <c r="M96" s="1" t="n">
        <v>0</v>
      </c>
      <c r="N96" s="1" t="n">
        <v>0</v>
      </c>
      <c r="O96" s="11" t="n">
        <v>30</v>
      </c>
      <c r="P96" s="1" t="n">
        <v>1</v>
      </c>
      <c r="Q96" s="11" t="n">
        <v>1000</v>
      </c>
      <c r="R96" s="13" t="n">
        <f aca="false">(N96*L96+O96*Q96)/(L96+O96)</f>
        <v>1000</v>
      </c>
      <c r="S96" s="14" t="n">
        <f aca="false">(M96*L96+O96*P96*0.1)/(L96+O96)</f>
        <v>0.1</v>
      </c>
      <c r="T96" s="11" t="n">
        <v>150</v>
      </c>
      <c r="U96" s="28" t="n">
        <v>2500</v>
      </c>
      <c r="V96" s="16" t="n">
        <v>0.0340030911901082</v>
      </c>
      <c r="W96" s="11" t="n">
        <v>1</v>
      </c>
      <c r="X96" s="17" t="n">
        <v>0.00271961204764044</v>
      </c>
      <c r="Z96" s="29" t="s">
        <v>56</v>
      </c>
      <c r="AC96" s="18" t="n">
        <f aca="false">MAX(L96,O96)</f>
        <v>30</v>
      </c>
      <c r="AD96" s="17" t="n">
        <f aca="false">MAX(M96,P96*0.1)</f>
        <v>0.1</v>
      </c>
      <c r="AE96" s="1" t="n">
        <f aca="false">MAX(N96,Q96)</f>
        <v>1000</v>
      </c>
      <c r="AG96" s="16"/>
      <c r="AH96" s="19" t="n">
        <v>94</v>
      </c>
      <c r="AI96" s="20" t="str">
        <f aca="false">B96</f>
        <v>DI</v>
      </c>
      <c r="AJ96" s="20" t="str">
        <f aca="false">C96</f>
        <v>Liquid-Solid</v>
      </c>
      <c r="AK96" s="20" t="str">
        <f aca="false">D96</f>
        <v>V-H</v>
      </c>
      <c r="AL96" s="21" t="n">
        <f aca="false">E96</f>
        <v>90</v>
      </c>
      <c r="AM96" s="22" t="n">
        <v>1E-006</v>
      </c>
      <c r="AN96" s="23" t="n">
        <f aca="false">MAX(G96/(F96/1000),25000)</f>
        <v>25000</v>
      </c>
      <c r="AO96" s="23" t="n">
        <f aca="false">H96/F96</f>
        <v>7.4</v>
      </c>
      <c r="AP96" s="23" t="n">
        <f aca="false">AC96/SQRT(9.81*(F96/1000))</f>
        <v>119.728285652644</v>
      </c>
      <c r="AQ96" s="23" t="n">
        <f aca="false">(AE96*AC96*(F96/1000))/AD96</f>
        <v>1920</v>
      </c>
      <c r="AR96" s="23" t="n">
        <f aca="false">((T96*0.000001)^3*AE96*(U96-AE96)*9.81)/AD96^2</f>
        <v>0.0049663125</v>
      </c>
      <c r="AS96" s="23" t="n">
        <f aca="false">(U96*((T96/10^6)^2)/(18*AD96))*AC96/(F96/1000)</f>
        <v>0.146484375</v>
      </c>
      <c r="AT96" s="23" t="n">
        <f aca="false">AE96*(T96/10^6)*AC96/AD96</f>
        <v>45</v>
      </c>
      <c r="AU96" s="23" t="n">
        <f aca="false">(T96/10^6)/(F96/1000)</f>
        <v>0.0234375</v>
      </c>
      <c r="AV96" s="23" t="n">
        <f aca="false">AE96/U96</f>
        <v>0.4</v>
      </c>
      <c r="AW96" s="23" t="n">
        <f aca="false">(J96*10^9)/(K96*AC96^2)</f>
        <v>132.001836547291</v>
      </c>
      <c r="AX96" s="23" t="n">
        <f aca="false">V96</f>
        <v>0.0340030911901082</v>
      </c>
      <c r="AY96" s="23" t="n">
        <f aca="false">MAX(W96,1)</f>
        <v>1</v>
      </c>
      <c r="AZ96" s="23" t="n">
        <f aca="false">X96</f>
        <v>0.00271961204764044</v>
      </c>
      <c r="BA96" s="24" t="n">
        <f aca="false">0.8*AZ96</f>
        <v>0.00217568963811235</v>
      </c>
      <c r="BB96" s="24" t="n">
        <f aca="false">AZ96*1.2</f>
        <v>0.00326353445716853</v>
      </c>
      <c r="BC96" s="0" t="str">
        <f aca="false">Z96</f>
        <v>https://www.sciencedirect.com/science/article/pii/S0043164815003749</v>
      </c>
    </row>
    <row r="97" customFormat="false" ht="12.8" hidden="false" customHeight="false" outlineLevel="0" collapsed="false">
      <c r="A97" s="1" t="n">
        <v>1</v>
      </c>
      <c r="B97" s="1" t="s">
        <v>48</v>
      </c>
      <c r="C97" s="1" t="s">
        <v>53</v>
      </c>
      <c r="D97" s="1" t="s">
        <v>54</v>
      </c>
      <c r="E97" s="11" t="n">
        <v>90</v>
      </c>
      <c r="F97" s="11" t="n">
        <v>6.4</v>
      </c>
      <c r="G97" s="26" t="n">
        <v>50</v>
      </c>
      <c r="H97" s="11" t="n">
        <f aca="false">3*F97</f>
        <v>19.2</v>
      </c>
      <c r="I97" s="27" t="s">
        <v>55</v>
      </c>
      <c r="J97" s="26" t="n">
        <f aca="false">((8+15)/2)/100</f>
        <v>0.115</v>
      </c>
      <c r="K97" s="28" t="n">
        <f aca="false">(886+1050)/2</f>
        <v>968</v>
      </c>
      <c r="L97" s="1" t="n">
        <v>0</v>
      </c>
      <c r="M97" s="1" t="n">
        <v>0</v>
      </c>
      <c r="N97" s="1" t="n">
        <v>0</v>
      </c>
      <c r="O97" s="11" t="n">
        <v>30</v>
      </c>
      <c r="P97" s="1" t="n">
        <v>1</v>
      </c>
      <c r="Q97" s="11" t="n">
        <v>1000</v>
      </c>
      <c r="R97" s="13" t="n">
        <f aca="false">(N97*L97+O97*Q97)/(L97+O97)</f>
        <v>1000</v>
      </c>
      <c r="S97" s="14" t="n">
        <f aca="false">(M97*L97+O97*P97*0.1)/(L97+O97)</f>
        <v>0.1</v>
      </c>
      <c r="T97" s="11" t="n">
        <v>150</v>
      </c>
      <c r="U97" s="28" t="n">
        <v>2500</v>
      </c>
      <c r="V97" s="16" t="n">
        <v>0.0180675569520817</v>
      </c>
      <c r="W97" s="11" t="n">
        <v>1</v>
      </c>
      <c r="X97" s="17" t="n">
        <v>0.0222654579477837</v>
      </c>
      <c r="Z97" s="29" t="s">
        <v>56</v>
      </c>
      <c r="AC97" s="18" t="n">
        <f aca="false">MAX(L97,O97)</f>
        <v>30</v>
      </c>
      <c r="AD97" s="17" t="n">
        <f aca="false">MAX(M97,P97*0.1)</f>
        <v>0.1</v>
      </c>
      <c r="AE97" s="1" t="n">
        <f aca="false">MAX(N97,Q97)</f>
        <v>1000</v>
      </c>
      <c r="AG97" s="16"/>
      <c r="AH97" s="19" t="n">
        <v>95</v>
      </c>
      <c r="AI97" s="20" t="str">
        <f aca="false">B97</f>
        <v>DI</v>
      </c>
      <c r="AJ97" s="20" t="str">
        <f aca="false">C97</f>
        <v>Liquid-Solid</v>
      </c>
      <c r="AK97" s="20" t="str">
        <f aca="false">D97</f>
        <v>V-H</v>
      </c>
      <c r="AL97" s="21" t="n">
        <f aca="false">E97</f>
        <v>90</v>
      </c>
      <c r="AM97" s="22" t="n">
        <v>1E-006</v>
      </c>
      <c r="AN97" s="23" t="n">
        <f aca="false">MAX(G97/(F97/1000),25000)</f>
        <v>25000</v>
      </c>
      <c r="AO97" s="23" t="n">
        <f aca="false">H97/F97</f>
        <v>3</v>
      </c>
      <c r="AP97" s="23" t="n">
        <f aca="false">AC97/SQRT(9.81*(F97/1000))</f>
        <v>119.728285652644</v>
      </c>
      <c r="AQ97" s="23" t="n">
        <f aca="false">(AE97*AC97*(F97/1000))/AD97</f>
        <v>1920</v>
      </c>
      <c r="AR97" s="23" t="n">
        <f aca="false">((T97*0.000001)^3*AE97*(U97-AE97)*9.81)/AD97^2</f>
        <v>0.0049663125</v>
      </c>
      <c r="AS97" s="23" t="n">
        <f aca="false">(U97*((T97/10^6)^2)/(18*AD97))*AC97/(F97/1000)</f>
        <v>0.146484375</v>
      </c>
      <c r="AT97" s="23" t="n">
        <f aca="false">AE97*(T97/10^6)*AC97/AD97</f>
        <v>45</v>
      </c>
      <c r="AU97" s="23" t="n">
        <f aca="false">(T97/10^6)/(F97/1000)</f>
        <v>0.0234375</v>
      </c>
      <c r="AV97" s="23" t="n">
        <f aca="false">AE97/U97</f>
        <v>0.4</v>
      </c>
      <c r="AW97" s="23" t="n">
        <f aca="false">(J97*10^9)/(K97*AC97^2)</f>
        <v>132.001836547291</v>
      </c>
      <c r="AX97" s="23" t="n">
        <f aca="false">V97</f>
        <v>0.0180675569520817</v>
      </c>
      <c r="AY97" s="23" t="n">
        <f aca="false">MAX(W97,1)</f>
        <v>1</v>
      </c>
      <c r="AZ97" s="23" t="n">
        <f aca="false">X97</f>
        <v>0.0222654579477837</v>
      </c>
      <c r="BA97" s="24" t="n">
        <f aca="false">0.8*AZ97</f>
        <v>0.017812366358227</v>
      </c>
      <c r="BB97" s="24" t="n">
        <f aca="false">AZ97*1.2</f>
        <v>0.0267185495373404</v>
      </c>
      <c r="BC97" s="0" t="str">
        <f aca="false">Z97</f>
        <v>https://www.sciencedirect.com/science/article/pii/S0043164815003749</v>
      </c>
    </row>
    <row r="98" customFormat="false" ht="12.8" hidden="false" customHeight="false" outlineLevel="0" collapsed="false">
      <c r="A98" s="1" t="n">
        <v>2</v>
      </c>
      <c r="B98" s="1" t="s">
        <v>48</v>
      </c>
      <c r="C98" s="1" t="s">
        <v>53</v>
      </c>
      <c r="D98" s="1" t="s">
        <v>54</v>
      </c>
      <c r="E98" s="11" t="n">
        <v>90</v>
      </c>
      <c r="F98" s="11" t="n">
        <v>6.4</v>
      </c>
      <c r="G98" s="26" t="n">
        <v>50</v>
      </c>
      <c r="H98" s="11" t="n">
        <v>1.52</v>
      </c>
      <c r="I98" s="27" t="s">
        <v>55</v>
      </c>
      <c r="J98" s="26" t="n">
        <f aca="false">((8+15)/2)/100</f>
        <v>0.115</v>
      </c>
      <c r="K98" s="28" t="n">
        <f aca="false">(886+1050)/2</f>
        <v>968</v>
      </c>
      <c r="L98" s="1" t="n">
        <v>0</v>
      </c>
      <c r="M98" s="1" t="n">
        <v>0</v>
      </c>
      <c r="N98" s="1" t="n">
        <v>0</v>
      </c>
      <c r="O98" s="11" t="n">
        <v>30</v>
      </c>
      <c r="P98" s="1" t="n">
        <v>1</v>
      </c>
      <c r="Q98" s="11" t="n">
        <v>1000</v>
      </c>
      <c r="R98" s="13" t="n">
        <f aca="false">(N98*L98+O98*Q98)/(L98+O98)</f>
        <v>1000</v>
      </c>
      <c r="S98" s="14" t="n">
        <f aca="false">(M98*L98+O98*P98*0.1)/(L98+O98)</f>
        <v>0.1</v>
      </c>
      <c r="T98" s="11" t="n">
        <v>150</v>
      </c>
      <c r="U98" s="28" t="n">
        <v>2500</v>
      </c>
      <c r="V98" s="16" t="n">
        <v>0.0340030911901082</v>
      </c>
      <c r="W98" s="11" t="n">
        <v>1</v>
      </c>
      <c r="X98" s="17" t="n">
        <v>0.0221467461180679</v>
      </c>
      <c r="Z98" s="29" t="s">
        <v>56</v>
      </c>
      <c r="AC98" s="18" t="n">
        <f aca="false">MAX(L98,O98)</f>
        <v>30</v>
      </c>
      <c r="AD98" s="17" t="n">
        <f aca="false">MAX(M98,P98*0.1)</f>
        <v>0.1</v>
      </c>
      <c r="AE98" s="1" t="n">
        <f aca="false">MAX(N98,Q98)</f>
        <v>1000</v>
      </c>
      <c r="AG98" s="16"/>
      <c r="AH98" s="19" t="n">
        <v>96</v>
      </c>
      <c r="AI98" s="20" t="str">
        <f aca="false">B98</f>
        <v>DI</v>
      </c>
      <c r="AJ98" s="20" t="str">
        <f aca="false">C98</f>
        <v>Liquid-Solid</v>
      </c>
      <c r="AK98" s="20" t="str">
        <f aca="false">D98</f>
        <v>V-H</v>
      </c>
      <c r="AL98" s="21" t="n">
        <f aca="false">E98</f>
        <v>90</v>
      </c>
      <c r="AM98" s="22" t="n">
        <v>1E-006</v>
      </c>
      <c r="AN98" s="23" t="n">
        <f aca="false">MAX(G98/(F98/1000),25000)</f>
        <v>25000</v>
      </c>
      <c r="AO98" s="23" t="n">
        <f aca="false">H98/F98</f>
        <v>0.2375</v>
      </c>
      <c r="AP98" s="23" t="n">
        <f aca="false">AC98/SQRT(9.81*(F98/1000))</f>
        <v>119.728285652644</v>
      </c>
      <c r="AQ98" s="23" t="n">
        <f aca="false">(AE98*AC98*(F98/1000))/AD98</f>
        <v>1920</v>
      </c>
      <c r="AR98" s="23" t="n">
        <f aca="false">((T98*0.000001)^3*AE98*(U98-AE98)*9.81)/AD98^2</f>
        <v>0.0049663125</v>
      </c>
      <c r="AS98" s="23" t="n">
        <f aca="false">(U98*((T98/10^6)^2)/(18*AD98))*AC98/(F98/1000)</f>
        <v>0.146484375</v>
      </c>
      <c r="AT98" s="23" t="n">
        <f aca="false">AE98*(T98/10^6)*AC98/AD98</f>
        <v>45</v>
      </c>
      <c r="AU98" s="23" t="n">
        <f aca="false">(T98/10^6)/(F98/1000)</f>
        <v>0.0234375</v>
      </c>
      <c r="AV98" s="23" t="n">
        <f aca="false">AE98/U98</f>
        <v>0.4</v>
      </c>
      <c r="AW98" s="23" t="n">
        <f aca="false">(J98*10^9)/(K98*AC98^2)</f>
        <v>132.001836547291</v>
      </c>
      <c r="AX98" s="23" t="n">
        <f aca="false">V98</f>
        <v>0.0340030911901082</v>
      </c>
      <c r="AY98" s="23" t="n">
        <f aca="false">MAX(W98,1)</f>
        <v>1</v>
      </c>
      <c r="AZ98" s="23" t="n">
        <f aca="false">X98</f>
        <v>0.0221467461180679</v>
      </c>
      <c r="BA98" s="24" t="n">
        <f aca="false">0.8*AZ98</f>
        <v>0.0177173968944543</v>
      </c>
      <c r="BB98" s="24" t="n">
        <f aca="false">AZ98*1.2</f>
        <v>0.0265760953416815</v>
      </c>
      <c r="BC98" s="0" t="str">
        <f aca="false">Z98</f>
        <v>https://www.sciencedirect.com/science/article/pii/S0043164815003749</v>
      </c>
    </row>
    <row r="99" customFormat="false" ht="12.8" hidden="false" customHeight="false" outlineLevel="0" collapsed="false">
      <c r="A99" s="1" t="n">
        <v>3</v>
      </c>
      <c r="B99" s="1" t="s">
        <v>48</v>
      </c>
      <c r="C99" s="1" t="s">
        <v>53</v>
      </c>
      <c r="D99" s="1" t="s">
        <v>54</v>
      </c>
      <c r="E99" s="11" t="n">
        <v>90</v>
      </c>
      <c r="F99" s="11" t="n">
        <v>6.4</v>
      </c>
      <c r="G99" s="26" t="n">
        <v>50</v>
      </c>
      <c r="H99" s="11" t="n">
        <f aca="false">3*F99</f>
        <v>19.2</v>
      </c>
      <c r="I99" s="27" t="s">
        <v>55</v>
      </c>
      <c r="J99" s="26" t="n">
        <f aca="false">((8+15)/2)/100</f>
        <v>0.115</v>
      </c>
      <c r="K99" s="28" t="n">
        <f aca="false">(886+1050)/2</f>
        <v>968</v>
      </c>
      <c r="L99" s="1" t="n">
        <v>0</v>
      </c>
      <c r="M99" s="1" t="n">
        <v>0</v>
      </c>
      <c r="N99" s="1" t="n">
        <v>0</v>
      </c>
      <c r="O99" s="11" t="n">
        <v>30</v>
      </c>
      <c r="P99" s="1" t="n">
        <v>1</v>
      </c>
      <c r="Q99" s="11" t="n">
        <v>1000</v>
      </c>
      <c r="R99" s="13" t="n">
        <f aca="false">(N99*L99+O99*Q99)/(L99+O99)</f>
        <v>1000</v>
      </c>
      <c r="S99" s="14" t="n">
        <f aca="false">(M99*L99+O99*P99*0.1)/(L99+O99)</f>
        <v>0.1</v>
      </c>
      <c r="T99" s="11" t="n">
        <v>150</v>
      </c>
      <c r="U99" s="28" t="n">
        <v>2500</v>
      </c>
      <c r="V99" s="16" t="n">
        <v>0.047981721249048</v>
      </c>
      <c r="W99" s="11" t="n">
        <v>1</v>
      </c>
      <c r="X99" s="17" t="n">
        <v>0.0188150846901983</v>
      </c>
      <c r="Z99" s="29" t="s">
        <v>56</v>
      </c>
      <c r="AC99" s="18" t="n">
        <f aca="false">MAX(L99,O99)</f>
        <v>30</v>
      </c>
      <c r="AD99" s="17" t="n">
        <f aca="false">MAX(M99,P99*0.1)</f>
        <v>0.1</v>
      </c>
      <c r="AE99" s="1" t="n">
        <f aca="false">MAX(N99,Q99)</f>
        <v>1000</v>
      </c>
      <c r="AG99" s="16"/>
      <c r="AH99" s="19" t="n">
        <v>97</v>
      </c>
      <c r="AI99" s="20" t="str">
        <f aca="false">B99</f>
        <v>DI</v>
      </c>
      <c r="AJ99" s="20" t="str">
        <f aca="false">C99</f>
        <v>Liquid-Solid</v>
      </c>
      <c r="AK99" s="20" t="str">
        <f aca="false">D99</f>
        <v>V-H</v>
      </c>
      <c r="AL99" s="21" t="n">
        <f aca="false">E99</f>
        <v>90</v>
      </c>
      <c r="AM99" s="22" t="n">
        <v>1E-006</v>
      </c>
      <c r="AN99" s="23" t="n">
        <f aca="false">MAX(G99/(F99/1000),25000)</f>
        <v>25000</v>
      </c>
      <c r="AO99" s="23" t="n">
        <f aca="false">H99/F99</f>
        <v>3</v>
      </c>
      <c r="AP99" s="23" t="n">
        <f aca="false">AC99/SQRT(9.81*(F99/1000))</f>
        <v>119.728285652644</v>
      </c>
      <c r="AQ99" s="23" t="n">
        <f aca="false">(AE99*AC99*(F99/1000))/AD99</f>
        <v>1920</v>
      </c>
      <c r="AR99" s="23" t="n">
        <f aca="false">((T99*0.000001)^3*AE99*(U99-AE99)*9.81)/AD99^2</f>
        <v>0.0049663125</v>
      </c>
      <c r="AS99" s="23" t="n">
        <f aca="false">(U99*((T99/10^6)^2)/(18*AD99))*AC99/(F99/1000)</f>
        <v>0.146484375</v>
      </c>
      <c r="AT99" s="23" t="n">
        <f aca="false">AE99*(T99/10^6)*AC99/AD99</f>
        <v>45</v>
      </c>
      <c r="AU99" s="23" t="n">
        <f aca="false">(T99/10^6)/(F99/1000)</f>
        <v>0.0234375</v>
      </c>
      <c r="AV99" s="23" t="n">
        <f aca="false">AE99/U99</f>
        <v>0.4</v>
      </c>
      <c r="AW99" s="23" t="n">
        <f aca="false">(J99*10^9)/(K99*AC99^2)</f>
        <v>132.001836547291</v>
      </c>
      <c r="AX99" s="23" t="n">
        <f aca="false">V99</f>
        <v>0.047981721249048</v>
      </c>
      <c r="AY99" s="23" t="n">
        <f aca="false">MAX(W99,1)</f>
        <v>1</v>
      </c>
      <c r="AZ99" s="23" t="n">
        <f aca="false">X99</f>
        <v>0.0188150846901983</v>
      </c>
      <c r="BA99" s="24" t="n">
        <f aca="false">0.8*AZ99</f>
        <v>0.0150520677521586</v>
      </c>
      <c r="BB99" s="24" t="n">
        <f aca="false">AZ99*1.2</f>
        <v>0.022578101628238</v>
      </c>
      <c r="BC99" s="0" t="str">
        <f aca="false">Z99</f>
        <v>https://www.sciencedirect.com/science/article/pii/S0043164815003749</v>
      </c>
    </row>
    <row r="100" customFormat="false" ht="12.8" hidden="false" customHeight="false" outlineLevel="0" collapsed="false">
      <c r="A100" s="1" t="n">
        <v>4</v>
      </c>
      <c r="B100" s="1" t="s">
        <v>48</v>
      </c>
      <c r="C100" s="1" t="s">
        <v>53</v>
      </c>
      <c r="D100" s="1" t="s">
        <v>54</v>
      </c>
      <c r="E100" s="11" t="n">
        <v>90</v>
      </c>
      <c r="F100" s="11" t="n">
        <v>6.4</v>
      </c>
      <c r="G100" s="26" t="n">
        <v>50</v>
      </c>
      <c r="H100" s="11" t="n">
        <f aca="false">3*F100</f>
        <v>19.2</v>
      </c>
      <c r="I100" s="27" t="s">
        <v>55</v>
      </c>
      <c r="J100" s="26" t="n">
        <f aca="false">((8+15)/2)/100</f>
        <v>0.115</v>
      </c>
      <c r="K100" s="28" t="n">
        <f aca="false">(886+1050)/2</f>
        <v>968</v>
      </c>
      <c r="L100" s="1" t="n">
        <v>0</v>
      </c>
      <c r="M100" s="1" t="n">
        <v>0</v>
      </c>
      <c r="N100" s="1" t="n">
        <v>0</v>
      </c>
      <c r="O100" s="11" t="n">
        <v>30</v>
      </c>
      <c r="P100" s="1" t="n">
        <v>1</v>
      </c>
      <c r="Q100" s="11" t="n">
        <v>1000</v>
      </c>
      <c r="R100" s="13" t="n">
        <f aca="false">(N100*L100+O100*Q100)/(L100+O100)</f>
        <v>1000</v>
      </c>
      <c r="S100" s="14" t="n">
        <f aca="false">(M100*L100+O100*P100*0.1)/(L100+O100)</f>
        <v>0.1</v>
      </c>
      <c r="T100" s="11" t="n">
        <v>150</v>
      </c>
      <c r="U100" s="28" t="n">
        <v>2500</v>
      </c>
      <c r="V100" s="16" t="n">
        <v>0.0605035700864337</v>
      </c>
      <c r="W100" s="11" t="n">
        <v>1</v>
      </c>
      <c r="X100" s="17" t="n">
        <v>0.0167368676624176</v>
      </c>
      <c r="Z100" s="29" t="s">
        <v>56</v>
      </c>
      <c r="AC100" s="18" t="n">
        <f aca="false">MAX(L100,O100)</f>
        <v>30</v>
      </c>
      <c r="AD100" s="17" t="n">
        <f aca="false">MAX(M100,P100*0.1)</f>
        <v>0.1</v>
      </c>
      <c r="AE100" s="1" t="n">
        <f aca="false">MAX(N100,Q100)</f>
        <v>1000</v>
      </c>
      <c r="AG100" s="16"/>
      <c r="AH100" s="19" t="n">
        <v>98</v>
      </c>
      <c r="AI100" s="20" t="str">
        <f aca="false">B100</f>
        <v>DI</v>
      </c>
      <c r="AJ100" s="20" t="str">
        <f aca="false">C100</f>
        <v>Liquid-Solid</v>
      </c>
      <c r="AK100" s="20" t="str">
        <f aca="false">D100</f>
        <v>V-H</v>
      </c>
      <c r="AL100" s="21" t="n">
        <f aca="false">E100</f>
        <v>90</v>
      </c>
      <c r="AM100" s="22" t="n">
        <v>1E-006</v>
      </c>
      <c r="AN100" s="23" t="n">
        <f aca="false">MAX(G100/(F100/1000),25000)</f>
        <v>25000</v>
      </c>
      <c r="AO100" s="23" t="n">
        <f aca="false">H100/F100</f>
        <v>3</v>
      </c>
      <c r="AP100" s="23" t="n">
        <f aca="false">AC100/SQRT(9.81*(F100/1000))</f>
        <v>119.728285652644</v>
      </c>
      <c r="AQ100" s="23" t="n">
        <f aca="false">(AE100*AC100*(F100/1000))/AD100</f>
        <v>1920</v>
      </c>
      <c r="AR100" s="23" t="n">
        <f aca="false">((T100*0.000001)^3*AE100*(U100-AE100)*9.81)/AD100^2</f>
        <v>0.0049663125</v>
      </c>
      <c r="AS100" s="23" t="n">
        <f aca="false">(U100*((T100/10^6)^2)/(18*AD100))*AC100/(F100/1000)</f>
        <v>0.146484375</v>
      </c>
      <c r="AT100" s="23" t="n">
        <f aca="false">AE100*(T100/10^6)*AC100/AD100</f>
        <v>45</v>
      </c>
      <c r="AU100" s="23" t="n">
        <f aca="false">(T100/10^6)/(F100/1000)</f>
        <v>0.0234375</v>
      </c>
      <c r="AV100" s="23" t="n">
        <f aca="false">AE100/U100</f>
        <v>0.4</v>
      </c>
      <c r="AW100" s="23" t="n">
        <f aca="false">(J100*10^9)/(K100*AC100^2)</f>
        <v>132.001836547291</v>
      </c>
      <c r="AX100" s="23" t="n">
        <f aca="false">V100</f>
        <v>0.0605035700864337</v>
      </c>
      <c r="AY100" s="23" t="n">
        <f aca="false">MAX(W100,1)</f>
        <v>1</v>
      </c>
      <c r="AZ100" s="23" t="n">
        <f aca="false">X100</f>
        <v>0.0167368676624176</v>
      </c>
      <c r="BA100" s="24" t="n">
        <f aca="false">0.8*AZ100</f>
        <v>0.0133894941299341</v>
      </c>
      <c r="BB100" s="24" t="n">
        <f aca="false">AZ100*1.2</f>
        <v>0.0200842411949011</v>
      </c>
      <c r="BC100" s="0" t="str">
        <f aca="false">Z100</f>
        <v>https://www.sciencedirect.com/science/article/pii/S0043164815003749</v>
      </c>
    </row>
    <row r="101" customFormat="false" ht="12.8" hidden="false" customHeight="false" outlineLevel="0" collapsed="false">
      <c r="A101" s="1" t="n">
        <v>5</v>
      </c>
      <c r="B101" s="1" t="s">
        <v>48</v>
      </c>
      <c r="C101" s="1" t="s">
        <v>53</v>
      </c>
      <c r="D101" s="1" t="s">
        <v>54</v>
      </c>
      <c r="E101" s="11" t="n">
        <v>90</v>
      </c>
      <c r="F101" s="11" t="n">
        <v>6.4</v>
      </c>
      <c r="G101" s="26" t="n">
        <v>50</v>
      </c>
      <c r="H101" s="11" t="n">
        <f aca="false">3*F101</f>
        <v>19.2</v>
      </c>
      <c r="I101" s="27" t="s">
        <v>55</v>
      </c>
      <c r="J101" s="26" t="n">
        <f aca="false">((8+15)/2)/100</f>
        <v>0.115</v>
      </c>
      <c r="K101" s="28" t="n">
        <f aca="false">(886+1050)/2</f>
        <v>968</v>
      </c>
      <c r="L101" s="1" t="n">
        <v>0</v>
      </c>
      <c r="M101" s="1" t="n">
        <v>0</v>
      </c>
      <c r="N101" s="1" t="n">
        <v>0</v>
      </c>
      <c r="O101" s="11" t="n">
        <v>30</v>
      </c>
      <c r="P101" s="1" t="n">
        <v>1</v>
      </c>
      <c r="Q101" s="11" t="n">
        <v>1000</v>
      </c>
      <c r="R101" s="13" t="n">
        <f aca="false">(N101*L101+O101*Q101)/(L101+O101)</f>
        <v>1000</v>
      </c>
      <c r="S101" s="14" t="n">
        <f aca="false">(M101*L101+O101*P101*0.1)/(L101+O101)</f>
        <v>0.1</v>
      </c>
      <c r="T101" s="11" t="n">
        <v>150</v>
      </c>
      <c r="U101" s="28" t="n">
        <v>2500</v>
      </c>
      <c r="V101" s="16" t="n">
        <v>0.0720118782479584</v>
      </c>
      <c r="W101" s="11" t="n">
        <v>1</v>
      </c>
      <c r="X101" s="17" t="n">
        <v>0.0166557980569942</v>
      </c>
      <c r="Z101" s="29" t="s">
        <v>56</v>
      </c>
      <c r="AC101" s="18" t="n">
        <f aca="false">MAX(L101,O101)</f>
        <v>30</v>
      </c>
      <c r="AD101" s="17" t="n">
        <f aca="false">MAX(M101,P101*0.1)</f>
        <v>0.1</v>
      </c>
      <c r="AE101" s="1" t="n">
        <f aca="false">MAX(N101,Q101)</f>
        <v>1000</v>
      </c>
      <c r="AG101" s="16"/>
      <c r="AH101" s="19" t="n">
        <v>99</v>
      </c>
      <c r="AI101" s="20" t="str">
        <f aca="false">B101</f>
        <v>DI</v>
      </c>
      <c r="AJ101" s="20" t="str">
        <f aca="false">C101</f>
        <v>Liquid-Solid</v>
      </c>
      <c r="AK101" s="20" t="str">
        <f aca="false">D101</f>
        <v>V-H</v>
      </c>
      <c r="AL101" s="21" t="n">
        <f aca="false">E101</f>
        <v>90</v>
      </c>
      <c r="AM101" s="22" t="n">
        <v>1E-006</v>
      </c>
      <c r="AN101" s="23" t="n">
        <f aca="false">MAX(G101/(F101/1000),25000)</f>
        <v>25000</v>
      </c>
      <c r="AO101" s="23" t="n">
        <f aca="false">H101/F101</f>
        <v>3</v>
      </c>
      <c r="AP101" s="23" t="n">
        <f aca="false">AC101/SQRT(9.81*(F101/1000))</f>
        <v>119.728285652644</v>
      </c>
      <c r="AQ101" s="23" t="n">
        <f aca="false">(AE101*AC101*(F101/1000))/AD101</f>
        <v>1920</v>
      </c>
      <c r="AR101" s="23" t="n">
        <f aca="false">((T101*0.000001)^3*AE101*(U101-AE101)*9.81)/AD101^2</f>
        <v>0.0049663125</v>
      </c>
      <c r="AS101" s="23" t="n">
        <f aca="false">(U101*((T101/10^6)^2)/(18*AD101))*AC101/(F101/1000)</f>
        <v>0.146484375</v>
      </c>
      <c r="AT101" s="23" t="n">
        <f aca="false">AE101*(T101/10^6)*AC101/AD101</f>
        <v>45</v>
      </c>
      <c r="AU101" s="23" t="n">
        <f aca="false">(T101/10^6)/(F101/1000)</f>
        <v>0.0234375</v>
      </c>
      <c r="AV101" s="23" t="n">
        <f aca="false">AE101/U101</f>
        <v>0.4</v>
      </c>
      <c r="AW101" s="23" t="n">
        <f aca="false">(J101*10^9)/(K101*AC101^2)</f>
        <v>132.001836547291</v>
      </c>
      <c r="AX101" s="23" t="n">
        <f aca="false">V101</f>
        <v>0.0720118782479584</v>
      </c>
      <c r="AY101" s="23" t="n">
        <f aca="false">MAX(W101,1)</f>
        <v>1</v>
      </c>
      <c r="AZ101" s="23" t="n">
        <f aca="false">X101</f>
        <v>0.0166557980569942</v>
      </c>
      <c r="BA101" s="24" t="n">
        <f aca="false">0.8*AZ101</f>
        <v>0.0133246384455954</v>
      </c>
      <c r="BB101" s="24" t="n">
        <f aca="false">AZ101*1.2</f>
        <v>0.019986957668393</v>
      </c>
      <c r="BC101" s="0" t="str">
        <f aca="false">Z101</f>
        <v>https://www.sciencedirect.com/science/article/pii/S0043164815003749</v>
      </c>
    </row>
    <row r="102" customFormat="false" ht="12.8" hidden="false" customHeight="false" outlineLevel="0" collapsed="false">
      <c r="A102" s="1" t="n">
        <v>6</v>
      </c>
      <c r="B102" s="1" t="s">
        <v>48</v>
      </c>
      <c r="C102" s="1" t="s">
        <v>53</v>
      </c>
      <c r="D102" s="1" t="s">
        <v>54</v>
      </c>
      <c r="E102" s="11" t="n">
        <v>90</v>
      </c>
      <c r="F102" s="11" t="n">
        <v>6.4</v>
      </c>
      <c r="G102" s="26" t="n">
        <v>50</v>
      </c>
      <c r="H102" s="11" t="n">
        <f aca="false">3*F102</f>
        <v>19.2</v>
      </c>
      <c r="I102" s="27" t="s">
        <v>55</v>
      </c>
      <c r="J102" s="26" t="n">
        <f aca="false">((8+15)/2)/100</f>
        <v>0.115</v>
      </c>
      <c r="K102" s="28" t="n">
        <f aca="false">(886+1050)/2</f>
        <v>968</v>
      </c>
      <c r="L102" s="1" t="n">
        <v>0</v>
      </c>
      <c r="M102" s="1" t="n">
        <v>0</v>
      </c>
      <c r="N102" s="1" t="n">
        <v>0</v>
      </c>
      <c r="O102" s="11" t="n">
        <v>30</v>
      </c>
      <c r="P102" s="1" t="n">
        <v>1</v>
      </c>
      <c r="Q102" s="11" t="n">
        <v>1000</v>
      </c>
      <c r="R102" s="13" t="n">
        <f aca="false">(N102*L102+O102*Q102)/(L102+O102)</f>
        <v>1000</v>
      </c>
      <c r="S102" s="14" t="n">
        <f aca="false">(M102*L102+O102*P102*0.1)/(L102+O102)</f>
        <v>0.1</v>
      </c>
      <c r="T102" s="11" t="n">
        <v>150</v>
      </c>
      <c r="U102" s="28" t="n">
        <v>2500</v>
      </c>
      <c r="V102" s="16" t="n">
        <v>0.0822320117474302</v>
      </c>
      <c r="W102" s="11" t="n">
        <v>1</v>
      </c>
      <c r="X102" s="17" t="n">
        <v>0.0138504341474515</v>
      </c>
      <c r="Z102" s="29" t="s">
        <v>56</v>
      </c>
      <c r="AC102" s="18" t="n">
        <f aca="false">MAX(L102,O102)</f>
        <v>30</v>
      </c>
      <c r="AD102" s="17" t="n">
        <f aca="false">MAX(M102,P102*0.1)</f>
        <v>0.1</v>
      </c>
      <c r="AE102" s="1" t="n">
        <f aca="false">MAX(N102,Q102)</f>
        <v>1000</v>
      </c>
      <c r="AG102" s="16"/>
      <c r="AH102" s="19" t="n">
        <v>100</v>
      </c>
      <c r="AI102" s="20" t="str">
        <f aca="false">B102</f>
        <v>DI</v>
      </c>
      <c r="AJ102" s="20" t="str">
        <f aca="false">C102</f>
        <v>Liquid-Solid</v>
      </c>
      <c r="AK102" s="20" t="str">
        <f aca="false">D102</f>
        <v>V-H</v>
      </c>
      <c r="AL102" s="21" t="n">
        <f aca="false">E102</f>
        <v>90</v>
      </c>
      <c r="AM102" s="22" t="n">
        <v>1E-006</v>
      </c>
      <c r="AN102" s="23" t="n">
        <f aca="false">MAX(G102/(F102/1000),25000)</f>
        <v>25000</v>
      </c>
      <c r="AO102" s="23" t="n">
        <f aca="false">H102/F102</f>
        <v>3</v>
      </c>
      <c r="AP102" s="23" t="n">
        <f aca="false">AC102/SQRT(9.81*(F102/1000))</f>
        <v>119.728285652644</v>
      </c>
      <c r="AQ102" s="23" t="n">
        <f aca="false">(AE102*AC102*(F102/1000))/AD102</f>
        <v>1920</v>
      </c>
      <c r="AR102" s="23" t="n">
        <f aca="false">((T102*0.000001)^3*AE102*(U102-AE102)*9.81)/AD102^2</f>
        <v>0.0049663125</v>
      </c>
      <c r="AS102" s="23" t="n">
        <f aca="false">(U102*((T102/10^6)^2)/(18*AD102))*AC102/(F102/1000)</f>
        <v>0.146484375</v>
      </c>
      <c r="AT102" s="23" t="n">
        <f aca="false">AE102*(T102/10^6)*AC102/AD102</f>
        <v>45</v>
      </c>
      <c r="AU102" s="23" t="n">
        <f aca="false">(T102/10^6)/(F102/1000)</f>
        <v>0.0234375</v>
      </c>
      <c r="AV102" s="23" t="n">
        <f aca="false">AE102/U102</f>
        <v>0.4</v>
      </c>
      <c r="AW102" s="23" t="n">
        <f aca="false">(J102*10^9)/(K102*AC102^2)</f>
        <v>132.001836547291</v>
      </c>
      <c r="AX102" s="23" t="n">
        <f aca="false">V102</f>
        <v>0.0822320117474302</v>
      </c>
      <c r="AY102" s="23" t="n">
        <f aca="false">MAX(W102,1)</f>
        <v>1</v>
      </c>
      <c r="AZ102" s="23" t="n">
        <f aca="false">X102</f>
        <v>0.0138504341474515</v>
      </c>
      <c r="BA102" s="24" t="n">
        <f aca="false">0.8*AZ102</f>
        <v>0.0110803473179612</v>
      </c>
      <c r="BB102" s="24" t="n">
        <f aca="false">AZ102*1.2</f>
        <v>0.0166205209769418</v>
      </c>
      <c r="BC102" s="0" t="str">
        <f aca="false">Z102</f>
        <v>https://www.sciencedirect.com/science/article/pii/S0043164815003749</v>
      </c>
    </row>
    <row r="103" customFormat="false" ht="12.8" hidden="false" customHeight="false" outlineLevel="0" collapsed="false">
      <c r="A103" s="1" t="n">
        <v>7</v>
      </c>
      <c r="B103" s="1" t="s">
        <v>48</v>
      </c>
      <c r="C103" s="1" t="s">
        <v>53</v>
      </c>
      <c r="D103" s="1" t="s">
        <v>54</v>
      </c>
      <c r="E103" s="11" t="n">
        <v>90</v>
      </c>
      <c r="F103" s="11" t="n">
        <v>6.4</v>
      </c>
      <c r="G103" s="26" t="n">
        <v>50</v>
      </c>
      <c r="H103" s="11" t="n">
        <f aca="false">5.2*F103</f>
        <v>33.28</v>
      </c>
      <c r="I103" s="27" t="s">
        <v>55</v>
      </c>
      <c r="J103" s="26" t="n">
        <f aca="false">((8+15)/2)/100</f>
        <v>0.115</v>
      </c>
      <c r="K103" s="28" t="n">
        <f aca="false">(886+1050)/2</f>
        <v>968</v>
      </c>
      <c r="L103" s="1" t="n">
        <v>0</v>
      </c>
      <c r="M103" s="1" t="n">
        <v>0</v>
      </c>
      <c r="N103" s="1" t="n">
        <v>0</v>
      </c>
      <c r="O103" s="11" t="n">
        <v>30</v>
      </c>
      <c r="P103" s="1" t="n">
        <v>1</v>
      </c>
      <c r="Q103" s="11" t="n">
        <v>1000</v>
      </c>
      <c r="R103" s="13" t="n">
        <f aca="false">(N103*L103+O103*Q103)/(L103+O103)</f>
        <v>1000</v>
      </c>
      <c r="S103" s="14" t="n">
        <f aca="false">(M103*L103+O103*P103*0.1)/(L103+O103)</f>
        <v>0.1</v>
      </c>
      <c r="T103" s="11" t="n">
        <v>150</v>
      </c>
      <c r="U103" s="28" t="n">
        <v>2500</v>
      </c>
      <c r="V103" s="16" t="n">
        <v>0.0180675569520817</v>
      </c>
      <c r="W103" s="11" t="n">
        <v>1</v>
      </c>
      <c r="X103" s="17" t="n">
        <v>0.0232686854657833</v>
      </c>
      <c r="Z103" s="29" t="s">
        <v>56</v>
      </c>
      <c r="AC103" s="18" t="n">
        <f aca="false">MAX(L103,O103)</f>
        <v>30</v>
      </c>
      <c r="AD103" s="17" t="n">
        <f aca="false">MAX(M103,P103*0.1)</f>
        <v>0.1</v>
      </c>
      <c r="AE103" s="1" t="n">
        <f aca="false">MAX(N103,Q103)</f>
        <v>1000</v>
      </c>
      <c r="AG103" s="16"/>
      <c r="AH103" s="19" t="n">
        <v>101</v>
      </c>
      <c r="AI103" s="20" t="str">
        <f aca="false">B103</f>
        <v>DI</v>
      </c>
      <c r="AJ103" s="20" t="str">
        <f aca="false">C103</f>
        <v>Liquid-Solid</v>
      </c>
      <c r="AK103" s="20" t="str">
        <f aca="false">D103</f>
        <v>V-H</v>
      </c>
      <c r="AL103" s="21" t="n">
        <f aca="false">E103</f>
        <v>90</v>
      </c>
      <c r="AM103" s="22" t="n">
        <v>1E-006</v>
      </c>
      <c r="AN103" s="23" t="n">
        <f aca="false">MAX(G103/(F103/1000),25000)</f>
        <v>25000</v>
      </c>
      <c r="AO103" s="23" t="n">
        <f aca="false">H103/F103</f>
        <v>5.2</v>
      </c>
      <c r="AP103" s="23" t="n">
        <f aca="false">AC103/SQRT(9.81*(F103/1000))</f>
        <v>119.728285652644</v>
      </c>
      <c r="AQ103" s="23" t="n">
        <f aca="false">(AE103*AC103*(F103/1000))/AD103</f>
        <v>1920</v>
      </c>
      <c r="AR103" s="23" t="n">
        <f aca="false">((T103*0.000001)^3*AE103*(U103-AE103)*9.81)/AD103^2</f>
        <v>0.0049663125</v>
      </c>
      <c r="AS103" s="23" t="n">
        <f aca="false">(U103*((T103/10^6)^2)/(18*AD103))*AC103/(F103/1000)</f>
        <v>0.146484375</v>
      </c>
      <c r="AT103" s="23" t="n">
        <f aca="false">AE103*(T103/10^6)*AC103/AD103</f>
        <v>45</v>
      </c>
      <c r="AU103" s="23" t="n">
        <f aca="false">(T103/10^6)/(F103/1000)</f>
        <v>0.0234375</v>
      </c>
      <c r="AV103" s="23" t="n">
        <f aca="false">AE103/U103</f>
        <v>0.4</v>
      </c>
      <c r="AW103" s="23" t="n">
        <f aca="false">(J103*10^9)/(K103*AC103^2)</f>
        <v>132.001836547291</v>
      </c>
      <c r="AX103" s="23" t="n">
        <f aca="false">V103</f>
        <v>0.0180675569520817</v>
      </c>
      <c r="AY103" s="23" t="n">
        <f aca="false">MAX(W103,1)</f>
        <v>1</v>
      </c>
      <c r="AZ103" s="23" t="n">
        <f aca="false">X103</f>
        <v>0.0232686854657833</v>
      </c>
      <c r="BA103" s="24" t="n">
        <f aca="false">0.8*AZ103</f>
        <v>0.0186149483726266</v>
      </c>
      <c r="BB103" s="24" t="n">
        <f aca="false">AZ103*1.2</f>
        <v>0.02792242255894</v>
      </c>
      <c r="BC103" s="0" t="str">
        <f aca="false">Z103</f>
        <v>https://www.sciencedirect.com/science/article/pii/S0043164815003749</v>
      </c>
    </row>
    <row r="104" customFormat="false" ht="12.8" hidden="false" customHeight="false" outlineLevel="0" collapsed="false">
      <c r="A104" s="1" t="n">
        <v>8</v>
      </c>
      <c r="B104" s="1" t="s">
        <v>48</v>
      </c>
      <c r="C104" s="1" t="s">
        <v>53</v>
      </c>
      <c r="D104" s="1" t="s">
        <v>54</v>
      </c>
      <c r="E104" s="11" t="n">
        <v>90</v>
      </c>
      <c r="F104" s="11" t="n">
        <v>6.4</v>
      </c>
      <c r="G104" s="26" t="n">
        <v>50</v>
      </c>
      <c r="H104" s="11" t="n">
        <f aca="false">5.2*F104</f>
        <v>33.28</v>
      </c>
      <c r="I104" s="27" t="s">
        <v>55</v>
      </c>
      <c r="J104" s="26" t="n">
        <f aca="false">((8+15)/2)/100</f>
        <v>0.115</v>
      </c>
      <c r="K104" s="28" t="n">
        <f aca="false">(886+1050)/2</f>
        <v>968</v>
      </c>
      <c r="L104" s="1" t="n">
        <v>0</v>
      </c>
      <c r="M104" s="1" t="n">
        <v>0</v>
      </c>
      <c r="N104" s="1" t="n">
        <v>0</v>
      </c>
      <c r="O104" s="11" t="n">
        <v>30</v>
      </c>
      <c r="P104" s="1" t="n">
        <v>1</v>
      </c>
      <c r="Q104" s="11" t="n">
        <v>1000</v>
      </c>
      <c r="R104" s="13" t="n">
        <f aca="false">(N104*L104+O104*Q104)/(L104+O104)</f>
        <v>1000</v>
      </c>
      <c r="S104" s="14" t="n">
        <f aca="false">(M104*L104+O104*P104*0.1)/(L104+O104)</f>
        <v>0.1</v>
      </c>
      <c r="T104" s="11" t="n">
        <v>150</v>
      </c>
      <c r="U104" s="28" t="n">
        <v>2500</v>
      </c>
      <c r="V104" s="16" t="n">
        <v>0.0340030911901082</v>
      </c>
      <c r="W104" s="11" t="n">
        <v>1</v>
      </c>
      <c r="X104" s="17" t="n">
        <v>0.0166289710368804</v>
      </c>
      <c r="Z104" s="29" t="s">
        <v>56</v>
      </c>
      <c r="AC104" s="18" t="n">
        <f aca="false">MAX(L104,O104)</f>
        <v>30</v>
      </c>
      <c r="AD104" s="17" t="n">
        <f aca="false">MAX(M104,P104*0.1)</f>
        <v>0.1</v>
      </c>
      <c r="AE104" s="1" t="n">
        <f aca="false">MAX(N104,Q104)</f>
        <v>1000</v>
      </c>
      <c r="AG104" s="16"/>
      <c r="AH104" s="19" t="n">
        <v>102</v>
      </c>
      <c r="AI104" s="20" t="str">
        <f aca="false">B104</f>
        <v>DI</v>
      </c>
      <c r="AJ104" s="20" t="str">
        <f aca="false">C104</f>
        <v>Liquid-Solid</v>
      </c>
      <c r="AK104" s="20" t="str">
        <f aca="false">D104</f>
        <v>V-H</v>
      </c>
      <c r="AL104" s="21" t="n">
        <f aca="false">E104</f>
        <v>90</v>
      </c>
      <c r="AM104" s="22" t="n">
        <v>1E-006</v>
      </c>
      <c r="AN104" s="23" t="n">
        <f aca="false">MAX(G104/(F104/1000),25000)</f>
        <v>25000</v>
      </c>
      <c r="AO104" s="23" t="n">
        <f aca="false">H104/F104</f>
        <v>5.2</v>
      </c>
      <c r="AP104" s="23" t="n">
        <f aca="false">AC104/SQRT(9.81*(F104/1000))</f>
        <v>119.728285652644</v>
      </c>
      <c r="AQ104" s="23" t="n">
        <f aca="false">(AE104*AC104*(F104/1000))/AD104</f>
        <v>1920</v>
      </c>
      <c r="AR104" s="23" t="n">
        <f aca="false">((T104*0.000001)^3*AE104*(U104-AE104)*9.81)/AD104^2</f>
        <v>0.0049663125</v>
      </c>
      <c r="AS104" s="23" t="n">
        <f aca="false">(U104*((T104/10^6)^2)/(18*AD104))*AC104/(F104/1000)</f>
        <v>0.146484375</v>
      </c>
      <c r="AT104" s="23" t="n">
        <f aca="false">AE104*(T104/10^6)*AC104/AD104</f>
        <v>45</v>
      </c>
      <c r="AU104" s="23" t="n">
        <f aca="false">(T104/10^6)/(F104/1000)</f>
        <v>0.0234375</v>
      </c>
      <c r="AV104" s="23" t="n">
        <f aca="false">AE104/U104</f>
        <v>0.4</v>
      </c>
      <c r="AW104" s="23" t="n">
        <f aca="false">(J104*10^9)/(K104*AC104^2)</f>
        <v>132.001836547291</v>
      </c>
      <c r="AX104" s="23" t="n">
        <f aca="false">V104</f>
        <v>0.0340030911901082</v>
      </c>
      <c r="AY104" s="23" t="n">
        <f aca="false">MAX(W104,1)</f>
        <v>1</v>
      </c>
      <c r="AZ104" s="23" t="n">
        <f aca="false">X104</f>
        <v>0.0166289710368804</v>
      </c>
      <c r="BA104" s="24" t="n">
        <f aca="false">0.8*AZ104</f>
        <v>0.0133031768295043</v>
      </c>
      <c r="BB104" s="24" t="n">
        <f aca="false">AZ104*1.2</f>
        <v>0.0199547652442565</v>
      </c>
      <c r="BC104" s="0" t="str">
        <f aca="false">Z104</f>
        <v>https://www.sciencedirect.com/science/article/pii/S0043164815003749</v>
      </c>
    </row>
    <row r="105" customFormat="false" ht="12.8" hidden="false" customHeight="false" outlineLevel="0" collapsed="false">
      <c r="A105" s="1" t="n">
        <v>9</v>
      </c>
      <c r="B105" s="1" t="s">
        <v>48</v>
      </c>
      <c r="C105" s="1" t="s">
        <v>53</v>
      </c>
      <c r="D105" s="1" t="s">
        <v>54</v>
      </c>
      <c r="E105" s="11" t="n">
        <v>90</v>
      </c>
      <c r="F105" s="11" t="n">
        <v>6.4</v>
      </c>
      <c r="G105" s="26" t="n">
        <v>50</v>
      </c>
      <c r="H105" s="11" t="n">
        <f aca="false">5.2*F105</f>
        <v>33.28</v>
      </c>
      <c r="I105" s="27" t="s">
        <v>55</v>
      </c>
      <c r="J105" s="26" t="n">
        <f aca="false">((8+15)/2)/100</f>
        <v>0.115</v>
      </c>
      <c r="K105" s="28" t="n">
        <f aca="false">(886+1050)/2</f>
        <v>968</v>
      </c>
      <c r="L105" s="1" t="n">
        <v>0</v>
      </c>
      <c r="M105" s="1" t="n">
        <v>0</v>
      </c>
      <c r="N105" s="1" t="n">
        <v>0</v>
      </c>
      <c r="O105" s="11" t="n">
        <v>30</v>
      </c>
      <c r="P105" s="1" t="n">
        <v>1</v>
      </c>
      <c r="Q105" s="11" t="n">
        <v>1000</v>
      </c>
      <c r="R105" s="13" t="n">
        <f aca="false">(N105*L105+O105*Q105)/(L105+O105)</f>
        <v>1000</v>
      </c>
      <c r="S105" s="14" t="n">
        <f aca="false">(M105*L105+O105*P105*0.1)/(L105+O105)</f>
        <v>0.1</v>
      </c>
      <c r="T105" s="11" t="n">
        <v>150</v>
      </c>
      <c r="U105" s="28" t="n">
        <v>2500</v>
      </c>
      <c r="V105" s="16" t="n">
        <v>0.047981721249048</v>
      </c>
      <c r="W105" s="11" t="n">
        <v>1</v>
      </c>
      <c r="X105" s="17" t="n">
        <v>0.0109520688254475</v>
      </c>
      <c r="Z105" s="29" t="s">
        <v>56</v>
      </c>
      <c r="AC105" s="18" t="n">
        <f aca="false">MAX(L105,O105)</f>
        <v>30</v>
      </c>
      <c r="AD105" s="17" t="n">
        <f aca="false">MAX(M105,P105*0.1)</f>
        <v>0.1</v>
      </c>
      <c r="AE105" s="1" t="n">
        <f aca="false">MAX(N105,Q105)</f>
        <v>1000</v>
      </c>
      <c r="AG105" s="16"/>
      <c r="AH105" s="19" t="n">
        <v>103</v>
      </c>
      <c r="AI105" s="20" t="str">
        <f aca="false">B105</f>
        <v>DI</v>
      </c>
      <c r="AJ105" s="20" t="str">
        <f aca="false">C105</f>
        <v>Liquid-Solid</v>
      </c>
      <c r="AK105" s="20" t="str">
        <f aca="false">D105</f>
        <v>V-H</v>
      </c>
      <c r="AL105" s="21" t="n">
        <f aca="false">E105</f>
        <v>90</v>
      </c>
      <c r="AM105" s="22" t="n">
        <v>1E-006</v>
      </c>
      <c r="AN105" s="23" t="n">
        <f aca="false">MAX(G105/(F105/1000),25000)</f>
        <v>25000</v>
      </c>
      <c r="AO105" s="23" t="n">
        <f aca="false">H105/F105</f>
        <v>5.2</v>
      </c>
      <c r="AP105" s="23" t="n">
        <f aca="false">AC105/SQRT(9.81*(F105/1000))</f>
        <v>119.728285652644</v>
      </c>
      <c r="AQ105" s="23" t="n">
        <f aca="false">(AE105*AC105*(F105/1000))/AD105</f>
        <v>1920</v>
      </c>
      <c r="AR105" s="23" t="n">
        <f aca="false">((T105*0.000001)^3*AE105*(U105-AE105)*9.81)/AD105^2</f>
        <v>0.0049663125</v>
      </c>
      <c r="AS105" s="23" t="n">
        <f aca="false">(U105*((T105/10^6)^2)/(18*AD105))*AC105/(F105/1000)</f>
        <v>0.146484375</v>
      </c>
      <c r="AT105" s="23" t="n">
        <f aca="false">AE105*(T105/10^6)*AC105/AD105</f>
        <v>45</v>
      </c>
      <c r="AU105" s="23" t="n">
        <f aca="false">(T105/10^6)/(F105/1000)</f>
        <v>0.0234375</v>
      </c>
      <c r="AV105" s="23" t="n">
        <f aca="false">AE105/U105</f>
        <v>0.4</v>
      </c>
      <c r="AW105" s="23" t="n">
        <f aca="false">(J105*10^9)/(K105*AC105^2)</f>
        <v>132.001836547291</v>
      </c>
      <c r="AX105" s="23" t="n">
        <f aca="false">V105</f>
        <v>0.047981721249048</v>
      </c>
      <c r="AY105" s="23" t="n">
        <f aca="false">MAX(W105,1)</f>
        <v>1</v>
      </c>
      <c r="AZ105" s="23" t="n">
        <f aca="false">X105</f>
        <v>0.0109520688254475</v>
      </c>
      <c r="BA105" s="24" t="n">
        <f aca="false">0.8*AZ105</f>
        <v>0.008761655060358</v>
      </c>
      <c r="BB105" s="24" t="n">
        <f aca="false">AZ105*1.2</f>
        <v>0.013142482590537</v>
      </c>
      <c r="BC105" s="0" t="str">
        <f aca="false">Z105</f>
        <v>https://www.sciencedirect.com/science/article/pii/S0043164815003749</v>
      </c>
    </row>
    <row r="106" customFormat="false" ht="12.8" hidden="false" customHeight="false" outlineLevel="0" collapsed="false">
      <c r="A106" s="1" t="n">
        <v>10</v>
      </c>
      <c r="B106" s="1" t="s">
        <v>48</v>
      </c>
      <c r="C106" s="1" t="s">
        <v>53</v>
      </c>
      <c r="D106" s="1" t="s">
        <v>54</v>
      </c>
      <c r="E106" s="11" t="n">
        <v>90</v>
      </c>
      <c r="F106" s="11" t="n">
        <v>6.4</v>
      </c>
      <c r="G106" s="26" t="n">
        <v>50</v>
      </c>
      <c r="H106" s="11" t="n">
        <f aca="false">5.2*F106</f>
        <v>33.28</v>
      </c>
      <c r="I106" s="27" t="s">
        <v>55</v>
      </c>
      <c r="J106" s="26" t="n">
        <f aca="false">((8+15)/2)/100</f>
        <v>0.115</v>
      </c>
      <c r="K106" s="28" t="n">
        <f aca="false">(886+1050)/2</f>
        <v>968</v>
      </c>
      <c r="L106" s="1" t="n">
        <v>0</v>
      </c>
      <c r="M106" s="1" t="n">
        <v>0</v>
      </c>
      <c r="N106" s="1" t="n">
        <v>0</v>
      </c>
      <c r="O106" s="11" t="n">
        <v>30</v>
      </c>
      <c r="P106" s="1" t="n">
        <v>1</v>
      </c>
      <c r="Q106" s="11" t="n">
        <v>1000</v>
      </c>
      <c r="R106" s="13" t="n">
        <f aca="false">(N106*L106+O106*Q106)/(L106+O106)</f>
        <v>1000</v>
      </c>
      <c r="S106" s="14" t="n">
        <f aca="false">(M106*L106+O106*P106*0.1)/(L106+O106)</f>
        <v>0.1</v>
      </c>
      <c r="T106" s="11" t="n">
        <v>150</v>
      </c>
      <c r="U106" s="28" t="n">
        <v>2500</v>
      </c>
      <c r="V106" s="16" t="n">
        <v>0.0605035700864337</v>
      </c>
      <c r="W106" s="11" t="n">
        <v>1</v>
      </c>
      <c r="X106" s="17" t="n">
        <v>0.0118351153902974</v>
      </c>
      <c r="Z106" s="29" t="s">
        <v>56</v>
      </c>
      <c r="AC106" s="18" t="n">
        <f aca="false">MAX(L106,O106)</f>
        <v>30</v>
      </c>
      <c r="AD106" s="17" t="n">
        <f aca="false">MAX(M106,P106*0.1)</f>
        <v>0.1</v>
      </c>
      <c r="AE106" s="1" t="n">
        <f aca="false">MAX(N106,Q106)</f>
        <v>1000</v>
      </c>
      <c r="AG106" s="16"/>
      <c r="AH106" s="19" t="n">
        <v>104</v>
      </c>
      <c r="AI106" s="20" t="str">
        <f aca="false">B106</f>
        <v>DI</v>
      </c>
      <c r="AJ106" s="20" t="str">
        <f aca="false">C106</f>
        <v>Liquid-Solid</v>
      </c>
      <c r="AK106" s="20" t="str">
        <f aca="false">D106</f>
        <v>V-H</v>
      </c>
      <c r="AL106" s="21" t="n">
        <f aca="false">E106</f>
        <v>90</v>
      </c>
      <c r="AM106" s="22" t="n">
        <v>1E-006</v>
      </c>
      <c r="AN106" s="23" t="n">
        <f aca="false">MAX(G106/(F106/1000),25000)</f>
        <v>25000</v>
      </c>
      <c r="AO106" s="23" t="n">
        <f aca="false">H106/F106</f>
        <v>5.2</v>
      </c>
      <c r="AP106" s="23" t="n">
        <f aca="false">AC106/SQRT(9.81*(F106/1000))</f>
        <v>119.728285652644</v>
      </c>
      <c r="AQ106" s="23" t="n">
        <f aca="false">(AE106*AC106*(F106/1000))/AD106</f>
        <v>1920</v>
      </c>
      <c r="AR106" s="23" t="n">
        <f aca="false">((T106*0.000001)^3*AE106*(U106-AE106)*9.81)/AD106^2</f>
        <v>0.0049663125</v>
      </c>
      <c r="AS106" s="23" t="n">
        <f aca="false">(U106*((T106/10^6)^2)/(18*AD106))*AC106/(F106/1000)</f>
        <v>0.146484375</v>
      </c>
      <c r="AT106" s="23" t="n">
        <f aca="false">AE106*(T106/10^6)*AC106/AD106</f>
        <v>45</v>
      </c>
      <c r="AU106" s="23" t="n">
        <f aca="false">(T106/10^6)/(F106/1000)</f>
        <v>0.0234375</v>
      </c>
      <c r="AV106" s="23" t="n">
        <f aca="false">AE106/U106</f>
        <v>0.4</v>
      </c>
      <c r="AW106" s="23" t="n">
        <f aca="false">(J106*10^9)/(K106*AC106^2)</f>
        <v>132.001836547291</v>
      </c>
      <c r="AX106" s="23" t="n">
        <f aca="false">V106</f>
        <v>0.0605035700864337</v>
      </c>
      <c r="AY106" s="23" t="n">
        <f aca="false">MAX(W106,1)</f>
        <v>1</v>
      </c>
      <c r="AZ106" s="23" t="n">
        <f aca="false">X106</f>
        <v>0.0118351153902974</v>
      </c>
      <c r="BA106" s="24" t="n">
        <f aca="false">0.8*AZ106</f>
        <v>0.00946809231223792</v>
      </c>
      <c r="BB106" s="24" t="n">
        <f aca="false">AZ106*1.2</f>
        <v>0.0142021384683569</v>
      </c>
      <c r="BC106" s="0" t="str">
        <f aca="false">Z106</f>
        <v>https://www.sciencedirect.com/science/article/pii/S0043164815003749</v>
      </c>
    </row>
    <row r="107" customFormat="false" ht="12.8" hidden="false" customHeight="false" outlineLevel="0" collapsed="false">
      <c r="A107" s="1" t="n">
        <v>11</v>
      </c>
      <c r="B107" s="1" t="s">
        <v>48</v>
      </c>
      <c r="C107" s="1" t="s">
        <v>53</v>
      </c>
      <c r="D107" s="1" t="s">
        <v>54</v>
      </c>
      <c r="E107" s="11" t="n">
        <v>90</v>
      </c>
      <c r="F107" s="11" t="n">
        <v>6.4</v>
      </c>
      <c r="G107" s="26" t="n">
        <v>50</v>
      </c>
      <c r="H107" s="11" t="n">
        <f aca="false">5.2*F107</f>
        <v>33.28</v>
      </c>
      <c r="I107" s="27" t="s">
        <v>55</v>
      </c>
      <c r="J107" s="26" t="n">
        <f aca="false">((8+15)/2)/100</f>
        <v>0.115</v>
      </c>
      <c r="K107" s="28" t="n">
        <f aca="false">(886+1050)/2</f>
        <v>968</v>
      </c>
      <c r="L107" s="1" t="n">
        <v>0</v>
      </c>
      <c r="M107" s="1" t="n">
        <v>0</v>
      </c>
      <c r="N107" s="1" t="n">
        <v>0</v>
      </c>
      <c r="O107" s="11" t="n">
        <v>30</v>
      </c>
      <c r="P107" s="1" t="n">
        <v>1</v>
      </c>
      <c r="Q107" s="11" t="n">
        <v>1000</v>
      </c>
      <c r="R107" s="13" t="n">
        <f aca="false">(N107*L107+O107*Q107)/(L107+O107)</f>
        <v>1000</v>
      </c>
      <c r="S107" s="14" t="n">
        <f aca="false">(M107*L107+O107*P107*0.1)/(L107+O107)</f>
        <v>0.1</v>
      </c>
      <c r="T107" s="11" t="n">
        <v>150</v>
      </c>
      <c r="U107" s="28" t="n">
        <v>2500</v>
      </c>
      <c r="V107" s="16" t="n">
        <v>0.0720118782479584</v>
      </c>
      <c r="W107" s="11" t="n">
        <v>1</v>
      </c>
      <c r="X107" s="17" t="n">
        <v>0.0100423987960564</v>
      </c>
      <c r="Z107" s="29" t="s">
        <v>56</v>
      </c>
      <c r="AC107" s="18" t="n">
        <f aca="false">MAX(L107,O107)</f>
        <v>30</v>
      </c>
      <c r="AD107" s="17" t="n">
        <f aca="false">MAX(M107,P107*0.1)</f>
        <v>0.1</v>
      </c>
      <c r="AE107" s="1" t="n">
        <f aca="false">MAX(N107,Q107)</f>
        <v>1000</v>
      </c>
      <c r="AG107" s="16"/>
      <c r="AH107" s="19" t="n">
        <v>105</v>
      </c>
      <c r="AI107" s="20" t="str">
        <f aca="false">B107</f>
        <v>DI</v>
      </c>
      <c r="AJ107" s="20" t="str">
        <f aca="false">C107</f>
        <v>Liquid-Solid</v>
      </c>
      <c r="AK107" s="20" t="str">
        <f aca="false">D107</f>
        <v>V-H</v>
      </c>
      <c r="AL107" s="21" t="n">
        <f aca="false">E107</f>
        <v>90</v>
      </c>
      <c r="AM107" s="22" t="n">
        <v>1E-006</v>
      </c>
      <c r="AN107" s="23" t="n">
        <f aca="false">MAX(G107/(F107/1000),25000)</f>
        <v>25000</v>
      </c>
      <c r="AO107" s="23" t="n">
        <f aca="false">H107/F107</f>
        <v>5.2</v>
      </c>
      <c r="AP107" s="23" t="n">
        <f aca="false">AC107/SQRT(9.81*(F107/1000))</f>
        <v>119.728285652644</v>
      </c>
      <c r="AQ107" s="23" t="n">
        <f aca="false">(AE107*AC107*(F107/1000))/AD107</f>
        <v>1920</v>
      </c>
      <c r="AR107" s="23" t="n">
        <f aca="false">((T107*0.000001)^3*AE107*(U107-AE107)*9.81)/AD107^2</f>
        <v>0.0049663125</v>
      </c>
      <c r="AS107" s="23" t="n">
        <f aca="false">(U107*((T107/10^6)^2)/(18*AD107))*AC107/(F107/1000)</f>
        <v>0.146484375</v>
      </c>
      <c r="AT107" s="23" t="n">
        <f aca="false">AE107*(T107/10^6)*AC107/AD107</f>
        <v>45</v>
      </c>
      <c r="AU107" s="23" t="n">
        <f aca="false">(T107/10^6)/(F107/1000)</f>
        <v>0.0234375</v>
      </c>
      <c r="AV107" s="23" t="n">
        <f aca="false">AE107/U107</f>
        <v>0.4</v>
      </c>
      <c r="AW107" s="23" t="n">
        <f aca="false">(J107*10^9)/(K107*AC107^2)</f>
        <v>132.001836547291</v>
      </c>
      <c r="AX107" s="23" t="n">
        <f aca="false">V107</f>
        <v>0.0720118782479584</v>
      </c>
      <c r="AY107" s="23" t="n">
        <f aca="false">MAX(W107,1)</f>
        <v>1</v>
      </c>
      <c r="AZ107" s="23" t="n">
        <f aca="false">X107</f>
        <v>0.0100423987960564</v>
      </c>
      <c r="BA107" s="24" t="n">
        <f aca="false">0.8*AZ107</f>
        <v>0.00803391903684512</v>
      </c>
      <c r="BB107" s="24" t="n">
        <f aca="false">AZ107*1.2</f>
        <v>0.0120508785552677</v>
      </c>
      <c r="BC107" s="0" t="str">
        <f aca="false">Z107</f>
        <v>https://www.sciencedirect.com/science/article/pii/S0043164815003749</v>
      </c>
    </row>
    <row r="108" customFormat="false" ht="12.8" hidden="false" customHeight="false" outlineLevel="0" collapsed="false">
      <c r="A108" s="1" t="n">
        <v>12</v>
      </c>
      <c r="B108" s="1" t="s">
        <v>48</v>
      </c>
      <c r="C108" s="1" t="s">
        <v>53</v>
      </c>
      <c r="D108" s="1" t="s">
        <v>54</v>
      </c>
      <c r="E108" s="11" t="n">
        <v>90</v>
      </c>
      <c r="F108" s="11" t="n">
        <v>6.4</v>
      </c>
      <c r="G108" s="26" t="n">
        <v>50</v>
      </c>
      <c r="H108" s="11" t="n">
        <f aca="false">5.2*F108</f>
        <v>33.28</v>
      </c>
      <c r="I108" s="27" t="s">
        <v>55</v>
      </c>
      <c r="J108" s="26" t="n">
        <f aca="false">((8+15)/2)/100</f>
        <v>0.115</v>
      </c>
      <c r="K108" s="28" t="n">
        <f aca="false">(886+1050)/2</f>
        <v>968</v>
      </c>
      <c r="L108" s="1" t="n">
        <v>0</v>
      </c>
      <c r="M108" s="1" t="n">
        <v>0</v>
      </c>
      <c r="N108" s="1" t="n">
        <v>0</v>
      </c>
      <c r="O108" s="11" t="n">
        <v>30</v>
      </c>
      <c r="P108" s="1" t="n">
        <v>1</v>
      </c>
      <c r="Q108" s="11" t="n">
        <v>1000</v>
      </c>
      <c r="R108" s="13" t="n">
        <f aca="false">(N108*L108+O108*Q108)/(L108+O108)</f>
        <v>1000</v>
      </c>
      <c r="S108" s="14" t="n">
        <f aca="false">(M108*L108+O108*P108*0.1)/(L108+O108)</f>
        <v>0.1</v>
      </c>
      <c r="T108" s="11" t="n">
        <v>150</v>
      </c>
      <c r="U108" s="28" t="n">
        <v>2500</v>
      </c>
      <c r="V108" s="16" t="n">
        <v>0.0822320117474302</v>
      </c>
      <c r="W108" s="11" t="n">
        <v>1</v>
      </c>
      <c r="X108" s="17" t="n">
        <v>0.00833268856758374</v>
      </c>
      <c r="Z108" s="29" t="s">
        <v>56</v>
      </c>
      <c r="AC108" s="18" t="n">
        <f aca="false">MAX(L108,O108)</f>
        <v>30</v>
      </c>
      <c r="AD108" s="17" t="n">
        <f aca="false">MAX(M108,P108*0.1)</f>
        <v>0.1</v>
      </c>
      <c r="AE108" s="1" t="n">
        <f aca="false">MAX(N108,Q108)</f>
        <v>1000</v>
      </c>
      <c r="AG108" s="16"/>
      <c r="AH108" s="19" t="n">
        <v>106</v>
      </c>
      <c r="AI108" s="20" t="str">
        <f aca="false">B108</f>
        <v>DI</v>
      </c>
      <c r="AJ108" s="20" t="str">
        <f aca="false">C108</f>
        <v>Liquid-Solid</v>
      </c>
      <c r="AK108" s="20" t="str">
        <f aca="false">D108</f>
        <v>V-H</v>
      </c>
      <c r="AL108" s="21" t="n">
        <f aca="false">E108</f>
        <v>90</v>
      </c>
      <c r="AM108" s="22" t="n">
        <v>1E-006</v>
      </c>
      <c r="AN108" s="23" t="n">
        <f aca="false">MAX(G108/(F108/1000),25000)</f>
        <v>25000</v>
      </c>
      <c r="AO108" s="23" t="n">
        <f aca="false">H108/F108</f>
        <v>5.2</v>
      </c>
      <c r="AP108" s="23" t="n">
        <f aca="false">AC108/SQRT(9.81*(F108/1000))</f>
        <v>119.728285652644</v>
      </c>
      <c r="AQ108" s="23" t="n">
        <f aca="false">(AE108*AC108*(F108/1000))/AD108</f>
        <v>1920</v>
      </c>
      <c r="AR108" s="23" t="n">
        <f aca="false">((T108*0.000001)^3*AE108*(U108-AE108)*9.81)/AD108^2</f>
        <v>0.0049663125</v>
      </c>
      <c r="AS108" s="23" t="n">
        <f aca="false">(U108*((T108/10^6)^2)/(18*AD108))*AC108/(F108/1000)</f>
        <v>0.146484375</v>
      </c>
      <c r="AT108" s="23" t="n">
        <f aca="false">AE108*(T108/10^6)*AC108/AD108</f>
        <v>45</v>
      </c>
      <c r="AU108" s="23" t="n">
        <f aca="false">(T108/10^6)/(F108/1000)</f>
        <v>0.0234375</v>
      </c>
      <c r="AV108" s="23" t="n">
        <f aca="false">AE108/U108</f>
        <v>0.4</v>
      </c>
      <c r="AW108" s="23" t="n">
        <f aca="false">(J108*10^9)/(K108*AC108^2)</f>
        <v>132.001836547291</v>
      </c>
      <c r="AX108" s="23" t="n">
        <f aca="false">V108</f>
        <v>0.0822320117474302</v>
      </c>
      <c r="AY108" s="23" t="n">
        <f aca="false">MAX(W108,1)</f>
        <v>1</v>
      </c>
      <c r="AZ108" s="23" t="n">
        <f aca="false">X108</f>
        <v>0.00833268856758374</v>
      </c>
      <c r="BA108" s="24" t="n">
        <f aca="false">0.8*AZ108</f>
        <v>0.00666615085406699</v>
      </c>
      <c r="BB108" s="24" t="n">
        <f aca="false">AZ108*1.2</f>
        <v>0.00999922628110049</v>
      </c>
      <c r="BC108" s="0" t="str">
        <f aca="false">Z108</f>
        <v>https://www.sciencedirect.com/science/article/pii/S0043164815003749</v>
      </c>
    </row>
    <row r="109" customFormat="false" ht="12.8" hidden="false" customHeight="false" outlineLevel="0" collapsed="false">
      <c r="A109" s="1" t="n">
        <v>13</v>
      </c>
      <c r="B109" s="1" t="s">
        <v>48</v>
      </c>
      <c r="C109" s="1" t="s">
        <v>53</v>
      </c>
      <c r="D109" s="1" t="s">
        <v>54</v>
      </c>
      <c r="E109" s="11" t="n">
        <v>90</v>
      </c>
      <c r="F109" s="11" t="n">
        <v>6.4</v>
      </c>
      <c r="G109" s="26" t="n">
        <v>50</v>
      </c>
      <c r="H109" s="11" t="n">
        <f aca="false">7.4*F109</f>
        <v>47.36</v>
      </c>
      <c r="I109" s="27" t="s">
        <v>55</v>
      </c>
      <c r="J109" s="26" t="n">
        <f aca="false">((8+15)/2)/100</f>
        <v>0.115</v>
      </c>
      <c r="K109" s="28" t="n">
        <f aca="false">(886+1050)/2</f>
        <v>968</v>
      </c>
      <c r="L109" s="1" t="n">
        <v>0</v>
      </c>
      <c r="M109" s="1" t="n">
        <v>0</v>
      </c>
      <c r="N109" s="1" t="n">
        <v>0</v>
      </c>
      <c r="O109" s="11" t="n">
        <v>30</v>
      </c>
      <c r="P109" s="1" t="n">
        <v>1</v>
      </c>
      <c r="Q109" s="11" t="n">
        <v>1000</v>
      </c>
      <c r="R109" s="13" t="n">
        <f aca="false">(N109*L109+O109*Q109)/(L109+O109)</f>
        <v>1000</v>
      </c>
      <c r="S109" s="14" t="n">
        <f aca="false">(M109*L109+O109*P109*0.1)/(L109+O109)</f>
        <v>0.1</v>
      </c>
      <c r="T109" s="11" t="n">
        <v>150</v>
      </c>
      <c r="U109" s="28" t="n">
        <v>2500</v>
      </c>
      <c r="V109" s="16" t="n">
        <v>0.0180675569520817</v>
      </c>
      <c r="W109" s="11" t="n">
        <v>1</v>
      </c>
      <c r="X109" s="17" t="n">
        <v>0.0110011722837305</v>
      </c>
      <c r="Z109" s="29" t="s">
        <v>56</v>
      </c>
      <c r="AC109" s="18" t="n">
        <f aca="false">MAX(L109,O109)</f>
        <v>30</v>
      </c>
      <c r="AD109" s="17" t="n">
        <f aca="false">MAX(M109,P109*0.1)</f>
        <v>0.1</v>
      </c>
      <c r="AE109" s="1" t="n">
        <f aca="false">MAX(N109,Q109)</f>
        <v>1000</v>
      </c>
      <c r="AG109" s="16"/>
      <c r="AH109" s="19" t="n">
        <v>107</v>
      </c>
      <c r="AI109" s="20" t="str">
        <f aca="false">B109</f>
        <v>DI</v>
      </c>
      <c r="AJ109" s="20" t="str">
        <f aca="false">C109</f>
        <v>Liquid-Solid</v>
      </c>
      <c r="AK109" s="20" t="str">
        <f aca="false">D109</f>
        <v>V-H</v>
      </c>
      <c r="AL109" s="21" t="n">
        <f aca="false">E109</f>
        <v>90</v>
      </c>
      <c r="AM109" s="22" t="n">
        <v>1E-006</v>
      </c>
      <c r="AN109" s="23" t="n">
        <f aca="false">MAX(G109/(F109/1000),25000)</f>
        <v>25000</v>
      </c>
      <c r="AO109" s="23" t="n">
        <f aca="false">H109/F109</f>
        <v>7.4</v>
      </c>
      <c r="AP109" s="23" t="n">
        <f aca="false">AC109/SQRT(9.81*(F109/1000))</f>
        <v>119.728285652644</v>
      </c>
      <c r="AQ109" s="23" t="n">
        <f aca="false">(AE109*AC109*(F109/1000))/AD109</f>
        <v>1920</v>
      </c>
      <c r="AR109" s="23" t="n">
        <f aca="false">((T109*0.000001)^3*AE109*(U109-AE109)*9.81)/AD109^2</f>
        <v>0.0049663125</v>
      </c>
      <c r="AS109" s="23" t="n">
        <f aca="false">(U109*((T109/10^6)^2)/(18*AD109))*AC109/(F109/1000)</f>
        <v>0.146484375</v>
      </c>
      <c r="AT109" s="23" t="n">
        <f aca="false">AE109*(T109/10^6)*AC109/AD109</f>
        <v>45</v>
      </c>
      <c r="AU109" s="23" t="n">
        <f aca="false">(T109/10^6)/(F109/1000)</f>
        <v>0.0234375</v>
      </c>
      <c r="AV109" s="23" t="n">
        <f aca="false">AE109/U109</f>
        <v>0.4</v>
      </c>
      <c r="AW109" s="23" t="n">
        <f aca="false">(J109*10^9)/(K109*AC109^2)</f>
        <v>132.001836547291</v>
      </c>
      <c r="AX109" s="23" t="n">
        <f aca="false">V109</f>
        <v>0.0180675569520817</v>
      </c>
      <c r="AY109" s="23" t="n">
        <f aca="false">MAX(W109,1)</f>
        <v>1</v>
      </c>
      <c r="AZ109" s="23" t="n">
        <f aca="false">X109</f>
        <v>0.0110011722837305</v>
      </c>
      <c r="BA109" s="24" t="n">
        <f aca="false">0.8*AZ109</f>
        <v>0.0088009378269844</v>
      </c>
      <c r="BB109" s="24" t="n">
        <f aca="false">AZ109*1.2</f>
        <v>0.0132014067404766</v>
      </c>
      <c r="BC109" s="0" t="str">
        <f aca="false">Z109</f>
        <v>https://www.sciencedirect.com/science/article/pii/S0043164815003749</v>
      </c>
    </row>
    <row r="110" customFormat="false" ht="12.8" hidden="false" customHeight="false" outlineLevel="0" collapsed="false">
      <c r="A110" s="1" t="n">
        <v>14</v>
      </c>
      <c r="B110" s="1" t="s">
        <v>48</v>
      </c>
      <c r="C110" s="1" t="s">
        <v>53</v>
      </c>
      <c r="D110" s="1" t="s">
        <v>54</v>
      </c>
      <c r="E110" s="11" t="n">
        <v>90</v>
      </c>
      <c r="F110" s="11" t="n">
        <v>6.4</v>
      </c>
      <c r="G110" s="26" t="n">
        <v>50</v>
      </c>
      <c r="H110" s="11" t="n">
        <f aca="false">7.4*F110</f>
        <v>47.36</v>
      </c>
      <c r="I110" s="27" t="s">
        <v>55</v>
      </c>
      <c r="J110" s="26" t="n">
        <f aca="false">((8+15)/2)/100</f>
        <v>0.115</v>
      </c>
      <c r="K110" s="28" t="n">
        <f aca="false">(886+1050)/2</f>
        <v>968</v>
      </c>
      <c r="L110" s="1" t="n">
        <v>0</v>
      </c>
      <c r="M110" s="1" t="n">
        <v>0</v>
      </c>
      <c r="N110" s="1" t="n">
        <v>0</v>
      </c>
      <c r="O110" s="11" t="n">
        <v>30</v>
      </c>
      <c r="P110" s="1" t="n">
        <v>1</v>
      </c>
      <c r="Q110" s="11" t="n">
        <v>1000</v>
      </c>
      <c r="R110" s="13" t="n">
        <f aca="false">(N110*L110+O110*Q110)/(L110+O110)</f>
        <v>1000</v>
      </c>
      <c r="S110" s="14" t="n">
        <f aca="false">(M110*L110+O110*P110*0.1)/(L110+O110)</f>
        <v>0.1</v>
      </c>
      <c r="T110" s="11" t="n">
        <v>150</v>
      </c>
      <c r="U110" s="28" t="n">
        <v>2500</v>
      </c>
      <c r="V110" s="16" t="n">
        <v>0.0340030911901082</v>
      </c>
      <c r="W110" s="11" t="n">
        <v>1</v>
      </c>
      <c r="X110" s="17" t="n">
        <v>0.00800918749588834</v>
      </c>
      <c r="Z110" s="29" t="s">
        <v>56</v>
      </c>
      <c r="AC110" s="18" t="n">
        <f aca="false">MAX(L110,O110)</f>
        <v>30</v>
      </c>
      <c r="AD110" s="17" t="n">
        <f aca="false">MAX(M110,P110*0.1)</f>
        <v>0.1</v>
      </c>
      <c r="AE110" s="1" t="n">
        <f aca="false">MAX(N110,Q110)</f>
        <v>1000</v>
      </c>
      <c r="AG110" s="16"/>
      <c r="AH110" s="19" t="n">
        <v>108</v>
      </c>
      <c r="AI110" s="20" t="str">
        <f aca="false">B110</f>
        <v>DI</v>
      </c>
      <c r="AJ110" s="20" t="str">
        <f aca="false">C110</f>
        <v>Liquid-Solid</v>
      </c>
      <c r="AK110" s="20" t="str">
        <f aca="false">D110</f>
        <v>V-H</v>
      </c>
      <c r="AL110" s="21" t="n">
        <f aca="false">E110</f>
        <v>90</v>
      </c>
      <c r="AM110" s="22" t="n">
        <v>1E-006</v>
      </c>
      <c r="AN110" s="23" t="n">
        <f aca="false">MAX(G110/(F110/1000),25000)</f>
        <v>25000</v>
      </c>
      <c r="AO110" s="23" t="n">
        <f aca="false">H110/F110</f>
        <v>7.4</v>
      </c>
      <c r="AP110" s="23" t="n">
        <f aca="false">AC110/SQRT(9.81*(F110/1000))</f>
        <v>119.728285652644</v>
      </c>
      <c r="AQ110" s="23" t="n">
        <f aca="false">(AE110*AC110*(F110/1000))/AD110</f>
        <v>1920</v>
      </c>
      <c r="AR110" s="23" t="n">
        <f aca="false">((T110*0.000001)^3*AE110*(U110-AE110)*9.81)/AD110^2</f>
        <v>0.0049663125</v>
      </c>
      <c r="AS110" s="23" t="n">
        <f aca="false">(U110*((T110/10^6)^2)/(18*AD110))*AC110/(F110/1000)</f>
        <v>0.146484375</v>
      </c>
      <c r="AT110" s="23" t="n">
        <f aca="false">AE110*(T110/10^6)*AC110/AD110</f>
        <v>45</v>
      </c>
      <c r="AU110" s="23" t="n">
        <f aca="false">(T110/10^6)/(F110/1000)</f>
        <v>0.0234375</v>
      </c>
      <c r="AV110" s="23" t="n">
        <f aca="false">AE110/U110</f>
        <v>0.4</v>
      </c>
      <c r="AW110" s="23" t="n">
        <f aca="false">(J110*10^9)/(K110*AC110^2)</f>
        <v>132.001836547291</v>
      </c>
      <c r="AX110" s="23" t="n">
        <f aca="false">V110</f>
        <v>0.0340030911901082</v>
      </c>
      <c r="AY110" s="23" t="n">
        <f aca="false">MAX(W110,1)</f>
        <v>1</v>
      </c>
      <c r="AZ110" s="23" t="n">
        <f aca="false">X110</f>
        <v>0.00800918749588834</v>
      </c>
      <c r="BA110" s="24" t="n">
        <f aca="false">0.8*AZ110</f>
        <v>0.00640734999671067</v>
      </c>
      <c r="BB110" s="24" t="n">
        <f aca="false">AZ110*1.2</f>
        <v>0.00961102499506601</v>
      </c>
      <c r="BC110" s="0" t="str">
        <f aca="false">Z110</f>
        <v>https://www.sciencedirect.com/science/article/pii/S0043164815003749</v>
      </c>
    </row>
    <row r="111" customFormat="false" ht="12.8" hidden="false" customHeight="false" outlineLevel="0" collapsed="false">
      <c r="A111" s="1" t="n">
        <v>15</v>
      </c>
      <c r="B111" s="1" t="s">
        <v>48</v>
      </c>
      <c r="C111" s="1" t="s">
        <v>53</v>
      </c>
      <c r="D111" s="1" t="s">
        <v>54</v>
      </c>
      <c r="E111" s="11" t="n">
        <v>90</v>
      </c>
      <c r="F111" s="11" t="n">
        <v>6.4</v>
      </c>
      <c r="G111" s="26" t="n">
        <v>50</v>
      </c>
      <c r="H111" s="11" t="n">
        <f aca="false">7.4*F111</f>
        <v>47.36</v>
      </c>
      <c r="I111" s="27" t="s">
        <v>55</v>
      </c>
      <c r="J111" s="26" t="n">
        <f aca="false">((8+15)/2)/100</f>
        <v>0.115</v>
      </c>
      <c r="K111" s="28" t="n">
        <f aca="false">(886+1050)/2</f>
        <v>968</v>
      </c>
      <c r="L111" s="1" t="n">
        <v>0</v>
      </c>
      <c r="M111" s="1" t="n">
        <v>0</v>
      </c>
      <c r="N111" s="1" t="n">
        <v>0</v>
      </c>
      <c r="O111" s="11" t="n">
        <v>30</v>
      </c>
      <c r="P111" s="1" t="n">
        <v>1</v>
      </c>
      <c r="Q111" s="11" t="n">
        <v>1000</v>
      </c>
      <c r="R111" s="13" t="n">
        <f aca="false">(N111*L111+O111*Q111)/(L111+O111)</f>
        <v>1000</v>
      </c>
      <c r="S111" s="14" t="n">
        <f aca="false">(M111*L111+O111*P111*0.1)/(L111+O111)</f>
        <v>0.1</v>
      </c>
      <c r="T111" s="11" t="n">
        <v>150</v>
      </c>
      <c r="U111" s="28" t="n">
        <v>2500</v>
      </c>
      <c r="V111" s="16" t="n">
        <v>0.047981721249048</v>
      </c>
      <c r="W111" s="11" t="n">
        <v>1</v>
      </c>
      <c r="X111" s="17" t="n">
        <v>0.00586553508278624</v>
      </c>
      <c r="Z111" s="29" t="s">
        <v>56</v>
      </c>
      <c r="AC111" s="18" t="n">
        <f aca="false">MAX(L111,O111)</f>
        <v>30</v>
      </c>
      <c r="AD111" s="17" t="n">
        <f aca="false">MAX(M111,P111*0.1)</f>
        <v>0.1</v>
      </c>
      <c r="AE111" s="1" t="n">
        <f aca="false">MAX(N111,Q111)</f>
        <v>1000</v>
      </c>
      <c r="AG111" s="16"/>
      <c r="AH111" s="19" t="n">
        <v>109</v>
      </c>
      <c r="AI111" s="20" t="str">
        <f aca="false">B111</f>
        <v>DI</v>
      </c>
      <c r="AJ111" s="20" t="str">
        <f aca="false">C111</f>
        <v>Liquid-Solid</v>
      </c>
      <c r="AK111" s="20" t="str">
        <f aca="false">D111</f>
        <v>V-H</v>
      </c>
      <c r="AL111" s="21" t="n">
        <f aca="false">E111</f>
        <v>90</v>
      </c>
      <c r="AM111" s="22" t="n">
        <v>1E-006</v>
      </c>
      <c r="AN111" s="23" t="n">
        <f aca="false">MAX(G111/(F111/1000),25000)</f>
        <v>25000</v>
      </c>
      <c r="AO111" s="23" t="n">
        <f aca="false">H111/F111</f>
        <v>7.4</v>
      </c>
      <c r="AP111" s="23" t="n">
        <f aca="false">AC111/SQRT(9.81*(F111/1000))</f>
        <v>119.728285652644</v>
      </c>
      <c r="AQ111" s="23" t="n">
        <f aca="false">(AE111*AC111*(F111/1000))/AD111</f>
        <v>1920</v>
      </c>
      <c r="AR111" s="23" t="n">
        <f aca="false">((T111*0.000001)^3*AE111*(U111-AE111)*9.81)/AD111^2</f>
        <v>0.0049663125</v>
      </c>
      <c r="AS111" s="23" t="n">
        <f aca="false">(U111*((T111/10^6)^2)/(18*AD111))*AC111/(F111/1000)</f>
        <v>0.146484375</v>
      </c>
      <c r="AT111" s="23" t="n">
        <f aca="false">AE111*(T111/10^6)*AC111/AD111</f>
        <v>45</v>
      </c>
      <c r="AU111" s="23" t="n">
        <f aca="false">(T111/10^6)/(F111/1000)</f>
        <v>0.0234375</v>
      </c>
      <c r="AV111" s="23" t="n">
        <f aca="false">AE111/U111</f>
        <v>0.4</v>
      </c>
      <c r="AW111" s="23" t="n">
        <f aca="false">(J111*10^9)/(K111*AC111^2)</f>
        <v>132.001836547291</v>
      </c>
      <c r="AX111" s="23" t="n">
        <f aca="false">V111</f>
        <v>0.047981721249048</v>
      </c>
      <c r="AY111" s="23" t="n">
        <f aca="false">MAX(W111,1)</f>
        <v>1</v>
      </c>
      <c r="AZ111" s="23" t="n">
        <f aca="false">X111</f>
        <v>0.00586553508278624</v>
      </c>
      <c r="BA111" s="24" t="n">
        <f aca="false">0.8*AZ111</f>
        <v>0.00469242806622899</v>
      </c>
      <c r="BB111" s="24" t="n">
        <f aca="false">AZ111*1.2</f>
        <v>0.00703864209934349</v>
      </c>
      <c r="BC111" s="0" t="str">
        <f aca="false">Z111</f>
        <v>https://www.sciencedirect.com/science/article/pii/S0043164815003749</v>
      </c>
    </row>
    <row r="112" customFormat="false" ht="12.8" hidden="false" customHeight="false" outlineLevel="0" collapsed="false">
      <c r="A112" s="1" t="n">
        <v>16</v>
      </c>
      <c r="B112" s="1" t="s">
        <v>48</v>
      </c>
      <c r="C112" s="1" t="s">
        <v>53</v>
      </c>
      <c r="D112" s="1" t="s">
        <v>54</v>
      </c>
      <c r="E112" s="11" t="n">
        <v>90</v>
      </c>
      <c r="F112" s="11" t="n">
        <v>6.4</v>
      </c>
      <c r="G112" s="26" t="n">
        <v>50</v>
      </c>
      <c r="H112" s="11" t="n">
        <f aca="false">7.4*F112</f>
        <v>47.36</v>
      </c>
      <c r="I112" s="27" t="s">
        <v>55</v>
      </c>
      <c r="J112" s="26" t="n">
        <f aca="false">((8+15)/2)/100</f>
        <v>0.115</v>
      </c>
      <c r="K112" s="28" t="n">
        <f aca="false">(886+1050)/2</f>
        <v>968</v>
      </c>
      <c r="L112" s="1" t="n">
        <v>0</v>
      </c>
      <c r="M112" s="1" t="n">
        <v>0</v>
      </c>
      <c r="N112" s="1" t="n">
        <v>0</v>
      </c>
      <c r="O112" s="11" t="n">
        <v>30</v>
      </c>
      <c r="P112" s="1" t="n">
        <v>1</v>
      </c>
      <c r="Q112" s="11" t="n">
        <v>1000</v>
      </c>
      <c r="R112" s="13" t="n">
        <f aca="false">(N112*L112+O112*Q112)/(L112+O112)</f>
        <v>1000</v>
      </c>
      <c r="S112" s="14" t="n">
        <f aca="false">(M112*L112+O112*P112*0.1)/(L112+O112)</f>
        <v>0.1</v>
      </c>
      <c r="T112" s="11" t="n">
        <v>150</v>
      </c>
      <c r="U112" s="28" t="n">
        <v>2500</v>
      </c>
      <c r="V112" s="16" t="n">
        <v>0.0605035700864337</v>
      </c>
      <c r="W112" s="11" t="n">
        <v>1</v>
      </c>
      <c r="X112" s="17" t="n">
        <v>0.00560453254329532</v>
      </c>
      <c r="Z112" s="29" t="s">
        <v>56</v>
      </c>
      <c r="AC112" s="18" t="n">
        <f aca="false">MAX(L112,O112)</f>
        <v>30</v>
      </c>
      <c r="AD112" s="17" t="n">
        <f aca="false">MAX(M112,P112*0.1)</f>
        <v>0.1</v>
      </c>
      <c r="AE112" s="1" t="n">
        <f aca="false">MAX(N112,Q112)</f>
        <v>1000</v>
      </c>
      <c r="AG112" s="16"/>
      <c r="AH112" s="19" t="n">
        <v>110</v>
      </c>
      <c r="AI112" s="20" t="str">
        <f aca="false">B112</f>
        <v>DI</v>
      </c>
      <c r="AJ112" s="20" t="str">
        <f aca="false">C112</f>
        <v>Liquid-Solid</v>
      </c>
      <c r="AK112" s="20" t="str">
        <f aca="false">D112</f>
        <v>V-H</v>
      </c>
      <c r="AL112" s="21" t="n">
        <f aca="false">E112</f>
        <v>90</v>
      </c>
      <c r="AM112" s="22" t="n">
        <v>1E-006</v>
      </c>
      <c r="AN112" s="23" t="n">
        <f aca="false">MAX(G112/(F112/1000),25000)</f>
        <v>25000</v>
      </c>
      <c r="AO112" s="23" t="n">
        <f aca="false">H112/F112</f>
        <v>7.4</v>
      </c>
      <c r="AP112" s="23" t="n">
        <f aca="false">AC112/SQRT(9.81*(F112/1000))</f>
        <v>119.728285652644</v>
      </c>
      <c r="AQ112" s="23" t="n">
        <f aca="false">(AE112*AC112*(F112/1000))/AD112</f>
        <v>1920</v>
      </c>
      <c r="AR112" s="23" t="n">
        <f aca="false">((T112*0.000001)^3*AE112*(U112-AE112)*9.81)/AD112^2</f>
        <v>0.0049663125</v>
      </c>
      <c r="AS112" s="23" t="n">
        <f aca="false">(U112*((T112/10^6)^2)/(18*AD112))*AC112/(F112/1000)</f>
        <v>0.146484375</v>
      </c>
      <c r="AT112" s="23" t="n">
        <f aca="false">AE112*(T112/10^6)*AC112/AD112</f>
        <v>45</v>
      </c>
      <c r="AU112" s="23" t="n">
        <f aca="false">(T112/10^6)/(F112/1000)</f>
        <v>0.0234375</v>
      </c>
      <c r="AV112" s="23" t="n">
        <f aca="false">AE112/U112</f>
        <v>0.4</v>
      </c>
      <c r="AW112" s="23" t="n">
        <f aca="false">(J112*10^9)/(K112*AC112^2)</f>
        <v>132.001836547291</v>
      </c>
      <c r="AX112" s="23" t="n">
        <f aca="false">V112</f>
        <v>0.0605035700864337</v>
      </c>
      <c r="AY112" s="23" t="n">
        <f aca="false">MAX(W112,1)</f>
        <v>1</v>
      </c>
      <c r="AZ112" s="23" t="n">
        <f aca="false">X112</f>
        <v>0.00560453254329532</v>
      </c>
      <c r="BA112" s="24" t="n">
        <f aca="false">0.8*AZ112</f>
        <v>0.00448362603463626</v>
      </c>
      <c r="BB112" s="24" t="n">
        <f aca="false">AZ112*1.2</f>
        <v>0.00672543905195438</v>
      </c>
      <c r="BC112" s="0" t="str">
        <f aca="false">Z112</f>
        <v>https://www.sciencedirect.com/science/article/pii/S0043164815003749</v>
      </c>
    </row>
    <row r="113" customFormat="false" ht="12.8" hidden="false" customHeight="false" outlineLevel="0" collapsed="false">
      <c r="A113" s="1" t="n">
        <v>17</v>
      </c>
      <c r="B113" s="1" t="s">
        <v>48</v>
      </c>
      <c r="C113" s="1" t="s">
        <v>53</v>
      </c>
      <c r="D113" s="1" t="s">
        <v>54</v>
      </c>
      <c r="E113" s="11" t="n">
        <v>90</v>
      </c>
      <c r="F113" s="11" t="n">
        <v>6.4</v>
      </c>
      <c r="G113" s="26" t="n">
        <v>50</v>
      </c>
      <c r="H113" s="11" t="n">
        <f aca="false">7.4*F113</f>
        <v>47.36</v>
      </c>
      <c r="I113" s="27" t="s">
        <v>55</v>
      </c>
      <c r="J113" s="26" t="n">
        <f aca="false">((8+15)/2)/100</f>
        <v>0.115</v>
      </c>
      <c r="K113" s="28" t="n">
        <f aca="false">(886+1050)/2</f>
        <v>968</v>
      </c>
      <c r="L113" s="1" t="n">
        <v>0</v>
      </c>
      <c r="M113" s="1" t="n">
        <v>0</v>
      </c>
      <c r="N113" s="1" t="n">
        <v>0</v>
      </c>
      <c r="O113" s="11" t="n">
        <v>30</v>
      </c>
      <c r="P113" s="1" t="n">
        <v>1</v>
      </c>
      <c r="Q113" s="11" t="n">
        <v>1000</v>
      </c>
      <c r="R113" s="13" t="n">
        <f aca="false">(N113*L113+O113*Q113)/(L113+O113)</f>
        <v>1000</v>
      </c>
      <c r="S113" s="14" t="n">
        <f aca="false">(M113*L113+O113*P113*0.1)/(L113+O113)</f>
        <v>0.1</v>
      </c>
      <c r="T113" s="11" t="n">
        <v>150</v>
      </c>
      <c r="U113" s="28" t="n">
        <v>2500</v>
      </c>
      <c r="V113" s="16" t="n">
        <v>0.0720118782479584</v>
      </c>
      <c r="W113" s="11" t="n">
        <v>1</v>
      </c>
      <c r="X113" s="17" t="n">
        <v>0.00396143185240727</v>
      </c>
      <c r="Z113" s="29" t="s">
        <v>56</v>
      </c>
      <c r="AC113" s="18" t="n">
        <f aca="false">MAX(L113,O113)</f>
        <v>30</v>
      </c>
      <c r="AD113" s="17" t="n">
        <f aca="false">MAX(M113,P113*0.1)</f>
        <v>0.1</v>
      </c>
      <c r="AE113" s="1" t="n">
        <f aca="false">MAX(N113,Q113)</f>
        <v>1000</v>
      </c>
      <c r="AG113" s="16"/>
      <c r="AH113" s="19" t="n">
        <v>111</v>
      </c>
      <c r="AI113" s="20" t="str">
        <f aca="false">B113</f>
        <v>DI</v>
      </c>
      <c r="AJ113" s="20" t="str">
        <f aca="false">C113</f>
        <v>Liquid-Solid</v>
      </c>
      <c r="AK113" s="20" t="str">
        <f aca="false">D113</f>
        <v>V-H</v>
      </c>
      <c r="AL113" s="21" t="n">
        <f aca="false">E113</f>
        <v>90</v>
      </c>
      <c r="AM113" s="22" t="n">
        <v>1E-006</v>
      </c>
      <c r="AN113" s="23" t="n">
        <f aca="false">MAX(G113/(F113/1000),25000)</f>
        <v>25000</v>
      </c>
      <c r="AO113" s="23" t="n">
        <f aca="false">H113/F113</f>
        <v>7.4</v>
      </c>
      <c r="AP113" s="23" t="n">
        <f aca="false">AC113/SQRT(9.81*(F113/1000))</f>
        <v>119.728285652644</v>
      </c>
      <c r="AQ113" s="23" t="n">
        <f aca="false">(AE113*AC113*(F113/1000))/AD113</f>
        <v>1920</v>
      </c>
      <c r="AR113" s="23" t="n">
        <f aca="false">((T113*0.000001)^3*AE113*(U113-AE113)*9.81)/AD113^2</f>
        <v>0.0049663125</v>
      </c>
      <c r="AS113" s="23" t="n">
        <f aca="false">(U113*((T113/10^6)^2)/(18*AD113))*AC113/(F113/1000)</f>
        <v>0.146484375</v>
      </c>
      <c r="AT113" s="23" t="n">
        <f aca="false">AE113*(T113/10^6)*AC113/AD113</f>
        <v>45</v>
      </c>
      <c r="AU113" s="23" t="n">
        <f aca="false">(T113/10^6)/(F113/1000)</f>
        <v>0.0234375</v>
      </c>
      <c r="AV113" s="23" t="n">
        <f aca="false">AE113/U113</f>
        <v>0.4</v>
      </c>
      <c r="AW113" s="23" t="n">
        <f aca="false">(J113*10^9)/(K113*AC113^2)</f>
        <v>132.001836547291</v>
      </c>
      <c r="AX113" s="23" t="n">
        <f aca="false">V113</f>
        <v>0.0720118782479584</v>
      </c>
      <c r="AY113" s="23" t="n">
        <f aca="false">MAX(W113,1)</f>
        <v>1</v>
      </c>
      <c r="AZ113" s="23" t="n">
        <f aca="false">X113</f>
        <v>0.00396143185240727</v>
      </c>
      <c r="BA113" s="24" t="n">
        <f aca="false">0.8*AZ113</f>
        <v>0.00316914548192582</v>
      </c>
      <c r="BB113" s="24" t="n">
        <f aca="false">AZ113*1.2</f>
        <v>0.00475371822288872</v>
      </c>
      <c r="BC113" s="0" t="str">
        <f aca="false">Z113</f>
        <v>https://www.sciencedirect.com/science/article/pii/S0043164815003749</v>
      </c>
    </row>
    <row r="114" customFormat="false" ht="12.8" hidden="false" customHeight="false" outlineLevel="0" collapsed="false">
      <c r="A114" s="1" t="n">
        <v>18</v>
      </c>
      <c r="B114" s="1" t="s">
        <v>48</v>
      </c>
      <c r="C114" s="1" t="s">
        <v>53</v>
      </c>
      <c r="D114" s="1" t="s">
        <v>54</v>
      </c>
      <c r="E114" s="11" t="n">
        <v>90</v>
      </c>
      <c r="F114" s="11" t="n">
        <v>6.4</v>
      </c>
      <c r="G114" s="26" t="n">
        <v>50</v>
      </c>
      <c r="H114" s="11" t="n">
        <f aca="false">7.4*F114</f>
        <v>47.36</v>
      </c>
      <c r="I114" s="27" t="s">
        <v>55</v>
      </c>
      <c r="J114" s="26" t="n">
        <f aca="false">((8+15)/2)/100</f>
        <v>0.115</v>
      </c>
      <c r="K114" s="28" t="n">
        <f aca="false">(886+1050)/2</f>
        <v>968</v>
      </c>
      <c r="L114" s="1" t="n">
        <v>0</v>
      </c>
      <c r="M114" s="1" t="n">
        <v>0</v>
      </c>
      <c r="N114" s="1" t="n">
        <v>0</v>
      </c>
      <c r="O114" s="11" t="n">
        <v>30</v>
      </c>
      <c r="P114" s="1" t="n">
        <v>1</v>
      </c>
      <c r="Q114" s="11" t="n">
        <v>1000</v>
      </c>
      <c r="R114" s="13" t="n">
        <f aca="false">(N114*L114+O114*Q114)/(L114+O114)</f>
        <v>1000</v>
      </c>
      <c r="S114" s="14" t="n">
        <f aca="false">(M114*L114+O114*P114*0.1)/(L114+O114)</f>
        <v>0.1</v>
      </c>
      <c r="T114" s="11" t="n">
        <v>150</v>
      </c>
      <c r="U114" s="28" t="n">
        <v>2500</v>
      </c>
      <c r="V114" s="16" t="n">
        <v>0.0822320117474302</v>
      </c>
      <c r="W114" s="11" t="n">
        <v>1</v>
      </c>
      <c r="X114" s="17" t="n">
        <v>0.00307453241254923</v>
      </c>
      <c r="Z114" s="29" t="s">
        <v>56</v>
      </c>
      <c r="AC114" s="18" t="n">
        <f aca="false">MAX(L114,O114)</f>
        <v>30</v>
      </c>
      <c r="AD114" s="17" t="n">
        <f aca="false">MAX(M114,P114*0.1)</f>
        <v>0.1</v>
      </c>
      <c r="AE114" s="1" t="n">
        <f aca="false">MAX(N114,Q114)</f>
        <v>1000</v>
      </c>
      <c r="AG114" s="16"/>
      <c r="AH114" s="19" t="n">
        <v>112</v>
      </c>
      <c r="AI114" s="20" t="str">
        <f aca="false">B114</f>
        <v>DI</v>
      </c>
      <c r="AJ114" s="20" t="str">
        <f aca="false">C114</f>
        <v>Liquid-Solid</v>
      </c>
      <c r="AK114" s="20" t="str">
        <f aca="false">D114</f>
        <v>V-H</v>
      </c>
      <c r="AL114" s="21" t="n">
        <f aca="false">E114</f>
        <v>90</v>
      </c>
      <c r="AM114" s="22" t="n">
        <v>1E-006</v>
      </c>
      <c r="AN114" s="23" t="n">
        <f aca="false">MAX(G114/(F114/1000),25000)</f>
        <v>25000</v>
      </c>
      <c r="AO114" s="23" t="n">
        <f aca="false">H114/F114</f>
        <v>7.4</v>
      </c>
      <c r="AP114" s="23" t="n">
        <f aca="false">AC114/SQRT(9.81*(F114/1000))</f>
        <v>119.728285652644</v>
      </c>
      <c r="AQ114" s="23" t="n">
        <f aca="false">(AE114*AC114*(F114/1000))/AD114</f>
        <v>1920</v>
      </c>
      <c r="AR114" s="23" t="n">
        <f aca="false">((T114*0.000001)^3*AE114*(U114-AE114)*9.81)/AD114^2</f>
        <v>0.0049663125</v>
      </c>
      <c r="AS114" s="23" t="n">
        <f aca="false">(U114*((T114/10^6)^2)/(18*AD114))*AC114/(F114/1000)</f>
        <v>0.146484375</v>
      </c>
      <c r="AT114" s="23" t="n">
        <f aca="false">AE114*(T114/10^6)*AC114/AD114</f>
        <v>45</v>
      </c>
      <c r="AU114" s="23" t="n">
        <f aca="false">(T114/10^6)/(F114/1000)</f>
        <v>0.0234375</v>
      </c>
      <c r="AV114" s="23" t="n">
        <f aca="false">AE114/U114</f>
        <v>0.4</v>
      </c>
      <c r="AW114" s="23" t="n">
        <f aca="false">(J114*10^9)/(K114*AC114^2)</f>
        <v>132.001836547291</v>
      </c>
      <c r="AX114" s="23" t="n">
        <f aca="false">V114</f>
        <v>0.0822320117474302</v>
      </c>
      <c r="AY114" s="23" t="n">
        <f aca="false">MAX(W114,1)</f>
        <v>1</v>
      </c>
      <c r="AZ114" s="23" t="n">
        <f aca="false">X114</f>
        <v>0.00307453241254923</v>
      </c>
      <c r="BA114" s="24" t="n">
        <f aca="false">0.8*AZ114</f>
        <v>0.00245962593003938</v>
      </c>
      <c r="BB114" s="24" t="n">
        <f aca="false">AZ114*1.2</f>
        <v>0.00368943889505908</v>
      </c>
      <c r="BC114" s="0" t="str">
        <f aca="false">Z114</f>
        <v>https://www.sciencedirect.com/science/article/pii/S0043164815003749</v>
      </c>
    </row>
    <row r="115" customFormat="false" ht="12.8" hidden="false" customHeight="false" outlineLevel="0" collapsed="false">
      <c r="A115" s="1" t="n">
        <v>1</v>
      </c>
      <c r="B115" s="1" t="s">
        <v>48</v>
      </c>
      <c r="C115" s="1" t="s">
        <v>53</v>
      </c>
      <c r="D115" s="1" t="s">
        <v>54</v>
      </c>
      <c r="E115" s="1" t="n">
        <v>90</v>
      </c>
      <c r="F115" s="1" t="n">
        <v>7.6</v>
      </c>
      <c r="G115" s="26" t="n">
        <v>152.4</v>
      </c>
      <c r="H115" s="1" t="n">
        <v>12.7</v>
      </c>
      <c r="I115" s="30" t="s">
        <v>57</v>
      </c>
      <c r="J115" s="11" t="n">
        <v>1.517</v>
      </c>
      <c r="K115" s="30" t="n">
        <v>7990</v>
      </c>
      <c r="L115" s="1" t="n">
        <v>0</v>
      </c>
      <c r="M115" s="1" t="n">
        <v>0</v>
      </c>
      <c r="N115" s="1" t="n">
        <v>0</v>
      </c>
      <c r="O115" s="1" t="n">
        <v>8.15</v>
      </c>
      <c r="P115" s="26" t="n">
        <v>1</v>
      </c>
      <c r="Q115" s="1" t="n">
        <v>1000</v>
      </c>
      <c r="R115" s="13" t="n">
        <f aca="false">(N115*L115+O115*Q115)/(L115+O115)</f>
        <v>1000</v>
      </c>
      <c r="S115" s="14" t="n">
        <f aca="false">(M115*L115+O115*P115*0.1)/(L115+O115)</f>
        <v>0.1</v>
      </c>
      <c r="T115" s="1" t="n">
        <v>300</v>
      </c>
      <c r="U115" s="30" t="n">
        <v>2650</v>
      </c>
      <c r="V115" s="16" t="n">
        <v>5.66999036814239E-005</v>
      </c>
      <c r="W115" s="1" t="n">
        <v>1</v>
      </c>
      <c r="X115" s="17" t="n">
        <v>0.000119112094752048</v>
      </c>
      <c r="Z115" s="29" t="s">
        <v>58</v>
      </c>
      <c r="AC115" s="18" t="n">
        <f aca="false">MAX(L115,O115)</f>
        <v>8.15</v>
      </c>
      <c r="AD115" s="17" t="n">
        <f aca="false">MAX(M115,P115*0.1)</f>
        <v>0.1</v>
      </c>
      <c r="AE115" s="1" t="n">
        <f aca="false">MAX(N115,Q115)</f>
        <v>1000</v>
      </c>
      <c r="AG115" s="16"/>
      <c r="AH115" s="19" t="n">
        <v>113</v>
      </c>
      <c r="AI115" s="20" t="str">
        <f aca="false">B115</f>
        <v>DI</v>
      </c>
      <c r="AJ115" s="20" t="str">
        <f aca="false">C115</f>
        <v>Liquid-Solid</v>
      </c>
      <c r="AK115" s="20" t="str">
        <f aca="false">D115</f>
        <v>V-H</v>
      </c>
      <c r="AL115" s="21" t="n">
        <f aca="false">E115</f>
        <v>90</v>
      </c>
      <c r="AM115" s="22" t="n">
        <v>1E-006</v>
      </c>
      <c r="AN115" s="23" t="n">
        <f aca="false">MAX(G115/(F115/1000),25000)</f>
        <v>25000</v>
      </c>
      <c r="AO115" s="23" t="n">
        <f aca="false">H115/F115</f>
        <v>1.67105263157895</v>
      </c>
      <c r="AP115" s="23" t="n">
        <f aca="false">AC115/SQRT(9.81*(F115/1000))</f>
        <v>29.8480737362979</v>
      </c>
      <c r="AQ115" s="23" t="n">
        <f aca="false">(AE115*AC115*(F115/1000))/AD115</f>
        <v>619.4</v>
      </c>
      <c r="AR115" s="23" t="n">
        <f aca="false">((T115*0.000001)^3*AE115*(U115-AE115)*9.81)/AD115^2</f>
        <v>0.04370355</v>
      </c>
      <c r="AS115" s="23" t="n">
        <f aca="false">(U115*((T115/10^6)^2)/(18*AD115))*AC115/(F115/1000)</f>
        <v>0.142088815789474</v>
      </c>
      <c r="AT115" s="23" t="n">
        <f aca="false">AE115*(T115/10^6)*AC115/AD115</f>
        <v>24.45</v>
      </c>
      <c r="AU115" s="23" t="n">
        <f aca="false">(T115/10^6)/(F115/1000)</f>
        <v>0.0394736842105263</v>
      </c>
      <c r="AV115" s="23" t="n">
        <f aca="false">AE115/U115</f>
        <v>0.377358490566038</v>
      </c>
      <c r="AW115" s="23" t="n">
        <f aca="false">(J115*10^9)/(K115*AC115^2)</f>
        <v>2858.40382264876</v>
      </c>
      <c r="AX115" s="23" t="n">
        <f aca="false">V115</f>
        <v>5.66999036814239E-005</v>
      </c>
      <c r="AY115" s="23" t="n">
        <f aca="false">MAX(W115,1)</f>
        <v>1</v>
      </c>
      <c r="AZ115" s="23" t="n">
        <f aca="false">X115</f>
        <v>0.000119112094752048</v>
      </c>
      <c r="BA115" s="24" t="n">
        <f aca="false">0.8*AZ115</f>
        <v>9.52896758016384E-005</v>
      </c>
      <c r="BB115" s="24" t="n">
        <f aca="false">AZ115*1.2</f>
        <v>0.000142934513702458</v>
      </c>
      <c r="BC115" s="0" t="str">
        <f aca="false">Z115</f>
        <v>Mansouri Thesis</v>
      </c>
    </row>
    <row r="116" customFormat="false" ht="12.8" hidden="false" customHeight="false" outlineLevel="0" collapsed="false">
      <c r="A116" s="1" t="n">
        <v>2</v>
      </c>
      <c r="B116" s="1" t="s">
        <v>48</v>
      </c>
      <c r="C116" s="1" t="s">
        <v>53</v>
      </c>
      <c r="D116" s="1" t="s">
        <v>54</v>
      </c>
      <c r="E116" s="1" t="n">
        <v>75</v>
      </c>
      <c r="F116" s="1" t="n">
        <v>7.6</v>
      </c>
      <c r="G116" s="26" t="n">
        <v>152.4</v>
      </c>
      <c r="H116" s="1" t="n">
        <v>12.7</v>
      </c>
      <c r="I116" s="30" t="s">
        <v>57</v>
      </c>
      <c r="J116" s="11" t="n">
        <v>1.517</v>
      </c>
      <c r="K116" s="30" t="n">
        <v>7990</v>
      </c>
      <c r="L116" s="1" t="n">
        <v>0</v>
      </c>
      <c r="M116" s="1" t="n">
        <v>0</v>
      </c>
      <c r="N116" s="1" t="n">
        <v>0</v>
      </c>
      <c r="O116" s="1" t="n">
        <v>8.15</v>
      </c>
      <c r="P116" s="26" t="n">
        <v>1</v>
      </c>
      <c r="Q116" s="1" t="n">
        <v>1000</v>
      </c>
      <c r="R116" s="13" t="n">
        <f aca="false">(N116*L116+O116*Q116)/(L116+O116)</f>
        <v>1000</v>
      </c>
      <c r="S116" s="14" t="n">
        <f aca="false">(M116*L116+O116*P116*0.1)/(L116+O116)</f>
        <v>0.1</v>
      </c>
      <c r="T116" s="1" t="n">
        <v>300</v>
      </c>
      <c r="U116" s="30" t="n">
        <v>2650</v>
      </c>
      <c r="V116" s="16" t="n">
        <v>5.66999036814239E-005</v>
      </c>
      <c r="W116" s="1" t="n">
        <v>1</v>
      </c>
      <c r="X116" s="17" t="n">
        <v>0.000138278019139982</v>
      </c>
      <c r="Z116" s="29" t="s">
        <v>58</v>
      </c>
      <c r="AC116" s="18" t="n">
        <f aca="false">MAX(L116,O116)</f>
        <v>8.15</v>
      </c>
      <c r="AD116" s="17" t="n">
        <f aca="false">MAX(M116,P116*0.1)</f>
        <v>0.1</v>
      </c>
      <c r="AE116" s="1" t="n">
        <f aca="false">MAX(N116,Q116)</f>
        <v>1000</v>
      </c>
      <c r="AG116" s="16"/>
      <c r="AH116" s="19" t="n">
        <v>114</v>
      </c>
      <c r="AI116" s="20" t="str">
        <f aca="false">B116</f>
        <v>DI</v>
      </c>
      <c r="AJ116" s="20" t="str">
        <f aca="false">C116</f>
        <v>Liquid-Solid</v>
      </c>
      <c r="AK116" s="20" t="str">
        <f aca="false">D116</f>
        <v>V-H</v>
      </c>
      <c r="AL116" s="21" t="n">
        <f aca="false">E116</f>
        <v>75</v>
      </c>
      <c r="AM116" s="22" t="n">
        <v>1E-006</v>
      </c>
      <c r="AN116" s="23" t="n">
        <f aca="false">MAX(G116/(F116/1000),25000)</f>
        <v>25000</v>
      </c>
      <c r="AO116" s="23" t="n">
        <f aca="false">H116/F116</f>
        <v>1.67105263157895</v>
      </c>
      <c r="AP116" s="23" t="n">
        <f aca="false">AC116/SQRT(9.81*(F116/1000))</f>
        <v>29.8480737362979</v>
      </c>
      <c r="AQ116" s="23" t="n">
        <f aca="false">(AE116*AC116*(F116/1000))/AD116</f>
        <v>619.4</v>
      </c>
      <c r="AR116" s="23" t="n">
        <f aca="false">((T116*0.000001)^3*AE116*(U116-AE116)*9.81)/AD116^2</f>
        <v>0.04370355</v>
      </c>
      <c r="AS116" s="23" t="n">
        <f aca="false">(U116*((T116/10^6)^2)/(18*AD116))*AC116/(F116/1000)</f>
        <v>0.142088815789474</v>
      </c>
      <c r="AT116" s="23" t="n">
        <f aca="false">AE116*(T116/10^6)*AC116/AD116</f>
        <v>24.45</v>
      </c>
      <c r="AU116" s="23" t="n">
        <f aca="false">(T116/10^6)/(F116/1000)</f>
        <v>0.0394736842105263</v>
      </c>
      <c r="AV116" s="23" t="n">
        <f aca="false">AE116/U116</f>
        <v>0.377358490566038</v>
      </c>
      <c r="AW116" s="23" t="n">
        <f aca="false">(J116*10^9)/(K116*AC116^2)</f>
        <v>2858.40382264876</v>
      </c>
      <c r="AX116" s="23" t="n">
        <f aca="false">V116</f>
        <v>5.66999036814239E-005</v>
      </c>
      <c r="AY116" s="23" t="n">
        <f aca="false">MAX(W116,1)</f>
        <v>1</v>
      </c>
      <c r="AZ116" s="23" t="n">
        <f aca="false">X116</f>
        <v>0.000138278019139982</v>
      </c>
      <c r="BA116" s="24" t="n">
        <f aca="false">0.8*AZ116</f>
        <v>0.000110622415311986</v>
      </c>
      <c r="BB116" s="24" t="n">
        <f aca="false">AZ116*1.2</f>
        <v>0.000165933622967978</v>
      </c>
      <c r="BC116" s="0" t="str">
        <f aca="false">Z116</f>
        <v>Mansouri Thesis</v>
      </c>
    </row>
    <row r="117" customFormat="false" ht="12.8" hidden="false" customHeight="false" outlineLevel="0" collapsed="false">
      <c r="A117" s="1" t="n">
        <v>3</v>
      </c>
      <c r="B117" s="1" t="s">
        <v>48</v>
      </c>
      <c r="C117" s="1" t="s">
        <v>53</v>
      </c>
      <c r="D117" s="1" t="s">
        <v>54</v>
      </c>
      <c r="E117" s="1" t="n">
        <v>45</v>
      </c>
      <c r="F117" s="1" t="n">
        <v>7.6</v>
      </c>
      <c r="G117" s="26" t="n">
        <v>152.4</v>
      </c>
      <c r="H117" s="1" t="n">
        <v>12.7</v>
      </c>
      <c r="I117" s="30" t="s">
        <v>57</v>
      </c>
      <c r="J117" s="11" t="n">
        <v>1.517</v>
      </c>
      <c r="K117" s="30" t="n">
        <v>7990</v>
      </c>
      <c r="L117" s="1" t="n">
        <v>0</v>
      </c>
      <c r="M117" s="1" t="n">
        <v>0</v>
      </c>
      <c r="N117" s="1" t="n">
        <v>0</v>
      </c>
      <c r="O117" s="1" t="n">
        <v>8.15</v>
      </c>
      <c r="P117" s="26" t="n">
        <v>1</v>
      </c>
      <c r="Q117" s="1" t="n">
        <v>1000</v>
      </c>
      <c r="R117" s="13" t="n">
        <f aca="false">(N117*L117+O117*Q117)/(L117+O117)</f>
        <v>1000</v>
      </c>
      <c r="S117" s="14" t="n">
        <f aca="false">(M117*L117+O117*P117*0.1)/(L117+O117)</f>
        <v>0.1</v>
      </c>
      <c r="T117" s="1" t="n">
        <v>300</v>
      </c>
      <c r="U117" s="30" t="n">
        <v>2650</v>
      </c>
      <c r="V117" s="16" t="n">
        <v>5.66999036814239E-005</v>
      </c>
      <c r="W117" s="1" t="n">
        <v>1</v>
      </c>
      <c r="X117" s="17" t="n">
        <v>7.47045649527843E-005</v>
      </c>
      <c r="Z117" s="29" t="s">
        <v>58</v>
      </c>
      <c r="AC117" s="18" t="n">
        <f aca="false">MAX(L117,O117)</f>
        <v>8.15</v>
      </c>
      <c r="AD117" s="17" t="n">
        <f aca="false">MAX(M117,P117*0.1)</f>
        <v>0.1</v>
      </c>
      <c r="AE117" s="1" t="n">
        <f aca="false">MAX(N117,Q117)</f>
        <v>1000</v>
      </c>
      <c r="AG117" s="16"/>
      <c r="AH117" s="19" t="n">
        <v>115</v>
      </c>
      <c r="AI117" s="20" t="str">
        <f aca="false">B117</f>
        <v>DI</v>
      </c>
      <c r="AJ117" s="20" t="str">
        <f aca="false">C117</f>
        <v>Liquid-Solid</v>
      </c>
      <c r="AK117" s="20" t="str">
        <f aca="false">D117</f>
        <v>V-H</v>
      </c>
      <c r="AL117" s="21" t="n">
        <f aca="false">E117</f>
        <v>45</v>
      </c>
      <c r="AM117" s="22" t="n">
        <v>1E-006</v>
      </c>
      <c r="AN117" s="23" t="n">
        <f aca="false">MAX(G117/(F117/1000),25000)</f>
        <v>25000</v>
      </c>
      <c r="AO117" s="23" t="n">
        <f aca="false">H117/F117</f>
        <v>1.67105263157895</v>
      </c>
      <c r="AP117" s="23" t="n">
        <f aca="false">AC117/SQRT(9.81*(F117/1000))</f>
        <v>29.8480737362979</v>
      </c>
      <c r="AQ117" s="23" t="n">
        <f aca="false">(AE117*AC117*(F117/1000))/AD117</f>
        <v>619.4</v>
      </c>
      <c r="AR117" s="23" t="n">
        <f aca="false">((T117*0.000001)^3*AE117*(U117-AE117)*9.81)/AD117^2</f>
        <v>0.04370355</v>
      </c>
      <c r="AS117" s="23" t="n">
        <f aca="false">(U117*((T117/10^6)^2)/(18*AD117))*AC117/(F117/1000)</f>
        <v>0.142088815789474</v>
      </c>
      <c r="AT117" s="23" t="n">
        <f aca="false">AE117*(T117/10^6)*AC117/AD117</f>
        <v>24.45</v>
      </c>
      <c r="AU117" s="23" t="n">
        <f aca="false">(T117/10^6)/(F117/1000)</f>
        <v>0.0394736842105263</v>
      </c>
      <c r="AV117" s="23" t="n">
        <f aca="false">AE117/U117</f>
        <v>0.377358490566038</v>
      </c>
      <c r="AW117" s="23" t="n">
        <f aca="false">(J117*10^9)/(K117*AC117^2)</f>
        <v>2858.40382264876</v>
      </c>
      <c r="AX117" s="23" t="n">
        <f aca="false">V117</f>
        <v>5.66999036814239E-005</v>
      </c>
      <c r="AY117" s="23" t="n">
        <f aca="false">MAX(W117,1)</f>
        <v>1</v>
      </c>
      <c r="AZ117" s="23" t="n">
        <f aca="false">X117</f>
        <v>7.47045649527843E-005</v>
      </c>
      <c r="BA117" s="24" t="n">
        <f aca="false">0.8*AZ117</f>
        <v>5.97636519622274E-005</v>
      </c>
      <c r="BB117" s="24" t="n">
        <f aca="false">AZ117*1.2</f>
        <v>8.96454779433411E-005</v>
      </c>
      <c r="BC117" s="0" t="str">
        <f aca="false">Z117</f>
        <v>Mansouri Thesis</v>
      </c>
    </row>
    <row r="118" customFormat="false" ht="12.8" hidden="false" customHeight="false" outlineLevel="0" collapsed="false">
      <c r="A118" s="1" t="n">
        <v>4</v>
      </c>
      <c r="B118" s="1" t="s">
        <v>48</v>
      </c>
      <c r="C118" s="1" t="s">
        <v>53</v>
      </c>
      <c r="D118" s="1" t="s">
        <v>54</v>
      </c>
      <c r="E118" s="1" t="n">
        <v>75</v>
      </c>
      <c r="F118" s="1" t="n">
        <v>7.6</v>
      </c>
      <c r="G118" s="26" t="n">
        <v>152.4</v>
      </c>
      <c r="H118" s="1" t="n">
        <v>12.7</v>
      </c>
      <c r="I118" s="30" t="s">
        <v>57</v>
      </c>
      <c r="J118" s="11" t="n">
        <v>1.517</v>
      </c>
      <c r="K118" s="30" t="n">
        <v>7990</v>
      </c>
      <c r="L118" s="1" t="n">
        <v>0</v>
      </c>
      <c r="M118" s="1" t="n">
        <v>0</v>
      </c>
      <c r="N118" s="1" t="n">
        <v>0</v>
      </c>
      <c r="O118" s="1" t="n">
        <v>8.15</v>
      </c>
      <c r="P118" s="26" t="n">
        <v>55</v>
      </c>
      <c r="Q118" s="1" t="n">
        <v>1000</v>
      </c>
      <c r="R118" s="13" t="n">
        <f aca="false">(N118*L118+O118*Q118)/(L118+O118)</f>
        <v>1000</v>
      </c>
      <c r="S118" s="14" t="n">
        <f aca="false">(M118*L118+O118*P118*0.1)/(L118+O118)</f>
        <v>5.5</v>
      </c>
      <c r="T118" s="1" t="n">
        <v>300</v>
      </c>
      <c r="U118" s="30" t="n">
        <v>2650</v>
      </c>
      <c r="V118" s="16" t="n">
        <v>5.66999036814239E-005</v>
      </c>
      <c r="W118" s="1" t="n">
        <v>1</v>
      </c>
      <c r="X118" s="17" t="n">
        <v>0.0001726235607169</v>
      </c>
      <c r="Z118" s="29" t="s">
        <v>58</v>
      </c>
      <c r="AC118" s="18" t="n">
        <f aca="false">MAX(L118,O118)</f>
        <v>8.15</v>
      </c>
      <c r="AD118" s="17" t="n">
        <f aca="false">MAX(M118,P118*0.1)</f>
        <v>5.5</v>
      </c>
      <c r="AE118" s="1" t="n">
        <f aca="false">MAX(N118,Q118)</f>
        <v>1000</v>
      </c>
      <c r="AG118" s="16"/>
      <c r="AH118" s="19" t="n">
        <v>116</v>
      </c>
      <c r="AI118" s="20" t="str">
        <f aca="false">B118</f>
        <v>DI</v>
      </c>
      <c r="AJ118" s="20" t="str">
        <f aca="false">C118</f>
        <v>Liquid-Solid</v>
      </c>
      <c r="AK118" s="20" t="str">
        <f aca="false">D118</f>
        <v>V-H</v>
      </c>
      <c r="AL118" s="21" t="n">
        <f aca="false">E118</f>
        <v>75</v>
      </c>
      <c r="AM118" s="22" t="n">
        <v>1E-006</v>
      </c>
      <c r="AN118" s="23" t="n">
        <f aca="false">MAX(G118/(F118/1000),25000)</f>
        <v>25000</v>
      </c>
      <c r="AO118" s="23" t="n">
        <f aca="false">H118/F118</f>
        <v>1.67105263157895</v>
      </c>
      <c r="AP118" s="23" t="n">
        <f aca="false">AC118/SQRT(9.81*(F118/1000))</f>
        <v>29.8480737362979</v>
      </c>
      <c r="AQ118" s="23" t="n">
        <f aca="false">(AE118*AC118*(F118/1000))/AD118</f>
        <v>11.2618181818182</v>
      </c>
      <c r="AR118" s="23" t="n">
        <f aca="false">((T118*0.000001)^3*AE118*(U118-AE118)*9.81)/AD118^2</f>
        <v>1.44474545454545E-005</v>
      </c>
      <c r="AS118" s="23" t="n">
        <f aca="false">(U118*((T118/10^6)^2)/(18*AD118))*AC118/(F118/1000)</f>
        <v>0.00258343301435407</v>
      </c>
      <c r="AT118" s="23" t="n">
        <f aca="false">AE118*(T118/10^6)*AC118/AD118</f>
        <v>0.444545454545455</v>
      </c>
      <c r="AU118" s="23" t="n">
        <f aca="false">(T118/10^6)/(F118/1000)</f>
        <v>0.0394736842105263</v>
      </c>
      <c r="AV118" s="23" t="n">
        <f aca="false">AE118/U118</f>
        <v>0.377358490566038</v>
      </c>
      <c r="AW118" s="23" t="n">
        <f aca="false">(J118*10^9)/(K118*AC118^2)</f>
        <v>2858.40382264876</v>
      </c>
      <c r="AX118" s="23" t="n">
        <f aca="false">V118</f>
        <v>5.66999036814239E-005</v>
      </c>
      <c r="AY118" s="23" t="n">
        <f aca="false">MAX(W118,1)</f>
        <v>1</v>
      </c>
      <c r="AZ118" s="23" t="n">
        <f aca="false">X118</f>
        <v>0.0001726235607169</v>
      </c>
      <c r="BA118" s="24" t="n">
        <f aca="false">0.8*AZ118</f>
        <v>0.00013809884857352</v>
      </c>
      <c r="BB118" s="24" t="n">
        <f aca="false">AZ118*1.2</f>
        <v>0.00020714827286028</v>
      </c>
      <c r="BC118" s="0" t="str">
        <f aca="false">Z118</f>
        <v>Mansouri Thesis</v>
      </c>
    </row>
    <row r="119" customFormat="false" ht="12.8" hidden="false" customHeight="false" outlineLevel="0" collapsed="false">
      <c r="A119" s="1" t="n">
        <v>5</v>
      </c>
      <c r="B119" s="1" t="s">
        <v>48</v>
      </c>
      <c r="C119" s="1" t="s">
        <v>53</v>
      </c>
      <c r="D119" s="1" t="s">
        <v>54</v>
      </c>
      <c r="E119" s="1" t="n">
        <v>45</v>
      </c>
      <c r="F119" s="1" t="n">
        <v>7.6</v>
      </c>
      <c r="G119" s="26" t="n">
        <v>152.4</v>
      </c>
      <c r="H119" s="1" t="n">
        <v>12.7</v>
      </c>
      <c r="I119" s="30" t="s">
        <v>57</v>
      </c>
      <c r="J119" s="11" t="n">
        <v>1.517</v>
      </c>
      <c r="K119" s="30" t="n">
        <v>7990</v>
      </c>
      <c r="L119" s="1" t="n">
        <v>0</v>
      </c>
      <c r="M119" s="1" t="n">
        <v>0</v>
      </c>
      <c r="N119" s="1" t="n">
        <v>0</v>
      </c>
      <c r="O119" s="1" t="n">
        <v>8.15</v>
      </c>
      <c r="P119" s="26" t="n">
        <v>55</v>
      </c>
      <c r="Q119" s="1" t="n">
        <v>1000</v>
      </c>
      <c r="R119" s="13" t="n">
        <f aca="false">(N119*L119+O119*Q119)/(L119+O119)</f>
        <v>1000</v>
      </c>
      <c r="S119" s="14" t="n">
        <f aca="false">(M119*L119+O119*P119*0.1)/(L119+O119)</f>
        <v>5.5</v>
      </c>
      <c r="T119" s="1" t="n">
        <v>300</v>
      </c>
      <c r="U119" s="30" t="n">
        <v>2650</v>
      </c>
      <c r="V119" s="16" t="n">
        <v>5.66999036814239E-005</v>
      </c>
      <c r="W119" s="1" t="n">
        <v>1</v>
      </c>
      <c r="X119" s="17" t="n">
        <v>8.37798985695545E-005</v>
      </c>
      <c r="Z119" s="29" t="s">
        <v>58</v>
      </c>
      <c r="AC119" s="18" t="n">
        <f aca="false">MAX(L119,O119)</f>
        <v>8.15</v>
      </c>
      <c r="AD119" s="17" t="n">
        <f aca="false">MAX(M119,P119*0.1)</f>
        <v>5.5</v>
      </c>
      <c r="AE119" s="1" t="n">
        <f aca="false">MAX(N119,Q119)</f>
        <v>1000</v>
      </c>
      <c r="AG119" s="16"/>
      <c r="AH119" s="19" t="n">
        <v>117</v>
      </c>
      <c r="AI119" s="20" t="str">
        <f aca="false">B119</f>
        <v>DI</v>
      </c>
      <c r="AJ119" s="20" t="str">
        <f aca="false">C119</f>
        <v>Liquid-Solid</v>
      </c>
      <c r="AK119" s="20" t="str">
        <f aca="false">D119</f>
        <v>V-H</v>
      </c>
      <c r="AL119" s="21" t="n">
        <f aca="false">E119</f>
        <v>45</v>
      </c>
      <c r="AM119" s="22" t="n">
        <v>1E-006</v>
      </c>
      <c r="AN119" s="23" t="n">
        <f aca="false">MAX(G119/(F119/1000),25000)</f>
        <v>25000</v>
      </c>
      <c r="AO119" s="23" t="n">
        <f aca="false">H119/F119</f>
        <v>1.67105263157895</v>
      </c>
      <c r="AP119" s="23" t="n">
        <f aca="false">AC119/SQRT(9.81*(F119/1000))</f>
        <v>29.8480737362979</v>
      </c>
      <c r="AQ119" s="23" t="n">
        <f aca="false">(AE119*AC119*(F119/1000))/AD119</f>
        <v>11.2618181818182</v>
      </c>
      <c r="AR119" s="23" t="n">
        <f aca="false">((T119*0.000001)^3*AE119*(U119-AE119)*9.81)/AD119^2</f>
        <v>1.44474545454545E-005</v>
      </c>
      <c r="AS119" s="23" t="n">
        <f aca="false">(U119*((T119/10^6)^2)/(18*AD119))*AC119/(F119/1000)</f>
        <v>0.00258343301435407</v>
      </c>
      <c r="AT119" s="23" t="n">
        <f aca="false">AE119*(T119/10^6)*AC119/AD119</f>
        <v>0.444545454545455</v>
      </c>
      <c r="AU119" s="23" t="n">
        <f aca="false">(T119/10^6)/(F119/1000)</f>
        <v>0.0394736842105263</v>
      </c>
      <c r="AV119" s="23" t="n">
        <f aca="false">AE119/U119</f>
        <v>0.377358490566038</v>
      </c>
      <c r="AW119" s="23" t="n">
        <f aca="false">(J119*10^9)/(K119*AC119^2)</f>
        <v>2858.40382264876</v>
      </c>
      <c r="AX119" s="23" t="n">
        <f aca="false">V119</f>
        <v>5.66999036814239E-005</v>
      </c>
      <c r="AY119" s="23" t="n">
        <f aca="false">MAX(W119,1)</f>
        <v>1</v>
      </c>
      <c r="AZ119" s="23" t="n">
        <f aca="false">X119</f>
        <v>8.37798985695545E-005</v>
      </c>
      <c r="BA119" s="24" t="n">
        <f aca="false">0.8*AZ119</f>
        <v>6.70239188556436E-005</v>
      </c>
      <c r="BB119" s="24" t="n">
        <f aca="false">AZ119*1.2</f>
        <v>0.000100535878283465</v>
      </c>
      <c r="BC119" s="0" t="str">
        <f aca="false">Z119</f>
        <v>Mansouri Thesis</v>
      </c>
    </row>
    <row r="120" customFormat="false" ht="12.8" hidden="false" customHeight="false" outlineLevel="0" collapsed="false">
      <c r="A120" s="1" t="n">
        <v>6</v>
      </c>
      <c r="B120" s="1" t="s">
        <v>48</v>
      </c>
      <c r="C120" s="1" t="s">
        <v>53</v>
      </c>
      <c r="D120" s="1" t="s">
        <v>54</v>
      </c>
      <c r="E120" s="1" t="n">
        <v>90</v>
      </c>
      <c r="F120" s="1" t="n">
        <v>7.6</v>
      </c>
      <c r="G120" s="26" t="n">
        <v>152.4</v>
      </c>
      <c r="H120" s="1" t="n">
        <v>12.7</v>
      </c>
      <c r="I120" s="30" t="s">
        <v>57</v>
      </c>
      <c r="J120" s="11" t="n">
        <v>1.517</v>
      </c>
      <c r="K120" s="30" t="n">
        <v>7990</v>
      </c>
      <c r="L120" s="1" t="n">
        <v>0</v>
      </c>
      <c r="M120" s="1" t="n">
        <v>0</v>
      </c>
      <c r="N120" s="1" t="n">
        <v>0</v>
      </c>
      <c r="O120" s="1" t="n">
        <v>8.15</v>
      </c>
      <c r="P120" s="26" t="n">
        <v>1</v>
      </c>
      <c r="Q120" s="1" t="n">
        <v>1000</v>
      </c>
      <c r="R120" s="13" t="n">
        <f aca="false">(N120*L120+O120*Q120)/(L120+O120)</f>
        <v>1000</v>
      </c>
      <c r="S120" s="14" t="n">
        <f aca="false">(M120*L120+O120*P120*0.1)/(L120+O120)</f>
        <v>0.1</v>
      </c>
      <c r="T120" s="1" t="n">
        <v>300</v>
      </c>
      <c r="U120" s="30" t="n">
        <v>2650</v>
      </c>
      <c r="V120" s="16" t="n">
        <v>5.6699903681424E-005</v>
      </c>
      <c r="W120" s="1" t="n">
        <v>1</v>
      </c>
      <c r="X120" s="17" t="n">
        <v>7.23374536218082E-005</v>
      </c>
      <c r="Z120" s="29" t="s">
        <v>58</v>
      </c>
      <c r="AC120" s="18" t="n">
        <f aca="false">MAX(L120,O120)</f>
        <v>8.15</v>
      </c>
      <c r="AD120" s="17" t="n">
        <f aca="false">MAX(M120,P120*0.1)</f>
        <v>0.1</v>
      </c>
      <c r="AE120" s="1" t="n">
        <f aca="false">MAX(N120,Q120)</f>
        <v>1000</v>
      </c>
      <c r="AG120" s="16"/>
      <c r="AH120" s="19" t="n">
        <v>118</v>
      </c>
      <c r="AI120" s="20" t="str">
        <f aca="false">B120</f>
        <v>DI</v>
      </c>
      <c r="AJ120" s="20" t="str">
        <f aca="false">C120</f>
        <v>Liquid-Solid</v>
      </c>
      <c r="AK120" s="20" t="str">
        <f aca="false">D120</f>
        <v>V-H</v>
      </c>
      <c r="AL120" s="21" t="n">
        <f aca="false">E120</f>
        <v>90</v>
      </c>
      <c r="AM120" s="22" t="n">
        <v>1E-006</v>
      </c>
      <c r="AN120" s="23" t="n">
        <f aca="false">MAX(G120/(F120/1000),25000)</f>
        <v>25000</v>
      </c>
      <c r="AO120" s="23" t="n">
        <f aca="false">H120/F120</f>
        <v>1.67105263157895</v>
      </c>
      <c r="AP120" s="23" t="n">
        <f aca="false">AC120/SQRT(9.81*(F120/1000))</f>
        <v>29.8480737362979</v>
      </c>
      <c r="AQ120" s="23" t="n">
        <f aca="false">(AE120*AC120*(F120/1000))/AD120</f>
        <v>619.4</v>
      </c>
      <c r="AR120" s="23" t="n">
        <f aca="false">((T120*0.000001)^3*AE120*(U120-AE120)*9.81)/AD120^2</f>
        <v>0.04370355</v>
      </c>
      <c r="AS120" s="23" t="n">
        <f aca="false">(U120*((T120/10^6)^2)/(18*AD120))*AC120/(F120/1000)</f>
        <v>0.142088815789474</v>
      </c>
      <c r="AT120" s="23" t="n">
        <f aca="false">AE120*(T120/10^6)*AC120/AD120</f>
        <v>24.45</v>
      </c>
      <c r="AU120" s="23" t="n">
        <f aca="false">(T120/10^6)/(F120/1000)</f>
        <v>0.0394736842105263</v>
      </c>
      <c r="AV120" s="23" t="n">
        <f aca="false">AE120/U120</f>
        <v>0.377358490566038</v>
      </c>
      <c r="AW120" s="23" t="n">
        <f aca="false">(J120*10^9)/(K120*AC120^2)</f>
        <v>2858.40382264876</v>
      </c>
      <c r="AX120" s="23" t="n">
        <f aca="false">V120</f>
        <v>5.6699903681424E-005</v>
      </c>
      <c r="AY120" s="23" t="n">
        <f aca="false">MAX(W120,1)</f>
        <v>1</v>
      </c>
      <c r="AZ120" s="23" t="n">
        <f aca="false">X120</f>
        <v>7.23374536218082E-005</v>
      </c>
      <c r="BA120" s="24" t="n">
        <f aca="false">0.8*AZ120</f>
        <v>5.78699628974466E-005</v>
      </c>
      <c r="BB120" s="24" t="n">
        <f aca="false">AZ120*1.2</f>
        <v>8.68049443461698E-005</v>
      </c>
      <c r="BC120" s="0" t="str">
        <f aca="false">Z120</f>
        <v>Mansouri Thesis</v>
      </c>
    </row>
    <row r="121" customFormat="false" ht="12.8" hidden="false" customHeight="false" outlineLevel="0" collapsed="false">
      <c r="A121" s="1" t="n">
        <v>7</v>
      </c>
      <c r="B121" s="1" t="s">
        <v>48</v>
      </c>
      <c r="C121" s="1" t="s">
        <v>53</v>
      </c>
      <c r="D121" s="1" t="s">
        <v>54</v>
      </c>
      <c r="E121" s="1" t="n">
        <v>90</v>
      </c>
      <c r="F121" s="1" t="n">
        <v>7.6</v>
      </c>
      <c r="G121" s="26" t="n">
        <v>152.4</v>
      </c>
      <c r="H121" s="1" t="n">
        <v>12.7</v>
      </c>
      <c r="I121" s="30" t="s">
        <v>57</v>
      </c>
      <c r="J121" s="11" t="n">
        <v>1.517</v>
      </c>
      <c r="K121" s="30" t="n">
        <v>7990</v>
      </c>
      <c r="L121" s="1" t="n">
        <v>0</v>
      </c>
      <c r="M121" s="1" t="n">
        <v>0</v>
      </c>
      <c r="N121" s="1" t="n">
        <v>0</v>
      </c>
      <c r="O121" s="1" t="n">
        <v>8.15</v>
      </c>
      <c r="P121" s="26" t="n">
        <v>1</v>
      </c>
      <c r="Q121" s="1" t="n">
        <v>1000</v>
      </c>
      <c r="R121" s="13" t="n">
        <f aca="false">(N121*L121+O121*Q121)/(L121+O121)</f>
        <v>1000</v>
      </c>
      <c r="S121" s="14" t="n">
        <f aca="false">(M121*L121+O121*P121*0.1)/(L121+O121)</f>
        <v>0.1</v>
      </c>
      <c r="T121" s="1" t="n">
        <v>300</v>
      </c>
      <c r="U121" s="30" t="n">
        <v>2650</v>
      </c>
      <c r="V121" s="16" t="n">
        <v>5.6699903681424E-005</v>
      </c>
      <c r="W121" s="1" t="n">
        <v>1</v>
      </c>
      <c r="X121" s="17" t="n">
        <v>0.000110077908435973</v>
      </c>
      <c r="Z121" s="29" t="s">
        <v>58</v>
      </c>
      <c r="AC121" s="18" t="n">
        <f aca="false">MAX(L121,O121)</f>
        <v>8.15</v>
      </c>
      <c r="AD121" s="17" t="n">
        <f aca="false">MAX(M121,P121*0.1)</f>
        <v>0.1</v>
      </c>
      <c r="AE121" s="1" t="n">
        <f aca="false">MAX(N121,Q121)</f>
        <v>1000</v>
      </c>
      <c r="AG121" s="16"/>
      <c r="AH121" s="19" t="n">
        <v>119</v>
      </c>
      <c r="AI121" s="20" t="str">
        <f aca="false">B121</f>
        <v>DI</v>
      </c>
      <c r="AJ121" s="20" t="str">
        <f aca="false">C121</f>
        <v>Liquid-Solid</v>
      </c>
      <c r="AK121" s="20" t="str">
        <f aca="false">D121</f>
        <v>V-H</v>
      </c>
      <c r="AL121" s="21" t="n">
        <f aca="false">E121</f>
        <v>90</v>
      </c>
      <c r="AM121" s="22" t="n">
        <v>1E-006</v>
      </c>
      <c r="AN121" s="23" t="n">
        <f aca="false">MAX(G121/(F121/1000),25000)</f>
        <v>25000</v>
      </c>
      <c r="AO121" s="23" t="n">
        <f aca="false">H121/F121</f>
        <v>1.67105263157895</v>
      </c>
      <c r="AP121" s="23" t="n">
        <f aca="false">AC121/SQRT(9.81*(F121/1000))</f>
        <v>29.8480737362979</v>
      </c>
      <c r="AQ121" s="23" t="n">
        <f aca="false">(AE121*AC121*(F121/1000))/AD121</f>
        <v>619.4</v>
      </c>
      <c r="AR121" s="23" t="n">
        <f aca="false">((T121*0.000001)^3*AE121*(U121-AE121)*9.81)/AD121^2</f>
        <v>0.04370355</v>
      </c>
      <c r="AS121" s="23" t="n">
        <f aca="false">(U121*((T121/10^6)^2)/(18*AD121))*AC121/(F121/1000)</f>
        <v>0.142088815789474</v>
      </c>
      <c r="AT121" s="23" t="n">
        <f aca="false">AE121*(T121/10^6)*AC121/AD121</f>
        <v>24.45</v>
      </c>
      <c r="AU121" s="23" t="n">
        <f aca="false">(T121/10^6)/(F121/1000)</f>
        <v>0.0394736842105263</v>
      </c>
      <c r="AV121" s="23" t="n">
        <f aca="false">AE121/U121</f>
        <v>0.377358490566038</v>
      </c>
      <c r="AW121" s="23" t="n">
        <f aca="false">(J121*10^9)/(K121*AC121^2)</f>
        <v>2858.40382264876</v>
      </c>
      <c r="AX121" s="23" t="n">
        <f aca="false">V121</f>
        <v>5.6699903681424E-005</v>
      </c>
      <c r="AY121" s="23" t="n">
        <f aca="false">MAX(W121,1)</f>
        <v>1</v>
      </c>
      <c r="AZ121" s="23" t="n">
        <f aca="false">X121</f>
        <v>0.000110077908435973</v>
      </c>
      <c r="BA121" s="24" t="n">
        <f aca="false">0.8*AZ121</f>
        <v>8.80623267487784E-005</v>
      </c>
      <c r="BB121" s="24" t="n">
        <f aca="false">AZ121*1.2</f>
        <v>0.000132093490123168</v>
      </c>
      <c r="BC121" s="0" t="str">
        <f aca="false">Z121</f>
        <v>Mansouri Thesis</v>
      </c>
    </row>
    <row r="122" customFormat="false" ht="12.8" hidden="false" customHeight="false" outlineLevel="0" collapsed="false">
      <c r="A122" s="1" t="n">
        <v>1</v>
      </c>
      <c r="B122" s="1" t="s">
        <v>48</v>
      </c>
      <c r="C122" s="1" t="s">
        <v>49</v>
      </c>
      <c r="D122" s="1" t="s">
        <v>50</v>
      </c>
      <c r="E122" s="1" t="n">
        <v>90</v>
      </c>
      <c r="F122" s="11" t="n">
        <v>7.6</v>
      </c>
      <c r="G122" s="11" t="n">
        <v>152.4</v>
      </c>
      <c r="H122" s="1" t="n">
        <v>12.7</v>
      </c>
      <c r="I122" s="30" t="s">
        <v>57</v>
      </c>
      <c r="J122" s="11" t="n">
        <v>1.517</v>
      </c>
      <c r="K122" s="30" t="n">
        <v>7990</v>
      </c>
      <c r="L122" s="1" t="n">
        <v>109</v>
      </c>
      <c r="M122" s="12" t="n">
        <v>1.8E-005</v>
      </c>
      <c r="N122" s="11" t="n">
        <v>1.225</v>
      </c>
      <c r="O122" s="1" t="n">
        <v>0</v>
      </c>
      <c r="P122" s="1" t="n">
        <v>0</v>
      </c>
      <c r="Q122" s="1" t="n">
        <v>0</v>
      </c>
      <c r="R122" s="13" t="n">
        <f aca="false">(N122*L122+O122*Q122)/(L122+O122)</f>
        <v>1.225</v>
      </c>
      <c r="S122" s="14" t="n">
        <f aca="false">(M122*L122+O122*P122*0.1)/(L122+O122)</f>
        <v>1.8E-005</v>
      </c>
      <c r="T122" s="11" t="n">
        <v>300</v>
      </c>
      <c r="U122" s="28" t="n">
        <v>2650</v>
      </c>
      <c r="V122" s="16" t="n">
        <v>4.23971062802327E-006</v>
      </c>
      <c r="W122" s="1" t="n">
        <v>1</v>
      </c>
      <c r="X122" s="17" t="n">
        <v>0.000208875708821282</v>
      </c>
      <c r="Z122" s="29" t="s">
        <v>59</v>
      </c>
      <c r="AC122" s="18" t="n">
        <f aca="false">MAX(L122,O122)</f>
        <v>109</v>
      </c>
      <c r="AD122" s="17" t="n">
        <f aca="false">MAX(M122,P122*0.1)</f>
        <v>1.8E-005</v>
      </c>
      <c r="AE122" s="1" t="n">
        <f aca="false">MAX(N122,Q122)</f>
        <v>1.225</v>
      </c>
      <c r="AG122" s="16"/>
      <c r="AH122" s="19" t="n">
        <v>120</v>
      </c>
      <c r="AI122" s="20" t="str">
        <f aca="false">B122</f>
        <v>DI</v>
      </c>
      <c r="AJ122" s="20" t="str">
        <f aca="false">C122</f>
        <v>Gas-solid</v>
      </c>
      <c r="AK122" s="20" t="str">
        <f aca="false">D122</f>
        <v>H-V</v>
      </c>
      <c r="AL122" s="21" t="n">
        <f aca="false">E122</f>
        <v>90</v>
      </c>
      <c r="AM122" s="22" t="n">
        <v>1E-006</v>
      </c>
      <c r="AN122" s="23" t="n">
        <f aca="false">MAX(G122/(F122/1000),25000)</f>
        <v>25000</v>
      </c>
      <c r="AO122" s="23" t="n">
        <f aca="false">H122/F122</f>
        <v>1.67105263157895</v>
      </c>
      <c r="AP122" s="23" t="n">
        <f aca="false">AC122/SQRT(9.81*(F122/1000))</f>
        <v>399.195096595886</v>
      </c>
      <c r="AQ122" s="23" t="n">
        <f aca="false">(AE122*AC122*(F122/1000))/AD122</f>
        <v>56377.2222222222</v>
      </c>
      <c r="AR122" s="23" t="n">
        <f aca="false">((T122*0.000001)^3*AE122*(U122-AE122)*9.81)/AD122^2</f>
        <v>2652.5826140625</v>
      </c>
      <c r="AS122" s="23" t="n">
        <f aca="false">(U122*((T122/10^6)^2)/(18*AD122))*AC122/(F122/1000)</f>
        <v>10557.3830409357</v>
      </c>
      <c r="AT122" s="23" t="n">
        <f aca="false">AE122*(T122/10^6)*AC122/AD122</f>
        <v>2225.41666666667</v>
      </c>
      <c r="AU122" s="23" t="n">
        <f aca="false">(T122/10^6)/(F122/1000)</f>
        <v>0.0394736842105263</v>
      </c>
      <c r="AV122" s="23" t="n">
        <f aca="false">AE122/U122</f>
        <v>0.000462264150943396</v>
      </c>
      <c r="AW122" s="23" t="n">
        <f aca="false">(J122*10^9)/(K122*AC122^2)</f>
        <v>15.9803322876767</v>
      </c>
      <c r="AX122" s="23" t="n">
        <f aca="false">V122</f>
        <v>4.23971062802327E-006</v>
      </c>
      <c r="AY122" s="23" t="n">
        <f aca="false">MAX(W122,1)</f>
        <v>1</v>
      </c>
      <c r="AZ122" s="23" t="n">
        <f aca="false">X122</f>
        <v>0.000208875708821282</v>
      </c>
      <c r="BA122" s="24" t="n">
        <f aca="false">0.8*AZ122</f>
        <v>0.000167100567057026</v>
      </c>
      <c r="BB122" s="24" t="n">
        <f aca="false">AZ122*1.2</f>
        <v>0.000250650850585538</v>
      </c>
      <c r="BC122" s="0" t="str">
        <f aca="false">Z122</f>
        <v>https://www.sciencedirect.com/science/article/pii/S0043164814003627</v>
      </c>
    </row>
    <row r="123" customFormat="false" ht="12.8" hidden="false" customHeight="false" outlineLevel="0" collapsed="false">
      <c r="A123" s="1" t="n">
        <v>2</v>
      </c>
      <c r="B123" s="1" t="s">
        <v>48</v>
      </c>
      <c r="C123" s="1" t="s">
        <v>49</v>
      </c>
      <c r="D123" s="1" t="s">
        <v>50</v>
      </c>
      <c r="E123" s="1" t="n">
        <v>60</v>
      </c>
      <c r="F123" s="11" t="n">
        <v>7.6</v>
      </c>
      <c r="G123" s="11" t="n">
        <v>152.4</v>
      </c>
      <c r="H123" s="1" t="n">
        <v>12.7</v>
      </c>
      <c r="I123" s="30" t="s">
        <v>57</v>
      </c>
      <c r="J123" s="11" t="n">
        <v>1.517</v>
      </c>
      <c r="K123" s="30" t="n">
        <v>7990</v>
      </c>
      <c r="L123" s="1" t="n">
        <v>109</v>
      </c>
      <c r="M123" s="12" t="n">
        <v>1.8E-005</v>
      </c>
      <c r="N123" s="11" t="n">
        <v>1.225</v>
      </c>
      <c r="O123" s="1" t="n">
        <v>0</v>
      </c>
      <c r="P123" s="1" t="n">
        <v>0</v>
      </c>
      <c r="Q123" s="1" t="n">
        <v>0</v>
      </c>
      <c r="R123" s="13" t="n">
        <f aca="false">(N123*L123+O123*Q123)/(L123+O123)</f>
        <v>1.225</v>
      </c>
      <c r="S123" s="14" t="n">
        <f aca="false">(M123*L123+O123*P123*0.1)/(L123+O123)</f>
        <v>1.8E-005</v>
      </c>
      <c r="T123" s="11" t="n">
        <v>300</v>
      </c>
      <c r="U123" s="28" t="n">
        <v>2650</v>
      </c>
      <c r="V123" s="16" t="n">
        <v>4.23971062802327E-006</v>
      </c>
      <c r="W123" s="1" t="n">
        <v>1</v>
      </c>
      <c r="X123" s="17" t="n">
        <v>0.000194394340789475</v>
      </c>
      <c r="Z123" s="29" t="s">
        <v>59</v>
      </c>
      <c r="AC123" s="18" t="n">
        <f aca="false">MAX(L123,O123)</f>
        <v>109</v>
      </c>
      <c r="AD123" s="17" t="n">
        <f aca="false">MAX(M123,P123*0.1)</f>
        <v>1.8E-005</v>
      </c>
      <c r="AE123" s="1" t="n">
        <f aca="false">MAX(N123,Q123)</f>
        <v>1.225</v>
      </c>
      <c r="AG123" s="16"/>
      <c r="AH123" s="19" t="n">
        <v>121</v>
      </c>
      <c r="AI123" s="20" t="str">
        <f aca="false">B123</f>
        <v>DI</v>
      </c>
      <c r="AJ123" s="20" t="str">
        <f aca="false">C123</f>
        <v>Gas-solid</v>
      </c>
      <c r="AK123" s="20" t="str">
        <f aca="false">D123</f>
        <v>H-V</v>
      </c>
      <c r="AL123" s="21" t="n">
        <f aca="false">E123</f>
        <v>60</v>
      </c>
      <c r="AM123" s="22" t="n">
        <v>1E-006</v>
      </c>
      <c r="AN123" s="23" t="n">
        <f aca="false">MAX(G123/(F123/1000),25000)</f>
        <v>25000</v>
      </c>
      <c r="AO123" s="23" t="n">
        <f aca="false">H123/F123</f>
        <v>1.67105263157895</v>
      </c>
      <c r="AP123" s="23" t="n">
        <f aca="false">AC123/SQRT(9.81*(F123/1000))</f>
        <v>399.195096595886</v>
      </c>
      <c r="AQ123" s="23" t="n">
        <f aca="false">(AE123*AC123*(F123/1000))/AD123</f>
        <v>56377.2222222222</v>
      </c>
      <c r="AR123" s="23" t="n">
        <f aca="false">((T123*0.000001)^3*AE123*(U123-AE123)*9.81)/AD123^2</f>
        <v>2652.5826140625</v>
      </c>
      <c r="AS123" s="23" t="n">
        <f aca="false">(U123*((T123/10^6)^2)/(18*AD123))*AC123/(F123/1000)</f>
        <v>10557.3830409357</v>
      </c>
      <c r="AT123" s="23" t="n">
        <f aca="false">AE123*(T123/10^6)*AC123/AD123</f>
        <v>2225.41666666667</v>
      </c>
      <c r="AU123" s="23" t="n">
        <f aca="false">(T123/10^6)/(F123/1000)</f>
        <v>0.0394736842105263</v>
      </c>
      <c r="AV123" s="23" t="n">
        <f aca="false">AE123/U123</f>
        <v>0.000462264150943396</v>
      </c>
      <c r="AW123" s="23" t="n">
        <f aca="false">(J123*10^9)/(K123*AC123^2)</f>
        <v>15.9803322876767</v>
      </c>
      <c r="AX123" s="23" t="n">
        <f aca="false">V123</f>
        <v>4.23971062802327E-006</v>
      </c>
      <c r="AY123" s="23" t="n">
        <f aca="false">MAX(W123,1)</f>
        <v>1</v>
      </c>
      <c r="AZ123" s="23" t="n">
        <f aca="false">X123</f>
        <v>0.000194394340789475</v>
      </c>
      <c r="BA123" s="24" t="n">
        <f aca="false">0.8*AZ123</f>
        <v>0.00015551547263158</v>
      </c>
      <c r="BB123" s="24" t="n">
        <f aca="false">AZ123*1.2</f>
        <v>0.00023327320894737</v>
      </c>
      <c r="BC123" s="0" t="str">
        <f aca="false">Z123</f>
        <v>https://www.sciencedirect.com/science/article/pii/S0043164814003627</v>
      </c>
    </row>
    <row r="124" customFormat="false" ht="12.8" hidden="false" customHeight="false" outlineLevel="0" collapsed="false">
      <c r="A124" s="1" t="n">
        <v>3</v>
      </c>
      <c r="B124" s="1" t="s">
        <v>48</v>
      </c>
      <c r="C124" s="1" t="s">
        <v>49</v>
      </c>
      <c r="D124" s="1" t="s">
        <v>50</v>
      </c>
      <c r="E124" s="1" t="n">
        <v>45</v>
      </c>
      <c r="F124" s="11" t="n">
        <v>7.6</v>
      </c>
      <c r="G124" s="11" t="n">
        <v>152.4</v>
      </c>
      <c r="H124" s="1" t="n">
        <v>12.7</v>
      </c>
      <c r="I124" s="30" t="s">
        <v>57</v>
      </c>
      <c r="J124" s="11" t="n">
        <v>1.517</v>
      </c>
      <c r="K124" s="30" t="n">
        <v>7990</v>
      </c>
      <c r="L124" s="1" t="n">
        <v>109</v>
      </c>
      <c r="M124" s="12" t="n">
        <v>1.8E-005</v>
      </c>
      <c r="N124" s="11" t="n">
        <v>1.225</v>
      </c>
      <c r="O124" s="1" t="n">
        <v>0</v>
      </c>
      <c r="P124" s="1" t="n">
        <v>0</v>
      </c>
      <c r="Q124" s="1" t="n">
        <v>0</v>
      </c>
      <c r="R124" s="13" t="n">
        <f aca="false">(N124*L124+O124*Q124)/(L124+O124)</f>
        <v>1.225</v>
      </c>
      <c r="S124" s="14" t="n">
        <f aca="false">(M124*L124+O124*P124*0.1)/(L124+O124)</f>
        <v>1.8E-005</v>
      </c>
      <c r="T124" s="11" t="n">
        <v>300</v>
      </c>
      <c r="U124" s="28" t="n">
        <v>2650</v>
      </c>
      <c r="V124" s="16" t="n">
        <v>4.23971062802327E-006</v>
      </c>
      <c r="W124" s="1" t="n">
        <v>1</v>
      </c>
      <c r="X124" s="17" t="n">
        <v>0.000192571148266165</v>
      </c>
      <c r="Z124" s="29" t="s">
        <v>59</v>
      </c>
      <c r="AC124" s="18" t="n">
        <f aca="false">MAX(L124,O124)</f>
        <v>109</v>
      </c>
      <c r="AD124" s="17" t="n">
        <f aca="false">MAX(M124,P124*0.1)</f>
        <v>1.8E-005</v>
      </c>
      <c r="AE124" s="1" t="n">
        <f aca="false">MAX(N124,Q124)</f>
        <v>1.225</v>
      </c>
      <c r="AG124" s="16"/>
      <c r="AH124" s="19" t="n">
        <v>122</v>
      </c>
      <c r="AI124" s="20" t="str">
        <f aca="false">B124</f>
        <v>DI</v>
      </c>
      <c r="AJ124" s="20" t="str">
        <f aca="false">C124</f>
        <v>Gas-solid</v>
      </c>
      <c r="AK124" s="20" t="str">
        <f aca="false">D124</f>
        <v>H-V</v>
      </c>
      <c r="AL124" s="21" t="n">
        <f aca="false">E124</f>
        <v>45</v>
      </c>
      <c r="AM124" s="22" t="n">
        <v>1E-006</v>
      </c>
      <c r="AN124" s="23" t="n">
        <f aca="false">MAX(G124/(F124/1000),25000)</f>
        <v>25000</v>
      </c>
      <c r="AO124" s="23" t="n">
        <f aca="false">H124/F124</f>
        <v>1.67105263157895</v>
      </c>
      <c r="AP124" s="23" t="n">
        <f aca="false">AC124/SQRT(9.81*(F124/1000))</f>
        <v>399.195096595886</v>
      </c>
      <c r="AQ124" s="23" t="n">
        <f aca="false">(AE124*AC124*(F124/1000))/AD124</f>
        <v>56377.2222222222</v>
      </c>
      <c r="AR124" s="23" t="n">
        <f aca="false">((T124*0.000001)^3*AE124*(U124-AE124)*9.81)/AD124^2</f>
        <v>2652.5826140625</v>
      </c>
      <c r="AS124" s="23" t="n">
        <f aca="false">(U124*((T124/10^6)^2)/(18*AD124))*AC124/(F124/1000)</f>
        <v>10557.3830409357</v>
      </c>
      <c r="AT124" s="23" t="n">
        <f aca="false">AE124*(T124/10^6)*AC124/AD124</f>
        <v>2225.41666666667</v>
      </c>
      <c r="AU124" s="23" t="n">
        <f aca="false">(T124/10^6)/(F124/1000)</f>
        <v>0.0394736842105263</v>
      </c>
      <c r="AV124" s="23" t="n">
        <f aca="false">AE124/U124</f>
        <v>0.000462264150943396</v>
      </c>
      <c r="AW124" s="23" t="n">
        <f aca="false">(J124*10^9)/(K124*AC124^2)</f>
        <v>15.9803322876767</v>
      </c>
      <c r="AX124" s="23" t="n">
        <f aca="false">V124</f>
        <v>4.23971062802327E-006</v>
      </c>
      <c r="AY124" s="23" t="n">
        <f aca="false">MAX(W124,1)</f>
        <v>1</v>
      </c>
      <c r="AZ124" s="23" t="n">
        <f aca="false">X124</f>
        <v>0.000192571148266165</v>
      </c>
      <c r="BA124" s="24" t="n">
        <f aca="false">0.8*AZ124</f>
        <v>0.000154056918612932</v>
      </c>
      <c r="BB124" s="24" t="n">
        <f aca="false">AZ124*1.2</f>
        <v>0.000231085377919398</v>
      </c>
      <c r="BC124" s="0" t="str">
        <f aca="false">Z124</f>
        <v>https://www.sciencedirect.com/science/article/pii/S0043164814003627</v>
      </c>
    </row>
    <row r="125" customFormat="false" ht="12.8" hidden="false" customHeight="false" outlineLevel="0" collapsed="false">
      <c r="A125" s="1" t="n">
        <v>4</v>
      </c>
      <c r="B125" s="1" t="s">
        <v>48</v>
      </c>
      <c r="C125" s="1" t="s">
        <v>49</v>
      </c>
      <c r="D125" s="1" t="s">
        <v>50</v>
      </c>
      <c r="E125" s="1" t="n">
        <v>30</v>
      </c>
      <c r="F125" s="11" t="n">
        <v>7.6</v>
      </c>
      <c r="G125" s="11" t="n">
        <v>152.4</v>
      </c>
      <c r="H125" s="1" t="n">
        <v>12.7</v>
      </c>
      <c r="I125" s="30" t="s">
        <v>57</v>
      </c>
      <c r="J125" s="11" t="n">
        <v>1.517</v>
      </c>
      <c r="K125" s="30" t="n">
        <v>7990</v>
      </c>
      <c r="L125" s="1" t="n">
        <v>109</v>
      </c>
      <c r="M125" s="12" t="n">
        <v>1.8E-005</v>
      </c>
      <c r="N125" s="11" t="n">
        <v>1.225</v>
      </c>
      <c r="O125" s="1" t="n">
        <v>0</v>
      </c>
      <c r="P125" s="1" t="n">
        <v>0</v>
      </c>
      <c r="Q125" s="1" t="n">
        <v>0</v>
      </c>
      <c r="R125" s="13" t="n">
        <f aca="false">(N125*L125+O125*Q125)/(L125+O125)</f>
        <v>1.225</v>
      </c>
      <c r="S125" s="14" t="n">
        <f aca="false">(M125*L125+O125*P125*0.1)/(L125+O125)</f>
        <v>1.8E-005</v>
      </c>
      <c r="T125" s="11" t="n">
        <v>300</v>
      </c>
      <c r="U125" s="28" t="n">
        <v>2650</v>
      </c>
      <c r="V125" s="16" t="n">
        <v>4.23971062802327E-006</v>
      </c>
      <c r="W125" s="1" t="n">
        <v>1</v>
      </c>
      <c r="X125" s="17" t="n">
        <v>0.000165421377002642</v>
      </c>
      <c r="Z125" s="29" t="s">
        <v>59</v>
      </c>
      <c r="AC125" s="18" t="n">
        <f aca="false">MAX(L125,O125)</f>
        <v>109</v>
      </c>
      <c r="AD125" s="17" t="n">
        <f aca="false">MAX(M125,P125*0.1)</f>
        <v>1.8E-005</v>
      </c>
      <c r="AE125" s="1" t="n">
        <f aca="false">MAX(N125,Q125)</f>
        <v>1.225</v>
      </c>
      <c r="AG125" s="16"/>
      <c r="AH125" s="19" t="n">
        <v>123</v>
      </c>
      <c r="AI125" s="20" t="str">
        <f aca="false">B125</f>
        <v>DI</v>
      </c>
      <c r="AJ125" s="20" t="str">
        <f aca="false">C125</f>
        <v>Gas-solid</v>
      </c>
      <c r="AK125" s="20" t="str">
        <f aca="false">D125</f>
        <v>H-V</v>
      </c>
      <c r="AL125" s="21" t="n">
        <f aca="false">E125</f>
        <v>30</v>
      </c>
      <c r="AM125" s="22" t="n">
        <v>1E-006</v>
      </c>
      <c r="AN125" s="23" t="n">
        <f aca="false">MAX(G125/(F125/1000),25000)</f>
        <v>25000</v>
      </c>
      <c r="AO125" s="23" t="n">
        <f aca="false">H125/F125</f>
        <v>1.67105263157895</v>
      </c>
      <c r="AP125" s="23" t="n">
        <f aca="false">AC125/SQRT(9.81*(F125/1000))</f>
        <v>399.195096595886</v>
      </c>
      <c r="AQ125" s="23" t="n">
        <f aca="false">(AE125*AC125*(F125/1000))/AD125</f>
        <v>56377.2222222222</v>
      </c>
      <c r="AR125" s="23" t="n">
        <f aca="false">((T125*0.000001)^3*AE125*(U125-AE125)*9.81)/AD125^2</f>
        <v>2652.5826140625</v>
      </c>
      <c r="AS125" s="23" t="n">
        <f aca="false">(U125*((T125/10^6)^2)/(18*AD125))*AC125/(F125/1000)</f>
        <v>10557.3830409357</v>
      </c>
      <c r="AT125" s="23" t="n">
        <f aca="false">AE125*(T125/10^6)*AC125/AD125</f>
        <v>2225.41666666667</v>
      </c>
      <c r="AU125" s="23" t="n">
        <f aca="false">(T125/10^6)/(F125/1000)</f>
        <v>0.0394736842105263</v>
      </c>
      <c r="AV125" s="23" t="n">
        <f aca="false">AE125/U125</f>
        <v>0.000462264150943396</v>
      </c>
      <c r="AW125" s="23" t="n">
        <f aca="false">(J125*10^9)/(K125*AC125^2)</f>
        <v>15.9803322876767</v>
      </c>
      <c r="AX125" s="23" t="n">
        <f aca="false">V125</f>
        <v>4.23971062802327E-006</v>
      </c>
      <c r="AY125" s="23" t="n">
        <f aca="false">MAX(W125,1)</f>
        <v>1</v>
      </c>
      <c r="AZ125" s="23" t="n">
        <f aca="false">X125</f>
        <v>0.000165421377002642</v>
      </c>
      <c r="BA125" s="24" t="n">
        <f aca="false">0.8*AZ125</f>
        <v>0.000132337101602114</v>
      </c>
      <c r="BB125" s="24" t="n">
        <f aca="false">AZ125*1.2</f>
        <v>0.00019850565240317</v>
      </c>
      <c r="BC125" s="0" t="str">
        <f aca="false">Z125</f>
        <v>https://www.sciencedirect.com/science/article/pii/S0043164814003627</v>
      </c>
    </row>
    <row r="126" customFormat="false" ht="12.8" hidden="false" customHeight="false" outlineLevel="0" collapsed="false">
      <c r="A126" s="1" t="n">
        <v>5</v>
      </c>
      <c r="B126" s="1" t="s">
        <v>48</v>
      </c>
      <c r="C126" s="1" t="s">
        <v>49</v>
      </c>
      <c r="D126" s="1" t="s">
        <v>50</v>
      </c>
      <c r="E126" s="1" t="n">
        <v>15</v>
      </c>
      <c r="F126" s="11" t="n">
        <v>7.6</v>
      </c>
      <c r="G126" s="11" t="n">
        <v>152.4</v>
      </c>
      <c r="H126" s="1" t="n">
        <v>12.7</v>
      </c>
      <c r="I126" s="30" t="s">
        <v>57</v>
      </c>
      <c r="J126" s="11" t="n">
        <v>1.517</v>
      </c>
      <c r="K126" s="30" t="n">
        <v>7990</v>
      </c>
      <c r="L126" s="1" t="n">
        <v>109</v>
      </c>
      <c r="M126" s="12" t="n">
        <v>1.8E-005</v>
      </c>
      <c r="N126" s="11" t="n">
        <v>1.225</v>
      </c>
      <c r="O126" s="1" t="n">
        <v>0</v>
      </c>
      <c r="P126" s="1" t="n">
        <v>0</v>
      </c>
      <c r="Q126" s="1" t="n">
        <v>0</v>
      </c>
      <c r="R126" s="13" t="n">
        <f aca="false">(N126*L126+O126*Q126)/(L126+O126)</f>
        <v>1.225</v>
      </c>
      <c r="S126" s="14" t="n">
        <f aca="false">(M126*L126+O126*P126*0.1)/(L126+O126)</f>
        <v>1.8E-005</v>
      </c>
      <c r="T126" s="11" t="n">
        <v>300</v>
      </c>
      <c r="U126" s="28" t="n">
        <v>2650</v>
      </c>
      <c r="V126" s="16" t="n">
        <v>4.23971062802327E-006</v>
      </c>
      <c r="W126" s="1" t="n">
        <v>1</v>
      </c>
      <c r="X126" s="17" t="n">
        <v>9.02456175804356E-005</v>
      </c>
      <c r="Z126" s="29" t="s">
        <v>59</v>
      </c>
      <c r="AC126" s="18" t="n">
        <f aca="false">MAX(L126,O126)</f>
        <v>109</v>
      </c>
      <c r="AD126" s="17" t="n">
        <f aca="false">MAX(M126,P126*0.1)</f>
        <v>1.8E-005</v>
      </c>
      <c r="AE126" s="1" t="n">
        <f aca="false">MAX(N126,Q126)</f>
        <v>1.225</v>
      </c>
      <c r="AG126" s="16"/>
      <c r="AH126" s="19" t="n">
        <v>124</v>
      </c>
      <c r="AI126" s="20" t="str">
        <f aca="false">B126</f>
        <v>DI</v>
      </c>
      <c r="AJ126" s="20" t="str">
        <f aca="false">C126</f>
        <v>Gas-solid</v>
      </c>
      <c r="AK126" s="20" t="str">
        <f aca="false">D126</f>
        <v>H-V</v>
      </c>
      <c r="AL126" s="21" t="n">
        <f aca="false">E126</f>
        <v>15</v>
      </c>
      <c r="AM126" s="22" t="n">
        <v>1E-006</v>
      </c>
      <c r="AN126" s="23" t="n">
        <f aca="false">MAX(G126/(F126/1000),25000)</f>
        <v>25000</v>
      </c>
      <c r="AO126" s="23" t="n">
        <f aca="false">H126/F126</f>
        <v>1.67105263157895</v>
      </c>
      <c r="AP126" s="23" t="n">
        <f aca="false">AC126/SQRT(9.81*(F126/1000))</f>
        <v>399.195096595886</v>
      </c>
      <c r="AQ126" s="23" t="n">
        <f aca="false">(AE126*AC126*(F126/1000))/AD126</f>
        <v>56377.2222222222</v>
      </c>
      <c r="AR126" s="23" t="n">
        <f aca="false">((T126*0.000001)^3*AE126*(U126-AE126)*9.81)/AD126^2</f>
        <v>2652.5826140625</v>
      </c>
      <c r="AS126" s="23" t="n">
        <f aca="false">(U126*((T126/10^6)^2)/(18*AD126))*AC126/(F126/1000)</f>
        <v>10557.3830409357</v>
      </c>
      <c r="AT126" s="23" t="n">
        <f aca="false">AE126*(T126/10^6)*AC126/AD126</f>
        <v>2225.41666666667</v>
      </c>
      <c r="AU126" s="23" t="n">
        <f aca="false">(T126/10^6)/(F126/1000)</f>
        <v>0.0394736842105263</v>
      </c>
      <c r="AV126" s="23" t="n">
        <f aca="false">AE126/U126</f>
        <v>0.000462264150943396</v>
      </c>
      <c r="AW126" s="23" t="n">
        <f aca="false">(J126*10^9)/(K126*AC126^2)</f>
        <v>15.9803322876767</v>
      </c>
      <c r="AX126" s="23" t="n">
        <f aca="false">V126</f>
        <v>4.23971062802327E-006</v>
      </c>
      <c r="AY126" s="23" t="n">
        <f aca="false">MAX(W126,1)</f>
        <v>1</v>
      </c>
      <c r="AZ126" s="23" t="n">
        <f aca="false">X126</f>
        <v>9.02456175804356E-005</v>
      </c>
      <c r="BA126" s="24" t="n">
        <f aca="false">0.8*AZ126</f>
        <v>7.21964940643485E-005</v>
      </c>
      <c r="BB126" s="24" t="n">
        <f aca="false">AZ126*1.2</f>
        <v>0.000108294741096523</v>
      </c>
      <c r="BC126" s="0" t="str">
        <f aca="false">Z126</f>
        <v>https://www.sciencedirect.com/science/article/pii/S0043164814003627</v>
      </c>
    </row>
    <row r="127" customFormat="false" ht="12.8" hidden="false" customHeight="false" outlineLevel="0" collapsed="false">
      <c r="A127" s="1" t="n">
        <v>1</v>
      </c>
      <c r="B127" s="1" t="s">
        <v>48</v>
      </c>
      <c r="C127" s="1" t="s">
        <v>53</v>
      </c>
      <c r="D127" s="1" t="s">
        <v>54</v>
      </c>
      <c r="E127" s="1" t="n">
        <v>90</v>
      </c>
      <c r="F127" s="11" t="n">
        <v>8</v>
      </c>
      <c r="G127" s="11" t="n">
        <v>36</v>
      </c>
      <c r="H127" s="11" t="n">
        <v>12.7</v>
      </c>
      <c r="I127" s="1" t="s">
        <v>57</v>
      </c>
      <c r="J127" s="11" t="n">
        <v>1.517</v>
      </c>
      <c r="K127" s="30" t="n">
        <v>7990</v>
      </c>
      <c r="L127" s="1" t="n">
        <v>0</v>
      </c>
      <c r="M127" s="1" t="n">
        <v>0</v>
      </c>
      <c r="N127" s="1" t="n">
        <v>0</v>
      </c>
      <c r="O127" s="1" t="n">
        <v>14</v>
      </c>
      <c r="P127" s="1" t="n">
        <v>1</v>
      </c>
      <c r="Q127" s="1" t="n">
        <v>1000</v>
      </c>
      <c r="R127" s="13" t="n">
        <f aca="false">(N127*L127+O127*Q127)/(L127+O127)</f>
        <v>1000</v>
      </c>
      <c r="S127" s="14" t="n">
        <f aca="false">(M127*L127+O127*P127*0.1)/(L127+O127)</f>
        <v>0.1</v>
      </c>
      <c r="T127" s="1" t="n">
        <v>75</v>
      </c>
      <c r="U127" s="31" t="n">
        <f aca="false">((1.05+1.15)/2)*1000</f>
        <v>1100</v>
      </c>
      <c r="V127" s="16" t="n">
        <v>0.00908871627990326</v>
      </c>
      <c r="W127" s="1" t="n">
        <v>1</v>
      </c>
      <c r="X127" s="17" t="n">
        <f aca="false">0.325505756857221*0.000001*1000</f>
        <v>0.000325505756857221</v>
      </c>
      <c r="Z127" s="32" t="s">
        <v>60</v>
      </c>
      <c r="AA127" s="15" t="s">
        <v>61</v>
      </c>
      <c r="AC127" s="18" t="n">
        <f aca="false">MAX(L127,O127)</f>
        <v>14</v>
      </c>
      <c r="AD127" s="17" t="n">
        <f aca="false">MAX(M127,P127*0.1)</f>
        <v>0.1</v>
      </c>
      <c r="AE127" s="1" t="n">
        <f aca="false">MAX(N127,Q127)</f>
        <v>1000</v>
      </c>
      <c r="AG127" s="16"/>
      <c r="AH127" s="19" t="n">
        <v>125</v>
      </c>
      <c r="AI127" s="20" t="str">
        <f aca="false">B127</f>
        <v>DI</v>
      </c>
      <c r="AJ127" s="20" t="str">
        <f aca="false">C127</f>
        <v>Liquid-Solid</v>
      </c>
      <c r="AK127" s="20" t="str">
        <f aca="false">D127</f>
        <v>V-H</v>
      </c>
      <c r="AL127" s="21" t="n">
        <f aca="false">E127</f>
        <v>90</v>
      </c>
      <c r="AM127" s="22" t="n">
        <v>1E-006</v>
      </c>
      <c r="AN127" s="23" t="n">
        <f aca="false">MAX(G127/(F127/1000),25000)</f>
        <v>25000</v>
      </c>
      <c r="AO127" s="23" t="n">
        <f aca="false">H127/F127</f>
        <v>1.5875</v>
      </c>
      <c r="AP127" s="23" t="n">
        <f aca="false">AC127/SQRT(9.81*(F127/1000))</f>
        <v>49.9745093024473</v>
      </c>
      <c r="AQ127" s="23" t="n">
        <f aca="false">(AE127*AC127*(F127/1000))/AD127</f>
        <v>1120</v>
      </c>
      <c r="AR127" s="23" t="n">
        <f aca="false">((T127*0.000001)^3*AE127*(U127-AE127)*9.81)/AD127^2</f>
        <v>4.13859375E-005</v>
      </c>
      <c r="AS127" s="23" t="n">
        <f aca="false">(U127*((T127/10^6)^2)/(18*AD127))*AC127/(F127/1000)</f>
        <v>0.006015625</v>
      </c>
      <c r="AT127" s="23" t="n">
        <f aca="false">AE127*(T127/10^6)*AC127/AD127</f>
        <v>10.5</v>
      </c>
      <c r="AU127" s="23" t="n">
        <f aca="false">(T127/10^6)/(F127/1000)</f>
        <v>0.009375</v>
      </c>
      <c r="AV127" s="23" t="n">
        <f aca="false">AE127/U127</f>
        <v>0.909090909090909</v>
      </c>
      <c r="AW127" s="23" t="n">
        <f aca="false">(J127*10^9)/(K127*AC127^2)</f>
        <v>968.685346479017</v>
      </c>
      <c r="AX127" s="23" t="n">
        <f aca="false">V127</f>
        <v>0.00908871627990326</v>
      </c>
      <c r="AY127" s="23" t="n">
        <f aca="false">MAX(W127,1)</f>
        <v>1</v>
      </c>
      <c r="AZ127" s="23" t="n">
        <f aca="false">X127</f>
        <v>0.000325505756857221</v>
      </c>
      <c r="BA127" s="24" t="n">
        <f aca="false">0.8*AZ127</f>
        <v>0.000260404605485777</v>
      </c>
      <c r="BB127" s="24" t="n">
        <f aca="false">AZ127*1.2</f>
        <v>0.000390606908228665</v>
      </c>
      <c r="BC127" s="0" t="str">
        <f aca="false">Z127</f>
        <v>karimi Thesis - TABLE a2</v>
      </c>
    </row>
    <row r="128" customFormat="false" ht="12.8" hidden="false" customHeight="false" outlineLevel="0" collapsed="false">
      <c r="A128" s="1" t="n">
        <v>2</v>
      </c>
      <c r="B128" s="1" t="s">
        <v>48</v>
      </c>
      <c r="C128" s="1" t="s">
        <v>53</v>
      </c>
      <c r="D128" s="1" t="s">
        <v>54</v>
      </c>
      <c r="E128" s="1" t="n">
        <v>75</v>
      </c>
      <c r="F128" s="11" t="n">
        <v>8</v>
      </c>
      <c r="G128" s="11" t="n">
        <v>26</v>
      </c>
      <c r="H128" s="11" t="n">
        <v>12.7</v>
      </c>
      <c r="I128" s="1" t="s">
        <v>57</v>
      </c>
      <c r="J128" s="11" t="n">
        <v>1.517</v>
      </c>
      <c r="K128" s="30" t="n">
        <v>7990</v>
      </c>
      <c r="L128" s="1" t="n">
        <v>0</v>
      </c>
      <c r="M128" s="1" t="n">
        <v>0</v>
      </c>
      <c r="N128" s="1" t="n">
        <v>0</v>
      </c>
      <c r="O128" s="1" t="n">
        <v>14</v>
      </c>
      <c r="P128" s="1" t="n">
        <v>1</v>
      </c>
      <c r="Q128" s="1" t="n">
        <v>1000</v>
      </c>
      <c r="R128" s="13" t="n">
        <f aca="false">(N128*L128+O128*Q128)/(L128+O128)</f>
        <v>1000</v>
      </c>
      <c r="S128" s="14" t="n">
        <f aca="false">(M128*L128+O128*P128*0.1)/(L128+O128)</f>
        <v>0.1</v>
      </c>
      <c r="T128" s="1" t="n">
        <v>75</v>
      </c>
      <c r="U128" s="31" t="n">
        <f aca="false">((1.05+1.15)/2)*1000</f>
        <v>1100</v>
      </c>
      <c r="V128" s="16" t="n">
        <v>0.00908871627990326</v>
      </c>
      <c r="W128" s="1" t="n">
        <v>1</v>
      </c>
      <c r="X128" s="17" t="n">
        <f aca="false">0.408364761877722*0.000001*1000</f>
        <v>0.000408364761877722</v>
      </c>
      <c r="Z128" s="32" t="s">
        <v>60</v>
      </c>
      <c r="AA128" s="1" t="s">
        <v>62</v>
      </c>
      <c r="AC128" s="18" t="n">
        <f aca="false">MAX(L128,O128)</f>
        <v>14</v>
      </c>
      <c r="AD128" s="17" t="n">
        <f aca="false">MAX(M128,P128*0.1)</f>
        <v>0.1</v>
      </c>
      <c r="AE128" s="1" t="n">
        <f aca="false">MAX(N128,Q128)</f>
        <v>1000</v>
      </c>
      <c r="AG128" s="16"/>
      <c r="AH128" s="19" t="n">
        <v>126</v>
      </c>
      <c r="AI128" s="20" t="str">
        <f aca="false">B128</f>
        <v>DI</v>
      </c>
      <c r="AJ128" s="20" t="str">
        <f aca="false">C128</f>
        <v>Liquid-Solid</v>
      </c>
      <c r="AK128" s="20" t="str">
        <f aca="false">D128</f>
        <v>V-H</v>
      </c>
      <c r="AL128" s="21" t="n">
        <f aca="false">E128</f>
        <v>75</v>
      </c>
      <c r="AM128" s="22" t="n">
        <v>1E-006</v>
      </c>
      <c r="AN128" s="23" t="n">
        <f aca="false">MAX(G128/(F128/1000),25000)</f>
        <v>25000</v>
      </c>
      <c r="AO128" s="23" t="n">
        <f aca="false">H128/F128</f>
        <v>1.5875</v>
      </c>
      <c r="AP128" s="23" t="n">
        <f aca="false">AC128/SQRT(9.81*(F128/1000))</f>
        <v>49.9745093024473</v>
      </c>
      <c r="AQ128" s="23" t="n">
        <f aca="false">(AE128*AC128*(F128/1000))/AD128</f>
        <v>1120</v>
      </c>
      <c r="AR128" s="23" t="n">
        <f aca="false">((T128*0.000001)^3*AE128*(U128-AE128)*9.81)/AD128^2</f>
        <v>4.13859375E-005</v>
      </c>
      <c r="AS128" s="23" t="n">
        <f aca="false">(U128*((T128/10^6)^2)/(18*AD128))*AC128/(F128/1000)</f>
        <v>0.006015625</v>
      </c>
      <c r="AT128" s="23" t="n">
        <f aca="false">AE128*(T128/10^6)*AC128/AD128</f>
        <v>10.5</v>
      </c>
      <c r="AU128" s="23" t="n">
        <f aca="false">(T128/10^6)/(F128/1000)</f>
        <v>0.009375</v>
      </c>
      <c r="AV128" s="23" t="n">
        <f aca="false">AE128/U128</f>
        <v>0.909090909090909</v>
      </c>
      <c r="AW128" s="23" t="n">
        <f aca="false">(J128*10^9)/(K128*AC128^2)</f>
        <v>968.685346479017</v>
      </c>
      <c r="AX128" s="23" t="n">
        <f aca="false">V128</f>
        <v>0.00908871627990326</v>
      </c>
      <c r="AY128" s="23" t="n">
        <f aca="false">MAX(W128,1)</f>
        <v>1</v>
      </c>
      <c r="AZ128" s="23" t="n">
        <f aca="false">X128</f>
        <v>0.000408364761877722</v>
      </c>
      <c r="BA128" s="24" t="n">
        <f aca="false">0.8*AZ128</f>
        <v>0.000326691809502178</v>
      </c>
      <c r="BB128" s="24" t="n">
        <f aca="false">AZ128*1.2</f>
        <v>0.000490037714253266</v>
      </c>
      <c r="BC128" s="0" t="str">
        <f aca="false">Z128</f>
        <v>karimi Thesis - TABLE a2</v>
      </c>
    </row>
    <row r="129" customFormat="false" ht="12.8" hidden="false" customHeight="false" outlineLevel="0" collapsed="false">
      <c r="A129" s="1" t="n">
        <v>3</v>
      </c>
      <c r="B129" s="1" t="s">
        <v>48</v>
      </c>
      <c r="C129" s="1" t="s">
        <v>53</v>
      </c>
      <c r="D129" s="1" t="s">
        <v>54</v>
      </c>
      <c r="E129" s="1" t="n">
        <v>45</v>
      </c>
      <c r="F129" s="11" t="n">
        <v>8</v>
      </c>
      <c r="G129" s="11" t="n">
        <v>36</v>
      </c>
      <c r="H129" s="11" t="n">
        <v>12.7</v>
      </c>
      <c r="I129" s="1" t="s">
        <v>57</v>
      </c>
      <c r="J129" s="11" t="n">
        <v>1.517</v>
      </c>
      <c r="K129" s="30" t="n">
        <v>7990</v>
      </c>
      <c r="L129" s="1" t="n">
        <v>0</v>
      </c>
      <c r="M129" s="1" t="n">
        <v>0</v>
      </c>
      <c r="N129" s="1" t="n">
        <v>0</v>
      </c>
      <c r="O129" s="1" t="n">
        <v>14</v>
      </c>
      <c r="P129" s="1" t="n">
        <v>1</v>
      </c>
      <c r="Q129" s="1" t="n">
        <v>1000</v>
      </c>
      <c r="R129" s="13" t="n">
        <f aca="false">(N129*L129+O129*Q129)/(L129+O129)</f>
        <v>1000</v>
      </c>
      <c r="S129" s="14" t="n">
        <f aca="false">(M129*L129+O129*P129*0.1)/(L129+O129)</f>
        <v>0.1</v>
      </c>
      <c r="T129" s="1" t="n">
        <v>75</v>
      </c>
      <c r="U129" s="31" t="n">
        <f aca="false">((1.05+1.15)/2)*1000</f>
        <v>1100</v>
      </c>
      <c r="V129" s="16" t="n">
        <v>0.00908871627990326</v>
      </c>
      <c r="W129" s="1" t="n">
        <v>1</v>
      </c>
      <c r="X129" s="17" t="n">
        <f aca="false">0.149567666797302*0.000001*1000</f>
        <v>0.000149567666797302</v>
      </c>
      <c r="Z129" s="32" t="s">
        <v>60</v>
      </c>
      <c r="AA129" s="15" t="s">
        <v>63</v>
      </c>
      <c r="AC129" s="18" t="n">
        <f aca="false">MAX(L129,O129)</f>
        <v>14</v>
      </c>
      <c r="AD129" s="17" t="n">
        <f aca="false">MAX(M129,P129*0.1)</f>
        <v>0.1</v>
      </c>
      <c r="AE129" s="1" t="n">
        <f aca="false">MAX(N129,Q129)</f>
        <v>1000</v>
      </c>
      <c r="AG129" s="16"/>
      <c r="AH129" s="19" t="n">
        <v>127</v>
      </c>
      <c r="AI129" s="20" t="str">
        <f aca="false">B129</f>
        <v>DI</v>
      </c>
      <c r="AJ129" s="20" t="str">
        <f aca="false">C129</f>
        <v>Liquid-Solid</v>
      </c>
      <c r="AK129" s="20" t="str">
        <f aca="false">D129</f>
        <v>V-H</v>
      </c>
      <c r="AL129" s="21" t="n">
        <f aca="false">E129</f>
        <v>45</v>
      </c>
      <c r="AM129" s="22" t="n">
        <v>1E-006</v>
      </c>
      <c r="AN129" s="23" t="n">
        <f aca="false">MAX(G129/(F129/1000),25000)</f>
        <v>25000</v>
      </c>
      <c r="AO129" s="23" t="n">
        <f aca="false">H129/F129</f>
        <v>1.5875</v>
      </c>
      <c r="AP129" s="23" t="n">
        <f aca="false">AC129/SQRT(9.81*(F129/1000))</f>
        <v>49.9745093024473</v>
      </c>
      <c r="AQ129" s="23" t="n">
        <f aca="false">(AE129*AC129*(F129/1000))/AD129</f>
        <v>1120</v>
      </c>
      <c r="AR129" s="23" t="n">
        <f aca="false">((T129*0.000001)^3*AE129*(U129-AE129)*9.81)/AD129^2</f>
        <v>4.13859375E-005</v>
      </c>
      <c r="AS129" s="23" t="n">
        <f aca="false">(U129*((T129/10^6)^2)/(18*AD129))*AC129/(F129/1000)</f>
        <v>0.006015625</v>
      </c>
      <c r="AT129" s="23" t="n">
        <f aca="false">AE129*(T129/10^6)*AC129/AD129</f>
        <v>10.5</v>
      </c>
      <c r="AU129" s="23" t="n">
        <f aca="false">(T129/10^6)/(F129/1000)</f>
        <v>0.009375</v>
      </c>
      <c r="AV129" s="23" t="n">
        <f aca="false">AE129/U129</f>
        <v>0.909090909090909</v>
      </c>
      <c r="AW129" s="23" t="n">
        <f aca="false">(J129*10^9)/(K129*AC129^2)</f>
        <v>968.685346479017</v>
      </c>
      <c r="AX129" s="23" t="n">
        <f aca="false">V129</f>
        <v>0.00908871627990326</v>
      </c>
      <c r="AY129" s="23" t="n">
        <f aca="false">MAX(W129,1)</f>
        <v>1</v>
      </c>
      <c r="AZ129" s="23" t="n">
        <f aca="false">X129</f>
        <v>0.000149567666797302</v>
      </c>
      <c r="BA129" s="24" t="n">
        <f aca="false">0.8*AZ129</f>
        <v>0.000119654133437842</v>
      </c>
      <c r="BB129" s="24" t="n">
        <f aca="false">AZ129*1.2</f>
        <v>0.000179481200156762</v>
      </c>
      <c r="BC129" s="0" t="str">
        <f aca="false">Z129</f>
        <v>karimi Thesis - TABLE a2</v>
      </c>
    </row>
    <row r="130" customFormat="false" ht="12.8" hidden="false" customHeight="false" outlineLevel="0" collapsed="false">
      <c r="A130" s="1" t="n">
        <v>4</v>
      </c>
      <c r="B130" s="1" t="s">
        <v>48</v>
      </c>
      <c r="C130" s="1" t="s">
        <v>53</v>
      </c>
      <c r="D130" s="1" t="s">
        <v>54</v>
      </c>
      <c r="E130" s="1" t="n">
        <v>90</v>
      </c>
      <c r="F130" s="11" t="n">
        <v>8</v>
      </c>
      <c r="G130" s="11" t="n">
        <v>36</v>
      </c>
      <c r="H130" s="11" t="n">
        <v>12.7</v>
      </c>
      <c r="I130" s="1" t="s">
        <v>57</v>
      </c>
      <c r="J130" s="11" t="n">
        <v>1.517</v>
      </c>
      <c r="K130" s="30" t="n">
        <v>7990</v>
      </c>
      <c r="L130" s="1" t="n">
        <v>0</v>
      </c>
      <c r="M130" s="1" t="n">
        <v>0</v>
      </c>
      <c r="N130" s="1" t="n">
        <v>0</v>
      </c>
      <c r="O130" s="1" t="n">
        <v>14</v>
      </c>
      <c r="P130" s="1" t="n">
        <v>1</v>
      </c>
      <c r="Q130" s="1" t="n">
        <v>1000</v>
      </c>
      <c r="R130" s="13" t="n">
        <f aca="false">(N130*L130+O130*Q130)/(L130+O130)</f>
        <v>1000</v>
      </c>
      <c r="S130" s="14" t="n">
        <f aca="false">(M130*L130+O130*P130*0.1)/(L130+O130)</f>
        <v>0.1</v>
      </c>
      <c r="T130" s="1" t="n">
        <v>25</v>
      </c>
      <c r="U130" s="31" t="n">
        <f aca="false">((1.05+1.15)/2)*1000</f>
        <v>1100</v>
      </c>
      <c r="V130" s="16" t="n">
        <v>0.0269017111967078</v>
      </c>
      <c r="W130" s="1" t="n">
        <v>1</v>
      </c>
      <c r="X130" s="17" t="n">
        <f aca="false">0.0417549371664515*0.000001*1000</f>
        <v>4.17549371664515E-005</v>
      </c>
      <c r="Z130" s="32" t="s">
        <v>64</v>
      </c>
      <c r="AA130" s="1" t="s">
        <v>65</v>
      </c>
      <c r="AC130" s="18" t="n">
        <f aca="false">MAX(L130,O130)</f>
        <v>14</v>
      </c>
      <c r="AD130" s="17" t="n">
        <f aca="false">MAX(M130,P130*0.1)</f>
        <v>0.1</v>
      </c>
      <c r="AE130" s="1" t="n">
        <f aca="false">MAX(N130,Q130)</f>
        <v>1000</v>
      </c>
      <c r="AG130" s="16"/>
      <c r="AH130" s="19" t="n">
        <v>128</v>
      </c>
      <c r="AI130" s="20" t="str">
        <f aca="false">B130</f>
        <v>DI</v>
      </c>
      <c r="AJ130" s="20" t="str">
        <f aca="false">C130</f>
        <v>Liquid-Solid</v>
      </c>
      <c r="AK130" s="20" t="str">
        <f aca="false">D130</f>
        <v>V-H</v>
      </c>
      <c r="AL130" s="21" t="n">
        <f aca="false">E130</f>
        <v>90</v>
      </c>
      <c r="AM130" s="22" t="n">
        <v>1E-006</v>
      </c>
      <c r="AN130" s="23" t="n">
        <f aca="false">MAX(G130/(F130/1000),25000)</f>
        <v>25000</v>
      </c>
      <c r="AO130" s="23" t="n">
        <f aca="false">H130/F130</f>
        <v>1.5875</v>
      </c>
      <c r="AP130" s="23" t="n">
        <f aca="false">AC130/SQRT(9.81*(F130/1000))</f>
        <v>49.9745093024473</v>
      </c>
      <c r="AQ130" s="23" t="n">
        <f aca="false">(AE130*AC130*(F130/1000))/AD130</f>
        <v>1120</v>
      </c>
      <c r="AR130" s="23" t="n">
        <f aca="false">((T130*0.000001)^3*AE130*(U130-AE130)*9.81)/AD130^2</f>
        <v>1.5328125E-006</v>
      </c>
      <c r="AS130" s="23" t="n">
        <f aca="false">(U130*((T130/10^6)^2)/(18*AD130))*AC130/(F130/1000)</f>
        <v>0.000668402777777778</v>
      </c>
      <c r="AT130" s="23" t="n">
        <f aca="false">AE130*(T130/10^6)*AC130/AD130</f>
        <v>3.5</v>
      </c>
      <c r="AU130" s="23" t="n">
        <f aca="false">(T130/10^6)/(F130/1000)</f>
        <v>0.003125</v>
      </c>
      <c r="AV130" s="23" t="n">
        <f aca="false">AE130/U130</f>
        <v>0.909090909090909</v>
      </c>
      <c r="AW130" s="23" t="n">
        <f aca="false">(J130*10^9)/(K130*AC130^2)</f>
        <v>968.685346479017</v>
      </c>
      <c r="AX130" s="23" t="n">
        <f aca="false">V130</f>
        <v>0.0269017111967078</v>
      </c>
      <c r="AY130" s="23" t="n">
        <f aca="false">MAX(W130,1)</f>
        <v>1</v>
      </c>
      <c r="AZ130" s="23" t="n">
        <f aca="false">X130</f>
        <v>4.17549371664515E-005</v>
      </c>
      <c r="BA130" s="24" t="n">
        <f aca="false">0.8*AZ130</f>
        <v>3.34039497331612E-005</v>
      </c>
      <c r="BB130" s="24" t="n">
        <f aca="false">AZ130*1.2</f>
        <v>5.01059245997418E-005</v>
      </c>
      <c r="BC130" s="0" t="str">
        <f aca="false">Z130</f>
        <v>karimi Thesis - TABLE a1</v>
      </c>
    </row>
    <row r="131" customFormat="false" ht="12.8" hidden="false" customHeight="false" outlineLevel="0" collapsed="false">
      <c r="A131" s="1" t="n">
        <v>5</v>
      </c>
      <c r="B131" s="1" t="s">
        <v>48</v>
      </c>
      <c r="C131" s="1" t="s">
        <v>53</v>
      </c>
      <c r="D131" s="1" t="s">
        <v>54</v>
      </c>
      <c r="E131" s="1" t="n">
        <v>75</v>
      </c>
      <c r="F131" s="11" t="n">
        <v>8</v>
      </c>
      <c r="G131" s="11" t="n">
        <v>36</v>
      </c>
      <c r="H131" s="11" t="n">
        <v>12.7</v>
      </c>
      <c r="I131" s="1" t="s">
        <v>57</v>
      </c>
      <c r="J131" s="11" t="n">
        <v>1.517</v>
      </c>
      <c r="K131" s="30" t="n">
        <v>7990</v>
      </c>
      <c r="L131" s="1" t="n">
        <v>0</v>
      </c>
      <c r="M131" s="1" t="n">
        <v>0</v>
      </c>
      <c r="N131" s="1" t="n">
        <v>0</v>
      </c>
      <c r="O131" s="1" t="n">
        <v>14</v>
      </c>
      <c r="P131" s="1" t="n">
        <v>1</v>
      </c>
      <c r="Q131" s="1" t="n">
        <v>1000</v>
      </c>
      <c r="R131" s="13" t="n">
        <f aca="false">(N131*L131+O131*Q131)/(L131+O131)</f>
        <v>1000</v>
      </c>
      <c r="S131" s="14" t="n">
        <f aca="false">(M131*L131+O131*P131*0.1)/(L131+O131)</f>
        <v>0.1</v>
      </c>
      <c r="T131" s="1" t="n">
        <v>25</v>
      </c>
      <c r="U131" s="31" t="n">
        <f aca="false">((1.05+1.15)/2)*1000</f>
        <v>1100</v>
      </c>
      <c r="V131" s="16" t="n">
        <v>0.0269017111967078</v>
      </c>
      <c r="W131" s="1" t="n">
        <v>1</v>
      </c>
      <c r="X131" s="17" t="n">
        <f aca="false">0.0731056233995274*0.000001*1000</f>
        <v>7.31056233995274E-005</v>
      </c>
      <c r="Z131" s="32" t="s">
        <v>64</v>
      </c>
      <c r="AA131" s="15" t="s">
        <v>66</v>
      </c>
      <c r="AC131" s="18" t="n">
        <f aca="false">MAX(L131,O131)</f>
        <v>14</v>
      </c>
      <c r="AD131" s="17" t="n">
        <f aca="false">MAX(M131,P131*0.1)</f>
        <v>0.1</v>
      </c>
      <c r="AE131" s="1" t="n">
        <f aca="false">MAX(N131,Q131)</f>
        <v>1000</v>
      </c>
      <c r="AG131" s="16"/>
      <c r="AH131" s="19" t="n">
        <v>129</v>
      </c>
      <c r="AI131" s="20" t="str">
        <f aca="false">B131</f>
        <v>DI</v>
      </c>
      <c r="AJ131" s="20" t="str">
        <f aca="false">C131</f>
        <v>Liquid-Solid</v>
      </c>
      <c r="AK131" s="20" t="str">
        <f aca="false">D131</f>
        <v>V-H</v>
      </c>
      <c r="AL131" s="21" t="n">
        <f aca="false">E131</f>
        <v>75</v>
      </c>
      <c r="AM131" s="22" t="n">
        <v>1E-006</v>
      </c>
      <c r="AN131" s="23" t="n">
        <f aca="false">MAX(G131/(F131/1000),25000)</f>
        <v>25000</v>
      </c>
      <c r="AO131" s="23" t="n">
        <f aca="false">H131/F131</f>
        <v>1.5875</v>
      </c>
      <c r="AP131" s="23" t="n">
        <f aca="false">AC131/SQRT(9.81*(F131/1000))</f>
        <v>49.9745093024473</v>
      </c>
      <c r="AQ131" s="23" t="n">
        <f aca="false">(AE131*AC131*(F131/1000))/AD131</f>
        <v>1120</v>
      </c>
      <c r="AR131" s="23" t="n">
        <f aca="false">((T131*0.000001)^3*AE131*(U131-AE131)*9.81)/AD131^2</f>
        <v>1.5328125E-006</v>
      </c>
      <c r="AS131" s="23" t="n">
        <f aca="false">(U131*((T131/10^6)^2)/(18*AD131))*AC131/(F131/1000)</f>
        <v>0.000668402777777778</v>
      </c>
      <c r="AT131" s="23" t="n">
        <f aca="false">AE131*(T131/10^6)*AC131/AD131</f>
        <v>3.5</v>
      </c>
      <c r="AU131" s="23" t="n">
        <f aca="false">(T131/10^6)/(F131/1000)</f>
        <v>0.003125</v>
      </c>
      <c r="AV131" s="23" t="n">
        <f aca="false">AE131/U131</f>
        <v>0.909090909090909</v>
      </c>
      <c r="AW131" s="23" t="n">
        <f aca="false">(J131*10^9)/(K131*AC131^2)</f>
        <v>968.685346479017</v>
      </c>
      <c r="AX131" s="23" t="n">
        <f aca="false">V131</f>
        <v>0.0269017111967078</v>
      </c>
      <c r="AY131" s="23" t="n">
        <f aca="false">MAX(W131,1)</f>
        <v>1</v>
      </c>
      <c r="AZ131" s="23" t="n">
        <f aca="false">X131</f>
        <v>7.31056233995274E-005</v>
      </c>
      <c r="BA131" s="24" t="n">
        <f aca="false">0.8*AZ131</f>
        <v>5.84844987196219E-005</v>
      </c>
      <c r="BB131" s="24" t="n">
        <f aca="false">AZ131*1.2</f>
        <v>8.77267480794329E-005</v>
      </c>
      <c r="BC131" s="0" t="str">
        <f aca="false">Z131</f>
        <v>karimi Thesis - TABLE a1</v>
      </c>
    </row>
    <row r="132" customFormat="false" ht="12.8" hidden="false" customHeight="false" outlineLevel="0" collapsed="false">
      <c r="A132" s="1" t="n">
        <v>6</v>
      </c>
      <c r="B132" s="1" t="s">
        <v>48</v>
      </c>
      <c r="C132" s="1" t="s">
        <v>53</v>
      </c>
      <c r="D132" s="1" t="s">
        <v>54</v>
      </c>
      <c r="E132" s="1" t="n">
        <v>45</v>
      </c>
      <c r="F132" s="11" t="n">
        <v>8</v>
      </c>
      <c r="G132" s="11" t="n">
        <v>36</v>
      </c>
      <c r="H132" s="11" t="n">
        <v>12.7</v>
      </c>
      <c r="I132" s="1" t="s">
        <v>57</v>
      </c>
      <c r="J132" s="11" t="n">
        <v>1.517</v>
      </c>
      <c r="K132" s="30" t="n">
        <v>7990</v>
      </c>
      <c r="L132" s="1" t="n">
        <v>0</v>
      </c>
      <c r="M132" s="1" t="n">
        <v>0</v>
      </c>
      <c r="N132" s="1" t="n">
        <v>0</v>
      </c>
      <c r="O132" s="1" t="n">
        <v>14</v>
      </c>
      <c r="P132" s="1" t="n">
        <v>1</v>
      </c>
      <c r="Q132" s="1" t="n">
        <v>1000</v>
      </c>
      <c r="R132" s="13" t="n">
        <f aca="false">(N132*L132+O132*Q132)/(L132+O132)</f>
        <v>1000</v>
      </c>
      <c r="S132" s="14" t="n">
        <f aca="false">(M132*L132+O132*P132*0.1)/(L132+O132)</f>
        <v>0.1</v>
      </c>
      <c r="T132" s="1" t="n">
        <v>25</v>
      </c>
      <c r="U132" s="31" t="n">
        <f aca="false">((1.05+1.15)/2)*1000</f>
        <v>1100</v>
      </c>
      <c r="V132" s="16" t="n">
        <v>0.0269017111967078</v>
      </c>
      <c r="W132" s="1" t="n">
        <v>1</v>
      </c>
      <c r="X132" s="17" t="n">
        <f aca="false">0.066124887373741*0.000001*1000</f>
        <v>6.6124887373741E-005</v>
      </c>
      <c r="Z132" s="32" t="s">
        <v>64</v>
      </c>
      <c r="AA132" s="1" t="s">
        <v>67</v>
      </c>
      <c r="AC132" s="18" t="n">
        <f aca="false">MAX(L132,O132)</f>
        <v>14</v>
      </c>
      <c r="AD132" s="17" t="n">
        <f aca="false">MAX(M132,P132*0.1)</f>
        <v>0.1</v>
      </c>
      <c r="AE132" s="1" t="n">
        <f aca="false">MAX(N132,Q132)</f>
        <v>1000</v>
      </c>
      <c r="AG132" s="16"/>
      <c r="AH132" s="19" t="n">
        <v>130</v>
      </c>
      <c r="AI132" s="20" t="str">
        <f aca="false">B132</f>
        <v>DI</v>
      </c>
      <c r="AJ132" s="20" t="str">
        <f aca="false">C132</f>
        <v>Liquid-Solid</v>
      </c>
      <c r="AK132" s="20" t="str">
        <f aca="false">D132</f>
        <v>V-H</v>
      </c>
      <c r="AL132" s="21" t="n">
        <f aca="false">E132</f>
        <v>45</v>
      </c>
      <c r="AM132" s="22" t="n">
        <v>1E-006</v>
      </c>
      <c r="AN132" s="23" t="n">
        <f aca="false">MAX(G132/(F132/1000),25000)</f>
        <v>25000</v>
      </c>
      <c r="AO132" s="23" t="n">
        <f aca="false">H132/F132</f>
        <v>1.5875</v>
      </c>
      <c r="AP132" s="23" t="n">
        <f aca="false">AC132/SQRT(9.81*(F132/1000))</f>
        <v>49.9745093024473</v>
      </c>
      <c r="AQ132" s="23" t="n">
        <f aca="false">(AE132*AC132*(F132/1000))/AD132</f>
        <v>1120</v>
      </c>
      <c r="AR132" s="23" t="n">
        <f aca="false">((T132*0.000001)^3*AE132*(U132-AE132)*9.81)/AD132^2</f>
        <v>1.5328125E-006</v>
      </c>
      <c r="AS132" s="23" t="n">
        <f aca="false">(U132*((T132/10^6)^2)/(18*AD132))*AC132/(F132/1000)</f>
        <v>0.000668402777777778</v>
      </c>
      <c r="AT132" s="23" t="n">
        <f aca="false">AE132*(T132/10^6)*AC132/AD132</f>
        <v>3.5</v>
      </c>
      <c r="AU132" s="23" t="n">
        <f aca="false">(T132/10^6)/(F132/1000)</f>
        <v>0.003125</v>
      </c>
      <c r="AV132" s="23" t="n">
        <f aca="false">AE132/U132</f>
        <v>0.909090909090909</v>
      </c>
      <c r="AW132" s="23" t="n">
        <f aca="false">(J132*10^9)/(K132*AC132^2)</f>
        <v>968.685346479017</v>
      </c>
      <c r="AX132" s="23" t="n">
        <f aca="false">V132</f>
        <v>0.0269017111967078</v>
      </c>
      <c r="AY132" s="23" t="n">
        <f aca="false">MAX(W132,1)</f>
        <v>1</v>
      </c>
      <c r="AZ132" s="23" t="n">
        <f aca="false">X132</f>
        <v>6.6124887373741E-005</v>
      </c>
      <c r="BA132" s="24" t="n">
        <f aca="false">0.8*AZ132</f>
        <v>5.28999098989928E-005</v>
      </c>
      <c r="BB132" s="24" t="n">
        <f aca="false">AZ132*1.2</f>
        <v>7.93498648484892E-005</v>
      </c>
      <c r="BC132" s="0" t="str">
        <f aca="false">Z132</f>
        <v>karimi Thesis - TABLE a1</v>
      </c>
    </row>
    <row r="133" customFormat="false" ht="12.8" hidden="false" customHeight="false" outlineLevel="0" collapsed="false">
      <c r="A133" s="1" t="n">
        <v>7</v>
      </c>
      <c r="B133" s="1" t="s">
        <v>48</v>
      </c>
      <c r="C133" s="1" t="s">
        <v>53</v>
      </c>
      <c r="D133" s="1" t="s">
        <v>54</v>
      </c>
      <c r="E133" s="1" t="n">
        <v>90</v>
      </c>
      <c r="F133" s="11" t="n">
        <v>8</v>
      </c>
      <c r="G133" s="11" t="n">
        <v>36</v>
      </c>
      <c r="H133" s="11" t="n">
        <v>12.7</v>
      </c>
      <c r="I133" s="1" t="s">
        <v>57</v>
      </c>
      <c r="J133" s="11" t="n">
        <v>1.517</v>
      </c>
      <c r="K133" s="30" t="n">
        <v>7990</v>
      </c>
      <c r="L133" s="1" t="n">
        <v>0</v>
      </c>
      <c r="M133" s="1" t="n">
        <v>0</v>
      </c>
      <c r="N133" s="1" t="n">
        <v>0</v>
      </c>
      <c r="O133" s="1" t="n">
        <v>14</v>
      </c>
      <c r="P133" s="1" t="n">
        <v>1</v>
      </c>
      <c r="Q133" s="1" t="n">
        <v>1000</v>
      </c>
      <c r="R133" s="13" t="n">
        <f aca="false">(N133*L133+O133*Q133)/(L133+O133)</f>
        <v>1000</v>
      </c>
      <c r="S133" s="14" t="n">
        <f aca="false">(M133*L133+O133*P133*0.1)/(L133+O133)</f>
        <v>0.1</v>
      </c>
      <c r="T133" s="1" t="n">
        <v>75</v>
      </c>
      <c r="U133" s="31" t="n">
        <f aca="false">((1.05+1.15)/2)*1000</f>
        <v>1100</v>
      </c>
      <c r="V133" s="16" t="n">
        <v>0.00908871627990326</v>
      </c>
      <c r="W133" s="1" t="n">
        <v>1</v>
      </c>
      <c r="X133" s="17" t="n">
        <f aca="false">0.410989004184597*0.000001*1000</f>
        <v>0.000410989004184597</v>
      </c>
      <c r="Z133" s="32" t="s">
        <v>60</v>
      </c>
      <c r="AA133" s="15" t="s">
        <v>68</v>
      </c>
      <c r="AC133" s="18" t="n">
        <f aca="false">MAX(L133,O133)</f>
        <v>14</v>
      </c>
      <c r="AD133" s="17" t="n">
        <f aca="false">MAX(M133,P133*0.1)</f>
        <v>0.1</v>
      </c>
      <c r="AE133" s="1" t="n">
        <f aca="false">MAX(N133,Q133)</f>
        <v>1000</v>
      </c>
      <c r="AG133" s="16"/>
      <c r="AH133" s="19" t="n">
        <v>131</v>
      </c>
      <c r="AI133" s="20" t="str">
        <f aca="false">B133</f>
        <v>DI</v>
      </c>
      <c r="AJ133" s="20" t="str">
        <f aca="false">C133</f>
        <v>Liquid-Solid</v>
      </c>
      <c r="AK133" s="20" t="str">
        <f aca="false">D133</f>
        <v>V-H</v>
      </c>
      <c r="AL133" s="21" t="n">
        <f aca="false">E133</f>
        <v>90</v>
      </c>
      <c r="AM133" s="22" t="n">
        <v>1E-006</v>
      </c>
      <c r="AN133" s="23" t="n">
        <f aca="false">MAX(G133/(F133/1000),25000)</f>
        <v>25000</v>
      </c>
      <c r="AO133" s="23" t="n">
        <f aca="false">H133/F133</f>
        <v>1.5875</v>
      </c>
      <c r="AP133" s="23" t="n">
        <f aca="false">AC133/SQRT(9.81*(F133/1000))</f>
        <v>49.9745093024473</v>
      </c>
      <c r="AQ133" s="23" t="n">
        <f aca="false">(AE133*AC133*(F133/1000))/AD133</f>
        <v>1120</v>
      </c>
      <c r="AR133" s="23" t="n">
        <f aca="false">((T133*0.000001)^3*AE133*(U133-AE133)*9.81)/AD133^2</f>
        <v>4.13859375E-005</v>
      </c>
      <c r="AS133" s="23" t="n">
        <f aca="false">(U133*((T133/10^6)^2)/(18*AD133))*AC133/(F133/1000)</f>
        <v>0.006015625</v>
      </c>
      <c r="AT133" s="23" t="n">
        <f aca="false">AE133*(T133/10^6)*AC133/AD133</f>
        <v>10.5</v>
      </c>
      <c r="AU133" s="23" t="n">
        <f aca="false">(T133/10^6)/(F133/1000)</f>
        <v>0.009375</v>
      </c>
      <c r="AV133" s="23" t="n">
        <f aca="false">AE133/U133</f>
        <v>0.909090909090909</v>
      </c>
      <c r="AW133" s="23" t="n">
        <f aca="false">(J133*10^9)/(K133*AC133^2)</f>
        <v>968.685346479017</v>
      </c>
      <c r="AX133" s="23" t="n">
        <f aca="false">V133</f>
        <v>0.00908871627990326</v>
      </c>
      <c r="AY133" s="23" t="n">
        <f aca="false">MAX(W133,1)</f>
        <v>1</v>
      </c>
      <c r="AZ133" s="23" t="n">
        <f aca="false">X133</f>
        <v>0.000410989004184597</v>
      </c>
      <c r="BA133" s="24" t="n">
        <f aca="false">0.8*AZ133</f>
        <v>0.000328791203347678</v>
      </c>
      <c r="BB133" s="24" t="n">
        <f aca="false">AZ133*1.2</f>
        <v>0.000493186805021516</v>
      </c>
      <c r="BC133" s="0" t="str">
        <f aca="false">Z133</f>
        <v>karimi Thesis - TABLE a2</v>
      </c>
    </row>
    <row r="134" customFormat="false" ht="12.8" hidden="false" customHeight="false" outlineLevel="0" collapsed="false">
      <c r="A134" s="1" t="n">
        <v>8</v>
      </c>
      <c r="B134" s="1" t="s">
        <v>48</v>
      </c>
      <c r="C134" s="1" t="s">
        <v>53</v>
      </c>
      <c r="D134" s="1" t="s">
        <v>54</v>
      </c>
      <c r="E134" s="1" t="n">
        <v>75</v>
      </c>
      <c r="F134" s="11" t="n">
        <v>8</v>
      </c>
      <c r="G134" s="11" t="n">
        <v>36</v>
      </c>
      <c r="H134" s="11" t="n">
        <v>12.7</v>
      </c>
      <c r="I134" s="1" t="s">
        <v>57</v>
      </c>
      <c r="J134" s="11" t="n">
        <v>1.517</v>
      </c>
      <c r="K134" s="30" t="n">
        <v>7990</v>
      </c>
      <c r="L134" s="1" t="n">
        <v>0</v>
      </c>
      <c r="M134" s="1" t="n">
        <v>0</v>
      </c>
      <c r="N134" s="1" t="n">
        <v>0</v>
      </c>
      <c r="O134" s="1" t="n">
        <v>14</v>
      </c>
      <c r="P134" s="1" t="n">
        <v>1</v>
      </c>
      <c r="Q134" s="1" t="n">
        <v>1000</v>
      </c>
      <c r="R134" s="13" t="n">
        <f aca="false">(N134*L134+O134*Q134)/(L134+O134)</f>
        <v>1000</v>
      </c>
      <c r="S134" s="14" t="n">
        <f aca="false">(M134*L134+O134*P134*0.1)/(L134+O134)</f>
        <v>0.1</v>
      </c>
      <c r="T134" s="1" t="n">
        <v>75</v>
      </c>
      <c r="U134" s="31" t="n">
        <f aca="false">((1.05+1.15)/2)*1000</f>
        <v>1100</v>
      </c>
      <c r="V134" s="16" t="n">
        <v>0.00908871627990326</v>
      </c>
      <c r="W134" s="1" t="n">
        <v>1</v>
      </c>
      <c r="X134" s="17" t="n">
        <f aca="false">0.438780480126553*0.000001*1000</f>
        <v>0.000438780480126553</v>
      </c>
      <c r="Z134" s="32" t="s">
        <v>60</v>
      </c>
      <c r="AA134" s="1" t="s">
        <v>69</v>
      </c>
      <c r="AC134" s="18" t="n">
        <f aca="false">MAX(L134,O134)</f>
        <v>14</v>
      </c>
      <c r="AD134" s="17" t="n">
        <f aca="false">MAX(M134,P134*0.1)</f>
        <v>0.1</v>
      </c>
      <c r="AE134" s="1" t="n">
        <f aca="false">MAX(N134,Q134)</f>
        <v>1000</v>
      </c>
      <c r="AG134" s="16"/>
      <c r="AH134" s="19" t="n">
        <v>132</v>
      </c>
      <c r="AI134" s="20" t="str">
        <f aca="false">B134</f>
        <v>DI</v>
      </c>
      <c r="AJ134" s="20" t="str">
        <f aca="false">C134</f>
        <v>Liquid-Solid</v>
      </c>
      <c r="AK134" s="20" t="str">
        <f aca="false">D134</f>
        <v>V-H</v>
      </c>
      <c r="AL134" s="21" t="n">
        <f aca="false">E134</f>
        <v>75</v>
      </c>
      <c r="AM134" s="22" t="n">
        <v>1E-006</v>
      </c>
      <c r="AN134" s="23" t="n">
        <f aca="false">MAX(G134/(F134/1000),25000)</f>
        <v>25000</v>
      </c>
      <c r="AO134" s="23" t="n">
        <f aca="false">H134/F134</f>
        <v>1.5875</v>
      </c>
      <c r="AP134" s="23" t="n">
        <f aca="false">AC134/SQRT(9.81*(F134/1000))</f>
        <v>49.9745093024473</v>
      </c>
      <c r="AQ134" s="23" t="n">
        <f aca="false">(AE134*AC134*(F134/1000))/AD134</f>
        <v>1120</v>
      </c>
      <c r="AR134" s="23" t="n">
        <f aca="false">((T134*0.000001)^3*AE134*(U134-AE134)*9.81)/AD134^2</f>
        <v>4.13859375E-005</v>
      </c>
      <c r="AS134" s="23" t="n">
        <f aca="false">(U134*((T134/10^6)^2)/(18*AD134))*AC134/(F134/1000)</f>
        <v>0.006015625</v>
      </c>
      <c r="AT134" s="23" t="n">
        <f aca="false">AE134*(T134/10^6)*AC134/AD134</f>
        <v>10.5</v>
      </c>
      <c r="AU134" s="23" t="n">
        <f aca="false">(T134/10^6)/(F134/1000)</f>
        <v>0.009375</v>
      </c>
      <c r="AV134" s="23" t="n">
        <f aca="false">AE134/U134</f>
        <v>0.909090909090909</v>
      </c>
      <c r="AW134" s="23" t="n">
        <f aca="false">(J134*10^9)/(K134*AC134^2)</f>
        <v>968.685346479017</v>
      </c>
      <c r="AX134" s="23" t="n">
        <f aca="false">V134</f>
        <v>0.00908871627990326</v>
      </c>
      <c r="AY134" s="23" t="n">
        <f aca="false">MAX(W134,1)</f>
        <v>1</v>
      </c>
      <c r="AZ134" s="23" t="n">
        <f aca="false">X134</f>
        <v>0.000438780480126553</v>
      </c>
      <c r="BA134" s="24" t="n">
        <f aca="false">0.8*AZ134</f>
        <v>0.000351024384101242</v>
      </c>
      <c r="BB134" s="24" t="n">
        <f aca="false">AZ134*1.2</f>
        <v>0.000526536576151864</v>
      </c>
      <c r="BC134" s="0" t="str">
        <f aca="false">Z134</f>
        <v>karimi Thesis - TABLE a2</v>
      </c>
    </row>
    <row r="135" customFormat="false" ht="12.8" hidden="false" customHeight="false" outlineLevel="0" collapsed="false">
      <c r="A135" s="1" t="n">
        <v>9</v>
      </c>
      <c r="B135" s="1" t="s">
        <v>48</v>
      </c>
      <c r="C135" s="1" t="s">
        <v>53</v>
      </c>
      <c r="D135" s="1" t="s">
        <v>54</v>
      </c>
      <c r="E135" s="1" t="n">
        <v>45</v>
      </c>
      <c r="F135" s="11" t="n">
        <v>8</v>
      </c>
      <c r="G135" s="11" t="n">
        <v>36</v>
      </c>
      <c r="H135" s="11" t="n">
        <v>12.7</v>
      </c>
      <c r="I135" s="1" t="s">
        <v>57</v>
      </c>
      <c r="J135" s="11" t="n">
        <v>1.517</v>
      </c>
      <c r="K135" s="30" t="n">
        <v>7990</v>
      </c>
      <c r="L135" s="1" t="n">
        <v>0</v>
      </c>
      <c r="M135" s="1" t="n">
        <v>0</v>
      </c>
      <c r="N135" s="1" t="n">
        <v>0</v>
      </c>
      <c r="O135" s="1" t="n">
        <v>24</v>
      </c>
      <c r="P135" s="1" t="n">
        <v>1</v>
      </c>
      <c r="Q135" s="1" t="n">
        <v>1000</v>
      </c>
      <c r="R135" s="13" t="n">
        <f aca="false">(N135*L135+O135*Q135)/(L135+O135)</f>
        <v>1000</v>
      </c>
      <c r="S135" s="14" t="n">
        <f aca="false">(M135*L135+O135*P135*0.1)/(L135+O135)</f>
        <v>0.1</v>
      </c>
      <c r="T135" s="1" t="n">
        <v>75</v>
      </c>
      <c r="U135" s="31" t="n">
        <f aca="false">((1.05+1.15)/2)*1000</f>
        <v>1100</v>
      </c>
      <c r="V135" s="16" t="n">
        <v>0.00532190503198704</v>
      </c>
      <c r="W135" s="1" t="n">
        <v>1</v>
      </c>
      <c r="X135" s="17" t="n">
        <f aca="false">0.185580508192651*0.000001*1000</f>
        <v>0.000185580508192651</v>
      </c>
      <c r="Z135" s="32" t="s">
        <v>60</v>
      </c>
      <c r="AA135" s="15" t="s">
        <v>70</v>
      </c>
      <c r="AC135" s="18" t="n">
        <f aca="false">MAX(L135,O135)</f>
        <v>24</v>
      </c>
      <c r="AD135" s="17" t="n">
        <f aca="false">MAX(M135,P135*0.1)</f>
        <v>0.1</v>
      </c>
      <c r="AE135" s="1" t="n">
        <f aca="false">MAX(N135,Q135)</f>
        <v>1000</v>
      </c>
      <c r="AG135" s="16"/>
      <c r="AH135" s="19" t="n">
        <v>133</v>
      </c>
      <c r="AI135" s="20" t="str">
        <f aca="false">B135</f>
        <v>DI</v>
      </c>
      <c r="AJ135" s="20" t="str">
        <f aca="false">C135</f>
        <v>Liquid-Solid</v>
      </c>
      <c r="AK135" s="20" t="str">
        <f aca="false">D135</f>
        <v>V-H</v>
      </c>
      <c r="AL135" s="21" t="n">
        <f aca="false">E135</f>
        <v>45</v>
      </c>
      <c r="AM135" s="22" t="n">
        <v>1E-006</v>
      </c>
      <c r="AN135" s="23" t="n">
        <f aca="false">MAX(G135/(F135/1000),25000)</f>
        <v>25000</v>
      </c>
      <c r="AO135" s="23" t="n">
        <f aca="false">H135/F135</f>
        <v>1.5875</v>
      </c>
      <c r="AP135" s="23" t="n">
        <f aca="false">AC135/SQRT(9.81*(F135/1000))</f>
        <v>85.6705873756239</v>
      </c>
      <c r="AQ135" s="23" t="n">
        <f aca="false">(AE135*AC135*(F135/1000))/AD135</f>
        <v>1920</v>
      </c>
      <c r="AR135" s="23" t="n">
        <f aca="false">((T135*0.000001)^3*AE135*(U135-AE135)*9.81)/AD135^2</f>
        <v>4.13859375E-005</v>
      </c>
      <c r="AS135" s="23" t="n">
        <f aca="false">(U135*((T135/10^6)^2)/(18*AD135))*AC135/(F135/1000)</f>
        <v>0.0103125</v>
      </c>
      <c r="AT135" s="23" t="n">
        <f aca="false">AE135*(T135/10^6)*AC135/AD135</f>
        <v>18</v>
      </c>
      <c r="AU135" s="23" t="n">
        <f aca="false">(T135/10^6)/(F135/1000)</f>
        <v>0.009375</v>
      </c>
      <c r="AV135" s="23" t="n">
        <f aca="false">AE135/U135</f>
        <v>0.909090909090909</v>
      </c>
      <c r="AW135" s="23" t="n">
        <f aca="false">(J135*10^9)/(K135*AC135^2)</f>
        <v>329.622097065777</v>
      </c>
      <c r="AX135" s="23" t="n">
        <f aca="false">V135</f>
        <v>0.00532190503198704</v>
      </c>
      <c r="AY135" s="23" t="n">
        <f aca="false">MAX(W135,1)</f>
        <v>1</v>
      </c>
      <c r="AZ135" s="23" t="n">
        <f aca="false">X135</f>
        <v>0.000185580508192651</v>
      </c>
      <c r="BA135" s="24" t="n">
        <f aca="false">0.8*AZ135</f>
        <v>0.000148464406554121</v>
      </c>
      <c r="BB135" s="24" t="n">
        <f aca="false">AZ135*1.2</f>
        <v>0.000222696609831181</v>
      </c>
      <c r="BC135" s="0" t="str">
        <f aca="false">Z135</f>
        <v>karimi Thesis - TABLE a2</v>
      </c>
    </row>
    <row r="136" customFormat="false" ht="12.8" hidden="false" customHeight="false" outlineLevel="0" collapsed="false">
      <c r="A136" s="1" t="n">
        <v>10</v>
      </c>
      <c r="B136" s="1" t="s">
        <v>48</v>
      </c>
      <c r="C136" s="1" t="s">
        <v>53</v>
      </c>
      <c r="D136" s="1" t="s">
        <v>54</v>
      </c>
      <c r="E136" s="1" t="n">
        <v>90</v>
      </c>
      <c r="F136" s="11" t="n">
        <v>8</v>
      </c>
      <c r="G136" s="11" t="n">
        <v>36</v>
      </c>
      <c r="H136" s="11" t="n">
        <v>12.7</v>
      </c>
      <c r="I136" s="1" t="s">
        <v>57</v>
      </c>
      <c r="J136" s="11" t="n">
        <v>1.517</v>
      </c>
      <c r="K136" s="30" t="n">
        <v>7990</v>
      </c>
      <c r="L136" s="1" t="n">
        <v>0</v>
      </c>
      <c r="M136" s="1" t="n">
        <v>0</v>
      </c>
      <c r="N136" s="1" t="n">
        <v>0</v>
      </c>
      <c r="O136" s="1" t="n">
        <v>14</v>
      </c>
      <c r="P136" s="1" t="n">
        <v>1</v>
      </c>
      <c r="Q136" s="1" t="n">
        <v>1000</v>
      </c>
      <c r="R136" s="13" t="n">
        <f aca="false">(N136*L136+O136*Q136)/(L136+O136)</f>
        <v>1000</v>
      </c>
      <c r="S136" s="14" t="n">
        <f aca="false">(M136*L136+O136*P136*0.1)/(L136+O136)</f>
        <v>0.1</v>
      </c>
      <c r="T136" s="1" t="n">
        <v>25</v>
      </c>
      <c r="U136" s="31" t="n">
        <f aca="false">((1.05+1.15)/2)*1000</f>
        <v>1100</v>
      </c>
      <c r="V136" s="16" t="n">
        <v>0.0269017111967078</v>
      </c>
      <c r="W136" s="1" t="n">
        <v>1</v>
      </c>
      <c r="X136" s="17" t="n">
        <f aca="false">0.0550998653516657*0.000001*1000</f>
        <v>5.50998653516657E-005</v>
      </c>
      <c r="Z136" s="32" t="s">
        <v>64</v>
      </c>
      <c r="AA136" s="1" t="s">
        <v>71</v>
      </c>
      <c r="AC136" s="18" t="n">
        <f aca="false">MAX(L136,O136)</f>
        <v>14</v>
      </c>
      <c r="AD136" s="17" t="n">
        <f aca="false">MAX(M136,P136*0.1)</f>
        <v>0.1</v>
      </c>
      <c r="AE136" s="1" t="n">
        <f aca="false">MAX(N136,Q136)</f>
        <v>1000</v>
      </c>
      <c r="AG136" s="16"/>
      <c r="AH136" s="19" t="n">
        <v>134</v>
      </c>
      <c r="AI136" s="20" t="str">
        <f aca="false">B136</f>
        <v>DI</v>
      </c>
      <c r="AJ136" s="20" t="str">
        <f aca="false">C136</f>
        <v>Liquid-Solid</v>
      </c>
      <c r="AK136" s="20" t="str">
        <f aca="false">D136</f>
        <v>V-H</v>
      </c>
      <c r="AL136" s="21" t="n">
        <f aca="false">E136</f>
        <v>90</v>
      </c>
      <c r="AM136" s="22" t="n">
        <v>1E-006</v>
      </c>
      <c r="AN136" s="23" t="n">
        <f aca="false">MAX(G136/(F136/1000),25000)</f>
        <v>25000</v>
      </c>
      <c r="AO136" s="23" t="n">
        <f aca="false">H136/F136</f>
        <v>1.5875</v>
      </c>
      <c r="AP136" s="23" t="n">
        <f aca="false">AC136/SQRT(9.81*(F136/1000))</f>
        <v>49.9745093024473</v>
      </c>
      <c r="AQ136" s="23" t="n">
        <f aca="false">(AE136*AC136*(F136/1000))/AD136</f>
        <v>1120</v>
      </c>
      <c r="AR136" s="23" t="n">
        <f aca="false">((T136*0.000001)^3*AE136*(U136-AE136)*9.81)/AD136^2</f>
        <v>1.5328125E-006</v>
      </c>
      <c r="AS136" s="23" t="n">
        <f aca="false">(U136*((T136/10^6)^2)/(18*AD136))*AC136/(F136/1000)</f>
        <v>0.000668402777777778</v>
      </c>
      <c r="AT136" s="23" t="n">
        <f aca="false">AE136*(T136/10^6)*AC136/AD136</f>
        <v>3.5</v>
      </c>
      <c r="AU136" s="23" t="n">
        <f aca="false">(T136/10^6)/(F136/1000)</f>
        <v>0.003125</v>
      </c>
      <c r="AV136" s="23" t="n">
        <f aca="false">AE136/U136</f>
        <v>0.909090909090909</v>
      </c>
      <c r="AW136" s="23" t="n">
        <f aca="false">(J136*10^9)/(K136*AC136^2)</f>
        <v>968.685346479017</v>
      </c>
      <c r="AX136" s="23" t="n">
        <f aca="false">V136</f>
        <v>0.0269017111967078</v>
      </c>
      <c r="AY136" s="23" t="n">
        <f aca="false">MAX(W136,1)</f>
        <v>1</v>
      </c>
      <c r="AZ136" s="23" t="n">
        <f aca="false">X136</f>
        <v>5.50998653516657E-005</v>
      </c>
      <c r="BA136" s="24" t="n">
        <f aca="false">0.8*AZ136</f>
        <v>4.40798922813326E-005</v>
      </c>
      <c r="BB136" s="24" t="n">
        <f aca="false">AZ136*1.2</f>
        <v>6.61198384219988E-005</v>
      </c>
      <c r="BC136" s="0" t="str">
        <f aca="false">Z136</f>
        <v>karimi Thesis - TABLE a1</v>
      </c>
    </row>
    <row r="137" customFormat="false" ht="12.8" hidden="false" customHeight="false" outlineLevel="0" collapsed="false">
      <c r="A137" s="1" t="n">
        <v>11</v>
      </c>
      <c r="B137" s="1" t="s">
        <v>48</v>
      </c>
      <c r="C137" s="1" t="s">
        <v>53</v>
      </c>
      <c r="D137" s="1" t="s">
        <v>54</v>
      </c>
      <c r="E137" s="1" t="n">
        <v>45</v>
      </c>
      <c r="F137" s="11" t="n">
        <v>8</v>
      </c>
      <c r="G137" s="11" t="n">
        <v>36</v>
      </c>
      <c r="H137" s="11" t="n">
        <v>12.7</v>
      </c>
      <c r="I137" s="1" t="s">
        <v>57</v>
      </c>
      <c r="J137" s="11" t="n">
        <v>1.517</v>
      </c>
      <c r="K137" s="30" t="n">
        <v>7990</v>
      </c>
      <c r="L137" s="1" t="n">
        <v>0</v>
      </c>
      <c r="M137" s="1" t="n">
        <v>0</v>
      </c>
      <c r="N137" s="1" t="n">
        <v>0</v>
      </c>
      <c r="O137" s="1" t="n">
        <v>14</v>
      </c>
      <c r="P137" s="1" t="n">
        <v>1</v>
      </c>
      <c r="Q137" s="1" t="n">
        <v>1000</v>
      </c>
      <c r="R137" s="13" t="n">
        <f aca="false">(N137*L137+O137*Q137)/(L137+O137)</f>
        <v>1000</v>
      </c>
      <c r="S137" s="14" t="n">
        <f aca="false">(M137*L137+O137*P137*0.1)/(L137+O137)</f>
        <v>0.1</v>
      </c>
      <c r="T137" s="1" t="n">
        <v>25</v>
      </c>
      <c r="U137" s="31" t="n">
        <f aca="false">((1.05+1.15)/2)*1000</f>
        <v>1100</v>
      </c>
      <c r="V137" s="16" t="n">
        <v>0.0269017111967078</v>
      </c>
      <c r="W137" s="1" t="n">
        <v>1</v>
      </c>
      <c r="X137" s="17" t="n">
        <f aca="false">0.0721907748116831*0.000001*1000</f>
        <v>7.21907748116831E-005</v>
      </c>
      <c r="Z137" s="32" t="s">
        <v>64</v>
      </c>
      <c r="AA137" s="1" t="s">
        <v>72</v>
      </c>
      <c r="AC137" s="18" t="n">
        <f aca="false">MAX(L137,O137)</f>
        <v>14</v>
      </c>
      <c r="AD137" s="17" t="n">
        <f aca="false">MAX(M137,P137*0.1)</f>
        <v>0.1</v>
      </c>
      <c r="AE137" s="1" t="n">
        <f aca="false">MAX(N137,Q137)</f>
        <v>1000</v>
      </c>
      <c r="AG137" s="16"/>
      <c r="AH137" s="19" t="n">
        <v>135</v>
      </c>
      <c r="AI137" s="20" t="str">
        <f aca="false">B137</f>
        <v>DI</v>
      </c>
      <c r="AJ137" s="20" t="str">
        <f aca="false">C137</f>
        <v>Liquid-Solid</v>
      </c>
      <c r="AK137" s="20" t="str">
        <f aca="false">D137</f>
        <v>V-H</v>
      </c>
      <c r="AL137" s="21" t="n">
        <f aca="false">E137</f>
        <v>45</v>
      </c>
      <c r="AM137" s="22" t="n">
        <v>1E-006</v>
      </c>
      <c r="AN137" s="23" t="n">
        <f aca="false">MAX(G137/(F137/1000),25000)</f>
        <v>25000</v>
      </c>
      <c r="AO137" s="23" t="n">
        <f aca="false">H137/F137</f>
        <v>1.5875</v>
      </c>
      <c r="AP137" s="23" t="n">
        <f aca="false">AC137/SQRT(9.81*(F137/1000))</f>
        <v>49.9745093024473</v>
      </c>
      <c r="AQ137" s="23" t="n">
        <f aca="false">(AE137*AC137*(F137/1000))/AD137</f>
        <v>1120</v>
      </c>
      <c r="AR137" s="23" t="n">
        <f aca="false">((T137*0.000001)^3*AE137*(U137-AE137)*9.81)/AD137^2</f>
        <v>1.5328125E-006</v>
      </c>
      <c r="AS137" s="23" t="n">
        <f aca="false">(U137*((T137/10^6)^2)/(18*AD137))*AC137/(F137/1000)</f>
        <v>0.000668402777777778</v>
      </c>
      <c r="AT137" s="23" t="n">
        <f aca="false">AE137*(T137/10^6)*AC137/AD137</f>
        <v>3.5</v>
      </c>
      <c r="AU137" s="23" t="n">
        <f aca="false">(T137/10^6)/(F137/1000)</f>
        <v>0.003125</v>
      </c>
      <c r="AV137" s="23" t="n">
        <f aca="false">AE137/U137</f>
        <v>0.909090909090909</v>
      </c>
      <c r="AW137" s="23" t="n">
        <f aca="false">(J137*10^9)/(K137*AC137^2)</f>
        <v>968.685346479017</v>
      </c>
      <c r="AX137" s="23" t="n">
        <f aca="false">V137</f>
        <v>0.0269017111967078</v>
      </c>
      <c r="AY137" s="23" t="n">
        <f aca="false">MAX(W137,1)</f>
        <v>1</v>
      </c>
      <c r="AZ137" s="23" t="n">
        <f aca="false">X137</f>
        <v>7.21907748116831E-005</v>
      </c>
      <c r="BA137" s="24" t="n">
        <f aca="false">0.8*AZ137</f>
        <v>5.77526198493465E-005</v>
      </c>
      <c r="BB137" s="24" t="n">
        <f aca="false">AZ137*1.2</f>
        <v>8.66289297740197E-005</v>
      </c>
      <c r="BC137" s="0" t="str">
        <f aca="false">Z137</f>
        <v>karimi Thesis - TABLE a1</v>
      </c>
    </row>
    <row r="138" customFormat="false" ht="12.8" hidden="false" customHeight="false" outlineLevel="0" collapsed="false">
      <c r="A138" s="1" t="n">
        <v>12</v>
      </c>
      <c r="B138" s="1" t="s">
        <v>48</v>
      </c>
      <c r="C138" s="1" t="s">
        <v>53</v>
      </c>
      <c r="D138" s="1" t="s">
        <v>54</v>
      </c>
      <c r="E138" s="1" t="n">
        <v>90</v>
      </c>
      <c r="F138" s="11" t="n">
        <v>8</v>
      </c>
      <c r="G138" s="11" t="n">
        <v>36</v>
      </c>
      <c r="H138" s="11" t="n">
        <v>12.7</v>
      </c>
      <c r="I138" s="1" t="s">
        <v>57</v>
      </c>
      <c r="J138" s="11" t="n">
        <v>1.517</v>
      </c>
      <c r="K138" s="30" t="n">
        <v>7990</v>
      </c>
      <c r="L138" s="1" t="n">
        <v>0</v>
      </c>
      <c r="M138" s="1" t="n">
        <v>0</v>
      </c>
      <c r="N138" s="1" t="n">
        <v>0</v>
      </c>
      <c r="O138" s="1" t="n">
        <v>14</v>
      </c>
      <c r="P138" s="1" t="n">
        <v>1</v>
      </c>
      <c r="Q138" s="1" t="n">
        <v>1000</v>
      </c>
      <c r="R138" s="13" t="n">
        <f aca="false">(N138*L138+O138*Q138)/(L138+O138)</f>
        <v>1000</v>
      </c>
      <c r="S138" s="14" t="n">
        <f aca="false">(M138*L138+O138*P138*0.1)/(L138+O138)</f>
        <v>0.1</v>
      </c>
      <c r="T138" s="1" t="n">
        <v>75</v>
      </c>
      <c r="U138" s="31" t="n">
        <f aca="false">((1.05+1.15)/2)*1000</f>
        <v>1100</v>
      </c>
      <c r="V138" s="16" t="n">
        <v>0.00908871627990326</v>
      </c>
      <c r="W138" s="1" t="n">
        <v>1</v>
      </c>
      <c r="X138" s="17" t="n">
        <f aca="false">0.547467069229879*0.000001*1000</f>
        <v>0.000547467069229879</v>
      </c>
      <c r="Z138" s="32" t="s">
        <v>60</v>
      </c>
      <c r="AA138" s="15" t="s">
        <v>73</v>
      </c>
      <c r="AC138" s="18" t="n">
        <f aca="false">MAX(L138,O138)</f>
        <v>14</v>
      </c>
      <c r="AD138" s="17" t="n">
        <f aca="false">MAX(M138,P138*0.1)</f>
        <v>0.1</v>
      </c>
      <c r="AE138" s="1" t="n">
        <f aca="false">MAX(N138,Q138)</f>
        <v>1000</v>
      </c>
      <c r="AG138" s="16"/>
      <c r="AH138" s="19" t="n">
        <v>136</v>
      </c>
      <c r="AI138" s="20" t="str">
        <f aca="false">B138</f>
        <v>DI</v>
      </c>
      <c r="AJ138" s="20" t="str">
        <f aca="false">C138</f>
        <v>Liquid-Solid</v>
      </c>
      <c r="AK138" s="20" t="str">
        <f aca="false">D138</f>
        <v>V-H</v>
      </c>
      <c r="AL138" s="21" t="n">
        <f aca="false">E138</f>
        <v>90</v>
      </c>
      <c r="AM138" s="22" t="n">
        <v>1E-006</v>
      </c>
      <c r="AN138" s="23" t="n">
        <f aca="false">MAX(G138/(F138/1000),25000)</f>
        <v>25000</v>
      </c>
      <c r="AO138" s="23" t="n">
        <f aca="false">H138/F138</f>
        <v>1.5875</v>
      </c>
      <c r="AP138" s="23" t="n">
        <f aca="false">AC138/SQRT(9.81*(F138/1000))</f>
        <v>49.9745093024473</v>
      </c>
      <c r="AQ138" s="23" t="n">
        <f aca="false">(AE138*AC138*(F138/1000))/AD138</f>
        <v>1120</v>
      </c>
      <c r="AR138" s="23" t="n">
        <f aca="false">((T138*0.000001)^3*AE138*(U138-AE138)*9.81)/AD138^2</f>
        <v>4.13859375E-005</v>
      </c>
      <c r="AS138" s="23" t="n">
        <f aca="false">(U138*((T138/10^6)^2)/(18*AD138))*AC138/(F138/1000)</f>
        <v>0.006015625</v>
      </c>
      <c r="AT138" s="23" t="n">
        <f aca="false">AE138*(T138/10^6)*AC138/AD138</f>
        <v>10.5</v>
      </c>
      <c r="AU138" s="23" t="n">
        <f aca="false">(T138/10^6)/(F138/1000)</f>
        <v>0.009375</v>
      </c>
      <c r="AV138" s="23" t="n">
        <f aca="false">AE138/U138</f>
        <v>0.909090909090909</v>
      </c>
      <c r="AW138" s="23" t="n">
        <f aca="false">(J138*10^9)/(K138*AC138^2)</f>
        <v>968.685346479017</v>
      </c>
      <c r="AX138" s="23" t="n">
        <f aca="false">V138</f>
        <v>0.00908871627990326</v>
      </c>
      <c r="AY138" s="23" t="n">
        <f aca="false">MAX(W138,1)</f>
        <v>1</v>
      </c>
      <c r="AZ138" s="23" t="n">
        <f aca="false">X138</f>
        <v>0.000547467069229879</v>
      </c>
      <c r="BA138" s="24" t="n">
        <f aca="false">0.8*AZ138</f>
        <v>0.000437973655383903</v>
      </c>
      <c r="BB138" s="24" t="n">
        <f aca="false">AZ138*1.2</f>
        <v>0.000656960483075855</v>
      </c>
      <c r="BC138" s="0" t="str">
        <f aca="false">Z138</f>
        <v>karimi Thesis - TABLE a2</v>
      </c>
    </row>
    <row r="139" customFormat="false" ht="12.8" hidden="false" customHeight="false" outlineLevel="0" collapsed="false">
      <c r="A139" s="1" t="n">
        <v>13</v>
      </c>
      <c r="B139" s="1" t="s">
        <v>48</v>
      </c>
      <c r="C139" s="1" t="s">
        <v>53</v>
      </c>
      <c r="D139" s="1" t="s">
        <v>54</v>
      </c>
      <c r="E139" s="1" t="n">
        <v>75</v>
      </c>
      <c r="F139" s="11" t="n">
        <v>8</v>
      </c>
      <c r="G139" s="11" t="n">
        <v>36</v>
      </c>
      <c r="H139" s="11" t="n">
        <v>12.7</v>
      </c>
      <c r="I139" s="1" t="s">
        <v>57</v>
      </c>
      <c r="J139" s="11" t="n">
        <v>1.517</v>
      </c>
      <c r="K139" s="30" t="n">
        <v>7990</v>
      </c>
      <c r="L139" s="1" t="n">
        <v>0</v>
      </c>
      <c r="M139" s="1" t="n">
        <v>0</v>
      </c>
      <c r="N139" s="1" t="n">
        <v>0</v>
      </c>
      <c r="O139" s="1" t="n">
        <v>14</v>
      </c>
      <c r="P139" s="1" t="n">
        <v>1</v>
      </c>
      <c r="Q139" s="1" t="n">
        <v>1000</v>
      </c>
      <c r="R139" s="13" t="n">
        <f aca="false">(N139*L139+O139*Q139)/(L139+O139)</f>
        <v>1000</v>
      </c>
      <c r="S139" s="14" t="n">
        <f aca="false">(M139*L139+O139*P139*0.1)/(L139+O139)</f>
        <v>0.1</v>
      </c>
      <c r="T139" s="1" t="n">
        <v>75</v>
      </c>
      <c r="U139" s="31" t="n">
        <f aca="false">((1.05+1.15)/2)*1000</f>
        <v>1100</v>
      </c>
      <c r="V139" s="16" t="n">
        <v>0.00908871627990326</v>
      </c>
      <c r="W139" s="1" t="n">
        <v>1</v>
      </c>
      <c r="X139" s="17" t="n">
        <f aca="false">0.413629587461725*0.000001*1000</f>
        <v>0.000413629587461725</v>
      </c>
      <c r="Z139" s="32" t="s">
        <v>60</v>
      </c>
      <c r="AA139" s="1" t="s">
        <v>74</v>
      </c>
      <c r="AC139" s="18" t="n">
        <f aca="false">MAX(L139,O139)</f>
        <v>14</v>
      </c>
      <c r="AD139" s="17" t="n">
        <f aca="false">MAX(M139,P139*0.1)</f>
        <v>0.1</v>
      </c>
      <c r="AE139" s="1" t="n">
        <f aca="false">MAX(N139,Q139)</f>
        <v>1000</v>
      </c>
      <c r="AG139" s="16"/>
      <c r="AH139" s="19" t="n">
        <v>137</v>
      </c>
      <c r="AI139" s="20" t="str">
        <f aca="false">B139</f>
        <v>DI</v>
      </c>
      <c r="AJ139" s="20" t="str">
        <f aca="false">C139</f>
        <v>Liquid-Solid</v>
      </c>
      <c r="AK139" s="20" t="str">
        <f aca="false">D139</f>
        <v>V-H</v>
      </c>
      <c r="AL139" s="21" t="n">
        <f aca="false">E139</f>
        <v>75</v>
      </c>
      <c r="AM139" s="22" t="n">
        <v>1E-006</v>
      </c>
      <c r="AN139" s="23" t="n">
        <f aca="false">MAX(G139/(F139/1000),25000)</f>
        <v>25000</v>
      </c>
      <c r="AO139" s="23" t="n">
        <f aca="false">H139/F139</f>
        <v>1.5875</v>
      </c>
      <c r="AP139" s="23" t="n">
        <f aca="false">AC139/SQRT(9.81*(F139/1000))</f>
        <v>49.9745093024473</v>
      </c>
      <c r="AQ139" s="23" t="n">
        <f aca="false">(AE139*AC139*(F139/1000))/AD139</f>
        <v>1120</v>
      </c>
      <c r="AR139" s="23" t="n">
        <f aca="false">((T139*0.000001)^3*AE139*(U139-AE139)*9.81)/AD139^2</f>
        <v>4.13859375E-005</v>
      </c>
      <c r="AS139" s="23" t="n">
        <f aca="false">(U139*((T139/10^6)^2)/(18*AD139))*AC139/(F139/1000)</f>
        <v>0.006015625</v>
      </c>
      <c r="AT139" s="23" t="n">
        <f aca="false">AE139*(T139/10^6)*AC139/AD139</f>
        <v>10.5</v>
      </c>
      <c r="AU139" s="23" t="n">
        <f aca="false">(T139/10^6)/(F139/1000)</f>
        <v>0.009375</v>
      </c>
      <c r="AV139" s="23" t="n">
        <f aca="false">AE139/U139</f>
        <v>0.909090909090909</v>
      </c>
      <c r="AW139" s="23" t="n">
        <f aca="false">(J139*10^9)/(K139*AC139^2)</f>
        <v>968.685346479017</v>
      </c>
      <c r="AX139" s="23" t="n">
        <f aca="false">V139</f>
        <v>0.00908871627990326</v>
      </c>
      <c r="AY139" s="23" t="n">
        <f aca="false">MAX(W139,1)</f>
        <v>1</v>
      </c>
      <c r="AZ139" s="23" t="n">
        <f aca="false">X139</f>
        <v>0.000413629587461725</v>
      </c>
      <c r="BA139" s="24" t="n">
        <f aca="false">0.8*AZ139</f>
        <v>0.00033090366996938</v>
      </c>
      <c r="BB139" s="24" t="n">
        <f aca="false">AZ139*1.2</f>
        <v>0.00049635550495407</v>
      </c>
      <c r="BC139" s="0" t="str">
        <f aca="false">Z139</f>
        <v>karimi Thesis - TABLE a2</v>
      </c>
    </row>
    <row r="140" customFormat="false" ht="12.8" hidden="false" customHeight="false" outlineLevel="0" collapsed="false">
      <c r="A140" s="1" t="n">
        <v>14</v>
      </c>
      <c r="B140" s="1" t="s">
        <v>48</v>
      </c>
      <c r="C140" s="1" t="s">
        <v>53</v>
      </c>
      <c r="D140" s="1" t="s">
        <v>54</v>
      </c>
      <c r="E140" s="1" t="n">
        <v>45</v>
      </c>
      <c r="F140" s="11" t="n">
        <v>8</v>
      </c>
      <c r="G140" s="11" t="n">
        <v>36</v>
      </c>
      <c r="H140" s="11" t="n">
        <v>12.7</v>
      </c>
      <c r="I140" s="1" t="s">
        <v>57</v>
      </c>
      <c r="J140" s="11" t="n">
        <v>1.517</v>
      </c>
      <c r="K140" s="30" t="n">
        <v>7990</v>
      </c>
      <c r="L140" s="1" t="n">
        <v>0</v>
      </c>
      <c r="M140" s="1" t="n">
        <v>0</v>
      </c>
      <c r="N140" s="1" t="n">
        <v>0</v>
      </c>
      <c r="O140" s="1" t="n">
        <v>14</v>
      </c>
      <c r="P140" s="1" t="n">
        <v>1</v>
      </c>
      <c r="Q140" s="1" t="n">
        <v>1000</v>
      </c>
      <c r="R140" s="13" t="n">
        <f aca="false">(N140*L140+O140*Q140)/(L140+O140)</f>
        <v>1000</v>
      </c>
      <c r="S140" s="14" t="n">
        <f aca="false">(M140*L140+O140*P140*0.1)/(L140+O140)</f>
        <v>0.1</v>
      </c>
      <c r="T140" s="1" t="n">
        <v>75</v>
      </c>
      <c r="U140" s="31" t="n">
        <f aca="false">((1.05+1.15)/2)*1000</f>
        <v>1100</v>
      </c>
      <c r="V140" s="16" t="n">
        <v>0.00908871627990326</v>
      </c>
      <c r="W140" s="1" t="n">
        <v>1</v>
      </c>
      <c r="X140" s="17" t="n">
        <f aca="false">0.194644296158669*0.000001*1000</f>
        <v>0.000194644296158669</v>
      </c>
      <c r="Z140" s="32" t="s">
        <v>60</v>
      </c>
      <c r="AA140" s="15" t="s">
        <v>75</v>
      </c>
      <c r="AC140" s="18" t="n">
        <f aca="false">MAX(L140,O140)</f>
        <v>14</v>
      </c>
      <c r="AD140" s="17" t="n">
        <f aca="false">MAX(M140,P140*0.1)</f>
        <v>0.1</v>
      </c>
      <c r="AE140" s="1" t="n">
        <f aca="false">MAX(N140,Q140)</f>
        <v>1000</v>
      </c>
      <c r="AG140" s="16"/>
      <c r="AH140" s="19" t="n">
        <v>138</v>
      </c>
      <c r="AI140" s="20" t="str">
        <f aca="false">B140</f>
        <v>DI</v>
      </c>
      <c r="AJ140" s="20" t="str">
        <f aca="false">C140</f>
        <v>Liquid-Solid</v>
      </c>
      <c r="AK140" s="20" t="str">
        <f aca="false">D140</f>
        <v>V-H</v>
      </c>
      <c r="AL140" s="21" t="n">
        <f aca="false">E140</f>
        <v>45</v>
      </c>
      <c r="AM140" s="22" t="n">
        <v>1E-006</v>
      </c>
      <c r="AN140" s="23" t="n">
        <f aca="false">MAX(G140/(F140/1000),25000)</f>
        <v>25000</v>
      </c>
      <c r="AO140" s="23" t="n">
        <f aca="false">H140/F140</f>
        <v>1.5875</v>
      </c>
      <c r="AP140" s="23" t="n">
        <f aca="false">AC140/SQRT(9.81*(F140/1000))</f>
        <v>49.9745093024473</v>
      </c>
      <c r="AQ140" s="23" t="n">
        <f aca="false">(AE140*AC140*(F140/1000))/AD140</f>
        <v>1120</v>
      </c>
      <c r="AR140" s="23" t="n">
        <f aca="false">((T140*0.000001)^3*AE140*(U140-AE140)*9.81)/AD140^2</f>
        <v>4.13859375E-005</v>
      </c>
      <c r="AS140" s="23" t="n">
        <f aca="false">(U140*((T140/10^6)^2)/(18*AD140))*AC140/(F140/1000)</f>
        <v>0.006015625</v>
      </c>
      <c r="AT140" s="23" t="n">
        <f aca="false">AE140*(T140/10^6)*AC140/AD140</f>
        <v>10.5</v>
      </c>
      <c r="AU140" s="23" t="n">
        <f aca="false">(T140/10^6)/(F140/1000)</f>
        <v>0.009375</v>
      </c>
      <c r="AV140" s="23" t="n">
        <f aca="false">AE140/U140</f>
        <v>0.909090909090909</v>
      </c>
      <c r="AW140" s="23" t="n">
        <f aca="false">(J140*10^9)/(K140*AC140^2)</f>
        <v>968.685346479017</v>
      </c>
      <c r="AX140" s="23" t="n">
        <f aca="false">V140</f>
        <v>0.00908871627990326</v>
      </c>
      <c r="AY140" s="23" t="n">
        <f aca="false">MAX(W140,1)</f>
        <v>1</v>
      </c>
      <c r="AZ140" s="23" t="n">
        <f aca="false">X140</f>
        <v>0.000194644296158669</v>
      </c>
      <c r="BA140" s="24" t="n">
        <f aca="false">0.8*AZ140</f>
        <v>0.000155715436926935</v>
      </c>
      <c r="BB140" s="24" t="n">
        <f aca="false">AZ140*1.2</f>
        <v>0.000233573155390403</v>
      </c>
      <c r="BC140" s="0" t="str">
        <f aca="false">Z140</f>
        <v>karimi Thesis - TABLE a2</v>
      </c>
    </row>
    <row r="141" customFormat="false" ht="12.8" hidden="false" customHeight="false" outlineLevel="0" collapsed="false">
      <c r="A141" s="1" t="n">
        <v>15</v>
      </c>
      <c r="B141" s="1" t="s">
        <v>48</v>
      </c>
      <c r="C141" s="1" t="s">
        <v>53</v>
      </c>
      <c r="D141" s="1" t="s">
        <v>54</v>
      </c>
      <c r="E141" s="1" t="n">
        <v>90</v>
      </c>
      <c r="F141" s="11" t="n">
        <v>8</v>
      </c>
      <c r="G141" s="11" t="n">
        <v>36</v>
      </c>
      <c r="H141" s="11" t="n">
        <v>12.7</v>
      </c>
      <c r="I141" s="1" t="s">
        <v>57</v>
      </c>
      <c r="J141" s="11" t="n">
        <v>1.517</v>
      </c>
      <c r="K141" s="30" t="n">
        <v>7990</v>
      </c>
      <c r="L141" s="1" t="n">
        <v>0</v>
      </c>
      <c r="M141" s="1" t="n">
        <v>0</v>
      </c>
      <c r="N141" s="1" t="n">
        <v>0</v>
      </c>
      <c r="O141" s="1" t="n">
        <v>14</v>
      </c>
      <c r="P141" s="1" t="n">
        <v>1</v>
      </c>
      <c r="Q141" s="1" t="n">
        <v>1000</v>
      </c>
      <c r="R141" s="13" t="n">
        <f aca="false">(N141*L141+O141*Q141)/(L141+O141)</f>
        <v>1000</v>
      </c>
      <c r="S141" s="14" t="n">
        <f aca="false">(M141*L141+O141*P141*0.1)/(L141+O141)</f>
        <v>0.1</v>
      </c>
      <c r="T141" s="1" t="n">
        <v>25</v>
      </c>
      <c r="U141" s="31" t="n">
        <f aca="false">((1.05+1.15)/2)*1000</f>
        <v>1100</v>
      </c>
      <c r="V141" s="16" t="n">
        <v>0.0269017111967078</v>
      </c>
      <c r="W141" s="1" t="n">
        <v>1</v>
      </c>
      <c r="X141" s="17" t="n">
        <f aca="false">0.0427917414751982*0.000001*1000</f>
        <v>4.27917414751982E-005</v>
      </c>
      <c r="Z141" s="32" t="s">
        <v>64</v>
      </c>
      <c r="AA141" s="1" t="s">
        <v>76</v>
      </c>
      <c r="AC141" s="18" t="n">
        <f aca="false">MAX(L141,O141)</f>
        <v>14</v>
      </c>
      <c r="AD141" s="17" t="n">
        <f aca="false">MAX(M141,P141*0.1)</f>
        <v>0.1</v>
      </c>
      <c r="AE141" s="1" t="n">
        <f aca="false">MAX(N141,Q141)</f>
        <v>1000</v>
      </c>
      <c r="AG141" s="16"/>
      <c r="AH141" s="19" t="n">
        <v>139</v>
      </c>
      <c r="AI141" s="20" t="str">
        <f aca="false">B141</f>
        <v>DI</v>
      </c>
      <c r="AJ141" s="20" t="str">
        <f aca="false">C141</f>
        <v>Liquid-Solid</v>
      </c>
      <c r="AK141" s="20" t="str">
        <f aca="false">D141</f>
        <v>V-H</v>
      </c>
      <c r="AL141" s="21" t="n">
        <f aca="false">E141</f>
        <v>90</v>
      </c>
      <c r="AM141" s="22" t="n">
        <v>1E-006</v>
      </c>
      <c r="AN141" s="23" t="n">
        <f aca="false">MAX(G141/(F141/1000),25000)</f>
        <v>25000</v>
      </c>
      <c r="AO141" s="23" t="n">
        <f aca="false">H141/F141</f>
        <v>1.5875</v>
      </c>
      <c r="AP141" s="23" t="n">
        <f aca="false">AC141/SQRT(9.81*(F141/1000))</f>
        <v>49.9745093024473</v>
      </c>
      <c r="AQ141" s="23" t="n">
        <f aca="false">(AE141*AC141*(F141/1000))/AD141</f>
        <v>1120</v>
      </c>
      <c r="AR141" s="23" t="n">
        <f aca="false">((T141*0.000001)^3*AE141*(U141-AE141)*9.81)/AD141^2</f>
        <v>1.5328125E-006</v>
      </c>
      <c r="AS141" s="23" t="n">
        <f aca="false">(U141*((T141/10^6)^2)/(18*AD141))*AC141/(F141/1000)</f>
        <v>0.000668402777777778</v>
      </c>
      <c r="AT141" s="23" t="n">
        <f aca="false">AE141*(T141/10^6)*AC141/AD141</f>
        <v>3.5</v>
      </c>
      <c r="AU141" s="23" t="n">
        <f aca="false">(T141/10^6)/(F141/1000)</f>
        <v>0.003125</v>
      </c>
      <c r="AV141" s="23" t="n">
        <f aca="false">AE141/U141</f>
        <v>0.909090909090909</v>
      </c>
      <c r="AW141" s="23" t="n">
        <f aca="false">(J141*10^9)/(K141*AC141^2)</f>
        <v>968.685346479017</v>
      </c>
      <c r="AX141" s="23" t="n">
        <f aca="false">V141</f>
        <v>0.0269017111967078</v>
      </c>
      <c r="AY141" s="23" t="n">
        <f aca="false">MAX(W141,1)</f>
        <v>1</v>
      </c>
      <c r="AZ141" s="23" t="n">
        <f aca="false">X141</f>
        <v>4.27917414751982E-005</v>
      </c>
      <c r="BA141" s="24" t="n">
        <f aca="false">0.8*AZ141</f>
        <v>3.42333931801586E-005</v>
      </c>
      <c r="BB141" s="24" t="n">
        <f aca="false">AZ141*1.2</f>
        <v>5.13500897702378E-005</v>
      </c>
      <c r="BC141" s="0" t="str">
        <f aca="false">Z141</f>
        <v>karimi Thesis - TABLE a1</v>
      </c>
    </row>
    <row r="142" customFormat="false" ht="12.8" hidden="false" customHeight="false" outlineLevel="0" collapsed="false">
      <c r="A142" s="1" t="n">
        <v>16</v>
      </c>
      <c r="B142" s="1" t="s">
        <v>48</v>
      </c>
      <c r="C142" s="1" t="s">
        <v>53</v>
      </c>
      <c r="D142" s="1" t="s">
        <v>54</v>
      </c>
      <c r="E142" s="1" t="n">
        <v>75</v>
      </c>
      <c r="F142" s="11" t="n">
        <v>8</v>
      </c>
      <c r="G142" s="11" t="n">
        <v>36</v>
      </c>
      <c r="H142" s="11" t="n">
        <v>12.7</v>
      </c>
      <c r="I142" s="1" t="s">
        <v>57</v>
      </c>
      <c r="J142" s="11" t="n">
        <v>1.517</v>
      </c>
      <c r="K142" s="30" t="n">
        <v>7990</v>
      </c>
      <c r="L142" s="1" t="n">
        <v>0</v>
      </c>
      <c r="M142" s="1" t="n">
        <v>0</v>
      </c>
      <c r="N142" s="1" t="n">
        <v>0</v>
      </c>
      <c r="O142" s="1" t="n">
        <v>14</v>
      </c>
      <c r="P142" s="1" t="n">
        <v>1</v>
      </c>
      <c r="Q142" s="1" t="n">
        <v>1000</v>
      </c>
      <c r="R142" s="13" t="n">
        <f aca="false">(N142*L142+O142*Q142)/(L142+O142)</f>
        <v>1000</v>
      </c>
      <c r="S142" s="14" t="n">
        <f aca="false">(M142*L142+O142*P142*0.1)/(L142+O142)</f>
        <v>0.1</v>
      </c>
      <c r="T142" s="1" t="n">
        <v>25</v>
      </c>
      <c r="U142" s="31" t="n">
        <f aca="false">((1.05+1.15)/2)*1000</f>
        <v>1100</v>
      </c>
      <c r="V142" s="16" t="n">
        <v>0.0269017111967078</v>
      </c>
      <c r="W142" s="1" t="n">
        <v>1</v>
      </c>
      <c r="X142" s="17" t="n">
        <f aca="false">0.0799847604311376*0.000001*1000</f>
        <v>7.99847604311376E-005</v>
      </c>
      <c r="Z142" s="32" t="s">
        <v>64</v>
      </c>
      <c r="AA142" s="15" t="s">
        <v>77</v>
      </c>
      <c r="AC142" s="18" t="n">
        <f aca="false">MAX(L142,O142)</f>
        <v>14</v>
      </c>
      <c r="AD142" s="17" t="n">
        <f aca="false">MAX(M142,P142*0.1)</f>
        <v>0.1</v>
      </c>
      <c r="AE142" s="1" t="n">
        <f aca="false">MAX(N142,Q142)</f>
        <v>1000</v>
      </c>
      <c r="AG142" s="16"/>
      <c r="AH142" s="19" t="n">
        <v>140</v>
      </c>
      <c r="AI142" s="20" t="str">
        <f aca="false">B142</f>
        <v>DI</v>
      </c>
      <c r="AJ142" s="20" t="str">
        <f aca="false">C142</f>
        <v>Liquid-Solid</v>
      </c>
      <c r="AK142" s="20" t="str">
        <f aca="false">D142</f>
        <v>V-H</v>
      </c>
      <c r="AL142" s="21" t="n">
        <f aca="false">E142</f>
        <v>75</v>
      </c>
      <c r="AM142" s="22" t="n">
        <v>1E-006</v>
      </c>
      <c r="AN142" s="23" t="n">
        <f aca="false">MAX(G142/(F142/1000),25000)</f>
        <v>25000</v>
      </c>
      <c r="AO142" s="23" t="n">
        <f aca="false">H142/F142</f>
        <v>1.5875</v>
      </c>
      <c r="AP142" s="23" t="n">
        <f aca="false">AC142/SQRT(9.81*(F142/1000))</f>
        <v>49.9745093024473</v>
      </c>
      <c r="AQ142" s="23" t="n">
        <f aca="false">(AE142*AC142*(F142/1000))/AD142</f>
        <v>1120</v>
      </c>
      <c r="AR142" s="23" t="n">
        <f aca="false">((T142*0.000001)^3*AE142*(U142-AE142)*9.81)/AD142^2</f>
        <v>1.5328125E-006</v>
      </c>
      <c r="AS142" s="23" t="n">
        <f aca="false">(U142*((T142/10^6)^2)/(18*AD142))*AC142/(F142/1000)</f>
        <v>0.000668402777777778</v>
      </c>
      <c r="AT142" s="23" t="n">
        <f aca="false">AE142*(T142/10^6)*AC142/AD142</f>
        <v>3.5</v>
      </c>
      <c r="AU142" s="23" t="n">
        <f aca="false">(T142/10^6)/(F142/1000)</f>
        <v>0.003125</v>
      </c>
      <c r="AV142" s="23" t="n">
        <f aca="false">AE142/U142</f>
        <v>0.909090909090909</v>
      </c>
      <c r="AW142" s="23" t="n">
        <f aca="false">(J142*10^9)/(K142*AC142^2)</f>
        <v>968.685346479017</v>
      </c>
      <c r="AX142" s="23" t="n">
        <f aca="false">V142</f>
        <v>0.0269017111967078</v>
      </c>
      <c r="AY142" s="23" t="n">
        <f aca="false">MAX(W142,1)</f>
        <v>1</v>
      </c>
      <c r="AZ142" s="23" t="n">
        <f aca="false">X142</f>
        <v>7.99847604311376E-005</v>
      </c>
      <c r="BA142" s="24" t="n">
        <f aca="false">0.8*AZ142</f>
        <v>6.39878083449101E-005</v>
      </c>
      <c r="BB142" s="24" t="n">
        <f aca="false">AZ142*1.2</f>
        <v>9.59817125173651E-005</v>
      </c>
      <c r="BC142" s="0" t="str">
        <f aca="false">Z142</f>
        <v>karimi Thesis - TABLE a1</v>
      </c>
    </row>
    <row r="143" customFormat="false" ht="12.8" hidden="false" customHeight="false" outlineLevel="0" collapsed="false">
      <c r="A143" s="1" t="n">
        <v>17</v>
      </c>
      <c r="B143" s="1" t="s">
        <v>48</v>
      </c>
      <c r="C143" s="1" t="s">
        <v>53</v>
      </c>
      <c r="D143" s="1" t="s">
        <v>54</v>
      </c>
      <c r="E143" s="1" t="n">
        <v>45</v>
      </c>
      <c r="F143" s="11" t="n">
        <v>8</v>
      </c>
      <c r="G143" s="11" t="n">
        <v>36</v>
      </c>
      <c r="H143" s="11" t="n">
        <v>12.7</v>
      </c>
      <c r="I143" s="1" t="s">
        <v>57</v>
      </c>
      <c r="J143" s="11" t="n">
        <v>1.517</v>
      </c>
      <c r="K143" s="30" t="n">
        <v>7990</v>
      </c>
      <c r="L143" s="1" t="n">
        <v>0</v>
      </c>
      <c r="M143" s="1" t="n">
        <v>0</v>
      </c>
      <c r="N143" s="1" t="n">
        <v>0</v>
      </c>
      <c r="O143" s="1" t="n">
        <v>14</v>
      </c>
      <c r="P143" s="1" t="n">
        <v>1</v>
      </c>
      <c r="Q143" s="1" t="n">
        <v>1000</v>
      </c>
      <c r="R143" s="13" t="n">
        <f aca="false">(N143*L143+O143*Q143)/(L143+O143)</f>
        <v>1000</v>
      </c>
      <c r="S143" s="14" t="n">
        <f aca="false">(M143*L143+O143*P143*0.1)/(L143+O143)</f>
        <v>0.1</v>
      </c>
      <c r="T143" s="1" t="n">
        <v>25</v>
      </c>
      <c r="U143" s="31" t="n">
        <f aca="false">((1.05+1.15)/2)*1000</f>
        <v>1100</v>
      </c>
      <c r="V143" s="16" t="n">
        <v>0.0269017111967078</v>
      </c>
      <c r="W143" s="1" t="n">
        <v>1</v>
      </c>
      <c r="X143" s="17" t="n">
        <f aca="false">0.0588164405433852*0.000001*1000</f>
        <v>5.88164405433852E-005</v>
      </c>
      <c r="Z143" s="32" t="s">
        <v>64</v>
      </c>
      <c r="AA143" s="1" t="s">
        <v>78</v>
      </c>
      <c r="AC143" s="18" t="n">
        <f aca="false">MAX(L143,O143)</f>
        <v>14</v>
      </c>
      <c r="AD143" s="17" t="n">
        <f aca="false">MAX(M143,P143*0.1)</f>
        <v>0.1</v>
      </c>
      <c r="AE143" s="1" t="n">
        <f aca="false">MAX(N143,Q143)</f>
        <v>1000</v>
      </c>
      <c r="AG143" s="16"/>
      <c r="AH143" s="19" t="n">
        <v>141</v>
      </c>
      <c r="AI143" s="20" t="str">
        <f aca="false">B143</f>
        <v>DI</v>
      </c>
      <c r="AJ143" s="20" t="str">
        <f aca="false">C143</f>
        <v>Liquid-Solid</v>
      </c>
      <c r="AK143" s="20" t="str">
        <f aca="false">D143</f>
        <v>V-H</v>
      </c>
      <c r="AL143" s="21" t="n">
        <f aca="false">E143</f>
        <v>45</v>
      </c>
      <c r="AM143" s="22" t="n">
        <v>1E-006</v>
      </c>
      <c r="AN143" s="23" t="n">
        <f aca="false">MAX(G143/(F143/1000),25000)</f>
        <v>25000</v>
      </c>
      <c r="AO143" s="23" t="n">
        <f aca="false">H143/F143</f>
        <v>1.5875</v>
      </c>
      <c r="AP143" s="23" t="n">
        <f aca="false">AC143/SQRT(9.81*(F143/1000))</f>
        <v>49.9745093024473</v>
      </c>
      <c r="AQ143" s="23" t="n">
        <f aca="false">(AE143*AC143*(F143/1000))/AD143</f>
        <v>1120</v>
      </c>
      <c r="AR143" s="23" t="n">
        <f aca="false">((T143*0.000001)^3*AE143*(U143-AE143)*9.81)/AD143^2</f>
        <v>1.5328125E-006</v>
      </c>
      <c r="AS143" s="23" t="n">
        <f aca="false">(U143*((T143/10^6)^2)/(18*AD143))*AC143/(F143/1000)</f>
        <v>0.000668402777777778</v>
      </c>
      <c r="AT143" s="23" t="n">
        <f aca="false">AE143*(T143/10^6)*AC143/AD143</f>
        <v>3.5</v>
      </c>
      <c r="AU143" s="23" t="n">
        <f aca="false">(T143/10^6)/(F143/1000)</f>
        <v>0.003125</v>
      </c>
      <c r="AV143" s="23" t="n">
        <f aca="false">AE143/U143</f>
        <v>0.909090909090909</v>
      </c>
      <c r="AW143" s="23" t="n">
        <f aca="false">(J143*10^9)/(K143*AC143^2)</f>
        <v>968.685346479017</v>
      </c>
      <c r="AX143" s="23" t="n">
        <f aca="false">V143</f>
        <v>0.0269017111967078</v>
      </c>
      <c r="AY143" s="23" t="n">
        <f aca="false">MAX(W143,1)</f>
        <v>1</v>
      </c>
      <c r="AZ143" s="23" t="n">
        <f aca="false">X143</f>
        <v>5.88164405433852E-005</v>
      </c>
      <c r="BA143" s="24" t="n">
        <f aca="false">0.8*AZ143</f>
        <v>4.70531524347082E-005</v>
      </c>
      <c r="BB143" s="24" t="n">
        <f aca="false">AZ143*1.2</f>
        <v>7.05797286520622E-005</v>
      </c>
      <c r="BC143" s="0" t="str">
        <f aca="false">Z143</f>
        <v>karimi Thesis - TABLE a1</v>
      </c>
    </row>
    <row r="144" customFormat="false" ht="12.8" hidden="false" customHeight="false" outlineLevel="0" collapsed="false">
      <c r="A144" s="1" t="n">
        <v>18</v>
      </c>
      <c r="B144" s="1" t="s">
        <v>48</v>
      </c>
      <c r="C144" s="1" t="s">
        <v>53</v>
      </c>
      <c r="D144" s="1" t="s">
        <v>54</v>
      </c>
      <c r="E144" s="1" t="n">
        <v>90</v>
      </c>
      <c r="F144" s="11" t="n">
        <v>8</v>
      </c>
      <c r="G144" s="11" t="n">
        <v>36</v>
      </c>
      <c r="H144" s="11" t="n">
        <v>12.7</v>
      </c>
      <c r="I144" s="1" t="s">
        <v>57</v>
      </c>
      <c r="J144" s="11" t="n">
        <v>1.517</v>
      </c>
      <c r="K144" s="30" t="n">
        <v>7990</v>
      </c>
      <c r="L144" s="1" t="n">
        <v>0</v>
      </c>
      <c r="M144" s="1" t="n">
        <v>0</v>
      </c>
      <c r="N144" s="1" t="n">
        <v>0</v>
      </c>
      <c r="O144" s="1" t="n">
        <v>14</v>
      </c>
      <c r="P144" s="1" t="n">
        <v>1</v>
      </c>
      <c r="Q144" s="1" t="n">
        <v>1000</v>
      </c>
      <c r="R144" s="13" t="n">
        <f aca="false">(N144*L144+O144*Q144)/(L144+O144)</f>
        <v>1000</v>
      </c>
      <c r="S144" s="14" t="n">
        <f aca="false">(M144*L144+O144*P144*0.1)/(L144+O144)</f>
        <v>0.1</v>
      </c>
      <c r="T144" s="1" t="n">
        <v>25</v>
      </c>
      <c r="U144" s="31" t="n">
        <f aca="false">((1.05+1.15)/2)*1000</f>
        <v>1100</v>
      </c>
      <c r="V144" s="16" t="n">
        <v>0.0269017111967078</v>
      </c>
      <c r="W144" s="1" t="n">
        <v>1</v>
      </c>
      <c r="X144" s="17" t="n">
        <f aca="false">0.0531990574522968*0.000001*1000</f>
        <v>5.31990574522968E-005</v>
      </c>
      <c r="Z144" s="32" t="s">
        <v>64</v>
      </c>
      <c r="AA144" s="15" t="s">
        <v>79</v>
      </c>
      <c r="AC144" s="18" t="n">
        <f aca="false">MAX(L144,O144)</f>
        <v>14</v>
      </c>
      <c r="AD144" s="17" t="n">
        <f aca="false">MAX(M144,P144*0.1)</f>
        <v>0.1</v>
      </c>
      <c r="AE144" s="1" t="n">
        <f aca="false">MAX(N144,Q144)</f>
        <v>1000</v>
      </c>
      <c r="AG144" s="16"/>
      <c r="AH144" s="19" t="n">
        <v>142</v>
      </c>
      <c r="AI144" s="20" t="str">
        <f aca="false">B144</f>
        <v>DI</v>
      </c>
      <c r="AJ144" s="20" t="str">
        <f aca="false">C144</f>
        <v>Liquid-Solid</v>
      </c>
      <c r="AK144" s="20" t="str">
        <f aca="false">D144</f>
        <v>V-H</v>
      </c>
      <c r="AL144" s="21" t="n">
        <f aca="false">E144</f>
        <v>90</v>
      </c>
      <c r="AM144" s="22" t="n">
        <v>1E-006</v>
      </c>
      <c r="AN144" s="23" t="n">
        <f aca="false">MAX(G144/(F144/1000),25000)</f>
        <v>25000</v>
      </c>
      <c r="AO144" s="23" t="n">
        <f aca="false">H144/F144</f>
        <v>1.5875</v>
      </c>
      <c r="AP144" s="23" t="n">
        <f aca="false">AC144/SQRT(9.81*(F144/1000))</f>
        <v>49.9745093024473</v>
      </c>
      <c r="AQ144" s="23" t="n">
        <f aca="false">(AE144*AC144*(F144/1000))/AD144</f>
        <v>1120</v>
      </c>
      <c r="AR144" s="23" t="n">
        <f aca="false">((T144*0.000001)^3*AE144*(U144-AE144)*9.81)/AD144^2</f>
        <v>1.5328125E-006</v>
      </c>
      <c r="AS144" s="23" t="n">
        <f aca="false">(U144*((T144/10^6)^2)/(18*AD144))*AC144/(F144/1000)</f>
        <v>0.000668402777777778</v>
      </c>
      <c r="AT144" s="23" t="n">
        <f aca="false">AE144*(T144/10^6)*AC144/AD144</f>
        <v>3.5</v>
      </c>
      <c r="AU144" s="23" t="n">
        <f aca="false">(T144/10^6)/(F144/1000)</f>
        <v>0.003125</v>
      </c>
      <c r="AV144" s="23" t="n">
        <f aca="false">AE144/U144</f>
        <v>0.909090909090909</v>
      </c>
      <c r="AW144" s="23" t="n">
        <f aca="false">(J144*10^9)/(K144*AC144^2)</f>
        <v>968.685346479017</v>
      </c>
      <c r="AX144" s="23" t="n">
        <f aca="false">V144</f>
        <v>0.0269017111967078</v>
      </c>
      <c r="AY144" s="23" t="n">
        <f aca="false">MAX(W144,1)</f>
        <v>1</v>
      </c>
      <c r="AZ144" s="23" t="n">
        <f aca="false">X144</f>
        <v>5.31990574522968E-005</v>
      </c>
      <c r="BA144" s="24" t="n">
        <f aca="false">0.8*AZ144</f>
        <v>4.25592459618374E-005</v>
      </c>
      <c r="BB144" s="24" t="n">
        <f aca="false">AZ144*1.2</f>
        <v>6.38388689427562E-005</v>
      </c>
      <c r="BC144" s="0" t="str">
        <f aca="false">Z144</f>
        <v>karimi Thesis - TABLE a1</v>
      </c>
    </row>
    <row r="145" customFormat="false" ht="12.8" hidden="false" customHeight="false" outlineLevel="0" collapsed="false">
      <c r="A145" s="1" t="n">
        <v>19</v>
      </c>
      <c r="B145" s="1" t="s">
        <v>48</v>
      </c>
      <c r="C145" s="1" t="s">
        <v>53</v>
      </c>
      <c r="D145" s="1" t="s">
        <v>54</v>
      </c>
      <c r="E145" s="1" t="n">
        <v>90</v>
      </c>
      <c r="F145" s="11" t="n">
        <v>8</v>
      </c>
      <c r="G145" s="11" t="n">
        <v>36</v>
      </c>
      <c r="H145" s="11" t="n">
        <v>12.7</v>
      </c>
      <c r="I145" s="1" t="s">
        <v>57</v>
      </c>
      <c r="J145" s="11" t="n">
        <v>1.517</v>
      </c>
      <c r="K145" s="30" t="n">
        <v>7990</v>
      </c>
      <c r="L145" s="1" t="n">
        <v>0</v>
      </c>
      <c r="M145" s="1" t="n">
        <v>0</v>
      </c>
      <c r="N145" s="1" t="n">
        <v>0</v>
      </c>
      <c r="O145" s="1" t="n">
        <v>14</v>
      </c>
      <c r="P145" s="1" t="n">
        <v>1</v>
      </c>
      <c r="Q145" s="1" t="n">
        <v>1000</v>
      </c>
      <c r="R145" s="13" t="n">
        <f aca="false">(N145*L145+O145*Q145)/(L145+O145)</f>
        <v>1000</v>
      </c>
      <c r="S145" s="14" t="n">
        <f aca="false">(M145*L145+O145*P145*0.1)/(L145+O145)</f>
        <v>0.1</v>
      </c>
      <c r="T145" s="1" t="n">
        <v>25</v>
      </c>
      <c r="U145" s="31" t="n">
        <f aca="false">((1.05+1.15)/2)*1000</f>
        <v>1100</v>
      </c>
      <c r="V145" s="16" t="n">
        <v>0.0269017111967078</v>
      </c>
      <c r="W145" s="1" t="n">
        <v>1</v>
      </c>
      <c r="X145" s="17" t="n">
        <f aca="false">0.0593334829457148*0.000001*1000</f>
        <v>5.93334829457148E-005</v>
      </c>
      <c r="Z145" s="32" t="s">
        <v>64</v>
      </c>
      <c r="AA145" s="1" t="s">
        <v>80</v>
      </c>
      <c r="AC145" s="18" t="n">
        <f aca="false">MAX(L145,O145)</f>
        <v>14</v>
      </c>
      <c r="AD145" s="17" t="n">
        <f aca="false">MAX(M145,P145*0.1)</f>
        <v>0.1</v>
      </c>
      <c r="AE145" s="1" t="n">
        <f aca="false">MAX(N145,Q145)</f>
        <v>1000</v>
      </c>
      <c r="AG145" s="16"/>
      <c r="AH145" s="19" t="n">
        <v>143</v>
      </c>
      <c r="AI145" s="20" t="str">
        <f aca="false">B145</f>
        <v>DI</v>
      </c>
      <c r="AJ145" s="20" t="str">
        <f aca="false">C145</f>
        <v>Liquid-Solid</v>
      </c>
      <c r="AK145" s="20" t="str">
        <f aca="false">D145</f>
        <v>V-H</v>
      </c>
      <c r="AL145" s="21" t="n">
        <f aca="false">E145</f>
        <v>90</v>
      </c>
      <c r="AM145" s="22" t="n">
        <v>1E-006</v>
      </c>
      <c r="AN145" s="23" t="n">
        <f aca="false">MAX(G145/(F145/1000),25000)</f>
        <v>25000</v>
      </c>
      <c r="AO145" s="23" t="n">
        <f aca="false">H145/F145</f>
        <v>1.5875</v>
      </c>
      <c r="AP145" s="23" t="n">
        <f aca="false">AC145/SQRT(9.81*(F145/1000))</f>
        <v>49.9745093024473</v>
      </c>
      <c r="AQ145" s="23" t="n">
        <f aca="false">(AE145*AC145*(F145/1000))/AD145</f>
        <v>1120</v>
      </c>
      <c r="AR145" s="23" t="n">
        <f aca="false">((T145*0.000001)^3*AE145*(U145-AE145)*9.81)/AD145^2</f>
        <v>1.5328125E-006</v>
      </c>
      <c r="AS145" s="23" t="n">
        <f aca="false">(U145*((T145/10^6)^2)/(18*AD145))*AC145/(F145/1000)</f>
        <v>0.000668402777777778</v>
      </c>
      <c r="AT145" s="23" t="n">
        <f aca="false">AE145*(T145/10^6)*AC145/AD145</f>
        <v>3.5</v>
      </c>
      <c r="AU145" s="23" t="n">
        <f aca="false">(T145/10^6)/(F145/1000)</f>
        <v>0.003125</v>
      </c>
      <c r="AV145" s="23" t="n">
        <f aca="false">AE145/U145</f>
        <v>0.909090909090909</v>
      </c>
      <c r="AW145" s="23" t="n">
        <f aca="false">(J145*10^9)/(K145*AC145^2)</f>
        <v>968.685346479017</v>
      </c>
      <c r="AX145" s="23" t="n">
        <f aca="false">V145</f>
        <v>0.0269017111967078</v>
      </c>
      <c r="AY145" s="23" t="n">
        <f aca="false">MAX(W145,1)</f>
        <v>1</v>
      </c>
      <c r="AZ145" s="23" t="n">
        <f aca="false">X145</f>
        <v>5.93334829457148E-005</v>
      </c>
      <c r="BA145" s="24" t="n">
        <f aca="false">0.8*AZ145</f>
        <v>4.74667863565718E-005</v>
      </c>
      <c r="BB145" s="24" t="n">
        <f aca="false">AZ145*1.2</f>
        <v>7.12001795348577E-005</v>
      </c>
      <c r="BC145" s="0" t="str">
        <f aca="false">Z145</f>
        <v>karimi Thesis - TABLE a1</v>
      </c>
    </row>
    <row r="146" customFormat="false" ht="12.8" hidden="false" customHeight="false" outlineLevel="0" collapsed="false">
      <c r="A146" s="1" t="n">
        <v>20</v>
      </c>
      <c r="B146" s="1" t="s">
        <v>48</v>
      </c>
      <c r="C146" s="1" t="s">
        <v>53</v>
      </c>
      <c r="D146" s="1" t="s">
        <v>54</v>
      </c>
      <c r="E146" s="1" t="n">
        <v>90</v>
      </c>
      <c r="F146" s="11" t="n">
        <v>8</v>
      </c>
      <c r="G146" s="11" t="n">
        <v>36</v>
      </c>
      <c r="H146" s="11" t="n">
        <v>12.7</v>
      </c>
      <c r="I146" s="1" t="s">
        <v>57</v>
      </c>
      <c r="J146" s="11" t="n">
        <v>1.517</v>
      </c>
      <c r="K146" s="30" t="n">
        <v>7990</v>
      </c>
      <c r="L146" s="1" t="n">
        <v>0</v>
      </c>
      <c r="M146" s="1" t="n">
        <v>0</v>
      </c>
      <c r="N146" s="1" t="n">
        <v>0</v>
      </c>
      <c r="O146" s="1" t="n">
        <v>14</v>
      </c>
      <c r="P146" s="1" t="n">
        <v>1</v>
      </c>
      <c r="Q146" s="1" t="n">
        <v>1000</v>
      </c>
      <c r="R146" s="13" t="n">
        <f aca="false">(N146*L146+O146*Q146)/(L146+O146)</f>
        <v>1000</v>
      </c>
      <c r="S146" s="14" t="n">
        <f aca="false">(M146*L146+O146*P146*0.1)/(L146+O146)</f>
        <v>0.1</v>
      </c>
      <c r="T146" s="1" t="n">
        <v>75</v>
      </c>
      <c r="U146" s="31" t="n">
        <f aca="false">((1.05+1.15)/2)*1000</f>
        <v>1100</v>
      </c>
      <c r="V146" s="16" t="n">
        <v>0.00908871627990326</v>
      </c>
      <c r="W146" s="1" t="n">
        <v>1</v>
      </c>
      <c r="X146" s="17" t="n">
        <f aca="false">0.457979083721438*0.000001*1000</f>
        <v>0.000457979083721438</v>
      </c>
      <c r="Z146" s="32" t="s">
        <v>60</v>
      </c>
      <c r="AA146" s="15" t="s">
        <v>81</v>
      </c>
      <c r="AC146" s="18" t="n">
        <f aca="false">MAX(L146,O146)</f>
        <v>14</v>
      </c>
      <c r="AD146" s="17" t="n">
        <f aca="false">MAX(M146,P146*0.1)</f>
        <v>0.1</v>
      </c>
      <c r="AE146" s="1" t="n">
        <f aca="false">MAX(N146,Q146)</f>
        <v>1000</v>
      </c>
      <c r="AG146" s="16"/>
      <c r="AH146" s="19" t="n">
        <v>144</v>
      </c>
      <c r="AI146" s="20" t="str">
        <f aca="false">B146</f>
        <v>DI</v>
      </c>
      <c r="AJ146" s="20" t="str">
        <f aca="false">C146</f>
        <v>Liquid-Solid</v>
      </c>
      <c r="AK146" s="20" t="str">
        <f aca="false">D146</f>
        <v>V-H</v>
      </c>
      <c r="AL146" s="21" t="n">
        <f aca="false">E146</f>
        <v>90</v>
      </c>
      <c r="AM146" s="22" t="n">
        <v>1E-006</v>
      </c>
      <c r="AN146" s="23" t="n">
        <f aca="false">MAX(G146/(F146/1000),25000)</f>
        <v>25000</v>
      </c>
      <c r="AO146" s="23" t="n">
        <f aca="false">H146/F146</f>
        <v>1.5875</v>
      </c>
      <c r="AP146" s="23" t="n">
        <f aca="false">AC146/SQRT(9.81*(F146/1000))</f>
        <v>49.9745093024473</v>
      </c>
      <c r="AQ146" s="23" t="n">
        <f aca="false">(AE146*AC146*(F146/1000))/AD146</f>
        <v>1120</v>
      </c>
      <c r="AR146" s="23" t="n">
        <f aca="false">((T146*0.000001)^3*AE146*(U146-AE146)*9.81)/AD146^2</f>
        <v>4.13859375E-005</v>
      </c>
      <c r="AS146" s="23" t="n">
        <f aca="false">(U146*((T146/10^6)^2)/(18*AD146))*AC146/(F146/1000)</f>
        <v>0.006015625</v>
      </c>
      <c r="AT146" s="23" t="n">
        <f aca="false">AE146*(T146/10^6)*AC146/AD146</f>
        <v>10.5</v>
      </c>
      <c r="AU146" s="23" t="n">
        <f aca="false">(T146/10^6)/(F146/1000)</f>
        <v>0.009375</v>
      </c>
      <c r="AV146" s="23" t="n">
        <f aca="false">AE146/U146</f>
        <v>0.909090909090909</v>
      </c>
      <c r="AW146" s="23" t="n">
        <f aca="false">(J146*10^9)/(K146*AC146^2)</f>
        <v>968.685346479017</v>
      </c>
      <c r="AX146" s="23" t="n">
        <f aca="false">V146</f>
        <v>0.00908871627990326</v>
      </c>
      <c r="AY146" s="23" t="n">
        <f aca="false">MAX(W146,1)</f>
        <v>1</v>
      </c>
      <c r="AZ146" s="23" t="n">
        <f aca="false">X146</f>
        <v>0.000457979083721438</v>
      </c>
      <c r="BA146" s="24" t="n">
        <f aca="false">0.8*AZ146</f>
        <v>0.00036638326697715</v>
      </c>
      <c r="BB146" s="24" t="n">
        <f aca="false">AZ146*1.2</f>
        <v>0.000549574900465725</v>
      </c>
      <c r="BC146" s="0" t="str">
        <f aca="false">Z146</f>
        <v>karimi Thesis - TABLE a2</v>
      </c>
    </row>
    <row r="147" customFormat="false" ht="12.8" hidden="false" customHeight="false" outlineLevel="0" collapsed="false">
      <c r="A147" s="1" t="n">
        <v>21</v>
      </c>
      <c r="B147" s="1" t="s">
        <v>48</v>
      </c>
      <c r="C147" s="1" t="s">
        <v>53</v>
      </c>
      <c r="D147" s="1" t="s">
        <v>54</v>
      </c>
      <c r="E147" s="1" t="n">
        <v>90</v>
      </c>
      <c r="F147" s="11" t="n">
        <v>8</v>
      </c>
      <c r="G147" s="11" t="n">
        <v>36</v>
      </c>
      <c r="H147" s="11" t="n">
        <v>12.7</v>
      </c>
      <c r="I147" s="1" t="s">
        <v>57</v>
      </c>
      <c r="J147" s="11" t="n">
        <v>1.517</v>
      </c>
      <c r="K147" s="30" t="n">
        <v>7990</v>
      </c>
      <c r="L147" s="1" t="n">
        <v>0</v>
      </c>
      <c r="M147" s="1" t="n">
        <v>0</v>
      </c>
      <c r="N147" s="1" t="n">
        <v>0</v>
      </c>
      <c r="O147" s="1" t="n">
        <v>14</v>
      </c>
      <c r="P147" s="1" t="n">
        <v>1</v>
      </c>
      <c r="Q147" s="1" t="n">
        <v>1000</v>
      </c>
      <c r="R147" s="13" t="n">
        <f aca="false">(N147*L147+O147*Q147)/(L147+O147)</f>
        <v>1000</v>
      </c>
      <c r="S147" s="14" t="n">
        <f aca="false">(M147*L147+O147*P147*0.1)/(L147+O147)</f>
        <v>0.1</v>
      </c>
      <c r="T147" s="1" t="n">
        <v>75</v>
      </c>
      <c r="U147" s="31" t="n">
        <f aca="false">((1.05+1.15)/2)*1000</f>
        <v>1100</v>
      </c>
      <c r="V147" s="16" t="n">
        <v>0.00908871627990326</v>
      </c>
      <c r="W147" s="1" t="n">
        <v>1</v>
      </c>
      <c r="X147" s="17" t="n">
        <f aca="false">0.515060400254819*0.000001*1000</f>
        <v>0.000515060400254819</v>
      </c>
      <c r="Z147" s="32" t="s">
        <v>60</v>
      </c>
      <c r="AA147" s="1" t="s">
        <v>82</v>
      </c>
      <c r="AC147" s="18" t="n">
        <f aca="false">MAX(L147,O147)</f>
        <v>14</v>
      </c>
      <c r="AD147" s="17" t="n">
        <f aca="false">MAX(M147,P147*0.1)</f>
        <v>0.1</v>
      </c>
      <c r="AE147" s="1" t="n">
        <f aca="false">MAX(N147,Q147)</f>
        <v>1000</v>
      </c>
      <c r="AG147" s="16"/>
      <c r="AH147" s="19" t="n">
        <v>145</v>
      </c>
      <c r="AI147" s="20" t="str">
        <f aca="false">B147</f>
        <v>DI</v>
      </c>
      <c r="AJ147" s="20" t="str">
        <f aca="false">C147</f>
        <v>Liquid-Solid</v>
      </c>
      <c r="AK147" s="20" t="str">
        <f aca="false">D147</f>
        <v>V-H</v>
      </c>
      <c r="AL147" s="21" t="n">
        <f aca="false">E147</f>
        <v>90</v>
      </c>
      <c r="AM147" s="22" t="n">
        <v>1E-006</v>
      </c>
      <c r="AN147" s="23" t="n">
        <f aca="false">MAX(G147/(F147/1000),25000)</f>
        <v>25000</v>
      </c>
      <c r="AO147" s="23" t="n">
        <f aca="false">H147/F147</f>
        <v>1.5875</v>
      </c>
      <c r="AP147" s="23" t="n">
        <f aca="false">AC147/SQRT(9.81*(F147/1000))</f>
        <v>49.9745093024473</v>
      </c>
      <c r="AQ147" s="23" t="n">
        <f aca="false">(AE147*AC147*(F147/1000))/AD147</f>
        <v>1120</v>
      </c>
      <c r="AR147" s="23" t="n">
        <f aca="false">((T147*0.000001)^3*AE147*(U147-AE147)*9.81)/AD147^2</f>
        <v>4.13859375E-005</v>
      </c>
      <c r="AS147" s="23" t="n">
        <f aca="false">(U147*((T147/10^6)^2)/(18*AD147))*AC147/(F147/1000)</f>
        <v>0.006015625</v>
      </c>
      <c r="AT147" s="23" t="n">
        <f aca="false">AE147*(T147/10^6)*AC147/AD147</f>
        <v>10.5</v>
      </c>
      <c r="AU147" s="23" t="n">
        <f aca="false">(T147/10^6)/(F147/1000)</f>
        <v>0.009375</v>
      </c>
      <c r="AV147" s="23" t="n">
        <f aca="false">AE147/U147</f>
        <v>0.909090909090909</v>
      </c>
      <c r="AW147" s="23" t="n">
        <f aca="false">(J147*10^9)/(K147*AC147^2)</f>
        <v>968.685346479017</v>
      </c>
      <c r="AX147" s="23" t="n">
        <f aca="false">V147</f>
        <v>0.00908871627990326</v>
      </c>
      <c r="AY147" s="23" t="n">
        <f aca="false">MAX(W147,1)</f>
        <v>1</v>
      </c>
      <c r="AZ147" s="23" t="n">
        <f aca="false">X147</f>
        <v>0.000515060400254819</v>
      </c>
      <c r="BA147" s="24" t="n">
        <f aca="false">0.8*AZ147</f>
        <v>0.000412048320203855</v>
      </c>
      <c r="BB147" s="24" t="n">
        <f aca="false">AZ147*1.2</f>
        <v>0.000618072480305783</v>
      </c>
      <c r="BC147" s="0" t="str">
        <f aca="false">Z147</f>
        <v>karimi Thesis - TABLE a2</v>
      </c>
    </row>
    <row r="148" customFormat="false" ht="12.8" hidden="false" customHeight="false" outlineLevel="0" collapsed="false">
      <c r="A148" s="1" t="n">
        <v>22</v>
      </c>
      <c r="B148" s="1" t="s">
        <v>48</v>
      </c>
      <c r="C148" s="1" t="s">
        <v>53</v>
      </c>
      <c r="D148" s="1" t="s">
        <v>54</v>
      </c>
      <c r="E148" s="1" t="n">
        <v>90</v>
      </c>
      <c r="F148" s="11" t="n">
        <v>8</v>
      </c>
      <c r="G148" s="11" t="n">
        <v>36</v>
      </c>
      <c r="H148" s="11" t="n">
        <v>12.7</v>
      </c>
      <c r="I148" s="1" t="s">
        <v>57</v>
      </c>
      <c r="J148" s="11" t="n">
        <v>1.517</v>
      </c>
      <c r="K148" s="30" t="n">
        <v>7990</v>
      </c>
      <c r="L148" s="1" t="n">
        <v>0</v>
      </c>
      <c r="M148" s="1" t="n">
        <v>0</v>
      </c>
      <c r="N148" s="1" t="n">
        <v>0</v>
      </c>
      <c r="O148" s="1" t="n">
        <v>14</v>
      </c>
      <c r="P148" s="1" t="n">
        <v>1</v>
      </c>
      <c r="Q148" s="1" t="n">
        <v>1000</v>
      </c>
      <c r="R148" s="13" t="n">
        <f aca="false">(N148*L148+O148*Q148)/(L148+O148)</f>
        <v>1000</v>
      </c>
      <c r="S148" s="14" t="n">
        <f aca="false">(M148*L148+O148*P148*0.1)/(L148+O148)</f>
        <v>0.1</v>
      </c>
      <c r="T148" s="1" t="n">
        <v>150</v>
      </c>
      <c r="U148" s="31" t="n">
        <f aca="false">((1.05+1.15)/2)*1000</f>
        <v>1100</v>
      </c>
      <c r="V148" s="16" t="n">
        <v>0.00896185339910021</v>
      </c>
      <c r="W148" s="1" t="n">
        <v>1</v>
      </c>
      <c r="X148" s="17" t="n">
        <f aca="false">0.992326431732662*0.000001*1000</f>
        <v>0.000992326431732662</v>
      </c>
      <c r="Z148" s="32" t="s">
        <v>83</v>
      </c>
      <c r="AA148" s="15" t="s">
        <v>84</v>
      </c>
      <c r="AC148" s="18" t="n">
        <f aca="false">MAX(L148,O148)</f>
        <v>14</v>
      </c>
      <c r="AD148" s="17" t="n">
        <f aca="false">MAX(M148,P148*0.1)</f>
        <v>0.1</v>
      </c>
      <c r="AE148" s="1" t="n">
        <f aca="false">MAX(N148,Q148)</f>
        <v>1000</v>
      </c>
      <c r="AG148" s="16"/>
      <c r="AH148" s="19" t="n">
        <v>146</v>
      </c>
      <c r="AI148" s="20" t="str">
        <f aca="false">B148</f>
        <v>DI</v>
      </c>
      <c r="AJ148" s="20" t="str">
        <f aca="false">C148</f>
        <v>Liquid-Solid</v>
      </c>
      <c r="AK148" s="20" t="str">
        <f aca="false">D148</f>
        <v>V-H</v>
      </c>
      <c r="AL148" s="21" t="n">
        <f aca="false">E148</f>
        <v>90</v>
      </c>
      <c r="AM148" s="22" t="n">
        <v>1E-006</v>
      </c>
      <c r="AN148" s="23" t="n">
        <f aca="false">MAX(G148/(F148/1000),25000)</f>
        <v>25000</v>
      </c>
      <c r="AO148" s="23" t="n">
        <f aca="false">H148/F148</f>
        <v>1.5875</v>
      </c>
      <c r="AP148" s="23" t="n">
        <f aca="false">AC148/SQRT(9.81*(F148/1000))</f>
        <v>49.9745093024473</v>
      </c>
      <c r="AQ148" s="23" t="n">
        <f aca="false">(AE148*AC148*(F148/1000))/AD148</f>
        <v>1120</v>
      </c>
      <c r="AR148" s="23" t="n">
        <f aca="false">((T148*0.000001)^3*AE148*(U148-AE148)*9.81)/AD148^2</f>
        <v>0.0003310875</v>
      </c>
      <c r="AS148" s="23" t="n">
        <f aca="false">(U148*((T148/10^6)^2)/(18*AD148))*AC148/(F148/1000)</f>
        <v>0.0240625</v>
      </c>
      <c r="AT148" s="23" t="n">
        <f aca="false">AE148*(T148/10^6)*AC148/AD148</f>
        <v>21</v>
      </c>
      <c r="AU148" s="23" t="n">
        <f aca="false">(T148/10^6)/(F148/1000)</f>
        <v>0.01875</v>
      </c>
      <c r="AV148" s="23" t="n">
        <f aca="false">AE148/U148</f>
        <v>0.909090909090909</v>
      </c>
      <c r="AW148" s="23" t="n">
        <f aca="false">(J148*10^9)/(K148*AC148^2)</f>
        <v>968.685346479017</v>
      </c>
      <c r="AX148" s="23" t="n">
        <f aca="false">V148</f>
        <v>0.00896185339910021</v>
      </c>
      <c r="AY148" s="23" t="n">
        <f aca="false">MAX(W148,1)</f>
        <v>1</v>
      </c>
      <c r="AZ148" s="23" t="n">
        <f aca="false">X148</f>
        <v>0.000992326431732662</v>
      </c>
      <c r="BA148" s="24" t="n">
        <f aca="false">0.8*AZ148</f>
        <v>0.00079386114538613</v>
      </c>
      <c r="BB148" s="24" t="n">
        <f aca="false">AZ148*1.2</f>
        <v>0.00119079171807919</v>
      </c>
      <c r="BC148" s="0" t="str">
        <f aca="false">Z148</f>
        <v>karimi Thesis - TABLE a3</v>
      </c>
    </row>
    <row r="149" customFormat="false" ht="12.8" hidden="false" customHeight="false" outlineLevel="0" collapsed="false">
      <c r="A149" s="1" t="n">
        <v>23</v>
      </c>
      <c r="B149" s="1" t="s">
        <v>48</v>
      </c>
      <c r="C149" s="1" t="s">
        <v>53</v>
      </c>
      <c r="D149" s="1" t="s">
        <v>54</v>
      </c>
      <c r="E149" s="1" t="n">
        <v>75</v>
      </c>
      <c r="F149" s="11" t="n">
        <v>8</v>
      </c>
      <c r="G149" s="11" t="n">
        <v>36</v>
      </c>
      <c r="H149" s="11" t="n">
        <v>12.7</v>
      </c>
      <c r="I149" s="1" t="s">
        <v>57</v>
      </c>
      <c r="J149" s="11" t="n">
        <v>1.517</v>
      </c>
      <c r="K149" s="30" t="n">
        <v>7990</v>
      </c>
      <c r="L149" s="1" t="n">
        <v>0</v>
      </c>
      <c r="M149" s="1" t="n">
        <v>0</v>
      </c>
      <c r="N149" s="1" t="n">
        <v>0</v>
      </c>
      <c r="O149" s="1" t="n">
        <v>14</v>
      </c>
      <c r="P149" s="1" t="n">
        <v>1</v>
      </c>
      <c r="Q149" s="1" t="n">
        <v>1000</v>
      </c>
      <c r="R149" s="13" t="n">
        <f aca="false">(N149*L149+O149*Q149)/(L149+O149)</f>
        <v>1000</v>
      </c>
      <c r="S149" s="14" t="n">
        <f aca="false">(M149*L149+O149*P149*0.1)/(L149+O149)</f>
        <v>0.1</v>
      </c>
      <c r="T149" s="1" t="n">
        <v>150</v>
      </c>
      <c r="U149" s="31" t="n">
        <f aca="false">((1.05+1.15)/2)*1000</f>
        <v>1100</v>
      </c>
      <c r="V149" s="16" t="n">
        <v>0.00959584317476643</v>
      </c>
      <c r="W149" s="1" t="n">
        <v>1</v>
      </c>
      <c r="X149" s="17" t="n">
        <f aca="false">1.22862032113481*0.000001*1000</f>
        <v>0.00122862032113481</v>
      </c>
      <c r="Z149" s="32" t="s">
        <v>83</v>
      </c>
      <c r="AA149" s="1" t="s">
        <v>85</v>
      </c>
      <c r="AC149" s="18" t="n">
        <f aca="false">MAX(L149,O149)</f>
        <v>14</v>
      </c>
      <c r="AD149" s="17" t="n">
        <f aca="false">MAX(M149,P149*0.1)</f>
        <v>0.1</v>
      </c>
      <c r="AE149" s="1" t="n">
        <f aca="false">MAX(N149,Q149)</f>
        <v>1000</v>
      </c>
      <c r="AG149" s="16"/>
      <c r="AH149" s="19" t="n">
        <v>147</v>
      </c>
      <c r="AI149" s="20" t="str">
        <f aca="false">B149</f>
        <v>DI</v>
      </c>
      <c r="AJ149" s="20" t="str">
        <f aca="false">C149</f>
        <v>Liquid-Solid</v>
      </c>
      <c r="AK149" s="20" t="str">
        <f aca="false">D149</f>
        <v>V-H</v>
      </c>
      <c r="AL149" s="21" t="n">
        <f aca="false">E149</f>
        <v>75</v>
      </c>
      <c r="AM149" s="22" t="n">
        <v>1E-006</v>
      </c>
      <c r="AN149" s="23" t="n">
        <f aca="false">MAX(G149/(F149/1000),25000)</f>
        <v>25000</v>
      </c>
      <c r="AO149" s="23" t="n">
        <f aca="false">H149/F149</f>
        <v>1.5875</v>
      </c>
      <c r="AP149" s="23" t="n">
        <f aca="false">AC149/SQRT(9.81*(F149/1000))</f>
        <v>49.9745093024473</v>
      </c>
      <c r="AQ149" s="23" t="n">
        <f aca="false">(AE149*AC149*(F149/1000))/AD149</f>
        <v>1120</v>
      </c>
      <c r="AR149" s="23" t="n">
        <f aca="false">((T149*0.000001)^3*AE149*(U149-AE149)*9.81)/AD149^2</f>
        <v>0.0003310875</v>
      </c>
      <c r="AS149" s="23" t="n">
        <f aca="false">(U149*((T149/10^6)^2)/(18*AD149))*AC149/(F149/1000)</f>
        <v>0.0240625</v>
      </c>
      <c r="AT149" s="23" t="n">
        <f aca="false">AE149*(T149/10^6)*AC149/AD149</f>
        <v>21</v>
      </c>
      <c r="AU149" s="23" t="n">
        <f aca="false">(T149/10^6)/(F149/1000)</f>
        <v>0.01875</v>
      </c>
      <c r="AV149" s="23" t="n">
        <f aca="false">AE149/U149</f>
        <v>0.909090909090909</v>
      </c>
      <c r="AW149" s="23" t="n">
        <f aca="false">(J149*10^9)/(K149*AC149^2)</f>
        <v>968.685346479017</v>
      </c>
      <c r="AX149" s="23" t="n">
        <f aca="false">V149</f>
        <v>0.00959584317476643</v>
      </c>
      <c r="AY149" s="23" t="n">
        <f aca="false">MAX(W149,1)</f>
        <v>1</v>
      </c>
      <c r="AZ149" s="23" t="n">
        <f aca="false">X149</f>
        <v>0.00122862032113481</v>
      </c>
      <c r="BA149" s="24" t="n">
        <f aca="false">0.8*AZ149</f>
        <v>0.000982896256907848</v>
      </c>
      <c r="BB149" s="24" t="n">
        <f aca="false">AZ149*1.2</f>
        <v>0.00147434438536177</v>
      </c>
      <c r="BC149" s="0" t="str">
        <f aca="false">Z149</f>
        <v>karimi Thesis - TABLE a3</v>
      </c>
    </row>
    <row r="150" customFormat="false" ht="12.8" hidden="false" customHeight="false" outlineLevel="0" collapsed="false">
      <c r="A150" s="1" t="n">
        <v>24</v>
      </c>
      <c r="B150" s="1" t="s">
        <v>48</v>
      </c>
      <c r="C150" s="1" t="s">
        <v>53</v>
      </c>
      <c r="D150" s="1" t="s">
        <v>54</v>
      </c>
      <c r="E150" s="1" t="n">
        <v>45</v>
      </c>
      <c r="F150" s="11" t="n">
        <v>8</v>
      </c>
      <c r="G150" s="11" t="n">
        <v>36</v>
      </c>
      <c r="H150" s="11" t="n">
        <v>12.7</v>
      </c>
      <c r="I150" s="1" t="s">
        <v>57</v>
      </c>
      <c r="J150" s="11" t="n">
        <v>1.517</v>
      </c>
      <c r="K150" s="30" t="n">
        <v>7990</v>
      </c>
      <c r="L150" s="1" t="n">
        <v>0</v>
      </c>
      <c r="M150" s="1" t="n">
        <v>0</v>
      </c>
      <c r="N150" s="1" t="n">
        <v>0</v>
      </c>
      <c r="O150" s="1" t="n">
        <v>14</v>
      </c>
      <c r="P150" s="1" t="n">
        <v>1</v>
      </c>
      <c r="Q150" s="1" t="n">
        <v>1000</v>
      </c>
      <c r="R150" s="13" t="n">
        <f aca="false">(N150*L150+O150*Q150)/(L150+O150)</f>
        <v>1000</v>
      </c>
      <c r="S150" s="14" t="n">
        <f aca="false">(M150*L150+O150*P150*0.1)/(L150+O150)</f>
        <v>0.1</v>
      </c>
      <c r="T150" s="1" t="n">
        <v>150</v>
      </c>
      <c r="U150" s="31" t="n">
        <f aca="false">((1.05+1.15)/2)*1000</f>
        <v>1100</v>
      </c>
      <c r="V150" s="16" t="n">
        <v>0.00908871627990326</v>
      </c>
      <c r="W150" s="1" t="n">
        <v>1</v>
      </c>
      <c r="X150" s="17" t="n">
        <f aca="false">0.664529298679251*0.000001*1000</f>
        <v>0.000664529298679251</v>
      </c>
      <c r="Z150" s="32" t="s">
        <v>83</v>
      </c>
      <c r="AA150" s="15" t="s">
        <v>86</v>
      </c>
      <c r="AC150" s="18" t="n">
        <f aca="false">MAX(L150,O150)</f>
        <v>14</v>
      </c>
      <c r="AD150" s="17" t="n">
        <f aca="false">MAX(M150,P150*0.1)</f>
        <v>0.1</v>
      </c>
      <c r="AE150" s="1" t="n">
        <f aca="false">MAX(N150,Q150)</f>
        <v>1000</v>
      </c>
      <c r="AG150" s="16"/>
      <c r="AH150" s="19" t="n">
        <v>148</v>
      </c>
      <c r="AI150" s="20" t="str">
        <f aca="false">B150</f>
        <v>DI</v>
      </c>
      <c r="AJ150" s="20" t="str">
        <f aca="false">C150</f>
        <v>Liquid-Solid</v>
      </c>
      <c r="AK150" s="20" t="str">
        <f aca="false">D150</f>
        <v>V-H</v>
      </c>
      <c r="AL150" s="21" t="n">
        <f aca="false">E150</f>
        <v>45</v>
      </c>
      <c r="AM150" s="22" t="n">
        <v>1E-006</v>
      </c>
      <c r="AN150" s="23" t="n">
        <f aca="false">MAX(G150/(F150/1000),25000)</f>
        <v>25000</v>
      </c>
      <c r="AO150" s="23" t="n">
        <f aca="false">H150/F150</f>
        <v>1.5875</v>
      </c>
      <c r="AP150" s="23" t="n">
        <f aca="false">AC150/SQRT(9.81*(F150/1000))</f>
        <v>49.9745093024473</v>
      </c>
      <c r="AQ150" s="23" t="n">
        <f aca="false">(AE150*AC150*(F150/1000))/AD150</f>
        <v>1120</v>
      </c>
      <c r="AR150" s="23" t="n">
        <f aca="false">((T150*0.000001)^3*AE150*(U150-AE150)*9.81)/AD150^2</f>
        <v>0.0003310875</v>
      </c>
      <c r="AS150" s="23" t="n">
        <f aca="false">(U150*((T150/10^6)^2)/(18*AD150))*AC150/(F150/1000)</f>
        <v>0.0240625</v>
      </c>
      <c r="AT150" s="23" t="n">
        <f aca="false">AE150*(T150/10^6)*AC150/AD150</f>
        <v>21</v>
      </c>
      <c r="AU150" s="23" t="n">
        <f aca="false">(T150/10^6)/(F150/1000)</f>
        <v>0.01875</v>
      </c>
      <c r="AV150" s="23" t="n">
        <f aca="false">AE150/U150</f>
        <v>0.909090909090909</v>
      </c>
      <c r="AW150" s="23" t="n">
        <f aca="false">(J150*10^9)/(K150*AC150^2)</f>
        <v>968.685346479017</v>
      </c>
      <c r="AX150" s="23" t="n">
        <f aca="false">V150</f>
        <v>0.00908871627990326</v>
      </c>
      <c r="AY150" s="23" t="n">
        <f aca="false">MAX(W150,1)</f>
        <v>1</v>
      </c>
      <c r="AZ150" s="23" t="n">
        <f aca="false">X150</f>
        <v>0.000664529298679251</v>
      </c>
      <c r="BA150" s="24" t="n">
        <f aca="false">0.8*AZ150</f>
        <v>0.000531623438943401</v>
      </c>
      <c r="BB150" s="24" t="n">
        <f aca="false">AZ150*1.2</f>
        <v>0.000797435158415101</v>
      </c>
      <c r="BC150" s="0" t="str">
        <f aca="false">Z150</f>
        <v>karimi Thesis - TABLE a3</v>
      </c>
    </row>
    <row r="151" customFormat="false" ht="12.8" hidden="false" customHeight="false" outlineLevel="0" collapsed="false">
      <c r="A151" s="1" t="n">
        <v>31</v>
      </c>
      <c r="B151" s="1" t="s">
        <v>48</v>
      </c>
      <c r="C151" s="1" t="s">
        <v>53</v>
      </c>
      <c r="D151" s="1" t="s">
        <v>54</v>
      </c>
      <c r="E151" s="1" t="n">
        <v>75</v>
      </c>
      <c r="F151" s="11" t="n">
        <v>8</v>
      </c>
      <c r="G151" s="11" t="n">
        <v>36</v>
      </c>
      <c r="H151" s="11" t="n">
        <v>12.7</v>
      </c>
      <c r="I151" s="1" t="s">
        <v>57</v>
      </c>
      <c r="J151" s="11" t="n">
        <v>1.517</v>
      </c>
      <c r="K151" s="30" t="n">
        <v>7990</v>
      </c>
      <c r="L151" s="1" t="n">
        <v>0</v>
      </c>
      <c r="M151" s="1" t="n">
        <v>0</v>
      </c>
      <c r="N151" s="1" t="n">
        <v>0</v>
      </c>
      <c r="O151" s="1" t="n">
        <v>14</v>
      </c>
      <c r="P151" s="1" t="n">
        <v>1</v>
      </c>
      <c r="Q151" s="1" t="n">
        <v>1000</v>
      </c>
      <c r="R151" s="13" t="n">
        <f aca="false">(N151*L151+O151*Q151)/(L151+O151)</f>
        <v>1000</v>
      </c>
      <c r="S151" s="14" t="n">
        <f aca="false">(M151*L151+O151*P151*0.1)/(L151+O151)</f>
        <v>0.1</v>
      </c>
      <c r="T151" s="1" t="n">
        <v>25</v>
      </c>
      <c r="U151" s="31" t="n">
        <f aca="false">((1.05+1.15)/2)*1000</f>
        <v>1100</v>
      </c>
      <c r="V151" s="16" t="n">
        <v>0.0269017111967078</v>
      </c>
      <c r="W151" s="1" t="n">
        <v>1</v>
      </c>
      <c r="X151" s="17" t="n">
        <f aca="false">0.0799847604311376*0.000001*1000</f>
        <v>7.99847604311376E-005</v>
      </c>
      <c r="Z151" s="32" t="s">
        <v>64</v>
      </c>
      <c r="AA151" s="1" t="s">
        <v>87</v>
      </c>
      <c r="AC151" s="18" t="n">
        <f aca="false">MAX(L151,O151)</f>
        <v>14</v>
      </c>
      <c r="AD151" s="17" t="n">
        <f aca="false">MAX(M151,P151*0.1)</f>
        <v>0.1</v>
      </c>
      <c r="AE151" s="1" t="n">
        <f aca="false">MAX(N151,Q151)</f>
        <v>1000</v>
      </c>
      <c r="AG151" s="16"/>
      <c r="AH151" s="19" t="n">
        <v>149</v>
      </c>
      <c r="AI151" s="20" t="str">
        <f aca="false">B151</f>
        <v>DI</v>
      </c>
      <c r="AJ151" s="20" t="str">
        <f aca="false">C151</f>
        <v>Liquid-Solid</v>
      </c>
      <c r="AK151" s="20" t="str">
        <f aca="false">D151</f>
        <v>V-H</v>
      </c>
      <c r="AL151" s="21" t="n">
        <f aca="false">E151</f>
        <v>75</v>
      </c>
      <c r="AM151" s="22" t="n">
        <v>1E-006</v>
      </c>
      <c r="AN151" s="23" t="n">
        <f aca="false">MAX(G151/(F151/1000),25000)</f>
        <v>25000</v>
      </c>
      <c r="AO151" s="23" t="n">
        <f aca="false">H151/F151</f>
        <v>1.5875</v>
      </c>
      <c r="AP151" s="23" t="n">
        <f aca="false">AC151/SQRT(9.81*(F151/1000))</f>
        <v>49.9745093024473</v>
      </c>
      <c r="AQ151" s="23" t="n">
        <f aca="false">(AE151*AC151*(F151/1000))/AD151</f>
        <v>1120</v>
      </c>
      <c r="AR151" s="23" t="n">
        <f aca="false">((T151*0.000001)^3*AE151*(U151-AE151)*9.81)/AD151^2</f>
        <v>1.5328125E-006</v>
      </c>
      <c r="AS151" s="23" t="n">
        <f aca="false">(U151*((T151/10^6)^2)/(18*AD151))*AC151/(F151/1000)</f>
        <v>0.000668402777777778</v>
      </c>
      <c r="AT151" s="23" t="n">
        <f aca="false">AE151*(T151/10^6)*AC151/AD151</f>
        <v>3.5</v>
      </c>
      <c r="AU151" s="23" t="n">
        <f aca="false">(T151/10^6)/(F151/1000)</f>
        <v>0.003125</v>
      </c>
      <c r="AV151" s="23" t="n">
        <f aca="false">AE151/U151</f>
        <v>0.909090909090909</v>
      </c>
      <c r="AW151" s="23" t="n">
        <f aca="false">(J151*10^9)/(K151*AC151^2)</f>
        <v>968.685346479017</v>
      </c>
      <c r="AX151" s="23" t="n">
        <f aca="false">V151</f>
        <v>0.0269017111967078</v>
      </c>
      <c r="AY151" s="23" t="n">
        <f aca="false">MAX(W151,1)</f>
        <v>1</v>
      </c>
      <c r="AZ151" s="23" t="n">
        <f aca="false">X151</f>
        <v>7.99847604311376E-005</v>
      </c>
      <c r="BA151" s="24" t="n">
        <f aca="false">0.8*AZ151</f>
        <v>6.39878083449101E-005</v>
      </c>
      <c r="BB151" s="24" t="n">
        <f aca="false">AZ151*1.2</f>
        <v>9.59817125173651E-005</v>
      </c>
      <c r="BC151" s="0" t="str">
        <f aca="false">Z151</f>
        <v>karimi Thesis - TABLE a1</v>
      </c>
    </row>
    <row r="152" customFormat="false" ht="12.8" hidden="false" customHeight="false" outlineLevel="0" collapsed="false">
      <c r="A152" s="1" t="n">
        <v>33</v>
      </c>
      <c r="B152" s="1" t="s">
        <v>48</v>
      </c>
      <c r="C152" s="1" t="s">
        <v>53</v>
      </c>
      <c r="D152" s="1" t="s">
        <v>54</v>
      </c>
      <c r="E152" s="1" t="n">
        <v>90</v>
      </c>
      <c r="F152" s="11" t="n">
        <v>8</v>
      </c>
      <c r="G152" s="11" t="n">
        <v>36</v>
      </c>
      <c r="H152" s="11" t="n">
        <v>12.7</v>
      </c>
      <c r="I152" s="1" t="s">
        <v>57</v>
      </c>
      <c r="J152" s="11" t="n">
        <v>1.517</v>
      </c>
      <c r="K152" s="30" t="n">
        <v>7990</v>
      </c>
      <c r="L152" s="1" t="n">
        <v>0</v>
      </c>
      <c r="M152" s="1" t="n">
        <v>0</v>
      </c>
      <c r="N152" s="1" t="n">
        <v>0</v>
      </c>
      <c r="O152" s="1" t="n">
        <v>14</v>
      </c>
      <c r="P152" s="1" t="n">
        <v>1</v>
      </c>
      <c r="Q152" s="1" t="n">
        <v>1000</v>
      </c>
      <c r="R152" s="13" t="n">
        <f aca="false">(N152*L152+O152*Q152)/(L152+O152)</f>
        <v>1000</v>
      </c>
      <c r="S152" s="14" t="n">
        <f aca="false">(M152*L152+O152*P152*0.1)/(L152+O152)</f>
        <v>0.1</v>
      </c>
      <c r="T152" s="1" t="n">
        <v>150</v>
      </c>
      <c r="U152" s="31" t="n">
        <f aca="false">((1.05+1.15)/2)*1000</f>
        <v>1100</v>
      </c>
      <c r="V152" s="16" t="n">
        <v>0.00997584783490273</v>
      </c>
      <c r="W152" s="1" t="n">
        <v>1</v>
      </c>
      <c r="X152" s="17" t="n">
        <f aca="false">0.853324102238938*0.000001*1000</f>
        <v>0.000853324102238938</v>
      </c>
      <c r="Z152" s="32" t="s">
        <v>83</v>
      </c>
      <c r="AA152" s="1" t="s">
        <v>88</v>
      </c>
      <c r="AC152" s="18" t="n">
        <f aca="false">MAX(L152,O152)</f>
        <v>14</v>
      </c>
      <c r="AD152" s="17" t="n">
        <f aca="false">MAX(M152,P152*0.1)</f>
        <v>0.1</v>
      </c>
      <c r="AE152" s="1" t="n">
        <f aca="false">MAX(N152,Q152)</f>
        <v>1000</v>
      </c>
      <c r="AG152" s="16"/>
      <c r="AH152" s="19" t="n">
        <v>150</v>
      </c>
      <c r="AI152" s="20" t="str">
        <f aca="false">B152</f>
        <v>DI</v>
      </c>
      <c r="AJ152" s="20" t="str">
        <f aca="false">C152</f>
        <v>Liquid-Solid</v>
      </c>
      <c r="AK152" s="20" t="str">
        <f aca="false">D152</f>
        <v>V-H</v>
      </c>
      <c r="AL152" s="21" t="n">
        <f aca="false">E152</f>
        <v>90</v>
      </c>
      <c r="AM152" s="22" t="n">
        <v>1E-006</v>
      </c>
      <c r="AN152" s="23" t="n">
        <f aca="false">MAX(G152/(F152/1000),25000)</f>
        <v>25000</v>
      </c>
      <c r="AO152" s="23" t="n">
        <f aca="false">H152/F152</f>
        <v>1.5875</v>
      </c>
      <c r="AP152" s="23" t="n">
        <f aca="false">AC152/SQRT(9.81*(F152/1000))</f>
        <v>49.9745093024473</v>
      </c>
      <c r="AQ152" s="23" t="n">
        <f aca="false">(AE152*AC152*(F152/1000))/AD152</f>
        <v>1120</v>
      </c>
      <c r="AR152" s="23" t="n">
        <f aca="false">((T152*0.000001)^3*AE152*(U152-AE152)*9.81)/AD152^2</f>
        <v>0.0003310875</v>
      </c>
      <c r="AS152" s="23" t="n">
        <f aca="false">(U152*((T152/10^6)^2)/(18*AD152))*AC152/(F152/1000)</f>
        <v>0.0240625</v>
      </c>
      <c r="AT152" s="23" t="n">
        <f aca="false">AE152*(T152/10^6)*AC152/AD152</f>
        <v>21</v>
      </c>
      <c r="AU152" s="23" t="n">
        <f aca="false">(T152/10^6)/(F152/1000)</f>
        <v>0.01875</v>
      </c>
      <c r="AV152" s="23" t="n">
        <f aca="false">AE152/U152</f>
        <v>0.909090909090909</v>
      </c>
      <c r="AW152" s="23" t="n">
        <f aca="false">(J152*10^9)/(K152*AC152^2)</f>
        <v>968.685346479017</v>
      </c>
      <c r="AX152" s="23" t="n">
        <f aca="false">V152</f>
        <v>0.00997584783490273</v>
      </c>
      <c r="AY152" s="23" t="n">
        <f aca="false">MAX(W152,1)</f>
        <v>1</v>
      </c>
      <c r="AZ152" s="23" t="n">
        <f aca="false">X152</f>
        <v>0.000853324102238938</v>
      </c>
      <c r="BA152" s="24" t="n">
        <f aca="false">0.8*AZ152</f>
        <v>0.00068265928179115</v>
      </c>
      <c r="BB152" s="24" t="n">
        <f aca="false">AZ152*1.2</f>
        <v>0.00102398892268673</v>
      </c>
      <c r="BC152" s="0" t="str">
        <f aca="false">Z152</f>
        <v>karimi Thesis - TABLE a3</v>
      </c>
    </row>
    <row r="153" customFormat="false" ht="12.8" hidden="false" customHeight="false" outlineLevel="0" collapsed="false">
      <c r="A153" s="1" t="n">
        <v>34</v>
      </c>
      <c r="B153" s="1" t="s">
        <v>48</v>
      </c>
      <c r="C153" s="1" t="s">
        <v>53</v>
      </c>
      <c r="D153" s="1" t="s">
        <v>54</v>
      </c>
      <c r="E153" s="1" t="n">
        <v>75</v>
      </c>
      <c r="F153" s="11" t="n">
        <v>8</v>
      </c>
      <c r="G153" s="11" t="n">
        <v>36</v>
      </c>
      <c r="H153" s="11" t="n">
        <v>12.7</v>
      </c>
      <c r="I153" s="1" t="s">
        <v>57</v>
      </c>
      <c r="J153" s="11" t="n">
        <v>1.517</v>
      </c>
      <c r="K153" s="30" t="n">
        <v>7990</v>
      </c>
      <c r="L153" s="1" t="n">
        <v>0</v>
      </c>
      <c r="M153" s="1" t="n">
        <v>0</v>
      </c>
      <c r="N153" s="1" t="n">
        <v>0</v>
      </c>
      <c r="O153" s="1" t="n">
        <v>14</v>
      </c>
      <c r="P153" s="1" t="n">
        <v>1</v>
      </c>
      <c r="Q153" s="1" t="n">
        <v>1000</v>
      </c>
      <c r="R153" s="13" t="n">
        <f aca="false">(N153*L153+O153*Q153)/(L153+O153)</f>
        <v>1000</v>
      </c>
      <c r="S153" s="14" t="n">
        <f aca="false">(M153*L153+O153*P153*0.1)/(L153+O153)</f>
        <v>0.1</v>
      </c>
      <c r="T153" s="1" t="n">
        <v>150</v>
      </c>
      <c r="U153" s="31" t="n">
        <f aca="false">((1.05+1.15)/2)*1000</f>
        <v>1100</v>
      </c>
      <c r="V153" s="16" t="n">
        <v>0.00896185339910021</v>
      </c>
      <c r="W153" s="1" t="n">
        <v>1</v>
      </c>
      <c r="X153" s="17" t="n">
        <f aca="false">1.10640955405501*0.000001*1000</f>
        <v>0.00110640955405501</v>
      </c>
      <c r="Z153" s="32" t="s">
        <v>83</v>
      </c>
      <c r="AA153" s="1" t="s">
        <v>89</v>
      </c>
      <c r="AC153" s="18" t="n">
        <f aca="false">MAX(L153,O153)</f>
        <v>14</v>
      </c>
      <c r="AD153" s="17" t="n">
        <f aca="false">MAX(M153,P153*0.1)</f>
        <v>0.1</v>
      </c>
      <c r="AE153" s="1" t="n">
        <f aca="false">MAX(N153,Q153)</f>
        <v>1000</v>
      </c>
      <c r="AG153" s="16"/>
      <c r="AH153" s="19" t="n">
        <v>151</v>
      </c>
      <c r="AI153" s="20" t="str">
        <f aca="false">B153</f>
        <v>DI</v>
      </c>
      <c r="AJ153" s="20" t="str">
        <f aca="false">C153</f>
        <v>Liquid-Solid</v>
      </c>
      <c r="AK153" s="20" t="str">
        <f aca="false">D153</f>
        <v>V-H</v>
      </c>
      <c r="AL153" s="21" t="n">
        <f aca="false">E153</f>
        <v>75</v>
      </c>
      <c r="AM153" s="22" t="n">
        <v>1E-006</v>
      </c>
      <c r="AN153" s="23" t="n">
        <f aca="false">MAX(G153/(F153/1000),25000)</f>
        <v>25000</v>
      </c>
      <c r="AO153" s="23" t="n">
        <f aca="false">H153/F153</f>
        <v>1.5875</v>
      </c>
      <c r="AP153" s="23" t="n">
        <f aca="false">AC153/SQRT(9.81*(F153/1000))</f>
        <v>49.9745093024473</v>
      </c>
      <c r="AQ153" s="23" t="n">
        <f aca="false">(AE153*AC153*(F153/1000))/AD153</f>
        <v>1120</v>
      </c>
      <c r="AR153" s="23" t="n">
        <f aca="false">((T153*0.000001)^3*AE153*(U153-AE153)*9.81)/AD153^2</f>
        <v>0.0003310875</v>
      </c>
      <c r="AS153" s="23" t="n">
        <f aca="false">(U153*((T153/10^6)^2)/(18*AD153))*AC153/(F153/1000)</f>
        <v>0.0240625</v>
      </c>
      <c r="AT153" s="23" t="n">
        <f aca="false">AE153*(T153/10^6)*AC153/AD153</f>
        <v>21</v>
      </c>
      <c r="AU153" s="23" t="n">
        <f aca="false">(T153/10^6)/(F153/1000)</f>
        <v>0.01875</v>
      </c>
      <c r="AV153" s="23" t="n">
        <f aca="false">AE153/U153</f>
        <v>0.909090909090909</v>
      </c>
      <c r="AW153" s="23" t="n">
        <f aca="false">(J153*10^9)/(K153*AC153^2)</f>
        <v>968.685346479017</v>
      </c>
      <c r="AX153" s="23" t="n">
        <f aca="false">V153</f>
        <v>0.00896185339910021</v>
      </c>
      <c r="AY153" s="23" t="n">
        <f aca="false">MAX(W153,1)</f>
        <v>1</v>
      </c>
      <c r="AZ153" s="23" t="n">
        <f aca="false">X153</f>
        <v>0.00110640955405501</v>
      </c>
      <c r="BA153" s="24" t="n">
        <f aca="false">0.8*AZ153</f>
        <v>0.000885127643244008</v>
      </c>
      <c r="BB153" s="24" t="n">
        <f aca="false">AZ153*1.2</f>
        <v>0.00132769146486601</v>
      </c>
      <c r="BC153" s="0" t="str">
        <f aca="false">Z153</f>
        <v>karimi Thesis - TABLE a3</v>
      </c>
    </row>
    <row r="154" customFormat="false" ht="12.8" hidden="false" customHeight="false" outlineLevel="0" collapsed="false">
      <c r="A154" s="1" t="n">
        <v>37</v>
      </c>
      <c r="B154" s="1" t="s">
        <v>48</v>
      </c>
      <c r="C154" s="1" t="s">
        <v>53</v>
      </c>
      <c r="D154" s="1" t="s">
        <v>54</v>
      </c>
      <c r="E154" s="1" t="n">
        <v>90</v>
      </c>
      <c r="F154" s="11" t="n">
        <v>8</v>
      </c>
      <c r="G154" s="11" t="n">
        <v>36</v>
      </c>
      <c r="H154" s="11" t="n">
        <v>12.7</v>
      </c>
      <c r="I154" s="1" t="s">
        <v>57</v>
      </c>
      <c r="J154" s="11" t="n">
        <v>1.517</v>
      </c>
      <c r="K154" s="30" t="n">
        <v>7990</v>
      </c>
      <c r="L154" s="1" t="n">
        <v>0</v>
      </c>
      <c r="M154" s="1" t="n">
        <v>0</v>
      </c>
      <c r="N154" s="1" t="n">
        <v>0</v>
      </c>
      <c r="O154" s="1" t="n">
        <v>14</v>
      </c>
      <c r="P154" s="1" t="n">
        <v>1</v>
      </c>
      <c r="Q154" s="1" t="n">
        <v>1000</v>
      </c>
      <c r="R154" s="13" t="n">
        <f aca="false">(N154*L154+O154*Q154)/(L154+O154)</f>
        <v>1000</v>
      </c>
      <c r="S154" s="14" t="n">
        <f aca="false">(M154*L154+O154*P154*0.1)/(L154+O154)</f>
        <v>0.1</v>
      </c>
      <c r="T154" s="1" t="n">
        <v>300</v>
      </c>
      <c r="U154" s="31" t="n">
        <f aca="false">((1.05+1.15)/2)*1000</f>
        <v>1100</v>
      </c>
      <c r="V154" s="16" t="n">
        <v>0.0161415693447724</v>
      </c>
      <c r="W154" s="1" t="n">
        <v>1</v>
      </c>
      <c r="X154" s="17" t="n">
        <f aca="false">1.98096958414811*0.000001*1000</f>
        <v>0.00198096958414811</v>
      </c>
      <c r="Z154" s="32" t="s">
        <v>90</v>
      </c>
      <c r="AA154" s="1" t="s">
        <v>91</v>
      </c>
      <c r="AC154" s="18" t="n">
        <f aca="false">MAX(L154,O154)</f>
        <v>14</v>
      </c>
      <c r="AD154" s="17" t="n">
        <f aca="false">MAX(M154,P154*0.1)</f>
        <v>0.1</v>
      </c>
      <c r="AE154" s="1" t="n">
        <f aca="false">MAX(N154,Q154)</f>
        <v>1000</v>
      </c>
      <c r="AG154" s="16"/>
      <c r="AH154" s="19" t="n">
        <v>152</v>
      </c>
      <c r="AI154" s="20" t="str">
        <f aca="false">B154</f>
        <v>DI</v>
      </c>
      <c r="AJ154" s="20" t="str">
        <f aca="false">C154</f>
        <v>Liquid-Solid</v>
      </c>
      <c r="AK154" s="20" t="str">
        <f aca="false">D154</f>
        <v>V-H</v>
      </c>
      <c r="AL154" s="21" t="n">
        <f aca="false">E154</f>
        <v>90</v>
      </c>
      <c r="AM154" s="22" t="n">
        <v>1E-006</v>
      </c>
      <c r="AN154" s="23" t="n">
        <f aca="false">MAX(G154/(F154/1000),25000)</f>
        <v>25000</v>
      </c>
      <c r="AO154" s="23" t="n">
        <f aca="false">H154/F154</f>
        <v>1.5875</v>
      </c>
      <c r="AP154" s="23" t="n">
        <f aca="false">AC154/SQRT(9.81*(F154/1000))</f>
        <v>49.9745093024473</v>
      </c>
      <c r="AQ154" s="23" t="n">
        <f aca="false">(AE154*AC154*(F154/1000))/AD154</f>
        <v>1120</v>
      </c>
      <c r="AR154" s="23" t="n">
        <f aca="false">((T154*0.000001)^3*AE154*(U154-AE154)*9.81)/AD154^2</f>
        <v>0.0026487</v>
      </c>
      <c r="AS154" s="23" t="n">
        <f aca="false">(U154*((T154/10^6)^2)/(18*AD154))*AC154/(F154/1000)</f>
        <v>0.09625</v>
      </c>
      <c r="AT154" s="23" t="n">
        <f aca="false">AE154*(T154/10^6)*AC154/AD154</f>
        <v>42</v>
      </c>
      <c r="AU154" s="23" t="n">
        <f aca="false">(T154/10^6)/(F154/1000)</f>
        <v>0.0375</v>
      </c>
      <c r="AV154" s="23" t="n">
        <f aca="false">AE154/U154</f>
        <v>0.909090909090909</v>
      </c>
      <c r="AW154" s="23" t="n">
        <f aca="false">(J154*10^9)/(K154*AC154^2)</f>
        <v>968.685346479017</v>
      </c>
      <c r="AX154" s="23" t="n">
        <f aca="false">V154</f>
        <v>0.0161415693447724</v>
      </c>
      <c r="AY154" s="23" t="n">
        <f aca="false">MAX(W154,1)</f>
        <v>1</v>
      </c>
      <c r="AZ154" s="23" t="n">
        <f aca="false">X154</f>
        <v>0.00198096958414811</v>
      </c>
      <c r="BA154" s="24" t="n">
        <f aca="false">0.8*AZ154</f>
        <v>0.00158477566731849</v>
      </c>
      <c r="BB154" s="24" t="n">
        <f aca="false">AZ154*1.2</f>
        <v>0.00237716350097773</v>
      </c>
      <c r="BC154" s="0" t="str">
        <f aca="false">Z154</f>
        <v>karimi Thesis - TABLE a4</v>
      </c>
    </row>
    <row r="155" customFormat="false" ht="12.8" hidden="false" customHeight="false" outlineLevel="0" collapsed="false">
      <c r="A155" s="1" t="n">
        <v>38</v>
      </c>
      <c r="B155" s="1" t="s">
        <v>48</v>
      </c>
      <c r="C155" s="1" t="s">
        <v>53</v>
      </c>
      <c r="D155" s="1" t="s">
        <v>54</v>
      </c>
      <c r="E155" s="1" t="n">
        <v>75</v>
      </c>
      <c r="F155" s="11" t="n">
        <v>8</v>
      </c>
      <c r="G155" s="11" t="n">
        <v>36</v>
      </c>
      <c r="H155" s="11" t="n">
        <v>12.7</v>
      </c>
      <c r="I155" s="1" t="s">
        <v>57</v>
      </c>
      <c r="J155" s="11" t="n">
        <v>1.517</v>
      </c>
      <c r="K155" s="30" t="n">
        <v>7990</v>
      </c>
      <c r="L155" s="1" t="n">
        <v>0</v>
      </c>
      <c r="M155" s="1" t="n">
        <v>0</v>
      </c>
      <c r="N155" s="1" t="n">
        <v>0</v>
      </c>
      <c r="O155" s="1" t="n">
        <v>14</v>
      </c>
      <c r="P155" s="1" t="n">
        <v>1</v>
      </c>
      <c r="Q155" s="1" t="n">
        <v>1000</v>
      </c>
      <c r="R155" s="13" t="n">
        <f aca="false">(N155*L155+O155*Q155)/(L155+O155)</f>
        <v>1000</v>
      </c>
      <c r="S155" s="14" t="n">
        <f aca="false">(M155*L155+O155*P155*0.1)/(L155+O155)</f>
        <v>0.1</v>
      </c>
      <c r="T155" s="1" t="n">
        <v>300</v>
      </c>
      <c r="U155" s="31" t="n">
        <f aca="false">((1.05+1.15)/2)*1000</f>
        <v>1100</v>
      </c>
      <c r="V155" s="16" t="n">
        <v>0.0103555610015991</v>
      </c>
      <c r="W155" s="1" t="n">
        <v>1</v>
      </c>
      <c r="X155" s="17" t="n">
        <f aca="false">2.91406940426585*0.000001*1000</f>
        <v>0.00291406940426585</v>
      </c>
      <c r="Z155" s="32" t="s">
        <v>90</v>
      </c>
      <c r="AA155" s="1" t="s">
        <v>92</v>
      </c>
      <c r="AC155" s="18" t="n">
        <f aca="false">MAX(L155,O155)</f>
        <v>14</v>
      </c>
      <c r="AD155" s="17" t="n">
        <f aca="false">MAX(M155,P155*0.1)</f>
        <v>0.1</v>
      </c>
      <c r="AE155" s="1" t="n">
        <f aca="false">MAX(N155,Q155)</f>
        <v>1000</v>
      </c>
      <c r="AG155" s="16"/>
      <c r="AH155" s="19" t="n">
        <v>153</v>
      </c>
      <c r="AI155" s="20" t="str">
        <f aca="false">B155</f>
        <v>DI</v>
      </c>
      <c r="AJ155" s="20" t="str">
        <f aca="false">C155</f>
        <v>Liquid-Solid</v>
      </c>
      <c r="AK155" s="20" t="str">
        <f aca="false">D155</f>
        <v>V-H</v>
      </c>
      <c r="AL155" s="21" t="n">
        <f aca="false">E155</f>
        <v>75</v>
      </c>
      <c r="AM155" s="22" t="n">
        <v>1E-006</v>
      </c>
      <c r="AN155" s="23" t="n">
        <f aca="false">MAX(G155/(F155/1000),25000)</f>
        <v>25000</v>
      </c>
      <c r="AO155" s="23" t="n">
        <f aca="false">H155/F155</f>
        <v>1.5875</v>
      </c>
      <c r="AP155" s="23" t="n">
        <f aca="false">AC155/SQRT(9.81*(F155/1000))</f>
        <v>49.9745093024473</v>
      </c>
      <c r="AQ155" s="23" t="n">
        <f aca="false">(AE155*AC155*(F155/1000))/AD155</f>
        <v>1120</v>
      </c>
      <c r="AR155" s="23" t="n">
        <f aca="false">((T155*0.000001)^3*AE155*(U155-AE155)*9.81)/AD155^2</f>
        <v>0.0026487</v>
      </c>
      <c r="AS155" s="23" t="n">
        <f aca="false">(U155*((T155/10^6)^2)/(18*AD155))*AC155/(F155/1000)</f>
        <v>0.09625</v>
      </c>
      <c r="AT155" s="23" t="n">
        <f aca="false">AE155*(T155/10^6)*AC155/AD155</f>
        <v>42</v>
      </c>
      <c r="AU155" s="23" t="n">
        <f aca="false">(T155/10^6)/(F155/1000)</f>
        <v>0.0375</v>
      </c>
      <c r="AV155" s="23" t="n">
        <f aca="false">AE155/U155</f>
        <v>0.909090909090909</v>
      </c>
      <c r="AW155" s="23" t="n">
        <f aca="false">(J155*10^9)/(K155*AC155^2)</f>
        <v>968.685346479017</v>
      </c>
      <c r="AX155" s="23" t="n">
        <f aca="false">V155</f>
        <v>0.0103555610015991</v>
      </c>
      <c r="AY155" s="23" t="n">
        <f aca="false">MAX(W155,1)</f>
        <v>1</v>
      </c>
      <c r="AZ155" s="23" t="n">
        <f aca="false">X155</f>
        <v>0.00291406940426585</v>
      </c>
      <c r="BA155" s="24" t="n">
        <f aca="false">0.8*AZ155</f>
        <v>0.00233125552341268</v>
      </c>
      <c r="BB155" s="24" t="n">
        <f aca="false">AZ155*1.2</f>
        <v>0.00349688328511902</v>
      </c>
      <c r="BC155" s="0" t="str">
        <f aca="false">Z155</f>
        <v>karimi Thesis - TABLE a4</v>
      </c>
    </row>
    <row r="156" customFormat="false" ht="12.8" hidden="false" customHeight="false" outlineLevel="0" collapsed="false">
      <c r="A156" s="1" t="n">
        <v>39</v>
      </c>
      <c r="B156" s="1" t="s">
        <v>48</v>
      </c>
      <c r="C156" s="1" t="s">
        <v>53</v>
      </c>
      <c r="D156" s="1" t="s">
        <v>54</v>
      </c>
      <c r="E156" s="1" t="n">
        <v>45</v>
      </c>
      <c r="F156" s="11" t="n">
        <v>8</v>
      </c>
      <c r="G156" s="11" t="n">
        <v>36</v>
      </c>
      <c r="H156" s="11" t="n">
        <v>12.7</v>
      </c>
      <c r="I156" s="1" t="s">
        <v>57</v>
      </c>
      <c r="J156" s="11" t="n">
        <v>1.517</v>
      </c>
      <c r="K156" s="30" t="n">
        <v>7990</v>
      </c>
      <c r="L156" s="1" t="n">
        <v>0</v>
      </c>
      <c r="M156" s="1" t="n">
        <v>0</v>
      </c>
      <c r="N156" s="1" t="n">
        <v>0</v>
      </c>
      <c r="O156" s="1" t="n">
        <v>14</v>
      </c>
      <c r="P156" s="1" t="n">
        <v>1</v>
      </c>
      <c r="Q156" s="1" t="n">
        <v>1000</v>
      </c>
      <c r="R156" s="13" t="n">
        <f aca="false">(N156*L156+O156*Q156)/(L156+O156)</f>
        <v>1000</v>
      </c>
      <c r="S156" s="14" t="n">
        <f aca="false">(M156*L156+O156*P156*0.1)/(L156+O156)</f>
        <v>0.1</v>
      </c>
      <c r="T156" s="1" t="n">
        <v>300</v>
      </c>
      <c r="U156" s="31" t="n">
        <f aca="false">((1.05+1.15)/2)*1000</f>
        <v>1100</v>
      </c>
      <c r="V156" s="16" t="n">
        <v>0.00794577974356915</v>
      </c>
      <c r="W156" s="1" t="n">
        <v>1</v>
      </c>
      <c r="X156" s="17" t="n">
        <f aca="false">3.58482602098627*0.000001*1000</f>
        <v>0.00358482602098627</v>
      </c>
      <c r="Z156" s="32" t="s">
        <v>90</v>
      </c>
      <c r="AA156" s="1" t="s">
        <v>93</v>
      </c>
      <c r="AC156" s="18" t="n">
        <f aca="false">MAX(L156,O156)</f>
        <v>14</v>
      </c>
      <c r="AD156" s="17" t="n">
        <f aca="false">MAX(M156,P156*0.1)</f>
        <v>0.1</v>
      </c>
      <c r="AE156" s="1" t="n">
        <f aca="false">MAX(N156,Q156)</f>
        <v>1000</v>
      </c>
      <c r="AG156" s="16"/>
      <c r="AH156" s="19" t="n">
        <v>154</v>
      </c>
      <c r="AI156" s="20" t="str">
        <f aca="false">B156</f>
        <v>DI</v>
      </c>
      <c r="AJ156" s="20" t="str">
        <f aca="false">C156</f>
        <v>Liquid-Solid</v>
      </c>
      <c r="AK156" s="20" t="str">
        <f aca="false">D156</f>
        <v>V-H</v>
      </c>
      <c r="AL156" s="21" t="n">
        <f aca="false">E156</f>
        <v>45</v>
      </c>
      <c r="AM156" s="22" t="n">
        <v>1E-006</v>
      </c>
      <c r="AN156" s="23" t="n">
        <f aca="false">MAX(G156/(F156/1000),25000)</f>
        <v>25000</v>
      </c>
      <c r="AO156" s="23" t="n">
        <f aca="false">H156/F156</f>
        <v>1.5875</v>
      </c>
      <c r="AP156" s="23" t="n">
        <f aca="false">AC156/SQRT(9.81*(F156/1000))</f>
        <v>49.9745093024473</v>
      </c>
      <c r="AQ156" s="23" t="n">
        <f aca="false">(AE156*AC156*(F156/1000))/AD156</f>
        <v>1120</v>
      </c>
      <c r="AR156" s="23" t="n">
        <f aca="false">((T156*0.000001)^3*AE156*(U156-AE156)*9.81)/AD156^2</f>
        <v>0.0026487</v>
      </c>
      <c r="AS156" s="23" t="n">
        <f aca="false">(U156*((T156/10^6)^2)/(18*AD156))*AC156/(F156/1000)</f>
        <v>0.09625</v>
      </c>
      <c r="AT156" s="23" t="n">
        <f aca="false">AE156*(T156/10^6)*AC156/AD156</f>
        <v>42</v>
      </c>
      <c r="AU156" s="23" t="n">
        <f aca="false">(T156/10^6)/(F156/1000)</f>
        <v>0.0375</v>
      </c>
      <c r="AV156" s="23" t="n">
        <f aca="false">AE156/U156</f>
        <v>0.909090909090909</v>
      </c>
      <c r="AW156" s="23" t="n">
        <f aca="false">(J156*10^9)/(K156*AC156^2)</f>
        <v>968.685346479017</v>
      </c>
      <c r="AX156" s="23" t="n">
        <f aca="false">V156</f>
        <v>0.00794577974356915</v>
      </c>
      <c r="AY156" s="23" t="n">
        <f aca="false">MAX(W156,1)</f>
        <v>1</v>
      </c>
      <c r="AZ156" s="23" t="n">
        <f aca="false">X156</f>
        <v>0.00358482602098627</v>
      </c>
      <c r="BA156" s="24" t="n">
        <f aca="false">0.8*AZ156</f>
        <v>0.00286786081678902</v>
      </c>
      <c r="BB156" s="24" t="n">
        <f aca="false">AZ156*1.2</f>
        <v>0.00430179122518352</v>
      </c>
      <c r="BC156" s="0" t="str">
        <f aca="false">Z156</f>
        <v>karimi Thesis - TABLE a4</v>
      </c>
    </row>
    <row r="157" customFormat="false" ht="12.8" hidden="false" customHeight="false" outlineLevel="0" collapsed="false">
      <c r="A157" s="1" t="n">
        <v>40</v>
      </c>
      <c r="B157" s="1" t="s">
        <v>48</v>
      </c>
      <c r="C157" s="1" t="s">
        <v>53</v>
      </c>
      <c r="D157" s="1" t="s">
        <v>54</v>
      </c>
      <c r="E157" s="1" t="n">
        <v>90</v>
      </c>
      <c r="F157" s="11" t="n">
        <v>8</v>
      </c>
      <c r="G157" s="11" t="n">
        <v>36</v>
      </c>
      <c r="H157" s="11" t="n">
        <v>12.7</v>
      </c>
      <c r="I157" s="1" t="s">
        <v>57</v>
      </c>
      <c r="J157" s="11" t="n">
        <v>1.517</v>
      </c>
      <c r="K157" s="30" t="n">
        <v>7990</v>
      </c>
      <c r="L157" s="1" t="n">
        <v>0</v>
      </c>
      <c r="M157" s="1" t="n">
        <v>0</v>
      </c>
      <c r="N157" s="1" t="n">
        <v>0</v>
      </c>
      <c r="O157" s="1" t="n">
        <v>14</v>
      </c>
      <c r="P157" s="1" t="n">
        <v>1</v>
      </c>
      <c r="Q157" s="1" t="n">
        <v>1000</v>
      </c>
      <c r="R157" s="13" t="n">
        <f aca="false">(N157*L157+O157*Q157)/(L157+O157)</f>
        <v>1000</v>
      </c>
      <c r="S157" s="14" t="n">
        <f aca="false">(M157*L157+O157*P157*0.1)/(L157+O157)</f>
        <v>0.1</v>
      </c>
      <c r="T157" s="1" t="n">
        <v>600</v>
      </c>
      <c r="U157" s="31" t="n">
        <f aca="false">((1.05+1.15)/2)*1000</f>
        <v>1100</v>
      </c>
      <c r="V157" s="16" t="n">
        <v>0.0104820673388071</v>
      </c>
      <c r="W157" s="1" t="n">
        <v>1</v>
      </c>
      <c r="X157" s="17" t="n">
        <f aca="false">1.34754992021937*0.000001*1000</f>
        <v>0.00134754992021937</v>
      </c>
      <c r="Z157" s="32" t="s">
        <v>94</v>
      </c>
      <c r="AA157" s="1" t="s">
        <v>95</v>
      </c>
      <c r="AC157" s="18" t="n">
        <f aca="false">MAX(L157,O157)</f>
        <v>14</v>
      </c>
      <c r="AD157" s="17" t="n">
        <f aca="false">MAX(M157,P157*0.1)</f>
        <v>0.1</v>
      </c>
      <c r="AE157" s="1" t="n">
        <f aca="false">MAX(N157,Q157)</f>
        <v>1000</v>
      </c>
      <c r="AG157" s="16"/>
      <c r="AH157" s="19" t="n">
        <v>155</v>
      </c>
      <c r="AI157" s="20" t="str">
        <f aca="false">B157</f>
        <v>DI</v>
      </c>
      <c r="AJ157" s="20" t="str">
        <f aca="false">C157</f>
        <v>Liquid-Solid</v>
      </c>
      <c r="AK157" s="20" t="str">
        <f aca="false">D157</f>
        <v>V-H</v>
      </c>
      <c r="AL157" s="21" t="n">
        <f aca="false">E157</f>
        <v>90</v>
      </c>
      <c r="AM157" s="22" t="n">
        <v>1E-006</v>
      </c>
      <c r="AN157" s="23" t="n">
        <f aca="false">MAX(G157/(F157/1000),25000)</f>
        <v>25000</v>
      </c>
      <c r="AO157" s="23" t="n">
        <f aca="false">H157/F157</f>
        <v>1.5875</v>
      </c>
      <c r="AP157" s="23" t="n">
        <f aca="false">AC157/SQRT(9.81*(F157/1000))</f>
        <v>49.9745093024473</v>
      </c>
      <c r="AQ157" s="23" t="n">
        <f aca="false">(AE157*AC157*(F157/1000))/AD157</f>
        <v>1120</v>
      </c>
      <c r="AR157" s="23" t="n">
        <f aca="false">((T157*0.000001)^3*AE157*(U157-AE157)*9.81)/AD157^2</f>
        <v>0.0211896</v>
      </c>
      <c r="AS157" s="23" t="n">
        <f aca="false">(U157*((T157/10^6)^2)/(18*AD157))*AC157/(F157/1000)</f>
        <v>0.385</v>
      </c>
      <c r="AT157" s="23" t="n">
        <f aca="false">AE157*(T157/10^6)*AC157/AD157</f>
        <v>84</v>
      </c>
      <c r="AU157" s="23" t="n">
        <f aca="false">(T157/10^6)/(F157/1000)</f>
        <v>0.075</v>
      </c>
      <c r="AV157" s="23" t="n">
        <f aca="false">AE157/U157</f>
        <v>0.909090909090909</v>
      </c>
      <c r="AW157" s="23" t="n">
        <f aca="false">(J157*10^9)/(K157*AC157^2)</f>
        <v>968.685346479017</v>
      </c>
      <c r="AX157" s="23" t="n">
        <f aca="false">V157</f>
        <v>0.0104820673388071</v>
      </c>
      <c r="AY157" s="23" t="n">
        <f aca="false">MAX(W157,1)</f>
        <v>1</v>
      </c>
      <c r="AZ157" s="23" t="n">
        <f aca="false">X157</f>
        <v>0.00134754992021937</v>
      </c>
      <c r="BA157" s="24" t="n">
        <f aca="false">0.8*AZ157</f>
        <v>0.0010780399361755</v>
      </c>
      <c r="BB157" s="24" t="n">
        <f aca="false">AZ157*1.2</f>
        <v>0.00161705990426324</v>
      </c>
      <c r="BC157" s="0" t="str">
        <f aca="false">Z157</f>
        <v>karimi Thesis - TABLE a5</v>
      </c>
    </row>
    <row r="158" customFormat="false" ht="12.8" hidden="false" customHeight="false" outlineLevel="0" collapsed="false">
      <c r="A158" s="1" t="n">
        <v>41</v>
      </c>
      <c r="B158" s="1" t="s">
        <v>48</v>
      </c>
      <c r="C158" s="1" t="s">
        <v>53</v>
      </c>
      <c r="D158" s="1" t="s">
        <v>54</v>
      </c>
      <c r="E158" s="1" t="n">
        <v>90</v>
      </c>
      <c r="F158" s="11" t="n">
        <v>8</v>
      </c>
      <c r="G158" s="11" t="n">
        <v>36</v>
      </c>
      <c r="H158" s="11" t="n">
        <v>12.7</v>
      </c>
      <c r="I158" s="1" t="s">
        <v>57</v>
      </c>
      <c r="J158" s="11" t="n">
        <v>1.517</v>
      </c>
      <c r="K158" s="30" t="n">
        <v>7990</v>
      </c>
      <c r="L158" s="1" t="n">
        <v>0</v>
      </c>
      <c r="M158" s="1" t="n">
        <v>0</v>
      </c>
      <c r="N158" s="1" t="n">
        <v>0</v>
      </c>
      <c r="O158" s="1" t="n">
        <v>14</v>
      </c>
      <c r="P158" s="1" t="n">
        <v>1</v>
      </c>
      <c r="Q158" s="1" t="n">
        <v>1000</v>
      </c>
      <c r="R158" s="13" t="n">
        <f aca="false">(N158*L158+O158*Q158)/(L158+O158)</f>
        <v>1000</v>
      </c>
      <c r="S158" s="14" t="n">
        <f aca="false">(M158*L158+O158*P158*0.1)/(L158+O158)</f>
        <v>0.1</v>
      </c>
      <c r="T158" s="1" t="n">
        <v>600</v>
      </c>
      <c r="U158" s="31" t="n">
        <f aca="false">((1.05+1.15)/2)*1000</f>
        <v>1100</v>
      </c>
      <c r="V158" s="16" t="n">
        <v>0.010987769426601</v>
      </c>
      <c r="W158" s="1" t="n">
        <v>1</v>
      </c>
      <c r="X158" s="17" t="n">
        <f aca="false">1.22644544807*0.000001*1000</f>
        <v>0.00122644544807</v>
      </c>
      <c r="Z158" s="32" t="s">
        <v>94</v>
      </c>
      <c r="AA158" s="1" t="s">
        <v>96</v>
      </c>
      <c r="AC158" s="18" t="n">
        <f aca="false">MAX(L158,O158)</f>
        <v>14</v>
      </c>
      <c r="AD158" s="17" t="n">
        <f aca="false">MAX(M158,P158*0.1)</f>
        <v>0.1</v>
      </c>
      <c r="AE158" s="1" t="n">
        <f aca="false">MAX(N158,Q158)</f>
        <v>1000</v>
      </c>
      <c r="AG158" s="16"/>
      <c r="AH158" s="19" t="n">
        <v>156</v>
      </c>
      <c r="AI158" s="20" t="str">
        <f aca="false">B158</f>
        <v>DI</v>
      </c>
      <c r="AJ158" s="20" t="str">
        <f aca="false">C158</f>
        <v>Liquid-Solid</v>
      </c>
      <c r="AK158" s="20" t="str">
        <f aca="false">D158</f>
        <v>V-H</v>
      </c>
      <c r="AL158" s="21" t="n">
        <f aca="false">E158</f>
        <v>90</v>
      </c>
      <c r="AM158" s="22" t="n">
        <v>1E-006</v>
      </c>
      <c r="AN158" s="23" t="n">
        <f aca="false">MAX(G158/(F158/1000),25000)</f>
        <v>25000</v>
      </c>
      <c r="AO158" s="23" t="n">
        <f aca="false">H158/F158</f>
        <v>1.5875</v>
      </c>
      <c r="AP158" s="23" t="n">
        <f aca="false">AC158/SQRT(9.81*(F158/1000))</f>
        <v>49.9745093024473</v>
      </c>
      <c r="AQ158" s="23" t="n">
        <f aca="false">(AE158*AC158*(F158/1000))/AD158</f>
        <v>1120</v>
      </c>
      <c r="AR158" s="23" t="n">
        <f aca="false">((T158*0.000001)^3*AE158*(U158-AE158)*9.81)/AD158^2</f>
        <v>0.0211896</v>
      </c>
      <c r="AS158" s="23" t="n">
        <f aca="false">(U158*((T158/10^6)^2)/(18*AD158))*AC158/(F158/1000)</f>
        <v>0.385</v>
      </c>
      <c r="AT158" s="23" t="n">
        <f aca="false">AE158*(T158/10^6)*AC158/AD158</f>
        <v>84</v>
      </c>
      <c r="AU158" s="23" t="n">
        <f aca="false">(T158/10^6)/(F158/1000)</f>
        <v>0.075</v>
      </c>
      <c r="AV158" s="23" t="n">
        <f aca="false">AE158/U158</f>
        <v>0.909090909090909</v>
      </c>
      <c r="AW158" s="23" t="n">
        <f aca="false">(J158*10^9)/(K158*AC158^2)</f>
        <v>968.685346479017</v>
      </c>
      <c r="AX158" s="23" t="n">
        <f aca="false">V158</f>
        <v>0.010987769426601</v>
      </c>
      <c r="AY158" s="23" t="n">
        <f aca="false">MAX(W158,1)</f>
        <v>1</v>
      </c>
      <c r="AZ158" s="23" t="n">
        <f aca="false">X158</f>
        <v>0.00122644544807</v>
      </c>
      <c r="BA158" s="24" t="n">
        <f aca="false">0.8*AZ158</f>
        <v>0.000981156358456</v>
      </c>
      <c r="BB158" s="24" t="n">
        <f aca="false">AZ158*1.2</f>
        <v>0.001471734537684</v>
      </c>
      <c r="BC158" s="0" t="str">
        <f aca="false">Z158</f>
        <v>karimi Thesis - TABLE a5</v>
      </c>
    </row>
    <row r="159" customFormat="false" ht="12.8" hidden="false" customHeight="false" outlineLevel="0" collapsed="false">
      <c r="A159" s="1" t="n">
        <v>42</v>
      </c>
      <c r="B159" s="1" t="s">
        <v>48</v>
      </c>
      <c r="C159" s="1" t="s">
        <v>53</v>
      </c>
      <c r="D159" s="1" t="s">
        <v>54</v>
      </c>
      <c r="E159" s="1" t="n">
        <v>90</v>
      </c>
      <c r="F159" s="11" t="n">
        <v>8</v>
      </c>
      <c r="G159" s="11" t="n">
        <v>36</v>
      </c>
      <c r="H159" s="11" t="n">
        <v>12.7</v>
      </c>
      <c r="I159" s="1" t="s">
        <v>57</v>
      </c>
      <c r="J159" s="11" t="n">
        <v>1.517</v>
      </c>
      <c r="K159" s="30" t="n">
        <v>7990</v>
      </c>
      <c r="L159" s="1" t="n">
        <v>0</v>
      </c>
      <c r="M159" s="1" t="n">
        <v>0</v>
      </c>
      <c r="N159" s="1" t="n">
        <v>0</v>
      </c>
      <c r="O159" s="1" t="n">
        <v>14</v>
      </c>
      <c r="P159" s="1" t="n">
        <v>1</v>
      </c>
      <c r="Q159" s="1" t="n">
        <v>1000</v>
      </c>
      <c r="R159" s="13" t="n">
        <f aca="false">(N159*L159+O159*Q159)/(L159+O159)</f>
        <v>1000</v>
      </c>
      <c r="S159" s="14" t="n">
        <f aca="false">(M159*L159+O159*P159*0.1)/(L159+O159)</f>
        <v>0.1</v>
      </c>
      <c r="T159" s="1" t="n">
        <v>600</v>
      </c>
      <c r="U159" s="31" t="n">
        <f aca="false">((1.05+1.15)/2)*1000</f>
        <v>1100</v>
      </c>
      <c r="V159" s="16" t="n">
        <v>0.00997584783490273</v>
      </c>
      <c r="W159" s="1" t="n">
        <v>1</v>
      </c>
      <c r="X159" s="17" t="n">
        <f aca="false">2.56266150840834*0.000001*1000</f>
        <v>0.00256266150840834</v>
      </c>
      <c r="Z159" s="32" t="s">
        <v>94</v>
      </c>
      <c r="AA159" s="1" t="s">
        <v>97</v>
      </c>
      <c r="AC159" s="18" t="n">
        <f aca="false">MAX(L159,O159)</f>
        <v>14</v>
      </c>
      <c r="AD159" s="17" t="n">
        <f aca="false">MAX(M159,P159*0.1)</f>
        <v>0.1</v>
      </c>
      <c r="AE159" s="1" t="n">
        <f aca="false">MAX(N159,Q159)</f>
        <v>1000</v>
      </c>
      <c r="AG159" s="16"/>
      <c r="AH159" s="19" t="n">
        <v>157</v>
      </c>
      <c r="AI159" s="20" t="str">
        <f aca="false">B159</f>
        <v>DI</v>
      </c>
      <c r="AJ159" s="20" t="str">
        <f aca="false">C159</f>
        <v>Liquid-Solid</v>
      </c>
      <c r="AK159" s="20" t="str">
        <f aca="false">D159</f>
        <v>V-H</v>
      </c>
      <c r="AL159" s="21" t="n">
        <f aca="false">E159</f>
        <v>90</v>
      </c>
      <c r="AM159" s="22" t="n">
        <v>1E-006</v>
      </c>
      <c r="AN159" s="23" t="n">
        <f aca="false">MAX(G159/(F159/1000),25000)</f>
        <v>25000</v>
      </c>
      <c r="AO159" s="23" t="n">
        <f aca="false">H159/F159</f>
        <v>1.5875</v>
      </c>
      <c r="AP159" s="23" t="n">
        <f aca="false">AC159/SQRT(9.81*(F159/1000))</f>
        <v>49.9745093024473</v>
      </c>
      <c r="AQ159" s="23" t="n">
        <f aca="false">(AE159*AC159*(F159/1000))/AD159</f>
        <v>1120</v>
      </c>
      <c r="AR159" s="23" t="n">
        <f aca="false">((T159*0.000001)^3*AE159*(U159-AE159)*9.81)/AD159^2</f>
        <v>0.0211896</v>
      </c>
      <c r="AS159" s="23" t="n">
        <f aca="false">(U159*((T159/10^6)^2)/(18*AD159))*AC159/(F159/1000)</f>
        <v>0.385</v>
      </c>
      <c r="AT159" s="23" t="n">
        <f aca="false">AE159*(T159/10^6)*AC159/AD159</f>
        <v>84</v>
      </c>
      <c r="AU159" s="23" t="n">
        <f aca="false">(T159/10^6)/(F159/1000)</f>
        <v>0.075</v>
      </c>
      <c r="AV159" s="23" t="n">
        <f aca="false">AE159/U159</f>
        <v>0.909090909090909</v>
      </c>
      <c r="AW159" s="23" t="n">
        <f aca="false">(J159*10^9)/(K159*AC159^2)</f>
        <v>968.685346479017</v>
      </c>
      <c r="AX159" s="23" t="n">
        <f aca="false">V159</f>
        <v>0.00997584783490273</v>
      </c>
      <c r="AY159" s="23" t="n">
        <f aca="false">MAX(W159,1)</f>
        <v>1</v>
      </c>
      <c r="AZ159" s="23" t="n">
        <f aca="false">X159</f>
        <v>0.00256266150840834</v>
      </c>
      <c r="BA159" s="24" t="n">
        <f aca="false">0.8*AZ159</f>
        <v>0.00205012920672667</v>
      </c>
      <c r="BB159" s="24" t="n">
        <f aca="false">AZ159*1.2</f>
        <v>0.00307519381009001</v>
      </c>
      <c r="BC159" s="0" t="str">
        <f aca="false">Z159</f>
        <v>karimi Thesis - TABLE a5</v>
      </c>
    </row>
    <row r="160" customFormat="false" ht="12.8" hidden="false" customHeight="false" outlineLevel="0" collapsed="false">
      <c r="A160" s="1" t="n">
        <v>43</v>
      </c>
      <c r="B160" s="1" t="s">
        <v>48</v>
      </c>
      <c r="C160" s="1" t="s">
        <v>53</v>
      </c>
      <c r="D160" s="1" t="s">
        <v>54</v>
      </c>
      <c r="E160" s="1" t="n">
        <v>90</v>
      </c>
      <c r="F160" s="11" t="n">
        <v>8</v>
      </c>
      <c r="G160" s="11" t="n">
        <v>36</v>
      </c>
      <c r="H160" s="11" t="n">
        <v>12.7</v>
      </c>
      <c r="I160" s="1" t="s">
        <v>57</v>
      </c>
      <c r="J160" s="11" t="n">
        <v>1.517</v>
      </c>
      <c r="K160" s="30" t="n">
        <v>7990</v>
      </c>
      <c r="L160" s="1" t="n">
        <v>0</v>
      </c>
      <c r="M160" s="1" t="n">
        <v>0</v>
      </c>
      <c r="N160" s="1" t="n">
        <v>0</v>
      </c>
      <c r="O160" s="1" t="n">
        <v>14</v>
      </c>
      <c r="P160" s="1" t="n">
        <v>55</v>
      </c>
      <c r="Q160" s="1" t="n">
        <v>1000</v>
      </c>
      <c r="R160" s="13" t="n">
        <f aca="false">(N160*L160+O160*Q160)/(L160+O160)</f>
        <v>1000</v>
      </c>
      <c r="S160" s="14" t="n">
        <f aca="false">(M160*L160+O160*P160*0.1)/(L160+O160)</f>
        <v>5.5</v>
      </c>
      <c r="T160" s="1" t="n">
        <v>25</v>
      </c>
      <c r="U160" s="31" t="n">
        <f aca="false">((1.05+1.15)/2)*1000</f>
        <v>1100</v>
      </c>
      <c r="V160" s="16" t="n">
        <v>0.0161415693447724</v>
      </c>
      <c r="W160" s="1" t="n">
        <v>1</v>
      </c>
      <c r="X160" s="17" t="n">
        <f aca="false">0.00902192266372629*0.000001*1000</f>
        <v>9.02192266372629E-006</v>
      </c>
      <c r="Z160" s="32" t="s">
        <v>98</v>
      </c>
      <c r="AA160" s="1" t="s">
        <v>99</v>
      </c>
      <c r="AC160" s="18" t="n">
        <f aca="false">MAX(L160,O160)</f>
        <v>14</v>
      </c>
      <c r="AD160" s="17" t="n">
        <f aca="false">MAX(M160,P160*0.1)</f>
        <v>5.5</v>
      </c>
      <c r="AE160" s="1" t="n">
        <f aca="false">MAX(N160,Q160)</f>
        <v>1000</v>
      </c>
      <c r="AG160" s="16"/>
      <c r="AH160" s="19" t="n">
        <v>158</v>
      </c>
      <c r="AI160" s="20" t="str">
        <f aca="false">B160</f>
        <v>DI</v>
      </c>
      <c r="AJ160" s="20" t="str">
        <f aca="false">C160</f>
        <v>Liquid-Solid</v>
      </c>
      <c r="AK160" s="20" t="str">
        <f aca="false">D160</f>
        <v>V-H</v>
      </c>
      <c r="AL160" s="21" t="n">
        <f aca="false">E160</f>
        <v>90</v>
      </c>
      <c r="AM160" s="22" t="n">
        <v>1E-006</v>
      </c>
      <c r="AN160" s="23" t="n">
        <f aca="false">MAX(G160/(F160/1000),25000)</f>
        <v>25000</v>
      </c>
      <c r="AO160" s="23" t="n">
        <f aca="false">H160/F160</f>
        <v>1.5875</v>
      </c>
      <c r="AP160" s="23" t="n">
        <f aca="false">AC160/SQRT(9.81*(F160/1000))</f>
        <v>49.9745093024473</v>
      </c>
      <c r="AQ160" s="23" t="n">
        <f aca="false">(AE160*AC160*(F160/1000))/AD160</f>
        <v>20.3636363636364</v>
      </c>
      <c r="AR160" s="23" t="n">
        <f aca="false">((T160*0.000001)^3*AE160*(U160-AE160)*9.81)/AD160^2</f>
        <v>5.06714876033058E-010</v>
      </c>
      <c r="AS160" s="23" t="n">
        <f aca="false">(U160*((T160/10^6)^2)/(18*AD160))*AC160/(F160/1000)</f>
        <v>1.21527777777778E-005</v>
      </c>
      <c r="AT160" s="23" t="n">
        <f aca="false">AE160*(T160/10^6)*AC160/AD160</f>
        <v>0.0636363636363636</v>
      </c>
      <c r="AU160" s="23" t="n">
        <f aca="false">(T160/10^6)/(F160/1000)</f>
        <v>0.003125</v>
      </c>
      <c r="AV160" s="23" t="n">
        <f aca="false">AE160/U160</f>
        <v>0.909090909090909</v>
      </c>
      <c r="AW160" s="23" t="n">
        <f aca="false">(J160*10^9)/(K160*AC160^2)</f>
        <v>968.685346479017</v>
      </c>
      <c r="AX160" s="23" t="n">
        <f aca="false">V160</f>
        <v>0.0161415693447724</v>
      </c>
      <c r="AY160" s="23" t="n">
        <f aca="false">MAX(W160,1)</f>
        <v>1</v>
      </c>
      <c r="AZ160" s="23" t="n">
        <f aca="false">X160</f>
        <v>9.02192266372629E-006</v>
      </c>
      <c r="BA160" s="24" t="n">
        <f aca="false">0.8*AZ160</f>
        <v>7.21753813098103E-006</v>
      </c>
      <c r="BB160" s="24" t="n">
        <f aca="false">AZ160*1.2</f>
        <v>1.08263071964715E-005</v>
      </c>
      <c r="BC160" s="0" t="str">
        <f aca="false">Z160</f>
        <v>karimi Thesis - TABLE a6</v>
      </c>
    </row>
    <row r="161" customFormat="false" ht="12.8" hidden="false" customHeight="false" outlineLevel="0" collapsed="false">
      <c r="A161" s="1" t="n">
        <v>44</v>
      </c>
      <c r="B161" s="1" t="s">
        <v>48</v>
      </c>
      <c r="C161" s="1" t="s">
        <v>53</v>
      </c>
      <c r="D161" s="1" t="s">
        <v>54</v>
      </c>
      <c r="E161" s="1" t="n">
        <v>90</v>
      </c>
      <c r="F161" s="11" t="n">
        <v>8</v>
      </c>
      <c r="G161" s="11" t="n">
        <v>36</v>
      </c>
      <c r="H161" s="11" t="n">
        <v>12.7</v>
      </c>
      <c r="I161" s="1" t="s">
        <v>57</v>
      </c>
      <c r="J161" s="11" t="n">
        <v>1.517</v>
      </c>
      <c r="K161" s="30" t="n">
        <v>7990</v>
      </c>
      <c r="L161" s="1" t="n">
        <v>0</v>
      </c>
      <c r="M161" s="1" t="n">
        <v>0</v>
      </c>
      <c r="N161" s="1" t="n">
        <v>0</v>
      </c>
      <c r="O161" s="1" t="n">
        <v>14</v>
      </c>
      <c r="P161" s="1" t="n">
        <v>55</v>
      </c>
      <c r="Q161" s="1" t="n">
        <v>1000</v>
      </c>
      <c r="R161" s="13" t="n">
        <f aca="false">(N161*L161+O161*Q161)/(L161+O161)</f>
        <v>1000</v>
      </c>
      <c r="S161" s="14" t="n">
        <f aca="false">(M161*L161+O161*P161*0.1)/(L161+O161)</f>
        <v>5.5</v>
      </c>
      <c r="T161" s="1" t="n">
        <v>25</v>
      </c>
      <c r="U161" s="31" t="n">
        <f aca="false">((1.05+1.15)/2)*1000</f>
        <v>1100</v>
      </c>
      <c r="V161" s="16" t="n">
        <v>0.0219838968504163</v>
      </c>
      <c r="W161" s="1" t="n">
        <v>1</v>
      </c>
      <c r="X161" s="17" t="n">
        <f aca="false">0.0122878851933397*0.000001*1000</f>
        <v>1.22878851933397E-005</v>
      </c>
      <c r="Z161" s="32" t="s">
        <v>98</v>
      </c>
      <c r="AA161" s="1" t="s">
        <v>100</v>
      </c>
      <c r="AC161" s="18" t="n">
        <f aca="false">MAX(L161,O161)</f>
        <v>14</v>
      </c>
      <c r="AD161" s="17" t="n">
        <f aca="false">MAX(M161,P161*0.1)</f>
        <v>5.5</v>
      </c>
      <c r="AE161" s="1" t="n">
        <f aca="false">MAX(N161,Q161)</f>
        <v>1000</v>
      </c>
      <c r="AG161" s="16"/>
      <c r="AH161" s="19" t="n">
        <v>159</v>
      </c>
      <c r="AI161" s="20" t="str">
        <f aca="false">B161</f>
        <v>DI</v>
      </c>
      <c r="AJ161" s="20" t="str">
        <f aca="false">C161</f>
        <v>Liquid-Solid</v>
      </c>
      <c r="AK161" s="20" t="str">
        <f aca="false">D161</f>
        <v>V-H</v>
      </c>
      <c r="AL161" s="21" t="n">
        <f aca="false">E161</f>
        <v>90</v>
      </c>
      <c r="AM161" s="22" t="n">
        <v>1E-006</v>
      </c>
      <c r="AN161" s="23" t="n">
        <f aca="false">MAX(G161/(F161/1000),25000)</f>
        <v>25000</v>
      </c>
      <c r="AO161" s="23" t="n">
        <f aca="false">H161/F161</f>
        <v>1.5875</v>
      </c>
      <c r="AP161" s="23" t="n">
        <f aca="false">AC161/SQRT(9.81*(F161/1000))</f>
        <v>49.9745093024473</v>
      </c>
      <c r="AQ161" s="23" t="n">
        <f aca="false">(AE161*AC161*(F161/1000))/AD161</f>
        <v>20.3636363636364</v>
      </c>
      <c r="AR161" s="23" t="n">
        <f aca="false">((T161*0.000001)^3*AE161*(U161-AE161)*9.81)/AD161^2</f>
        <v>5.06714876033058E-010</v>
      </c>
      <c r="AS161" s="23" t="n">
        <f aca="false">(U161*((T161/10^6)^2)/(18*AD161))*AC161/(F161/1000)</f>
        <v>1.21527777777778E-005</v>
      </c>
      <c r="AT161" s="23" t="n">
        <f aca="false">AE161*(T161/10^6)*AC161/AD161</f>
        <v>0.0636363636363636</v>
      </c>
      <c r="AU161" s="23" t="n">
        <f aca="false">(T161/10^6)/(F161/1000)</f>
        <v>0.003125</v>
      </c>
      <c r="AV161" s="23" t="n">
        <f aca="false">AE161/U161</f>
        <v>0.909090909090909</v>
      </c>
      <c r="AW161" s="23" t="n">
        <f aca="false">(J161*10^9)/(K161*AC161^2)</f>
        <v>968.685346479017</v>
      </c>
      <c r="AX161" s="23" t="n">
        <f aca="false">V161</f>
        <v>0.0219838968504163</v>
      </c>
      <c r="AY161" s="23" t="n">
        <f aca="false">MAX(W161,1)</f>
        <v>1</v>
      </c>
      <c r="AZ161" s="23" t="n">
        <f aca="false">X161</f>
        <v>1.22878851933397E-005</v>
      </c>
      <c r="BA161" s="24" t="n">
        <f aca="false">0.8*AZ161</f>
        <v>9.83030815467176E-006</v>
      </c>
      <c r="BB161" s="24" t="n">
        <f aca="false">AZ161*1.2</f>
        <v>1.47454622320076E-005</v>
      </c>
      <c r="BC161" s="0" t="str">
        <f aca="false">Z161</f>
        <v>karimi Thesis - TABLE a6</v>
      </c>
    </row>
    <row r="162" customFormat="false" ht="12.8" hidden="false" customHeight="false" outlineLevel="0" collapsed="false">
      <c r="A162" s="1" t="n">
        <v>45</v>
      </c>
      <c r="B162" s="1" t="s">
        <v>48</v>
      </c>
      <c r="C162" s="1" t="s">
        <v>53</v>
      </c>
      <c r="D162" s="1" t="s">
        <v>54</v>
      </c>
      <c r="E162" s="1" t="n">
        <v>45</v>
      </c>
      <c r="F162" s="11" t="n">
        <v>8</v>
      </c>
      <c r="G162" s="11" t="n">
        <v>36</v>
      </c>
      <c r="H162" s="11" t="n">
        <v>12.7</v>
      </c>
      <c r="I162" s="1" t="s">
        <v>57</v>
      </c>
      <c r="J162" s="11" t="n">
        <v>1.517</v>
      </c>
      <c r="K162" s="30" t="n">
        <v>7990</v>
      </c>
      <c r="L162" s="1" t="n">
        <v>0</v>
      </c>
      <c r="M162" s="1" t="n">
        <v>0</v>
      </c>
      <c r="N162" s="1" t="n">
        <v>0</v>
      </c>
      <c r="O162" s="1" t="n">
        <v>14</v>
      </c>
      <c r="P162" s="1" t="n">
        <v>55</v>
      </c>
      <c r="Q162" s="1" t="n">
        <v>1000</v>
      </c>
      <c r="R162" s="13" t="n">
        <f aca="false">(N162*L162+O162*Q162)/(L162+O162)</f>
        <v>1000</v>
      </c>
      <c r="S162" s="14" t="n">
        <f aca="false">(M162*L162+O162*P162*0.1)/(L162+O162)</f>
        <v>5.5</v>
      </c>
      <c r="T162" s="1" t="n">
        <v>25</v>
      </c>
      <c r="U162" s="31" t="n">
        <f aca="false">((1.05+1.15)/2)*1000</f>
        <v>1100</v>
      </c>
      <c r="V162" s="16" t="n">
        <v>0.0203748870420284</v>
      </c>
      <c r="W162" s="1" t="n">
        <v>1</v>
      </c>
      <c r="X162" s="17" t="n">
        <f aca="false">0.00911640988095933*0.000001*1000</f>
        <v>9.11640988095933E-006</v>
      </c>
      <c r="Z162" s="32" t="s">
        <v>98</v>
      </c>
      <c r="AA162" s="1" t="s">
        <v>101</v>
      </c>
      <c r="AC162" s="18" t="n">
        <f aca="false">MAX(L162,O162)</f>
        <v>14</v>
      </c>
      <c r="AD162" s="17" t="n">
        <f aca="false">MAX(M162,P162*0.1)</f>
        <v>5.5</v>
      </c>
      <c r="AE162" s="1" t="n">
        <f aca="false">MAX(N162,Q162)</f>
        <v>1000</v>
      </c>
      <c r="AG162" s="16"/>
      <c r="AH162" s="19" t="n">
        <v>160</v>
      </c>
      <c r="AI162" s="20" t="str">
        <f aca="false">B162</f>
        <v>DI</v>
      </c>
      <c r="AJ162" s="20" t="str">
        <f aca="false">C162</f>
        <v>Liquid-Solid</v>
      </c>
      <c r="AK162" s="20" t="str">
        <f aca="false">D162</f>
        <v>V-H</v>
      </c>
      <c r="AL162" s="21" t="n">
        <f aca="false">E162</f>
        <v>45</v>
      </c>
      <c r="AM162" s="22" t="n">
        <v>1E-006</v>
      </c>
      <c r="AN162" s="23" t="n">
        <f aca="false">MAX(G162/(F162/1000),25000)</f>
        <v>25000</v>
      </c>
      <c r="AO162" s="23" t="n">
        <f aca="false">H162/F162</f>
        <v>1.5875</v>
      </c>
      <c r="AP162" s="23" t="n">
        <f aca="false">AC162/SQRT(9.81*(F162/1000))</f>
        <v>49.9745093024473</v>
      </c>
      <c r="AQ162" s="23" t="n">
        <f aca="false">(AE162*AC162*(F162/1000))/AD162</f>
        <v>20.3636363636364</v>
      </c>
      <c r="AR162" s="23" t="n">
        <f aca="false">((T162*0.000001)^3*AE162*(U162-AE162)*9.81)/AD162^2</f>
        <v>5.06714876033058E-010</v>
      </c>
      <c r="AS162" s="23" t="n">
        <f aca="false">(U162*((T162/10^6)^2)/(18*AD162))*AC162/(F162/1000)</f>
        <v>1.21527777777778E-005</v>
      </c>
      <c r="AT162" s="23" t="n">
        <f aca="false">AE162*(T162/10^6)*AC162/AD162</f>
        <v>0.0636363636363636</v>
      </c>
      <c r="AU162" s="23" t="n">
        <f aca="false">(T162/10^6)/(F162/1000)</f>
        <v>0.003125</v>
      </c>
      <c r="AV162" s="23" t="n">
        <f aca="false">AE162/U162</f>
        <v>0.909090909090909</v>
      </c>
      <c r="AW162" s="23" t="n">
        <f aca="false">(J162*10^9)/(K162*AC162^2)</f>
        <v>968.685346479017</v>
      </c>
      <c r="AX162" s="23" t="n">
        <f aca="false">V162</f>
        <v>0.0203748870420284</v>
      </c>
      <c r="AY162" s="23" t="n">
        <f aca="false">MAX(W162,1)</f>
        <v>1</v>
      </c>
      <c r="AZ162" s="23" t="n">
        <f aca="false">X162</f>
        <v>9.11640988095933E-006</v>
      </c>
      <c r="BA162" s="24" t="n">
        <f aca="false">0.8*AZ162</f>
        <v>7.29312790476746E-006</v>
      </c>
      <c r="BB162" s="24" t="n">
        <f aca="false">AZ162*1.2</f>
        <v>1.09396918571512E-005</v>
      </c>
      <c r="BC162" s="0" t="str">
        <f aca="false">Z162</f>
        <v>karimi Thesis - TABLE a6</v>
      </c>
    </row>
    <row r="163" customFormat="false" ht="12.8" hidden="false" customHeight="false" outlineLevel="0" collapsed="false">
      <c r="A163" s="1" t="n">
        <v>46</v>
      </c>
      <c r="B163" s="1" t="s">
        <v>48</v>
      </c>
      <c r="C163" s="1" t="s">
        <v>53</v>
      </c>
      <c r="D163" s="1" t="s">
        <v>54</v>
      </c>
      <c r="E163" s="1" t="n">
        <v>45</v>
      </c>
      <c r="F163" s="11" t="n">
        <v>8</v>
      </c>
      <c r="G163" s="11" t="n">
        <v>36</v>
      </c>
      <c r="H163" s="11" t="n">
        <v>12.7</v>
      </c>
      <c r="I163" s="1" t="s">
        <v>57</v>
      </c>
      <c r="J163" s="11" t="n">
        <v>1.517</v>
      </c>
      <c r="K163" s="30" t="n">
        <v>7990</v>
      </c>
      <c r="L163" s="1" t="n">
        <v>0</v>
      </c>
      <c r="M163" s="1" t="n">
        <v>0</v>
      </c>
      <c r="N163" s="1" t="n">
        <v>0</v>
      </c>
      <c r="O163" s="1" t="n">
        <v>14</v>
      </c>
      <c r="P163" s="1" t="n">
        <v>55</v>
      </c>
      <c r="Q163" s="1" t="n">
        <v>1000</v>
      </c>
      <c r="R163" s="13" t="n">
        <f aca="false">(N163*L163+O163*Q163)/(L163+O163)</f>
        <v>1000</v>
      </c>
      <c r="S163" s="14" t="n">
        <f aca="false">(M163*L163+O163*P163*0.1)/(L163+O163)</f>
        <v>5.5</v>
      </c>
      <c r="T163" s="1" t="n">
        <v>25</v>
      </c>
      <c r="U163" s="31" t="n">
        <f aca="false">((1.05+1.15)/2)*1000</f>
        <v>1100</v>
      </c>
      <c r="V163" s="16" t="n">
        <v>0.0227247354232066</v>
      </c>
      <c r="W163" s="1" t="n">
        <v>1</v>
      </c>
      <c r="X163" s="17" t="n">
        <f aca="false">0.0108346387867744*0.000001*1000</f>
        <v>1.08346387867744E-005</v>
      </c>
      <c r="Z163" s="32" t="s">
        <v>98</v>
      </c>
      <c r="AA163" s="1" t="s">
        <v>102</v>
      </c>
      <c r="AC163" s="18" t="n">
        <f aca="false">MAX(L163,O163)</f>
        <v>14</v>
      </c>
      <c r="AD163" s="17" t="n">
        <f aca="false">MAX(M163,P163*0.1)</f>
        <v>5.5</v>
      </c>
      <c r="AE163" s="1" t="n">
        <f aca="false">MAX(N163,Q163)</f>
        <v>1000</v>
      </c>
      <c r="AG163" s="16"/>
      <c r="AH163" s="19" t="n">
        <v>161</v>
      </c>
      <c r="AI163" s="20" t="str">
        <f aca="false">B163</f>
        <v>DI</v>
      </c>
      <c r="AJ163" s="20" t="str">
        <f aca="false">C163</f>
        <v>Liquid-Solid</v>
      </c>
      <c r="AK163" s="20" t="str">
        <f aca="false">D163</f>
        <v>V-H</v>
      </c>
      <c r="AL163" s="21" t="n">
        <f aca="false">E163</f>
        <v>45</v>
      </c>
      <c r="AM163" s="22" t="n">
        <v>1E-006</v>
      </c>
      <c r="AN163" s="23" t="n">
        <f aca="false">MAX(G163/(F163/1000),25000)</f>
        <v>25000</v>
      </c>
      <c r="AO163" s="23" t="n">
        <f aca="false">H163/F163</f>
        <v>1.5875</v>
      </c>
      <c r="AP163" s="23" t="n">
        <f aca="false">AC163/SQRT(9.81*(F163/1000))</f>
        <v>49.9745093024473</v>
      </c>
      <c r="AQ163" s="23" t="n">
        <f aca="false">(AE163*AC163*(F163/1000))/AD163</f>
        <v>20.3636363636364</v>
      </c>
      <c r="AR163" s="23" t="n">
        <f aca="false">((T163*0.000001)^3*AE163*(U163-AE163)*9.81)/AD163^2</f>
        <v>5.06714876033058E-010</v>
      </c>
      <c r="AS163" s="23" t="n">
        <f aca="false">(U163*((T163/10^6)^2)/(18*AD163))*AC163/(F163/1000)</f>
        <v>1.21527777777778E-005</v>
      </c>
      <c r="AT163" s="23" t="n">
        <f aca="false">AE163*(T163/10^6)*AC163/AD163</f>
        <v>0.0636363636363636</v>
      </c>
      <c r="AU163" s="23" t="n">
        <f aca="false">(T163/10^6)/(F163/1000)</f>
        <v>0.003125</v>
      </c>
      <c r="AV163" s="23" t="n">
        <f aca="false">AE163/U163</f>
        <v>0.909090909090909</v>
      </c>
      <c r="AW163" s="23" t="n">
        <f aca="false">(J163*10^9)/(K163*AC163^2)</f>
        <v>968.685346479017</v>
      </c>
      <c r="AX163" s="23" t="n">
        <f aca="false">V163</f>
        <v>0.0227247354232066</v>
      </c>
      <c r="AY163" s="23" t="n">
        <f aca="false">MAX(W163,1)</f>
        <v>1</v>
      </c>
      <c r="AZ163" s="23" t="n">
        <f aca="false">X163</f>
        <v>1.08346387867744E-005</v>
      </c>
      <c r="BA163" s="24" t="n">
        <f aca="false">0.8*AZ163</f>
        <v>8.66771102941952E-006</v>
      </c>
      <c r="BB163" s="24" t="n">
        <f aca="false">AZ163*1.2</f>
        <v>1.30015665441293E-005</v>
      </c>
      <c r="BC163" s="0" t="str">
        <f aca="false">Z163</f>
        <v>karimi Thesis - TABLE a6</v>
      </c>
    </row>
    <row r="164" customFormat="false" ht="12.8" hidden="false" customHeight="false" outlineLevel="0" collapsed="false">
      <c r="A164" s="1" t="n">
        <v>1</v>
      </c>
      <c r="B164" s="1" t="s">
        <v>48</v>
      </c>
      <c r="C164" s="1" t="s">
        <v>53</v>
      </c>
      <c r="D164" s="1" t="s">
        <v>54</v>
      </c>
      <c r="E164" s="1" t="n">
        <v>90</v>
      </c>
      <c r="F164" s="1" t="n">
        <v>7</v>
      </c>
      <c r="G164" s="1" t="n">
        <f aca="false">F164*10</f>
        <v>70</v>
      </c>
      <c r="H164" s="1" t="n">
        <v>5</v>
      </c>
      <c r="I164" s="1" t="s">
        <v>57</v>
      </c>
      <c r="J164" s="11" t="n">
        <v>1.517</v>
      </c>
      <c r="K164" s="30" t="n">
        <v>7990</v>
      </c>
      <c r="L164" s="1" t="n">
        <v>0</v>
      </c>
      <c r="M164" s="1" t="n">
        <v>0</v>
      </c>
      <c r="N164" s="1" t="n">
        <v>0</v>
      </c>
      <c r="O164" s="1" t="n">
        <v>5</v>
      </c>
      <c r="P164" s="1" t="n">
        <v>1</v>
      </c>
      <c r="Q164" s="1" t="n">
        <v>1000</v>
      </c>
      <c r="R164" s="13" t="n">
        <f aca="false">(N164*L164+O164*Q164)/(L164+O164)</f>
        <v>1000</v>
      </c>
      <c r="S164" s="14" t="n">
        <f aca="false">(M164*L164+O164*P164*0.1)/(L164+O164)</f>
        <v>0.1</v>
      </c>
      <c r="T164" s="33" t="n">
        <v>250</v>
      </c>
      <c r="U164" s="1" t="n">
        <v>2206</v>
      </c>
      <c r="V164" s="16" t="n">
        <v>0.00451263537906137</v>
      </c>
      <c r="W164" s="1" t="n">
        <v>1</v>
      </c>
      <c r="X164" s="17" t="n">
        <v>0.000375878783050381</v>
      </c>
      <c r="Z164" s="32" t="s">
        <v>103</v>
      </c>
      <c r="AC164" s="18" t="n">
        <f aca="false">MAX(L164,O164)</f>
        <v>5</v>
      </c>
      <c r="AD164" s="17" t="n">
        <f aca="false">MAX(M164,P164*0.1)</f>
        <v>0.1</v>
      </c>
      <c r="AE164" s="1" t="n">
        <f aca="false">MAX(N164,Q164)</f>
        <v>1000</v>
      </c>
      <c r="AG164" s="16"/>
      <c r="AH164" s="19" t="n">
        <v>162</v>
      </c>
      <c r="AI164" s="20" t="str">
        <f aca="false">B164</f>
        <v>DI</v>
      </c>
      <c r="AJ164" s="20" t="str">
        <f aca="false">C164</f>
        <v>Liquid-Solid</v>
      </c>
      <c r="AK164" s="20" t="str">
        <f aca="false">D164</f>
        <v>V-H</v>
      </c>
      <c r="AL164" s="21" t="n">
        <f aca="false">E164</f>
        <v>90</v>
      </c>
      <c r="AM164" s="22" t="n">
        <v>1E-006</v>
      </c>
      <c r="AN164" s="23" t="n">
        <f aca="false">MAX(G164/(F164/1000),25000)</f>
        <v>25000</v>
      </c>
      <c r="AO164" s="23" t="n">
        <f aca="false">H164/F164</f>
        <v>0.714285714285714</v>
      </c>
      <c r="AP164" s="23" t="n">
        <f aca="false">AC164/SQRT(9.81*(F164/1000))</f>
        <v>19.0803563144801</v>
      </c>
      <c r="AQ164" s="23" t="n">
        <f aca="false">(AE164*AC164*(F164/1000))/AD164</f>
        <v>350</v>
      </c>
      <c r="AR164" s="23" t="n">
        <f aca="false">((T164*0.000001)^3*AE164*(U164-AE164)*9.81)/AD164^2</f>
        <v>0.01848571875</v>
      </c>
      <c r="AS164" s="23" t="n">
        <f aca="false">(U164*((T164/10^6)^2)/(18*AD164))*AC164/(F164/1000)</f>
        <v>0.0547123015873016</v>
      </c>
      <c r="AT164" s="23" t="n">
        <f aca="false">AE164*(T164/10^6)*AC164/AD164</f>
        <v>12.5</v>
      </c>
      <c r="AU164" s="23" t="n">
        <f aca="false">(T164/10^6)/(F164/1000)</f>
        <v>0.0357142857142857</v>
      </c>
      <c r="AV164" s="23" t="n">
        <f aca="false">AE164/U164</f>
        <v>0.453309156844968</v>
      </c>
      <c r="AW164" s="23" t="n">
        <f aca="false">(J164*10^9)/(K164*AC164^2)</f>
        <v>7594.49311639549</v>
      </c>
      <c r="AX164" s="23" t="n">
        <f aca="false">V164</f>
        <v>0.00451263537906137</v>
      </c>
      <c r="AY164" s="23" t="n">
        <f aca="false">MAX(W164,1)</f>
        <v>1</v>
      </c>
      <c r="AZ164" s="23" t="n">
        <f aca="false">X164</f>
        <v>0.000375878783050381</v>
      </c>
      <c r="BA164" s="24" t="n">
        <f aca="false">0.8*AZ164</f>
        <v>0.000300703026440305</v>
      </c>
      <c r="BB164" s="24" t="n">
        <f aca="false">AZ164*1.2</f>
        <v>0.000451054539660457</v>
      </c>
      <c r="BC164" s="0" t="str">
        <f aca="false">Z164</f>
        <v>https://www.sciencedirect.com/science/article/pii/S0043164809003986</v>
      </c>
    </row>
    <row r="165" customFormat="false" ht="12.8" hidden="false" customHeight="false" outlineLevel="0" collapsed="false">
      <c r="A165" s="1" t="n">
        <v>2</v>
      </c>
      <c r="B165" s="1" t="s">
        <v>48</v>
      </c>
      <c r="C165" s="1" t="s">
        <v>53</v>
      </c>
      <c r="D165" s="1" t="s">
        <v>54</v>
      </c>
      <c r="E165" s="1" t="n">
        <v>90</v>
      </c>
      <c r="F165" s="1" t="n">
        <v>7</v>
      </c>
      <c r="G165" s="1" t="n">
        <f aca="false">F165*10</f>
        <v>70</v>
      </c>
      <c r="H165" s="1" t="n">
        <v>5</v>
      </c>
      <c r="I165" s="1" t="s">
        <v>57</v>
      </c>
      <c r="J165" s="11" t="n">
        <v>1.517</v>
      </c>
      <c r="K165" s="30" t="n">
        <v>7990</v>
      </c>
      <c r="L165" s="1" t="n">
        <v>0</v>
      </c>
      <c r="M165" s="1" t="n">
        <v>0</v>
      </c>
      <c r="N165" s="1" t="n">
        <v>0</v>
      </c>
      <c r="O165" s="1" t="n">
        <v>7.5</v>
      </c>
      <c r="P165" s="1" t="n">
        <v>1</v>
      </c>
      <c r="Q165" s="1" t="n">
        <v>1000</v>
      </c>
      <c r="R165" s="13" t="n">
        <f aca="false">(N165*L165+O165*Q165)/(L165+O165)</f>
        <v>1000</v>
      </c>
      <c r="S165" s="14" t="n">
        <f aca="false">(M165*L165+O165*P165*0.1)/(L165+O165)</f>
        <v>0.1</v>
      </c>
      <c r="T165" s="33" t="n">
        <v>250</v>
      </c>
      <c r="U165" s="1" t="n">
        <v>2206</v>
      </c>
      <c r="V165" s="16" t="n">
        <v>0.00451263537906137</v>
      </c>
      <c r="W165" s="1" t="n">
        <v>1</v>
      </c>
      <c r="X165" s="17" t="n">
        <v>0.00162614333749893</v>
      </c>
      <c r="Z165" s="32" t="s">
        <v>103</v>
      </c>
      <c r="AC165" s="18" t="n">
        <f aca="false">MAX(L165,O165)</f>
        <v>7.5</v>
      </c>
      <c r="AD165" s="17" t="n">
        <f aca="false">MAX(M165,P165*0.1)</f>
        <v>0.1</v>
      </c>
      <c r="AE165" s="1" t="n">
        <f aca="false">MAX(N165,Q165)</f>
        <v>1000</v>
      </c>
      <c r="AG165" s="16"/>
      <c r="AH165" s="19" t="n">
        <v>163</v>
      </c>
      <c r="AI165" s="20" t="str">
        <f aca="false">B165</f>
        <v>DI</v>
      </c>
      <c r="AJ165" s="20" t="str">
        <f aca="false">C165</f>
        <v>Liquid-Solid</v>
      </c>
      <c r="AK165" s="20" t="str">
        <f aca="false">D165</f>
        <v>V-H</v>
      </c>
      <c r="AL165" s="21" t="n">
        <f aca="false">E165</f>
        <v>90</v>
      </c>
      <c r="AM165" s="22" t="n">
        <v>1E-006</v>
      </c>
      <c r="AN165" s="23" t="n">
        <f aca="false">MAX(G165/(F165/1000),25000)</f>
        <v>25000</v>
      </c>
      <c r="AO165" s="23" t="n">
        <f aca="false">H165/F165</f>
        <v>0.714285714285714</v>
      </c>
      <c r="AP165" s="23" t="n">
        <f aca="false">AC165/SQRT(9.81*(F165/1000))</f>
        <v>28.6205344717201</v>
      </c>
      <c r="AQ165" s="23" t="n">
        <f aca="false">(AE165*AC165*(F165/1000))/AD165</f>
        <v>525</v>
      </c>
      <c r="AR165" s="23" t="n">
        <f aca="false">((T165*0.000001)^3*AE165*(U165-AE165)*9.81)/AD165^2</f>
        <v>0.01848571875</v>
      </c>
      <c r="AS165" s="23" t="n">
        <f aca="false">(U165*((T165/10^6)^2)/(18*AD165))*AC165/(F165/1000)</f>
        <v>0.0820684523809524</v>
      </c>
      <c r="AT165" s="23" t="n">
        <f aca="false">AE165*(T165/10^6)*AC165/AD165</f>
        <v>18.75</v>
      </c>
      <c r="AU165" s="23" t="n">
        <f aca="false">(T165/10^6)/(F165/1000)</f>
        <v>0.0357142857142857</v>
      </c>
      <c r="AV165" s="23" t="n">
        <f aca="false">AE165/U165</f>
        <v>0.453309156844968</v>
      </c>
      <c r="AW165" s="23" t="n">
        <f aca="false">(J165*10^9)/(K165*AC165^2)</f>
        <v>3375.33027395355</v>
      </c>
      <c r="AX165" s="23" t="n">
        <f aca="false">V165</f>
        <v>0.00451263537906137</v>
      </c>
      <c r="AY165" s="23" t="n">
        <f aca="false">MAX(W165,1)</f>
        <v>1</v>
      </c>
      <c r="AZ165" s="23" t="n">
        <f aca="false">X165</f>
        <v>0.00162614333749893</v>
      </c>
      <c r="BA165" s="24" t="n">
        <f aca="false">0.8*AZ165</f>
        <v>0.00130091466999914</v>
      </c>
      <c r="BB165" s="24" t="n">
        <f aca="false">AZ165*1.2</f>
        <v>0.00195137200499872</v>
      </c>
      <c r="BC165" s="0" t="str">
        <f aca="false">Z165</f>
        <v>https://www.sciencedirect.com/science/article/pii/S0043164809003986</v>
      </c>
    </row>
    <row r="166" customFormat="false" ht="12.8" hidden="false" customHeight="false" outlineLevel="0" collapsed="false">
      <c r="A166" s="1" t="n">
        <v>3</v>
      </c>
      <c r="B166" s="1" t="s">
        <v>48</v>
      </c>
      <c r="C166" s="1" t="s">
        <v>53</v>
      </c>
      <c r="D166" s="1" t="s">
        <v>54</v>
      </c>
      <c r="E166" s="1" t="n">
        <v>90</v>
      </c>
      <c r="F166" s="1" t="n">
        <v>7</v>
      </c>
      <c r="G166" s="1" t="n">
        <f aca="false">F166*10</f>
        <v>70</v>
      </c>
      <c r="H166" s="1" t="n">
        <v>5</v>
      </c>
      <c r="I166" s="1" t="s">
        <v>57</v>
      </c>
      <c r="J166" s="11" t="n">
        <v>1.517</v>
      </c>
      <c r="K166" s="30" t="n">
        <v>7990</v>
      </c>
      <c r="L166" s="1" t="n">
        <v>0</v>
      </c>
      <c r="M166" s="1" t="n">
        <v>0</v>
      </c>
      <c r="N166" s="1" t="n">
        <v>0</v>
      </c>
      <c r="O166" s="1" t="n">
        <v>10</v>
      </c>
      <c r="P166" s="1" t="n">
        <v>1</v>
      </c>
      <c r="Q166" s="1" t="n">
        <v>1000</v>
      </c>
      <c r="R166" s="13" t="n">
        <f aca="false">(N166*L166+O166*Q166)/(L166+O166)</f>
        <v>1000</v>
      </c>
      <c r="S166" s="14" t="n">
        <f aca="false">(M166*L166+O166*P166*0.1)/(L166+O166)</f>
        <v>0.1</v>
      </c>
      <c r="T166" s="33" t="n">
        <v>250</v>
      </c>
      <c r="U166" s="1" t="n">
        <v>2206</v>
      </c>
      <c r="V166" s="16" t="n">
        <v>0.00451263537906137</v>
      </c>
      <c r="W166" s="1" t="n">
        <v>1</v>
      </c>
      <c r="X166" s="17" t="n">
        <v>0.00215786362843148</v>
      </c>
      <c r="Z166" s="32" t="s">
        <v>103</v>
      </c>
      <c r="AC166" s="18" t="n">
        <f aca="false">MAX(L166,O166)</f>
        <v>10</v>
      </c>
      <c r="AD166" s="17" t="n">
        <f aca="false">MAX(M166,P166*0.1)</f>
        <v>0.1</v>
      </c>
      <c r="AE166" s="1" t="n">
        <f aca="false">MAX(N166,Q166)</f>
        <v>1000</v>
      </c>
      <c r="AG166" s="16"/>
      <c r="AH166" s="19" t="n">
        <v>164</v>
      </c>
      <c r="AI166" s="20" t="str">
        <f aca="false">B166</f>
        <v>DI</v>
      </c>
      <c r="AJ166" s="20" t="str">
        <f aca="false">C166</f>
        <v>Liquid-Solid</v>
      </c>
      <c r="AK166" s="20" t="str">
        <f aca="false">D166</f>
        <v>V-H</v>
      </c>
      <c r="AL166" s="21" t="n">
        <f aca="false">E166</f>
        <v>90</v>
      </c>
      <c r="AM166" s="22" t="n">
        <v>1E-006</v>
      </c>
      <c r="AN166" s="23" t="n">
        <f aca="false">MAX(G166/(F166/1000),25000)</f>
        <v>25000</v>
      </c>
      <c r="AO166" s="23" t="n">
        <f aca="false">H166/F166</f>
        <v>0.714285714285714</v>
      </c>
      <c r="AP166" s="23" t="n">
        <f aca="false">AC166/SQRT(9.81*(F166/1000))</f>
        <v>38.1607126289602</v>
      </c>
      <c r="AQ166" s="23" t="n">
        <f aca="false">(AE166*AC166*(F166/1000))/AD166</f>
        <v>700</v>
      </c>
      <c r="AR166" s="23" t="n">
        <f aca="false">((T166*0.000001)^3*AE166*(U166-AE166)*9.81)/AD166^2</f>
        <v>0.01848571875</v>
      </c>
      <c r="AS166" s="23" t="n">
        <f aca="false">(U166*((T166/10^6)^2)/(18*AD166))*AC166/(F166/1000)</f>
        <v>0.109424603174603</v>
      </c>
      <c r="AT166" s="23" t="n">
        <f aca="false">AE166*(T166/10^6)*AC166/AD166</f>
        <v>25</v>
      </c>
      <c r="AU166" s="23" t="n">
        <f aca="false">(T166/10^6)/(F166/1000)</f>
        <v>0.0357142857142857</v>
      </c>
      <c r="AV166" s="23" t="n">
        <f aca="false">AE166/U166</f>
        <v>0.453309156844968</v>
      </c>
      <c r="AW166" s="23" t="n">
        <f aca="false">(J166*10^9)/(K166*AC166^2)</f>
        <v>1898.62327909887</v>
      </c>
      <c r="AX166" s="23" t="n">
        <f aca="false">V166</f>
        <v>0.00451263537906137</v>
      </c>
      <c r="AY166" s="23" t="n">
        <f aca="false">MAX(W166,1)</f>
        <v>1</v>
      </c>
      <c r="AZ166" s="23" t="n">
        <f aca="false">X166</f>
        <v>0.00215786362843148</v>
      </c>
      <c r="BA166" s="24" t="n">
        <f aca="false">0.8*AZ166</f>
        <v>0.00172629090274518</v>
      </c>
      <c r="BB166" s="24" t="n">
        <f aca="false">AZ166*1.2</f>
        <v>0.00258943635411778</v>
      </c>
      <c r="BC166" s="0" t="str">
        <f aca="false">Z166</f>
        <v>https://www.sciencedirect.com/science/article/pii/S0043164809003986</v>
      </c>
    </row>
    <row r="167" customFormat="false" ht="12.8" hidden="false" customHeight="false" outlineLevel="0" collapsed="false">
      <c r="A167" s="1" t="n">
        <v>4</v>
      </c>
      <c r="B167" s="1" t="s">
        <v>48</v>
      </c>
      <c r="C167" s="1" t="s">
        <v>53</v>
      </c>
      <c r="D167" s="1" t="s">
        <v>54</v>
      </c>
      <c r="E167" s="1" t="n">
        <v>75</v>
      </c>
      <c r="F167" s="1" t="n">
        <v>7</v>
      </c>
      <c r="G167" s="1" t="n">
        <f aca="false">F167*10</f>
        <v>70</v>
      </c>
      <c r="H167" s="1" t="n">
        <v>5</v>
      </c>
      <c r="I167" s="1" t="s">
        <v>57</v>
      </c>
      <c r="J167" s="11" t="n">
        <v>1.517</v>
      </c>
      <c r="K167" s="30" t="n">
        <v>7990</v>
      </c>
      <c r="L167" s="1" t="n">
        <v>0</v>
      </c>
      <c r="M167" s="1" t="n">
        <v>0</v>
      </c>
      <c r="N167" s="1" t="n">
        <v>0</v>
      </c>
      <c r="O167" s="1" t="n">
        <v>5</v>
      </c>
      <c r="P167" s="1" t="n">
        <v>1</v>
      </c>
      <c r="Q167" s="1" t="n">
        <v>1000</v>
      </c>
      <c r="R167" s="13" t="n">
        <f aca="false">(N167*L167+O167*Q167)/(L167+O167)</f>
        <v>1000</v>
      </c>
      <c r="S167" s="14" t="n">
        <f aca="false">(M167*L167+O167*P167*0.1)/(L167+O167)</f>
        <v>0.1</v>
      </c>
      <c r="T167" s="33" t="n">
        <v>250</v>
      </c>
      <c r="U167" s="1" t="n">
        <v>2206</v>
      </c>
      <c r="V167" s="16" t="n">
        <v>0.00451263537906137</v>
      </c>
      <c r="W167" s="1" t="n">
        <v>1</v>
      </c>
      <c r="X167" s="17" t="n">
        <v>0.00113135653542724</v>
      </c>
      <c r="Z167" s="32" t="s">
        <v>103</v>
      </c>
      <c r="AC167" s="18" t="n">
        <f aca="false">MAX(L167,O167)</f>
        <v>5</v>
      </c>
      <c r="AD167" s="17" t="n">
        <f aca="false">MAX(M167,P167*0.1)</f>
        <v>0.1</v>
      </c>
      <c r="AE167" s="1" t="n">
        <f aca="false">MAX(N167,Q167)</f>
        <v>1000</v>
      </c>
      <c r="AG167" s="16"/>
      <c r="AH167" s="19" t="n">
        <v>165</v>
      </c>
      <c r="AI167" s="20" t="str">
        <f aca="false">B167</f>
        <v>DI</v>
      </c>
      <c r="AJ167" s="20" t="str">
        <f aca="false">C167</f>
        <v>Liquid-Solid</v>
      </c>
      <c r="AK167" s="20" t="str">
        <f aca="false">D167</f>
        <v>V-H</v>
      </c>
      <c r="AL167" s="21" t="n">
        <f aca="false">E167</f>
        <v>75</v>
      </c>
      <c r="AM167" s="22" t="n">
        <v>1E-006</v>
      </c>
      <c r="AN167" s="23" t="n">
        <f aca="false">MAX(G167/(F167/1000),25000)</f>
        <v>25000</v>
      </c>
      <c r="AO167" s="23" t="n">
        <f aca="false">H167/F167</f>
        <v>0.714285714285714</v>
      </c>
      <c r="AP167" s="23" t="n">
        <f aca="false">AC167/SQRT(9.81*(F167/1000))</f>
        <v>19.0803563144801</v>
      </c>
      <c r="AQ167" s="23" t="n">
        <f aca="false">(AE167*AC167*(F167/1000))/AD167</f>
        <v>350</v>
      </c>
      <c r="AR167" s="23" t="n">
        <f aca="false">((T167*0.000001)^3*AE167*(U167-AE167)*9.81)/AD167^2</f>
        <v>0.01848571875</v>
      </c>
      <c r="AS167" s="23" t="n">
        <f aca="false">(U167*((T167/10^6)^2)/(18*AD167))*AC167/(F167/1000)</f>
        <v>0.0547123015873016</v>
      </c>
      <c r="AT167" s="23" t="n">
        <f aca="false">AE167*(T167/10^6)*AC167/AD167</f>
        <v>12.5</v>
      </c>
      <c r="AU167" s="23" t="n">
        <f aca="false">(T167/10^6)/(F167/1000)</f>
        <v>0.0357142857142857</v>
      </c>
      <c r="AV167" s="23" t="n">
        <f aca="false">AE167/U167</f>
        <v>0.453309156844968</v>
      </c>
      <c r="AW167" s="23" t="n">
        <f aca="false">(J167*10^9)/(K167*AC167^2)</f>
        <v>7594.49311639549</v>
      </c>
      <c r="AX167" s="23" t="n">
        <f aca="false">V167</f>
        <v>0.00451263537906137</v>
      </c>
      <c r="AY167" s="23" t="n">
        <f aca="false">MAX(W167,1)</f>
        <v>1</v>
      </c>
      <c r="AZ167" s="23" t="n">
        <f aca="false">X167</f>
        <v>0.00113135653542724</v>
      </c>
      <c r="BA167" s="24" t="n">
        <f aca="false">0.8*AZ167</f>
        <v>0.000905085228341792</v>
      </c>
      <c r="BB167" s="24" t="n">
        <f aca="false">AZ167*1.2</f>
        <v>0.00135762784251269</v>
      </c>
      <c r="BC167" s="0" t="str">
        <f aca="false">Z167</f>
        <v>https://www.sciencedirect.com/science/article/pii/S0043164809003986</v>
      </c>
    </row>
    <row r="168" customFormat="false" ht="12.8" hidden="false" customHeight="false" outlineLevel="0" collapsed="false">
      <c r="A168" s="1" t="n">
        <v>5</v>
      </c>
      <c r="B168" s="1" t="s">
        <v>48</v>
      </c>
      <c r="C168" s="1" t="s">
        <v>53</v>
      </c>
      <c r="D168" s="1" t="s">
        <v>54</v>
      </c>
      <c r="E168" s="1" t="n">
        <v>45</v>
      </c>
      <c r="F168" s="1" t="n">
        <v>7</v>
      </c>
      <c r="G168" s="1" t="n">
        <f aca="false">F168*10</f>
        <v>70</v>
      </c>
      <c r="H168" s="1" t="n">
        <v>5</v>
      </c>
      <c r="I168" s="1" t="s">
        <v>57</v>
      </c>
      <c r="J168" s="11" t="n">
        <v>1.517</v>
      </c>
      <c r="K168" s="30" t="n">
        <v>7990</v>
      </c>
      <c r="L168" s="1" t="n">
        <v>0</v>
      </c>
      <c r="M168" s="1" t="n">
        <v>0</v>
      </c>
      <c r="N168" s="1" t="n">
        <v>0</v>
      </c>
      <c r="O168" s="1" t="n">
        <v>5</v>
      </c>
      <c r="P168" s="1" t="n">
        <v>1</v>
      </c>
      <c r="Q168" s="1" t="n">
        <v>1000</v>
      </c>
      <c r="R168" s="13" t="n">
        <f aca="false">(N168*L168+O168*Q168)/(L168+O168)</f>
        <v>1000</v>
      </c>
      <c r="S168" s="14" t="n">
        <f aca="false">(M168*L168+O168*P168*0.1)/(L168+O168)</f>
        <v>0.1</v>
      </c>
      <c r="T168" s="33" t="n">
        <v>250</v>
      </c>
      <c r="U168" s="1" t="n">
        <v>2206</v>
      </c>
      <c r="V168" s="16" t="n">
        <v>0.00451263537906137</v>
      </c>
      <c r="W168" s="1" t="n">
        <v>1</v>
      </c>
      <c r="X168" s="17" t="n">
        <v>0.000721791125133312</v>
      </c>
      <c r="Z168" s="32" t="s">
        <v>103</v>
      </c>
      <c r="AC168" s="18" t="n">
        <f aca="false">MAX(L168,O168)</f>
        <v>5</v>
      </c>
      <c r="AD168" s="17" t="n">
        <f aca="false">MAX(M168,P168*0.1)</f>
        <v>0.1</v>
      </c>
      <c r="AE168" s="1" t="n">
        <f aca="false">MAX(N168,Q168)</f>
        <v>1000</v>
      </c>
      <c r="AG168" s="16"/>
      <c r="AH168" s="19" t="n">
        <v>166</v>
      </c>
      <c r="AI168" s="20" t="str">
        <f aca="false">B168</f>
        <v>DI</v>
      </c>
      <c r="AJ168" s="20" t="str">
        <f aca="false">C168</f>
        <v>Liquid-Solid</v>
      </c>
      <c r="AK168" s="20" t="str">
        <f aca="false">D168</f>
        <v>V-H</v>
      </c>
      <c r="AL168" s="21" t="n">
        <f aca="false">E168</f>
        <v>45</v>
      </c>
      <c r="AM168" s="22" t="n">
        <v>1E-006</v>
      </c>
      <c r="AN168" s="23" t="n">
        <f aca="false">MAX(G168/(F168/1000),25000)</f>
        <v>25000</v>
      </c>
      <c r="AO168" s="23" t="n">
        <f aca="false">H168/F168</f>
        <v>0.714285714285714</v>
      </c>
      <c r="AP168" s="23" t="n">
        <f aca="false">AC168/SQRT(9.81*(F168/1000))</f>
        <v>19.0803563144801</v>
      </c>
      <c r="AQ168" s="23" t="n">
        <f aca="false">(AE168*AC168*(F168/1000))/AD168</f>
        <v>350</v>
      </c>
      <c r="AR168" s="23" t="n">
        <f aca="false">((T168*0.000001)^3*AE168*(U168-AE168)*9.81)/AD168^2</f>
        <v>0.01848571875</v>
      </c>
      <c r="AS168" s="23" t="n">
        <f aca="false">(U168*((T168/10^6)^2)/(18*AD168))*AC168/(F168/1000)</f>
        <v>0.0547123015873016</v>
      </c>
      <c r="AT168" s="23" t="n">
        <f aca="false">AE168*(T168/10^6)*AC168/AD168</f>
        <v>12.5</v>
      </c>
      <c r="AU168" s="23" t="n">
        <f aca="false">(T168/10^6)/(F168/1000)</f>
        <v>0.0357142857142857</v>
      </c>
      <c r="AV168" s="23" t="n">
        <f aca="false">AE168/U168</f>
        <v>0.453309156844968</v>
      </c>
      <c r="AW168" s="23" t="n">
        <f aca="false">(J168*10^9)/(K168*AC168^2)</f>
        <v>7594.49311639549</v>
      </c>
      <c r="AX168" s="23" t="n">
        <f aca="false">V168</f>
        <v>0.00451263537906137</v>
      </c>
      <c r="AY168" s="23" t="n">
        <f aca="false">MAX(W168,1)</f>
        <v>1</v>
      </c>
      <c r="AZ168" s="23" t="n">
        <f aca="false">X168</f>
        <v>0.000721791125133312</v>
      </c>
      <c r="BA168" s="24" t="n">
        <f aca="false">0.8*AZ168</f>
        <v>0.00057743290010665</v>
      </c>
      <c r="BB168" s="24" t="n">
        <f aca="false">AZ168*1.2</f>
        <v>0.000866149350159974</v>
      </c>
      <c r="BC168" s="0" t="str">
        <f aca="false">Z168</f>
        <v>https://www.sciencedirect.com/science/article/pii/S0043164809003986</v>
      </c>
    </row>
  </sheetData>
  <conditionalFormatting sqref="AL3:AO168 AP3:BB3 AO5:AU168 AP4:AU4 AV4:BB168">
    <cfRule type="cellIs" priority="2" operator="lessThanOrEqual" aboveAverage="0" equalAverage="0" bottom="0" percent="0" rank="0" text="" dxfId="0">
      <formula>0</formula>
    </cfRule>
  </conditionalFormatting>
  <hyperlinks>
    <hyperlink ref="Z24" r:id="rId2" display="https://www.sciencedirect.com/science/article/pii/S0043164815003749"/>
    <hyperlink ref="Z25" r:id="rId3" display="https://www.sciencedirect.com/science/article/pii/S0043164815003749"/>
    <hyperlink ref="Z26" r:id="rId4" display="https://www.sciencedirect.com/science/article/pii/S0043164815003749"/>
    <hyperlink ref="Z27" r:id="rId5" display="https://www.sciencedirect.com/science/article/pii/S0043164815003749"/>
    <hyperlink ref="Z28" r:id="rId6" display="https://www.sciencedirect.com/science/article/pii/S0043164815003749"/>
    <hyperlink ref="Z29" r:id="rId7" display="https://www.sciencedirect.com/science/article/pii/S0043164815003749"/>
    <hyperlink ref="Z30" r:id="rId8" display="https://www.sciencedirect.com/science/article/pii/S0043164815003749"/>
    <hyperlink ref="Z31" r:id="rId9" display="https://www.sciencedirect.com/science/article/pii/S0043164815003749"/>
    <hyperlink ref="Z32" r:id="rId10" display="https://www.sciencedirect.com/science/article/pii/S0043164815003749"/>
    <hyperlink ref="Z33" r:id="rId11" display="https://www.sciencedirect.com/science/article/pii/S0043164815003749"/>
    <hyperlink ref="Z34" r:id="rId12" display="https://www.sciencedirect.com/science/article/pii/S0043164815003749"/>
    <hyperlink ref="Z35" r:id="rId13" display="https://www.sciencedirect.com/science/article/pii/S0043164815003749"/>
    <hyperlink ref="Z36" r:id="rId14" display="https://www.sciencedirect.com/science/article/pii/S0043164815003749"/>
    <hyperlink ref="Z37" r:id="rId15" display="https://www.sciencedirect.com/science/article/pii/S0043164815003749"/>
    <hyperlink ref="Z38" r:id="rId16" display="https://www.sciencedirect.com/science/article/pii/S0043164815003749"/>
    <hyperlink ref="Z39" r:id="rId17" display="https://www.sciencedirect.com/science/article/pii/S0043164815003749"/>
    <hyperlink ref="Z40" r:id="rId18" display="https://www.sciencedirect.com/science/article/pii/S0043164815003749"/>
    <hyperlink ref="Z41" r:id="rId19" display="https://www.sciencedirect.com/science/article/pii/S0043164815003749"/>
    <hyperlink ref="Z42" r:id="rId20" display="https://www.sciencedirect.com/science/article/pii/S0043164815003749"/>
    <hyperlink ref="Z43" r:id="rId21" display="https://www.sciencedirect.com/science/article/pii/S0043164815003749"/>
    <hyperlink ref="Z44" r:id="rId22" display="https://www.sciencedirect.com/science/article/pii/S0043164815003749"/>
    <hyperlink ref="Z45" r:id="rId23" display="https://www.sciencedirect.com/science/article/pii/S0043164815003749"/>
    <hyperlink ref="Z46" r:id="rId24" display="https://www.sciencedirect.com/science/article/pii/S0043164815003749"/>
    <hyperlink ref="Z47" r:id="rId25" display="https://www.sciencedirect.com/science/article/pii/S0043164815003749"/>
    <hyperlink ref="Z48" r:id="rId26" display="https://www.sciencedirect.com/science/article/pii/S0043164815003749"/>
    <hyperlink ref="Z49" r:id="rId27" display="https://www.sciencedirect.com/science/article/pii/S0043164815003749"/>
    <hyperlink ref="Z50" r:id="rId28" display="https://www.sciencedirect.com/science/article/pii/S0043164815003749"/>
    <hyperlink ref="Z51" r:id="rId29" display="https://www.sciencedirect.com/science/article/pii/S0043164815003749"/>
    <hyperlink ref="Z52" r:id="rId30" display="https://www.sciencedirect.com/science/article/pii/S0043164815003749"/>
    <hyperlink ref="Z53" r:id="rId31" display="https://www.sciencedirect.com/science/article/pii/S0043164815003749"/>
    <hyperlink ref="Z54" r:id="rId32" display="https://www.sciencedirect.com/science/article/pii/S0043164815003749"/>
    <hyperlink ref="Z55" r:id="rId33" display="https://www.sciencedirect.com/science/article/pii/S0043164815003749"/>
    <hyperlink ref="Z56" r:id="rId34" display="https://www.sciencedirect.com/science/article/pii/S0043164815003749"/>
    <hyperlink ref="Z57" r:id="rId35" display="https://www.sciencedirect.com/science/article/pii/S0043164815003749"/>
    <hyperlink ref="Z58" r:id="rId36" display="https://www.sciencedirect.com/science/article/pii/S0043164815003749"/>
    <hyperlink ref="Z59" r:id="rId37" display="https://www.sciencedirect.com/science/article/pii/S0043164815003749"/>
    <hyperlink ref="Z60" r:id="rId38" display="https://www.sciencedirect.com/science/article/pii/S0043164815003749"/>
    <hyperlink ref="Z61" r:id="rId39" display="https://www.sciencedirect.com/science/article/pii/S0043164815003749"/>
    <hyperlink ref="Z62" r:id="rId40" display="https://www.sciencedirect.com/science/article/pii/S0043164815003749"/>
    <hyperlink ref="Z63" r:id="rId41" display="https://www.sciencedirect.com/science/article/pii/S0043164815003749"/>
    <hyperlink ref="Z64" r:id="rId42" display="https://www.sciencedirect.com/science/article/pii/S0043164815003749"/>
    <hyperlink ref="Z65" r:id="rId43" display="https://www.sciencedirect.com/science/article/pii/S0043164815003749"/>
    <hyperlink ref="Z66" r:id="rId44" display="https://www.sciencedirect.com/science/article/pii/S0043164815003749"/>
    <hyperlink ref="Z67" r:id="rId45" display="https://www.sciencedirect.com/science/article/pii/S0043164815003749"/>
    <hyperlink ref="Z68" r:id="rId46" display="https://www.sciencedirect.com/science/article/pii/S0043164815003749"/>
    <hyperlink ref="Z69" r:id="rId47" display="https://www.sciencedirect.com/science/article/pii/S0043164815003749"/>
    <hyperlink ref="Z70" r:id="rId48" display="https://www.sciencedirect.com/science/article/pii/S0043164815003749"/>
    <hyperlink ref="Z71" r:id="rId49" display="https://www.sciencedirect.com/science/article/pii/S0043164815003749"/>
    <hyperlink ref="Z72" r:id="rId50" display="https://www.sciencedirect.com/science/article/pii/S0043164815003749"/>
    <hyperlink ref="Z73" r:id="rId51" display="https://www.sciencedirect.com/science/article/pii/S0043164815003749"/>
    <hyperlink ref="Z74" r:id="rId52" display="https://www.sciencedirect.com/science/article/pii/S0043164815003749"/>
    <hyperlink ref="Z75" r:id="rId53" display="https://www.sciencedirect.com/science/article/pii/S0043164815003749"/>
    <hyperlink ref="Z76" r:id="rId54" display="https://www.sciencedirect.com/science/article/pii/S0043164815003749"/>
    <hyperlink ref="Z77" r:id="rId55" display="https://www.sciencedirect.com/science/article/pii/S0043164815003749"/>
    <hyperlink ref="Z78" r:id="rId56" display="https://www.sciencedirect.com/science/article/pii/S0043164815003749"/>
    <hyperlink ref="Z79" r:id="rId57" display="https://www.sciencedirect.com/science/article/pii/S0043164815003749"/>
    <hyperlink ref="Z80" r:id="rId58" display="https://www.sciencedirect.com/science/article/pii/S0043164815003749"/>
    <hyperlink ref="Z81" r:id="rId59" display="https://www.sciencedirect.com/science/article/pii/S0043164815003749"/>
    <hyperlink ref="Z82" r:id="rId60" display="https://www.sciencedirect.com/science/article/pii/S0043164815003749"/>
    <hyperlink ref="Z83" r:id="rId61" display="https://www.sciencedirect.com/science/article/pii/S0043164815003749"/>
    <hyperlink ref="Z84" r:id="rId62" display="https://www.sciencedirect.com/science/article/pii/S0043164815003749"/>
    <hyperlink ref="Z85" r:id="rId63" display="https://www.sciencedirect.com/science/article/pii/S0043164815003749"/>
    <hyperlink ref="Z86" r:id="rId64" display="https://www.sciencedirect.com/science/article/pii/S0043164815003749"/>
    <hyperlink ref="Z87" r:id="rId65" display="https://www.sciencedirect.com/science/article/pii/S0043164815003749"/>
    <hyperlink ref="Z88" r:id="rId66" display="https://www.sciencedirect.com/science/article/pii/S0043164815003749"/>
    <hyperlink ref="Z89" r:id="rId67" display="https://www.sciencedirect.com/science/article/pii/S0043164815003749"/>
    <hyperlink ref="Z90" r:id="rId68" display="https://www.sciencedirect.com/science/article/pii/S0043164815003749"/>
    <hyperlink ref="Z91" r:id="rId69" display="https://www.sciencedirect.com/science/article/pii/S0043164815003749"/>
    <hyperlink ref="Z92" r:id="rId70" display="https://www.sciencedirect.com/science/article/pii/S0043164815003749"/>
    <hyperlink ref="Z93" r:id="rId71" display="https://www.sciencedirect.com/science/article/pii/S0043164815003749"/>
    <hyperlink ref="Z94" r:id="rId72" display="https://www.sciencedirect.com/science/article/pii/S0043164815003749"/>
    <hyperlink ref="Z95" r:id="rId73" display="https://www.sciencedirect.com/science/article/pii/S0043164815003749"/>
    <hyperlink ref="Z96" r:id="rId74" display="https://www.sciencedirect.com/science/article/pii/S0043164815003749"/>
    <hyperlink ref="Z97" r:id="rId75" display="https://www.sciencedirect.com/science/article/pii/S0043164815003749"/>
    <hyperlink ref="Z98" r:id="rId76" display="https://www.sciencedirect.com/science/article/pii/S0043164815003749"/>
    <hyperlink ref="Z99" r:id="rId77" display="https://www.sciencedirect.com/science/article/pii/S0043164815003749"/>
    <hyperlink ref="Z100" r:id="rId78" display="https://www.sciencedirect.com/science/article/pii/S0043164815003749"/>
    <hyperlink ref="Z101" r:id="rId79" display="https://www.sciencedirect.com/science/article/pii/S0043164815003749"/>
    <hyperlink ref="Z102" r:id="rId80" display="https://www.sciencedirect.com/science/article/pii/S0043164815003749"/>
    <hyperlink ref="Z103" r:id="rId81" display="https://www.sciencedirect.com/science/article/pii/S0043164815003749"/>
    <hyperlink ref="Z104" r:id="rId82" display="https://www.sciencedirect.com/science/article/pii/S0043164815003749"/>
    <hyperlink ref="Z105" r:id="rId83" display="https://www.sciencedirect.com/science/article/pii/S0043164815003749"/>
    <hyperlink ref="Z106" r:id="rId84" display="https://www.sciencedirect.com/science/article/pii/S0043164815003749"/>
    <hyperlink ref="Z107" r:id="rId85" display="https://www.sciencedirect.com/science/article/pii/S0043164815003749"/>
    <hyperlink ref="Z108" r:id="rId86" display="https://www.sciencedirect.com/science/article/pii/S0043164815003749"/>
    <hyperlink ref="Z109" r:id="rId87" display="https://www.sciencedirect.com/science/article/pii/S0043164815003749"/>
    <hyperlink ref="Z110" r:id="rId88" display="https://www.sciencedirect.com/science/article/pii/S0043164815003749"/>
    <hyperlink ref="Z111" r:id="rId89" display="https://www.sciencedirect.com/science/article/pii/S0043164815003749"/>
    <hyperlink ref="Z112" r:id="rId90" display="https://www.sciencedirect.com/science/article/pii/S0043164815003749"/>
    <hyperlink ref="Z113" r:id="rId91" display="https://www.sciencedirect.com/science/article/pii/S0043164815003749"/>
    <hyperlink ref="Z114" r:id="rId92" display="https://www.sciencedirect.com/science/article/pii/S0043164815003749"/>
    <hyperlink ref="Z122" r:id="rId93" display="https://www.sciencedirect.com/science/article/pii/S0043164814003627"/>
    <hyperlink ref="Z123" r:id="rId94" display="https://www.sciencedirect.com/science/article/pii/S0043164814003627"/>
    <hyperlink ref="Z124" r:id="rId95" display="https://www.sciencedirect.com/science/article/pii/S0043164814003627"/>
    <hyperlink ref="Z125" r:id="rId96" display="https://www.sciencedirect.com/science/article/pii/S0043164814003627"/>
    <hyperlink ref="Z126" r:id="rId97" display="https://www.sciencedirect.com/science/article/pii/S0043164814003627"/>
    <hyperlink ref="Z164" r:id="rId98" display="https://www.sciencedirect.com/science/article/pii/S0043164809003986"/>
    <hyperlink ref="Z165" r:id="rId99" display="https://www.sciencedirect.com/science/article/pii/S0043164809003986"/>
    <hyperlink ref="Z166" r:id="rId100" display="https://www.sciencedirect.com/science/article/pii/S0043164809003986"/>
    <hyperlink ref="Z167" r:id="rId101" display="https://www.sciencedirect.com/science/article/pii/S0043164809003986"/>
    <hyperlink ref="Z168" r:id="rId102" display="https://www.sciencedirect.com/science/article/pii/S0043164809003986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legacyDrawing r:id="rId10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74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J85" activeCellId="0" sqref="J85"/>
    </sheetView>
  </sheetViews>
  <sheetFormatPr defaultColWidth="12.625" defaultRowHeight="12.8" zeroHeight="false" outlineLevelRow="0" outlineLevelCol="0"/>
  <cols>
    <col collapsed="false" customWidth="true" hidden="false" outlineLevel="0" max="1" min="1" style="1" width="4.6"/>
    <col collapsed="false" customWidth="true" hidden="false" outlineLevel="0" max="2" min="2" style="1" width="11.52"/>
    <col collapsed="false" customWidth="true" hidden="false" outlineLevel="0" max="12" min="3" style="1" width="17.18"/>
    <col collapsed="false" customWidth="true" hidden="false" outlineLevel="0" max="14" min="13" style="1" width="15.15"/>
    <col collapsed="false" customWidth="true" hidden="false" outlineLevel="0" max="21" min="15" style="1" width="12.37"/>
    <col collapsed="false" customWidth="true" hidden="false" outlineLevel="0" max="22" min="22" style="1" width="19.46"/>
    <col collapsed="false" customWidth="true" hidden="false" outlineLevel="0" max="23" min="23" style="1" width="15.95"/>
    <col collapsed="false" customWidth="true" hidden="false" outlineLevel="0" max="24" min="24" style="1" width="12.78"/>
    <col collapsed="false" customWidth="true" hidden="false" outlineLevel="0" max="27" min="25" style="1" width="13.46"/>
    <col collapsed="false" customWidth="true" hidden="false" outlineLevel="0" max="31" min="28" style="1" width="11.52"/>
    <col collapsed="false" customWidth="true" hidden="false" outlineLevel="0" max="32" min="32" style="1" width="17.18"/>
    <col collapsed="false" customWidth="true" hidden="false" outlineLevel="0" max="33" min="33" style="1" width="15.95"/>
    <col collapsed="false" customWidth="true" hidden="false" outlineLevel="0" max="35" min="34" style="1" width="10.6"/>
    <col collapsed="false" customWidth="true" hidden="false" outlineLevel="0" max="36" min="36" style="1" width="11.81"/>
    <col collapsed="false" customWidth="true" hidden="false" outlineLevel="0" max="37" min="37" style="1" width="10.6"/>
    <col collapsed="false" customWidth="true" hidden="false" outlineLevel="0" max="38" min="38" style="2" width="10.6"/>
    <col collapsed="false" customWidth="true" hidden="false" outlineLevel="0" max="42" min="39" style="2" width="9.72"/>
    <col collapsed="false" customWidth="true" hidden="false" outlineLevel="0" max="46" min="43" style="2" width="11.24"/>
    <col collapsed="false" customWidth="true" hidden="false" outlineLevel="0" max="47" min="47" style="2" width="12.5"/>
    <col collapsed="false" customWidth="true" hidden="false" outlineLevel="0" max="48" min="48" style="2" width="14.59"/>
    <col collapsed="false" customWidth="true" hidden="false" outlineLevel="0" max="49" min="49" style="2" width="11.52"/>
    <col collapsed="false" customWidth="true" hidden="false" outlineLevel="0" max="54" min="50" style="2" width="11.64"/>
    <col collapsed="false" customWidth="true" hidden="false" outlineLevel="0" max="55" min="55" style="2" width="11.98"/>
    <col collapsed="false" customWidth="true" hidden="false" outlineLevel="0" max="58" min="56" style="0" width="11.98"/>
    <col collapsed="false" customWidth="true" hidden="false" outlineLevel="0" max="1024" min="1016" style="0" width="11.52"/>
  </cols>
  <sheetData>
    <row r="1" s="4" customFormat="true" ht="12.8" hidden="false" customHeight="false" outlineLevel="0" collapsed="false">
      <c r="A1" s="3"/>
      <c r="B1" s="3" t="n">
        <v>1</v>
      </c>
      <c r="C1" s="3"/>
      <c r="D1" s="3" t="n">
        <v>2</v>
      </c>
      <c r="E1" s="3" t="n">
        <v>3</v>
      </c>
      <c r="F1" s="3" t="n">
        <v>4</v>
      </c>
      <c r="G1" s="3" t="n">
        <v>5</v>
      </c>
      <c r="H1" s="3"/>
      <c r="I1" s="3"/>
      <c r="J1" s="3" t="n">
        <v>6</v>
      </c>
      <c r="K1" s="3"/>
      <c r="L1" s="3" t="n">
        <v>7</v>
      </c>
      <c r="M1" s="3"/>
      <c r="N1" s="3"/>
      <c r="O1" s="3"/>
      <c r="P1" s="3"/>
      <c r="Q1" s="3"/>
      <c r="R1" s="3"/>
      <c r="S1" s="3"/>
      <c r="T1" s="3"/>
      <c r="U1" s="3" t="n">
        <v>8</v>
      </c>
      <c r="V1" s="3"/>
      <c r="W1" s="3"/>
      <c r="X1" s="3"/>
      <c r="Y1" s="3"/>
      <c r="Z1" s="3"/>
      <c r="AA1" s="3"/>
      <c r="AB1" s="3"/>
      <c r="AC1" s="3"/>
      <c r="AD1" s="3"/>
      <c r="AE1" s="3"/>
      <c r="AF1" s="0"/>
      <c r="AG1" s="3"/>
      <c r="AH1" s="3"/>
      <c r="AI1" s="3"/>
      <c r="AJ1" s="3"/>
      <c r="AK1" s="3"/>
      <c r="AL1" s="3"/>
      <c r="AM1" s="3" t="n">
        <v>1</v>
      </c>
      <c r="AN1" s="3" t="n">
        <v>2</v>
      </c>
      <c r="AO1" s="3" t="n">
        <v>3</v>
      </c>
      <c r="AP1" s="3" t="n">
        <v>4</v>
      </c>
      <c r="AQ1" s="3" t="n">
        <v>5</v>
      </c>
      <c r="AR1" s="3" t="n">
        <v>6</v>
      </c>
      <c r="AS1" s="3" t="n">
        <v>7</v>
      </c>
      <c r="AT1" s="3" t="n">
        <v>8</v>
      </c>
      <c r="AU1" s="3" t="n">
        <v>9</v>
      </c>
      <c r="AV1" s="3" t="n">
        <v>10</v>
      </c>
      <c r="AW1" s="3" t="n">
        <v>11</v>
      </c>
      <c r="AX1" s="3" t="n">
        <v>12</v>
      </c>
      <c r="AY1" s="3" t="n">
        <v>13</v>
      </c>
      <c r="AZ1" s="3" t="n">
        <v>14</v>
      </c>
      <c r="BA1" s="3" t="n">
        <v>15</v>
      </c>
      <c r="BB1" s="3" t="n">
        <v>16</v>
      </c>
      <c r="BC1" s="3" t="n">
        <v>17</v>
      </c>
      <c r="BD1" s="3" t="n">
        <v>18</v>
      </c>
      <c r="BE1" s="3" t="n">
        <v>19</v>
      </c>
      <c r="BF1" s="3" t="n">
        <v>20</v>
      </c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s="4" customFormat="true" ht="35.05" hidden="false" customHeight="false" outlineLevel="0" collapsed="false">
      <c r="A2" s="5" t="s">
        <v>0</v>
      </c>
      <c r="B2" s="5" t="s">
        <v>1</v>
      </c>
      <c r="C2" s="5" t="s">
        <v>2</v>
      </c>
      <c r="D2" s="5" t="s">
        <v>3</v>
      </c>
      <c r="E2" s="5" t="s">
        <v>4</v>
      </c>
      <c r="F2" s="5" t="s">
        <v>104</v>
      </c>
      <c r="G2" s="5" t="s">
        <v>31</v>
      </c>
      <c r="H2" s="5" t="s">
        <v>105</v>
      </c>
      <c r="I2" s="5" t="s">
        <v>8</v>
      </c>
      <c r="J2" s="5" t="s">
        <v>9</v>
      </c>
      <c r="K2" s="5" t="s">
        <v>10</v>
      </c>
      <c r="L2" s="5" t="s">
        <v>11</v>
      </c>
      <c r="M2" s="5" t="s">
        <v>12</v>
      </c>
      <c r="N2" s="5" t="s">
        <v>13</v>
      </c>
      <c r="O2" s="5" t="s">
        <v>106</v>
      </c>
      <c r="P2" s="5" t="s">
        <v>14</v>
      </c>
      <c r="Q2" s="5" t="s">
        <v>15</v>
      </c>
      <c r="R2" s="5" t="s">
        <v>16</v>
      </c>
      <c r="S2" s="5" t="s">
        <v>17</v>
      </c>
      <c r="T2" s="5" t="s">
        <v>18</v>
      </c>
      <c r="U2" s="5" t="s">
        <v>19</v>
      </c>
      <c r="V2" s="5" t="s">
        <v>20</v>
      </c>
      <c r="W2" s="5" t="s">
        <v>107</v>
      </c>
      <c r="X2" s="5" t="s">
        <v>108</v>
      </c>
      <c r="Y2" s="5" t="s">
        <v>21</v>
      </c>
      <c r="Z2" s="5" t="s">
        <v>22</v>
      </c>
      <c r="AA2" s="5" t="s">
        <v>23</v>
      </c>
      <c r="AB2" s="5"/>
      <c r="AC2" s="6" t="s">
        <v>24</v>
      </c>
      <c r="AD2" s="5" t="s">
        <v>25</v>
      </c>
      <c r="AE2" s="5" t="s">
        <v>26</v>
      </c>
      <c r="AF2" s="0"/>
      <c r="AG2" s="0"/>
      <c r="AH2" s="5" t="s">
        <v>27</v>
      </c>
      <c r="AI2" s="5" t="s">
        <v>28</v>
      </c>
      <c r="AJ2" s="5" t="s">
        <v>29</v>
      </c>
      <c r="AK2" s="5"/>
      <c r="AL2" s="19" t="s">
        <v>30</v>
      </c>
      <c r="AM2" s="7" t="s">
        <v>1</v>
      </c>
      <c r="AN2" s="8" t="s">
        <v>2</v>
      </c>
      <c r="AO2" s="8" t="s">
        <v>3</v>
      </c>
      <c r="AP2" s="7" t="s">
        <v>4</v>
      </c>
      <c r="AQ2" s="7" t="s">
        <v>31</v>
      </c>
      <c r="AR2" s="8" t="s">
        <v>32</v>
      </c>
      <c r="AS2" s="8" t="s">
        <v>33</v>
      </c>
      <c r="AT2" s="8" t="s">
        <v>34</v>
      </c>
      <c r="AU2" s="8" t="s">
        <v>35</v>
      </c>
      <c r="AV2" s="8" t="s">
        <v>36</v>
      </c>
      <c r="AW2" s="8" t="s">
        <v>37</v>
      </c>
      <c r="AX2" s="8" t="s">
        <v>38</v>
      </c>
      <c r="AY2" s="8" t="s">
        <v>39</v>
      </c>
      <c r="AZ2" s="8" t="s">
        <v>40</v>
      </c>
      <c r="BA2" s="8" t="s">
        <v>41</v>
      </c>
      <c r="BB2" s="8" t="s">
        <v>42</v>
      </c>
      <c r="BC2" s="8" t="s">
        <v>43</v>
      </c>
      <c r="BD2" s="8" t="s">
        <v>44</v>
      </c>
      <c r="BE2" s="9" t="s">
        <v>45</v>
      </c>
      <c r="BF2" s="9" t="s">
        <v>46</v>
      </c>
      <c r="BG2" s="10" t="s">
        <v>47</v>
      </c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2.8" hidden="false" customHeight="false" outlineLevel="0" collapsed="false">
      <c r="A3" s="15" t="n">
        <v>1</v>
      </c>
      <c r="B3" s="34" t="s">
        <v>109</v>
      </c>
      <c r="C3" s="34" t="s">
        <v>49</v>
      </c>
      <c r="D3" s="34" t="s">
        <v>50</v>
      </c>
      <c r="E3" s="34" t="n">
        <v>90</v>
      </c>
      <c r="F3" s="35" t="n">
        <f aca="false">0.0508*1000</f>
        <v>50.8</v>
      </c>
      <c r="G3" s="34" t="n">
        <v>1.5</v>
      </c>
      <c r="H3" s="36" t="n">
        <f aca="false">56*0.3048</f>
        <v>17.0688</v>
      </c>
      <c r="I3" s="35" t="s">
        <v>110</v>
      </c>
      <c r="J3" s="33" t="n">
        <v>1.922</v>
      </c>
      <c r="K3" s="34" t="n">
        <v>7850</v>
      </c>
      <c r="L3" s="34" t="n">
        <v>222</v>
      </c>
      <c r="M3" s="37" t="n">
        <v>1.8E-005</v>
      </c>
      <c r="N3" s="34" t="n">
        <v>1.225</v>
      </c>
      <c r="O3" s="34" t="n">
        <v>0</v>
      </c>
      <c r="P3" s="34" t="n">
        <v>0</v>
      </c>
      <c r="Q3" s="34" t="n">
        <v>0</v>
      </c>
      <c r="R3" s="34" t="n">
        <v>0</v>
      </c>
      <c r="S3" s="36" t="n">
        <f aca="false">(N3*L3+P3*R3)/(L3+P3)</f>
        <v>1.225</v>
      </c>
      <c r="T3" s="38" t="n">
        <f aca="false">(M3*L3+P3*Q3*0.1)/(L3+P3)</f>
        <v>1.8E-005</v>
      </c>
      <c r="U3" s="39" t="n">
        <v>550</v>
      </c>
      <c r="V3" s="34" t="n">
        <v>2650</v>
      </c>
      <c r="W3" s="40" t="n">
        <f aca="false">0.000114*V3</f>
        <v>0.3021</v>
      </c>
      <c r="X3" s="41" t="n">
        <f aca="false">Y3-BB3</f>
        <v>0</v>
      </c>
      <c r="Y3" s="42" t="n">
        <v>0.000253293796176386</v>
      </c>
      <c r="Z3" s="15" t="n">
        <v>1</v>
      </c>
      <c r="AA3" s="43" t="n">
        <v>0.232</v>
      </c>
      <c r="AB3" s="44"/>
      <c r="AC3" s="45" t="s">
        <v>111</v>
      </c>
      <c r="AD3" s="0"/>
      <c r="AE3" s="32" t="s">
        <v>112</v>
      </c>
      <c r="AF3" s="15"/>
      <c r="AG3" s="46"/>
      <c r="AH3" s="46" t="n">
        <f aca="false">MAX(L3,P3)</f>
        <v>222</v>
      </c>
      <c r="AI3" s="41" t="n">
        <f aca="false">MAX(M3,Q3)</f>
        <v>1.8E-005</v>
      </c>
      <c r="AJ3" s="47" t="n">
        <f aca="false">MAX(N3,R3)</f>
        <v>1.225</v>
      </c>
      <c r="AK3" s="47"/>
      <c r="AL3" s="19" t="n">
        <v>1</v>
      </c>
      <c r="AM3" s="20" t="str">
        <f aca="false">B3</f>
        <v>Elbow</v>
      </c>
      <c r="AN3" s="20" t="str">
        <f aca="false">C3</f>
        <v>Gas-solid</v>
      </c>
      <c r="AO3" s="20" t="str">
        <f aca="false">D3</f>
        <v>H-V</v>
      </c>
      <c r="AP3" s="20" t="n">
        <f aca="false">E3</f>
        <v>90</v>
      </c>
      <c r="AQ3" s="48" t="n">
        <f aca="false">G3</f>
        <v>1.5</v>
      </c>
      <c r="AR3" s="23" t="n">
        <f aca="false">H3/(F3/1000)</f>
        <v>336</v>
      </c>
      <c r="AS3" s="22" t="n">
        <v>1E-006</v>
      </c>
      <c r="AT3" s="23" t="n">
        <f aca="false">AH3/SQRT(9.81*(F3/1000))</f>
        <v>314.475353959912</v>
      </c>
      <c r="AU3" s="23" t="n">
        <f aca="false">(AH3*AJ3*(F3/1000))/AI3</f>
        <v>767503.333333334</v>
      </c>
      <c r="AV3" s="23" t="n">
        <f aca="false">((U3/10^6)^3*AJ3*(V3-AJ3)*9.81)/AI3^2</f>
        <v>16345.3123116537</v>
      </c>
      <c r="AW3" s="23" t="n">
        <f aca="false">(V3*((U3/10^6)^2)/(18*AI3))*AH3/(F3/1000)</f>
        <v>10812.2357101196</v>
      </c>
      <c r="AX3" s="23" t="n">
        <f aca="false">AJ3*(U3/10^6)*AH3/AI3</f>
        <v>8309.58333333333</v>
      </c>
      <c r="AY3" s="24" t="n">
        <f aca="false">(U3/10^6)/(F3/1000)</f>
        <v>0.0108267716535433</v>
      </c>
      <c r="AZ3" s="23" t="n">
        <f aca="false">AJ3/V3</f>
        <v>0.000462264150943396</v>
      </c>
      <c r="BA3" s="24" t="n">
        <f aca="false">(J3*10^9)/(K3*AH3^2)</f>
        <v>4.96795642259578</v>
      </c>
      <c r="BB3" s="23" t="n">
        <f aca="false">Y3</f>
        <v>0.000253293796176386</v>
      </c>
      <c r="BC3" s="23" t="n">
        <f aca="false">MAX(Z3,1)</f>
        <v>1</v>
      </c>
      <c r="BD3" s="23" t="n">
        <f aca="false">AA3</f>
        <v>0.232</v>
      </c>
      <c r="BE3" s="23" t="n">
        <f aca="false">0.8*BD3</f>
        <v>0.1856</v>
      </c>
      <c r="BF3" s="23" t="n">
        <f aca="false">BD3*1.2</f>
        <v>0.2784</v>
      </c>
      <c r="BG3" s="0" t="str">
        <f aca="false">AC3</f>
        <v>Bourgoyne (1989)</v>
      </c>
    </row>
    <row r="4" customFormat="false" ht="12.8" hidden="false" customHeight="false" outlineLevel="0" collapsed="false">
      <c r="A4" s="15" t="n">
        <v>2</v>
      </c>
      <c r="B4" s="34" t="s">
        <v>109</v>
      </c>
      <c r="C4" s="34" t="s">
        <v>49</v>
      </c>
      <c r="D4" s="34" t="s">
        <v>50</v>
      </c>
      <c r="E4" s="34" t="n">
        <v>90</v>
      </c>
      <c r="F4" s="35" t="n">
        <f aca="false">0.0508*1000</f>
        <v>50.8</v>
      </c>
      <c r="G4" s="34" t="n">
        <v>1.5</v>
      </c>
      <c r="H4" s="36" t="n">
        <f aca="false">56*0.3048</f>
        <v>17.0688</v>
      </c>
      <c r="I4" s="34" t="s">
        <v>110</v>
      </c>
      <c r="J4" s="33" t="n">
        <v>1.922</v>
      </c>
      <c r="K4" s="34" t="n">
        <v>7850</v>
      </c>
      <c r="L4" s="34" t="n">
        <v>205</v>
      </c>
      <c r="M4" s="37" t="n">
        <v>1.8E-005</v>
      </c>
      <c r="N4" s="34" t="n">
        <v>1.225</v>
      </c>
      <c r="O4" s="34" t="n">
        <v>0</v>
      </c>
      <c r="P4" s="34" t="n">
        <v>0</v>
      </c>
      <c r="Q4" s="34" t="n">
        <v>0</v>
      </c>
      <c r="R4" s="34" t="n">
        <v>0</v>
      </c>
      <c r="S4" s="36" t="n">
        <f aca="false">(N4*L4+P4*R4)/(L4+P4)</f>
        <v>1.225</v>
      </c>
      <c r="T4" s="38" t="n">
        <f aca="false">(M4*L4+P4*Q4*0.1)/(L4+P4)</f>
        <v>1.8E-005</v>
      </c>
      <c r="U4" s="34" t="n">
        <v>550</v>
      </c>
      <c r="V4" s="34" t="n">
        <v>2650</v>
      </c>
      <c r="W4" s="40" t="n">
        <f aca="false">0.000144*V4</f>
        <v>0.3816</v>
      </c>
      <c r="X4" s="41" t="n">
        <f aca="false">Y4-BB4</f>
        <v>0</v>
      </c>
      <c r="Y4" s="42" t="n">
        <v>0.000346450216942004</v>
      </c>
      <c r="Z4" s="15" t="n">
        <v>1</v>
      </c>
      <c r="AA4" s="43" t="n">
        <v>0.209</v>
      </c>
      <c r="AB4" s="44"/>
      <c r="AC4" s="45" t="s">
        <v>111</v>
      </c>
      <c r="AD4" s="0"/>
      <c r="AE4" s="32" t="s">
        <v>112</v>
      </c>
      <c r="AF4" s="15"/>
      <c r="AG4" s="0"/>
      <c r="AH4" s="46" t="n">
        <f aca="false">MAX(L4,P4)</f>
        <v>205</v>
      </c>
      <c r="AI4" s="41" t="n">
        <f aca="false">MAX(M4,Q4)</f>
        <v>1.8E-005</v>
      </c>
      <c r="AJ4" s="47" t="n">
        <f aca="false">MAX(N4,R4)</f>
        <v>1.225</v>
      </c>
      <c r="AK4" s="47"/>
      <c r="AL4" s="19" t="n">
        <v>2</v>
      </c>
      <c r="AM4" s="20" t="str">
        <f aca="false">B4</f>
        <v>Elbow</v>
      </c>
      <c r="AN4" s="20" t="str">
        <f aca="false">C4</f>
        <v>Gas-solid</v>
      </c>
      <c r="AO4" s="20" t="str">
        <f aca="false">D4</f>
        <v>H-V</v>
      </c>
      <c r="AP4" s="20" t="n">
        <f aca="false">E4</f>
        <v>90</v>
      </c>
      <c r="AQ4" s="48" t="n">
        <f aca="false">G4</f>
        <v>1.5</v>
      </c>
      <c r="AR4" s="23" t="n">
        <f aca="false">H4/(F4/1000)</f>
        <v>336</v>
      </c>
      <c r="AS4" s="22" t="n">
        <v>1E-006</v>
      </c>
      <c r="AT4" s="23" t="n">
        <f aca="false">AH4/SQRT(9.81*(F4/1000))</f>
        <v>290.393907935955</v>
      </c>
      <c r="AU4" s="23" t="n">
        <f aca="false">(AH4*AJ4*(F4/1000))/AI4</f>
        <v>708730.555555556</v>
      </c>
      <c r="AV4" s="23" t="n">
        <f aca="false">((U4/10^6)^3*AJ4*(V4-AJ4)*9.81)/AI4^2</f>
        <v>16345.3123116537</v>
      </c>
      <c r="AW4" s="23" t="n">
        <f aca="false">(V4*((U4/10^6)^2)/(18*AI4))*AH4/(F4/1000)</f>
        <v>9984.2717142996</v>
      </c>
      <c r="AX4" s="23" t="n">
        <f aca="false">AJ4*(U4/10^6)*AH4/AI4</f>
        <v>7673.26388888889</v>
      </c>
      <c r="AY4" s="24" t="n">
        <f aca="false">(U4/10^6)/(F4/1000)</f>
        <v>0.0108267716535433</v>
      </c>
      <c r="AZ4" s="23" t="n">
        <f aca="false">AJ4/V4</f>
        <v>0.000462264150943396</v>
      </c>
      <c r="BA4" s="24" t="n">
        <f aca="false">(J4*10^9)/(K4*AH4^2)</f>
        <v>5.82607410663201</v>
      </c>
      <c r="BB4" s="23" t="n">
        <f aca="false">Y4</f>
        <v>0.000346450216942004</v>
      </c>
      <c r="BC4" s="23" t="n">
        <f aca="false">MAX(Z4,1)</f>
        <v>1</v>
      </c>
      <c r="BD4" s="23" t="n">
        <f aca="false">AA4</f>
        <v>0.209</v>
      </c>
      <c r="BE4" s="23" t="n">
        <f aca="false">0.8*BD4</f>
        <v>0.1672</v>
      </c>
      <c r="BF4" s="23" t="n">
        <f aca="false">BD4*1.2</f>
        <v>0.2508</v>
      </c>
      <c r="BG4" s="0" t="str">
        <f aca="false">AC4</f>
        <v>Bourgoyne (1989)</v>
      </c>
    </row>
    <row r="5" customFormat="false" ht="12.8" hidden="false" customHeight="false" outlineLevel="0" collapsed="false">
      <c r="A5" s="15" t="n">
        <v>3</v>
      </c>
      <c r="B5" s="34" t="s">
        <v>109</v>
      </c>
      <c r="C5" s="34" t="s">
        <v>49</v>
      </c>
      <c r="D5" s="34" t="s">
        <v>50</v>
      </c>
      <c r="E5" s="34" t="n">
        <v>90</v>
      </c>
      <c r="F5" s="35" t="n">
        <f aca="false">0.0508*1000</f>
        <v>50.8</v>
      </c>
      <c r="G5" s="34" t="n">
        <v>1.5</v>
      </c>
      <c r="H5" s="36" t="n">
        <f aca="false">56*0.3048</f>
        <v>17.0688</v>
      </c>
      <c r="I5" s="34" t="s">
        <v>110</v>
      </c>
      <c r="J5" s="33" t="n">
        <v>1.922</v>
      </c>
      <c r="K5" s="34" t="n">
        <v>7850</v>
      </c>
      <c r="L5" s="34" t="n">
        <v>203</v>
      </c>
      <c r="M5" s="37" t="n">
        <v>1.8E-005</v>
      </c>
      <c r="N5" s="34" t="n">
        <v>1.225</v>
      </c>
      <c r="O5" s="34" t="n">
        <v>0</v>
      </c>
      <c r="P5" s="34" t="n">
        <v>0</v>
      </c>
      <c r="Q5" s="34" t="n">
        <v>0</v>
      </c>
      <c r="R5" s="34" t="n">
        <v>0</v>
      </c>
      <c r="S5" s="36" t="n">
        <f aca="false">(N5*L5+P5*R5)/(L5+P5)</f>
        <v>1.225</v>
      </c>
      <c r="T5" s="38" t="n">
        <f aca="false">(M5*L5+P5*Q5*0.1)/(L5+P5)</f>
        <v>1.8E-005</v>
      </c>
      <c r="U5" s="34" t="n">
        <v>550</v>
      </c>
      <c r="V5" s="34" t="n">
        <v>2650</v>
      </c>
      <c r="W5" s="40" t="n">
        <f aca="false">0.000112*V5</f>
        <v>0.2968</v>
      </c>
      <c r="X5" s="41" t="n">
        <f aca="false">Y5-BB5</f>
        <v>0</v>
      </c>
      <c r="Y5" s="42" t="n">
        <v>0.000272136299797688</v>
      </c>
      <c r="Z5" s="15" t="n">
        <v>1</v>
      </c>
      <c r="AA5" s="43" t="n">
        <v>0.262</v>
      </c>
      <c r="AB5" s="44"/>
      <c r="AC5" s="45" t="s">
        <v>111</v>
      </c>
      <c r="AD5" s="0"/>
      <c r="AE5" s="32" t="s">
        <v>112</v>
      </c>
      <c r="AF5" s="15"/>
      <c r="AG5" s="0"/>
      <c r="AH5" s="46" t="n">
        <f aca="false">MAX(L5,P5)</f>
        <v>203</v>
      </c>
      <c r="AI5" s="41" t="n">
        <f aca="false">MAX(M5,Q5)</f>
        <v>1.8E-005</v>
      </c>
      <c r="AJ5" s="47" t="n">
        <f aca="false">MAX(N5,R5)</f>
        <v>1.225</v>
      </c>
      <c r="AK5" s="47"/>
      <c r="AL5" s="19" t="n">
        <v>3</v>
      </c>
      <c r="AM5" s="20" t="str">
        <f aca="false">B5</f>
        <v>Elbow</v>
      </c>
      <c r="AN5" s="20" t="str">
        <f aca="false">C5</f>
        <v>Gas-solid</v>
      </c>
      <c r="AO5" s="20" t="str">
        <f aca="false">D5</f>
        <v>H-V</v>
      </c>
      <c r="AP5" s="20" t="n">
        <f aca="false">E5</f>
        <v>90</v>
      </c>
      <c r="AQ5" s="48" t="n">
        <f aca="false">G5</f>
        <v>1.5</v>
      </c>
      <c r="AR5" s="23" t="n">
        <f aca="false">H5/(F5/1000)</f>
        <v>336</v>
      </c>
      <c r="AS5" s="22" t="n">
        <v>1E-006</v>
      </c>
      <c r="AT5" s="23" t="n">
        <f aca="false">AH5/SQRT(9.81*(F5/1000))</f>
        <v>287.560796639019</v>
      </c>
      <c r="AU5" s="23" t="n">
        <f aca="false">(AH5*AJ5*(F5/1000))/AI5</f>
        <v>701816.111111111</v>
      </c>
      <c r="AV5" s="23" t="n">
        <f aca="false">((U5/10^6)^3*AJ5*(V5-AJ5)*9.81)/AI5^2</f>
        <v>16345.3123116537</v>
      </c>
      <c r="AW5" s="23" t="n">
        <f aca="false">(V5*((U5/10^6)^2)/(18*AI5))*AH5/(F5/1000)</f>
        <v>9886.86418537961</v>
      </c>
      <c r="AX5" s="23" t="n">
        <f aca="false">AJ5*(U5/10^6)*AH5/AI5</f>
        <v>7598.40277777778</v>
      </c>
      <c r="AY5" s="24" t="n">
        <f aca="false">(U5/10^6)/(F5/1000)</f>
        <v>0.0108267716535433</v>
      </c>
      <c r="AZ5" s="23" t="n">
        <f aca="false">AJ5/V5</f>
        <v>0.000462264150943396</v>
      </c>
      <c r="BA5" s="24" t="n">
        <f aca="false">(J5*10^9)/(K5*AH5^2)</f>
        <v>5.94143911114587</v>
      </c>
      <c r="BB5" s="23" t="n">
        <f aca="false">Y5</f>
        <v>0.000272136299797688</v>
      </c>
      <c r="BC5" s="23" t="n">
        <f aca="false">MAX(Z5,1)</f>
        <v>1</v>
      </c>
      <c r="BD5" s="23" t="n">
        <f aca="false">AA5</f>
        <v>0.262</v>
      </c>
      <c r="BE5" s="23" t="n">
        <f aca="false">0.8*BD5</f>
        <v>0.2096</v>
      </c>
      <c r="BF5" s="23" t="n">
        <f aca="false">BD5*1.2</f>
        <v>0.3144</v>
      </c>
      <c r="BG5" s="0" t="str">
        <f aca="false">AC5</f>
        <v>Bourgoyne (1989)</v>
      </c>
    </row>
    <row r="6" customFormat="false" ht="12.8" hidden="false" customHeight="false" outlineLevel="0" collapsed="false">
      <c r="A6" s="15" t="n">
        <v>4</v>
      </c>
      <c r="B6" s="34" t="s">
        <v>109</v>
      </c>
      <c r="C6" s="34" t="s">
        <v>49</v>
      </c>
      <c r="D6" s="34" t="s">
        <v>50</v>
      </c>
      <c r="E6" s="34" t="n">
        <v>90</v>
      </c>
      <c r="F6" s="35" t="n">
        <f aca="false">0.0508*1000</f>
        <v>50.8</v>
      </c>
      <c r="G6" s="34" t="n">
        <v>1.5</v>
      </c>
      <c r="H6" s="36" t="n">
        <f aca="false">56*0.3048</f>
        <v>17.0688</v>
      </c>
      <c r="I6" s="34" t="s">
        <v>110</v>
      </c>
      <c r="J6" s="33" t="n">
        <v>1.922</v>
      </c>
      <c r="K6" s="34" t="n">
        <v>7850</v>
      </c>
      <c r="L6" s="34" t="n">
        <v>178</v>
      </c>
      <c r="M6" s="37" t="n">
        <v>1.8E-005</v>
      </c>
      <c r="N6" s="34" t="n">
        <v>1.225</v>
      </c>
      <c r="O6" s="34" t="n">
        <v>0</v>
      </c>
      <c r="P6" s="34" t="n">
        <v>0</v>
      </c>
      <c r="Q6" s="34" t="n">
        <v>0</v>
      </c>
      <c r="R6" s="34" t="n">
        <v>0</v>
      </c>
      <c r="S6" s="36" t="n">
        <f aca="false">(N6*L6+P6*R6)/(L6+P6)</f>
        <v>1.225</v>
      </c>
      <c r="T6" s="38" t="n">
        <f aca="false">(M6*L6+P6*Q6*0.1)/(L6+P6)</f>
        <v>1.8E-005</v>
      </c>
      <c r="U6" s="34" t="n">
        <v>550</v>
      </c>
      <c r="V6" s="34" t="n">
        <v>2650</v>
      </c>
      <c r="W6" s="40" t="n">
        <f aca="false">0.000109*V6</f>
        <v>0.28885</v>
      </c>
      <c r="X6" s="41" t="n">
        <f aca="false">Y6-BB6</f>
        <v>0</v>
      </c>
      <c r="Y6" s="42" t="n">
        <v>0.000302035504452386</v>
      </c>
      <c r="Z6" s="15" t="n">
        <v>1</v>
      </c>
      <c r="AA6" s="43" t="n">
        <v>0.226</v>
      </c>
      <c r="AB6" s="44"/>
      <c r="AC6" s="45" t="s">
        <v>111</v>
      </c>
      <c r="AD6" s="0"/>
      <c r="AE6" s="32" t="s">
        <v>112</v>
      </c>
      <c r="AF6" s="15"/>
      <c r="AG6" s="0"/>
      <c r="AH6" s="46" t="n">
        <f aca="false">MAX(L6,P6)</f>
        <v>178</v>
      </c>
      <c r="AI6" s="41" t="n">
        <f aca="false">MAX(M6,Q6)</f>
        <v>1.8E-005</v>
      </c>
      <c r="AJ6" s="47" t="n">
        <f aca="false">MAX(N6,R6)</f>
        <v>1.225</v>
      </c>
      <c r="AK6" s="47"/>
      <c r="AL6" s="19" t="n">
        <v>4</v>
      </c>
      <c r="AM6" s="20" t="str">
        <f aca="false">B6</f>
        <v>Elbow</v>
      </c>
      <c r="AN6" s="20" t="str">
        <f aca="false">C6</f>
        <v>Gas-solid</v>
      </c>
      <c r="AO6" s="20" t="str">
        <f aca="false">D6</f>
        <v>H-V</v>
      </c>
      <c r="AP6" s="20" t="n">
        <f aca="false">E6</f>
        <v>90</v>
      </c>
      <c r="AQ6" s="48" t="n">
        <f aca="false">G6</f>
        <v>1.5</v>
      </c>
      <c r="AR6" s="23" t="n">
        <f aca="false">H6/(F6/1000)</f>
        <v>336</v>
      </c>
      <c r="AS6" s="22" t="n">
        <v>1E-006</v>
      </c>
      <c r="AT6" s="23" t="n">
        <f aca="false">AH6/SQRT(9.81*(F6/1000))</f>
        <v>252.146905427317</v>
      </c>
      <c r="AU6" s="23" t="n">
        <f aca="false">(AH6*AJ6*(F6/1000))/AI6</f>
        <v>615385.555555556</v>
      </c>
      <c r="AV6" s="23" t="n">
        <f aca="false">((U6/10^6)^3*AJ6*(V6-AJ6)*9.81)/AI6^2</f>
        <v>16345.3123116537</v>
      </c>
      <c r="AW6" s="23" t="n">
        <f aca="false">(V6*((U6/10^6)^2)/(18*AI6))*AH6/(F6/1000)</f>
        <v>8669.27007387965</v>
      </c>
      <c r="AX6" s="23" t="n">
        <f aca="false">AJ6*(U6/10^6)*AH6/AI6</f>
        <v>6662.63888888889</v>
      </c>
      <c r="AY6" s="24" t="n">
        <f aca="false">(U6/10^6)/(F6/1000)</f>
        <v>0.0108267716535433</v>
      </c>
      <c r="AZ6" s="23" t="n">
        <f aca="false">AJ6/V6</f>
        <v>0.000462264150943396</v>
      </c>
      <c r="BA6" s="24" t="n">
        <f aca="false">(J6*10^9)/(K6*AH6^2)</f>
        <v>7.72758377512973</v>
      </c>
      <c r="BB6" s="23" t="n">
        <f aca="false">Y6</f>
        <v>0.000302035504452386</v>
      </c>
      <c r="BC6" s="23" t="n">
        <f aca="false">MAX(Z6,1)</f>
        <v>1</v>
      </c>
      <c r="BD6" s="23" t="n">
        <f aca="false">AA6</f>
        <v>0.226</v>
      </c>
      <c r="BE6" s="23" t="n">
        <f aca="false">0.8*BD6</f>
        <v>0.1808</v>
      </c>
      <c r="BF6" s="23" t="n">
        <f aca="false">BD6*1.2</f>
        <v>0.2712</v>
      </c>
      <c r="BG6" s="0" t="str">
        <f aca="false">AC6</f>
        <v>Bourgoyne (1989)</v>
      </c>
    </row>
    <row r="7" customFormat="false" ht="12.8" hidden="false" customHeight="false" outlineLevel="0" collapsed="false">
      <c r="A7" s="15" t="n">
        <v>5</v>
      </c>
      <c r="B7" s="34" t="s">
        <v>109</v>
      </c>
      <c r="C7" s="34" t="s">
        <v>49</v>
      </c>
      <c r="D7" s="34" t="s">
        <v>50</v>
      </c>
      <c r="E7" s="34" t="n">
        <v>90</v>
      </c>
      <c r="F7" s="35" t="n">
        <f aca="false">0.0508*1000</f>
        <v>50.8</v>
      </c>
      <c r="G7" s="34" t="n">
        <v>1.5</v>
      </c>
      <c r="H7" s="36" t="n">
        <f aca="false">56*0.3048</f>
        <v>17.0688</v>
      </c>
      <c r="I7" s="34" t="s">
        <v>110</v>
      </c>
      <c r="J7" s="33" t="n">
        <v>1.922</v>
      </c>
      <c r="K7" s="34" t="n">
        <v>7850</v>
      </c>
      <c r="L7" s="34" t="n">
        <v>177</v>
      </c>
      <c r="M7" s="37" t="n">
        <v>1.8E-005</v>
      </c>
      <c r="N7" s="34" t="n">
        <v>1.225</v>
      </c>
      <c r="O7" s="34" t="n">
        <v>0</v>
      </c>
      <c r="P7" s="34" t="n">
        <v>0</v>
      </c>
      <c r="Q7" s="34" t="n">
        <v>0</v>
      </c>
      <c r="R7" s="34" t="n">
        <v>0</v>
      </c>
      <c r="S7" s="36" t="n">
        <f aca="false">(N7*L7+P7*R7)/(L7+P7)</f>
        <v>1.225</v>
      </c>
      <c r="T7" s="38" t="n">
        <f aca="false">(M7*L7+P7*Q7*0.1)/(L7+P7)</f>
        <v>1.8E-005</v>
      </c>
      <c r="U7" s="34" t="n">
        <v>550</v>
      </c>
      <c r="V7" s="34" t="n">
        <v>2650</v>
      </c>
      <c r="W7" s="40" t="n">
        <f aca="false">0.00011*V7</f>
        <v>0.2915</v>
      </c>
      <c r="X7" s="41" t="n">
        <f aca="false">Y7-BB7</f>
        <v>0</v>
      </c>
      <c r="Y7" s="42" t="n">
        <v>0.000306527165610258</v>
      </c>
      <c r="Z7" s="15" t="n">
        <v>1</v>
      </c>
      <c r="AA7" s="43" t="n">
        <v>0.238</v>
      </c>
      <c r="AB7" s="44"/>
      <c r="AC7" s="45" t="s">
        <v>111</v>
      </c>
      <c r="AD7" s="0"/>
      <c r="AE7" s="32" t="s">
        <v>112</v>
      </c>
      <c r="AF7" s="15"/>
      <c r="AG7" s="0"/>
      <c r="AH7" s="46" t="n">
        <f aca="false">MAX(L7,P7)</f>
        <v>177</v>
      </c>
      <c r="AI7" s="41" t="n">
        <f aca="false">MAX(M7,Q7)</f>
        <v>1.8E-005</v>
      </c>
      <c r="AJ7" s="47" t="n">
        <f aca="false">MAX(N7,R7)</f>
        <v>1.225</v>
      </c>
      <c r="AK7" s="47"/>
      <c r="AL7" s="19" t="n">
        <v>5</v>
      </c>
      <c r="AM7" s="20" t="str">
        <f aca="false">B7</f>
        <v>Elbow</v>
      </c>
      <c r="AN7" s="20" t="str">
        <f aca="false">C7</f>
        <v>Gas-solid</v>
      </c>
      <c r="AO7" s="20" t="str">
        <f aca="false">D7</f>
        <v>H-V</v>
      </c>
      <c r="AP7" s="20" t="n">
        <f aca="false">E7</f>
        <v>90</v>
      </c>
      <c r="AQ7" s="48" t="n">
        <f aca="false">G7</f>
        <v>1.5</v>
      </c>
      <c r="AR7" s="23" t="n">
        <f aca="false">H7/(F7/1000)</f>
        <v>336</v>
      </c>
      <c r="AS7" s="22" t="n">
        <v>1E-006</v>
      </c>
      <c r="AT7" s="23" t="n">
        <f aca="false">AH7/SQRT(9.81*(F7/1000))</f>
        <v>250.730349778849</v>
      </c>
      <c r="AU7" s="23" t="n">
        <f aca="false">(AH7*AJ7*(F7/1000))/AI7</f>
        <v>611928.333333333</v>
      </c>
      <c r="AV7" s="23" t="n">
        <f aca="false">((U7/10^6)^3*AJ7*(V7-AJ7)*9.81)/AI7^2</f>
        <v>16345.3123116537</v>
      </c>
      <c r="AW7" s="23" t="n">
        <f aca="false">(V7*((U7/10^6)^2)/(18*AI7))*AH7/(F7/1000)</f>
        <v>8620.56630941965</v>
      </c>
      <c r="AX7" s="23" t="n">
        <f aca="false">AJ7*(U7/10^6)*AH7/AI7</f>
        <v>6625.20833333333</v>
      </c>
      <c r="AY7" s="24" t="n">
        <f aca="false">(U7/10^6)/(F7/1000)</f>
        <v>0.0108267716535433</v>
      </c>
      <c r="AZ7" s="23" t="n">
        <f aca="false">AJ7/V7</f>
        <v>0.000462264150943396</v>
      </c>
      <c r="BA7" s="24" t="n">
        <f aca="false">(J7*10^9)/(K7*AH7^2)</f>
        <v>7.81514776504868</v>
      </c>
      <c r="BB7" s="23" t="n">
        <f aca="false">Y7</f>
        <v>0.000306527165610258</v>
      </c>
      <c r="BC7" s="23" t="n">
        <f aca="false">MAX(Z7,1)</f>
        <v>1</v>
      </c>
      <c r="BD7" s="23" t="n">
        <f aca="false">AA7</f>
        <v>0.238</v>
      </c>
      <c r="BE7" s="23" t="n">
        <f aca="false">0.8*BD7</f>
        <v>0.1904</v>
      </c>
      <c r="BF7" s="23" t="n">
        <f aca="false">BD7*1.2</f>
        <v>0.2856</v>
      </c>
      <c r="BG7" s="0" t="str">
        <f aca="false">AC7</f>
        <v>Bourgoyne (1989)</v>
      </c>
    </row>
    <row r="8" customFormat="false" ht="12.8" hidden="false" customHeight="false" outlineLevel="0" collapsed="false">
      <c r="A8" s="15" t="n">
        <v>6</v>
      </c>
      <c r="B8" s="34" t="s">
        <v>109</v>
      </c>
      <c r="C8" s="34" t="s">
        <v>49</v>
      </c>
      <c r="D8" s="34" t="s">
        <v>50</v>
      </c>
      <c r="E8" s="34" t="n">
        <v>90</v>
      </c>
      <c r="F8" s="35" t="n">
        <f aca="false">0.0508*1000</f>
        <v>50.8</v>
      </c>
      <c r="G8" s="34" t="n">
        <v>1.5</v>
      </c>
      <c r="H8" s="36" t="n">
        <f aca="false">56*0.3048</f>
        <v>17.0688</v>
      </c>
      <c r="I8" s="34" t="s">
        <v>110</v>
      </c>
      <c r="J8" s="33" t="n">
        <v>1.922</v>
      </c>
      <c r="K8" s="34" t="n">
        <v>7850</v>
      </c>
      <c r="L8" s="34" t="n">
        <v>177</v>
      </c>
      <c r="M8" s="37" t="n">
        <v>1.8E-005</v>
      </c>
      <c r="N8" s="34" t="n">
        <v>1.225</v>
      </c>
      <c r="O8" s="34" t="n">
        <v>0</v>
      </c>
      <c r="P8" s="34" t="n">
        <v>0</v>
      </c>
      <c r="Q8" s="34" t="n">
        <v>0</v>
      </c>
      <c r="R8" s="34" t="n">
        <v>0</v>
      </c>
      <c r="S8" s="36" t="n">
        <f aca="false">(N8*L8+P8*R8)/(L8+P8)</f>
        <v>1.225</v>
      </c>
      <c r="T8" s="38" t="n">
        <f aca="false">(M8*L8+P8*Q8*0.1)/(L8+P8)</f>
        <v>1.8E-005</v>
      </c>
      <c r="U8" s="34" t="n">
        <v>550</v>
      </c>
      <c r="V8" s="34" t="n">
        <v>2650</v>
      </c>
      <c r="W8" s="40" t="n">
        <f aca="false">0.000132*V8</f>
        <v>0.3498</v>
      </c>
      <c r="X8" s="41" t="n">
        <f aca="false">Y8-BB8</f>
        <v>0</v>
      </c>
      <c r="Y8" s="42" t="n">
        <v>0.00036781004997789</v>
      </c>
      <c r="Z8" s="15" t="n">
        <v>1</v>
      </c>
      <c r="AA8" s="43" t="n">
        <v>0.253</v>
      </c>
      <c r="AB8" s="44"/>
      <c r="AC8" s="45" t="s">
        <v>111</v>
      </c>
      <c r="AD8" s="0"/>
      <c r="AE8" s="32" t="s">
        <v>112</v>
      </c>
      <c r="AF8" s="15"/>
      <c r="AG8" s="0"/>
      <c r="AH8" s="46" t="n">
        <f aca="false">MAX(L8,P8)</f>
        <v>177</v>
      </c>
      <c r="AI8" s="41" t="n">
        <f aca="false">MAX(M8,Q8)</f>
        <v>1.8E-005</v>
      </c>
      <c r="AJ8" s="47" t="n">
        <f aca="false">MAX(N8,R8)</f>
        <v>1.225</v>
      </c>
      <c r="AK8" s="47"/>
      <c r="AL8" s="19" t="n">
        <v>6</v>
      </c>
      <c r="AM8" s="20" t="str">
        <f aca="false">B8</f>
        <v>Elbow</v>
      </c>
      <c r="AN8" s="20" t="str">
        <f aca="false">C8</f>
        <v>Gas-solid</v>
      </c>
      <c r="AO8" s="20" t="str">
        <f aca="false">D8</f>
        <v>H-V</v>
      </c>
      <c r="AP8" s="20" t="n">
        <f aca="false">E8</f>
        <v>90</v>
      </c>
      <c r="AQ8" s="48" t="n">
        <f aca="false">G8</f>
        <v>1.5</v>
      </c>
      <c r="AR8" s="23" t="n">
        <f aca="false">H8/(F8/1000)</f>
        <v>336</v>
      </c>
      <c r="AS8" s="22" t="n">
        <v>1E-006</v>
      </c>
      <c r="AT8" s="23" t="n">
        <f aca="false">AH8/SQRT(9.81*(F8/1000))</f>
        <v>250.730349778849</v>
      </c>
      <c r="AU8" s="23" t="n">
        <f aca="false">(AH8*AJ8*(F8/1000))/AI8</f>
        <v>611928.333333333</v>
      </c>
      <c r="AV8" s="23" t="n">
        <f aca="false">((U8/10^6)^3*AJ8*(V8-AJ8)*9.81)/AI8^2</f>
        <v>16345.3123116537</v>
      </c>
      <c r="AW8" s="23" t="n">
        <f aca="false">(V8*((U8/10^6)^2)/(18*AI8))*AH8/(F8/1000)</f>
        <v>8620.56630941965</v>
      </c>
      <c r="AX8" s="23" t="n">
        <f aca="false">AJ8*(U8/10^6)*AH8/AI8</f>
        <v>6625.20833333333</v>
      </c>
      <c r="AY8" s="24" t="n">
        <f aca="false">(U8/10^6)/(F8/1000)</f>
        <v>0.0108267716535433</v>
      </c>
      <c r="AZ8" s="23" t="n">
        <f aca="false">AJ8/V8</f>
        <v>0.000462264150943396</v>
      </c>
      <c r="BA8" s="24" t="n">
        <f aca="false">(J8*10^9)/(K8*AH8^2)</f>
        <v>7.81514776504868</v>
      </c>
      <c r="BB8" s="23" t="n">
        <f aca="false">Y8</f>
        <v>0.00036781004997789</v>
      </c>
      <c r="BC8" s="23" t="n">
        <f aca="false">MAX(Z8,1)</f>
        <v>1</v>
      </c>
      <c r="BD8" s="23" t="n">
        <f aca="false">AA8</f>
        <v>0.253</v>
      </c>
      <c r="BE8" s="23" t="n">
        <f aca="false">0.8*BD8</f>
        <v>0.2024</v>
      </c>
      <c r="BF8" s="23" t="n">
        <f aca="false">BD8*1.2</f>
        <v>0.3036</v>
      </c>
      <c r="BG8" s="0" t="str">
        <f aca="false">AC8</f>
        <v>Bourgoyne (1989)</v>
      </c>
    </row>
    <row r="9" customFormat="false" ht="12.8" hidden="false" customHeight="false" outlineLevel="0" collapsed="false">
      <c r="A9" s="15" t="n">
        <v>7</v>
      </c>
      <c r="B9" s="34" t="s">
        <v>109</v>
      </c>
      <c r="C9" s="34" t="s">
        <v>49</v>
      </c>
      <c r="D9" s="34" t="s">
        <v>50</v>
      </c>
      <c r="E9" s="34" t="n">
        <v>90</v>
      </c>
      <c r="F9" s="35" t="n">
        <f aca="false">0.0508*1000</f>
        <v>50.8</v>
      </c>
      <c r="G9" s="34" t="n">
        <v>1.5</v>
      </c>
      <c r="H9" s="36" t="n">
        <f aca="false">56*0.3048</f>
        <v>17.0688</v>
      </c>
      <c r="I9" s="34" t="s">
        <v>110</v>
      </c>
      <c r="J9" s="33" t="n">
        <v>1.922</v>
      </c>
      <c r="K9" s="34" t="n">
        <v>7850</v>
      </c>
      <c r="L9" s="34" t="n">
        <v>169</v>
      </c>
      <c r="M9" s="37" t="n">
        <v>1.8E-005</v>
      </c>
      <c r="N9" s="34" t="n">
        <v>1.225</v>
      </c>
      <c r="O9" s="34" t="n">
        <v>0</v>
      </c>
      <c r="P9" s="34" t="n">
        <v>0</v>
      </c>
      <c r="Q9" s="34" t="n">
        <v>0</v>
      </c>
      <c r="R9" s="34" t="n">
        <v>0</v>
      </c>
      <c r="S9" s="36" t="n">
        <f aca="false">(N9*L9+P9*R9)/(L9+P9)</f>
        <v>1.225</v>
      </c>
      <c r="T9" s="38" t="n">
        <f aca="false">(M9*L9+P9*Q9*0.1)/(L9+P9)</f>
        <v>1.8E-005</v>
      </c>
      <c r="U9" s="34" t="n">
        <v>550</v>
      </c>
      <c r="V9" s="34" t="n">
        <v>2650</v>
      </c>
      <c r="W9" s="40" t="n">
        <f aca="false">0.0000944*V9</f>
        <v>0.25016</v>
      </c>
      <c r="X9" s="41" t="n">
        <f aca="false">Y9-BB9</f>
        <v>0</v>
      </c>
      <c r="Y9" s="42" t="n">
        <v>0.000275516943439321</v>
      </c>
      <c r="Z9" s="15" t="n">
        <v>1</v>
      </c>
      <c r="AA9" s="43" t="n">
        <v>0.191</v>
      </c>
      <c r="AB9" s="44"/>
      <c r="AC9" s="45" t="s">
        <v>111</v>
      </c>
      <c r="AD9" s="0"/>
      <c r="AE9" s="32" t="s">
        <v>112</v>
      </c>
      <c r="AF9" s="15"/>
      <c r="AG9" s="0"/>
      <c r="AH9" s="46" t="n">
        <f aca="false">MAX(L9,P9)</f>
        <v>169</v>
      </c>
      <c r="AI9" s="41" t="n">
        <f aca="false">MAX(M9,Q9)</f>
        <v>1.8E-005</v>
      </c>
      <c r="AJ9" s="47" t="n">
        <f aca="false">MAX(N9,R9)</f>
        <v>1.225</v>
      </c>
      <c r="AK9" s="47"/>
      <c r="AL9" s="19" t="n">
        <v>7</v>
      </c>
      <c r="AM9" s="20" t="str">
        <f aca="false">B9</f>
        <v>Elbow</v>
      </c>
      <c r="AN9" s="20" t="str">
        <f aca="false">C9</f>
        <v>Gas-solid</v>
      </c>
      <c r="AO9" s="20" t="str">
        <f aca="false">D9</f>
        <v>H-V</v>
      </c>
      <c r="AP9" s="20" t="n">
        <f aca="false">E9</f>
        <v>90</v>
      </c>
      <c r="AQ9" s="48" t="n">
        <f aca="false">G9</f>
        <v>1.5</v>
      </c>
      <c r="AR9" s="23" t="n">
        <f aca="false">H9/(F9/1000)</f>
        <v>336</v>
      </c>
      <c r="AS9" s="22" t="n">
        <v>1E-006</v>
      </c>
      <c r="AT9" s="23" t="n">
        <f aca="false">AH9/SQRT(9.81*(F9/1000))</f>
        <v>239.397904591104</v>
      </c>
      <c r="AU9" s="23" t="n">
        <f aca="false">(AH9*AJ9*(F9/1000))/AI9</f>
        <v>584270.555555556</v>
      </c>
      <c r="AV9" s="23" t="n">
        <f aca="false">((U9/10^6)^3*AJ9*(V9-AJ9)*9.81)/AI9^2</f>
        <v>16345.3123116537</v>
      </c>
      <c r="AW9" s="23" t="n">
        <f aca="false">(V9*((U9/10^6)^2)/(18*AI9))*AH9/(F9/1000)</f>
        <v>8230.93619373967</v>
      </c>
      <c r="AX9" s="23" t="n">
        <f aca="false">AJ9*(U9/10^6)*AH9/AI9</f>
        <v>6325.76388888889</v>
      </c>
      <c r="AY9" s="24" t="n">
        <f aca="false">(U9/10^6)/(F9/1000)</f>
        <v>0.0108267716535433</v>
      </c>
      <c r="AZ9" s="23" t="n">
        <f aca="false">AJ9/V9</f>
        <v>0.000462264150943396</v>
      </c>
      <c r="BA9" s="24" t="n">
        <f aca="false">(J9*10^9)/(K9*AH9^2)</f>
        <v>8.57255573443543</v>
      </c>
      <c r="BB9" s="23" t="n">
        <f aca="false">Y9</f>
        <v>0.000275516943439321</v>
      </c>
      <c r="BC9" s="23" t="n">
        <f aca="false">MAX(Z9,1)</f>
        <v>1</v>
      </c>
      <c r="BD9" s="23" t="n">
        <f aca="false">AA9</f>
        <v>0.191</v>
      </c>
      <c r="BE9" s="23" t="n">
        <f aca="false">0.8*BD9</f>
        <v>0.1528</v>
      </c>
      <c r="BF9" s="23" t="n">
        <f aca="false">BD9*1.2</f>
        <v>0.2292</v>
      </c>
      <c r="BG9" s="0" t="str">
        <f aca="false">AC9</f>
        <v>Bourgoyne (1989)</v>
      </c>
    </row>
    <row r="10" customFormat="false" ht="12.8" hidden="false" customHeight="false" outlineLevel="0" collapsed="false">
      <c r="A10" s="15" t="n">
        <v>8</v>
      </c>
      <c r="B10" s="34" t="s">
        <v>109</v>
      </c>
      <c r="C10" s="34" t="s">
        <v>49</v>
      </c>
      <c r="D10" s="34" t="s">
        <v>50</v>
      </c>
      <c r="E10" s="34" t="n">
        <v>90</v>
      </c>
      <c r="F10" s="35" t="n">
        <f aca="false">0.0508*1000</f>
        <v>50.8</v>
      </c>
      <c r="G10" s="34" t="n">
        <v>1.5</v>
      </c>
      <c r="H10" s="36" t="n">
        <f aca="false">56*0.3048</f>
        <v>17.0688</v>
      </c>
      <c r="I10" s="34" t="s">
        <v>110</v>
      </c>
      <c r="J10" s="33" t="n">
        <v>1.922</v>
      </c>
      <c r="K10" s="34" t="n">
        <v>7850</v>
      </c>
      <c r="L10" s="34" t="n">
        <v>167</v>
      </c>
      <c r="M10" s="37" t="n">
        <v>1.8E-005</v>
      </c>
      <c r="N10" s="34" t="n">
        <v>1.225</v>
      </c>
      <c r="O10" s="34" t="n">
        <v>0</v>
      </c>
      <c r="P10" s="34" t="n">
        <v>0</v>
      </c>
      <c r="Q10" s="34" t="n">
        <v>0</v>
      </c>
      <c r="R10" s="34" t="n">
        <v>0</v>
      </c>
      <c r="S10" s="36" t="n">
        <f aca="false">(N10*L10+P10*R10)/(L10+P10)</f>
        <v>1.225</v>
      </c>
      <c r="T10" s="38" t="n">
        <f aca="false">(M10*L10+P10*Q10*0.1)/(L10+P10)</f>
        <v>1.8E-005</v>
      </c>
      <c r="U10" s="34" t="n">
        <v>550</v>
      </c>
      <c r="V10" s="34" t="n">
        <v>2650</v>
      </c>
      <c r="W10" s="40" t="n">
        <f aca="false">0.0000772*V10</f>
        <v>0.20458</v>
      </c>
      <c r="X10" s="41" t="n">
        <f aca="false">Y10-BB10</f>
        <v>0</v>
      </c>
      <c r="Y10" s="42" t="n">
        <v>0.000228026059076583</v>
      </c>
      <c r="Z10" s="15" t="n">
        <v>1</v>
      </c>
      <c r="AA10" s="43" t="n">
        <v>0.183</v>
      </c>
      <c r="AB10" s="44"/>
      <c r="AC10" s="45" t="s">
        <v>111</v>
      </c>
      <c r="AD10" s="0"/>
      <c r="AE10" s="32" t="s">
        <v>112</v>
      </c>
      <c r="AF10" s="15"/>
      <c r="AG10" s="0"/>
      <c r="AH10" s="46" t="n">
        <f aca="false">MAX(L10,P10)</f>
        <v>167</v>
      </c>
      <c r="AI10" s="41" t="n">
        <f aca="false">MAX(M10,Q10)</f>
        <v>1.8E-005</v>
      </c>
      <c r="AJ10" s="47" t="n">
        <f aca="false">MAX(N10,R10)</f>
        <v>1.225</v>
      </c>
      <c r="AK10" s="47"/>
      <c r="AL10" s="19" t="n">
        <v>8</v>
      </c>
      <c r="AM10" s="20" t="str">
        <f aca="false">B10</f>
        <v>Elbow</v>
      </c>
      <c r="AN10" s="20" t="str">
        <f aca="false">C10</f>
        <v>Gas-solid</v>
      </c>
      <c r="AO10" s="20" t="str">
        <f aca="false">D10</f>
        <v>H-V</v>
      </c>
      <c r="AP10" s="20" t="n">
        <f aca="false">E10</f>
        <v>90</v>
      </c>
      <c r="AQ10" s="48" t="n">
        <f aca="false">G10</f>
        <v>1.5</v>
      </c>
      <c r="AR10" s="23" t="n">
        <f aca="false">H10/(F10/1000)</f>
        <v>336</v>
      </c>
      <c r="AS10" s="22" t="n">
        <v>1E-006</v>
      </c>
      <c r="AT10" s="23" t="n">
        <f aca="false">AH10/SQRT(9.81*(F10/1000))</f>
        <v>236.564793294168</v>
      </c>
      <c r="AU10" s="23" t="n">
        <f aca="false">(AH10*AJ10*(F10/1000))/AI10</f>
        <v>577356.111111111</v>
      </c>
      <c r="AV10" s="23" t="n">
        <f aca="false">((U10/10^6)^3*AJ10*(V10-AJ10)*9.81)/AI10^2</f>
        <v>16345.3123116537</v>
      </c>
      <c r="AW10" s="23" t="n">
        <f aca="false">(V10*((U10/10^6)^2)/(18*AI10))*AH10/(F10/1000)</f>
        <v>8133.52866481968</v>
      </c>
      <c r="AX10" s="23" t="n">
        <f aca="false">AJ10*(U10/10^6)*AH10/AI10</f>
        <v>6250.90277777778</v>
      </c>
      <c r="AY10" s="24" t="n">
        <f aca="false">(U10/10^6)/(F10/1000)</f>
        <v>0.0108267716535433</v>
      </c>
      <c r="AZ10" s="23" t="n">
        <f aca="false">AJ10/V10</f>
        <v>0.000462264150943396</v>
      </c>
      <c r="BA10" s="24" t="n">
        <f aca="false">(J10*10^9)/(K10*AH10^2)</f>
        <v>8.77911593571696</v>
      </c>
      <c r="BB10" s="23" t="n">
        <f aca="false">Y10</f>
        <v>0.000228026059076583</v>
      </c>
      <c r="BC10" s="23" t="n">
        <f aca="false">MAX(Z10,1)</f>
        <v>1</v>
      </c>
      <c r="BD10" s="23" t="n">
        <f aca="false">AA10</f>
        <v>0.183</v>
      </c>
      <c r="BE10" s="23" t="n">
        <f aca="false">0.8*BD10</f>
        <v>0.1464</v>
      </c>
      <c r="BF10" s="23" t="n">
        <f aca="false">BD10*1.2</f>
        <v>0.2196</v>
      </c>
      <c r="BG10" s="0" t="str">
        <f aca="false">AC10</f>
        <v>Bourgoyne (1989)</v>
      </c>
    </row>
    <row r="11" customFormat="false" ht="12.8" hidden="false" customHeight="false" outlineLevel="0" collapsed="false">
      <c r="A11" s="15" t="n">
        <v>9</v>
      </c>
      <c r="B11" s="34" t="s">
        <v>109</v>
      </c>
      <c r="C11" s="34" t="s">
        <v>49</v>
      </c>
      <c r="D11" s="34" t="s">
        <v>50</v>
      </c>
      <c r="E11" s="34" t="n">
        <v>90</v>
      </c>
      <c r="F11" s="35" t="n">
        <f aca="false">0.0508*1000</f>
        <v>50.8</v>
      </c>
      <c r="G11" s="34" t="n">
        <v>1.5</v>
      </c>
      <c r="H11" s="36" t="n">
        <f aca="false">56*0.3048</f>
        <v>17.0688</v>
      </c>
      <c r="I11" s="34" t="s">
        <v>110</v>
      </c>
      <c r="J11" s="33" t="n">
        <v>1.922</v>
      </c>
      <c r="K11" s="34" t="n">
        <v>7850</v>
      </c>
      <c r="L11" s="34" t="n">
        <v>111</v>
      </c>
      <c r="M11" s="37" t="n">
        <v>1.8E-005</v>
      </c>
      <c r="N11" s="34" t="n">
        <v>1.225</v>
      </c>
      <c r="O11" s="34" t="n">
        <v>0</v>
      </c>
      <c r="P11" s="34" t="n">
        <v>0</v>
      </c>
      <c r="Q11" s="34" t="n">
        <v>0</v>
      </c>
      <c r="R11" s="34" t="n">
        <v>0</v>
      </c>
      <c r="S11" s="36" t="n">
        <f aca="false">(N11*L11+P11*R11)/(L11+P11)</f>
        <v>1.225</v>
      </c>
      <c r="T11" s="38" t="n">
        <f aca="false">(M11*L11+P11*Q11*0.1)/(L11+P11)</f>
        <v>1.8E-005</v>
      </c>
      <c r="U11" s="34" t="n">
        <v>550</v>
      </c>
      <c r="V11" s="34" t="n">
        <v>2650</v>
      </c>
      <c r="W11" s="40" t="n">
        <f aca="false">0.000145*V11</f>
        <v>0.38425</v>
      </c>
      <c r="X11" s="41" t="n">
        <f aca="false">Y11-BB11</f>
        <v>0</v>
      </c>
      <c r="Y11" s="42" t="n">
        <v>0.000644091995245587</v>
      </c>
      <c r="Z11" s="15" t="n">
        <v>1</v>
      </c>
      <c r="AA11" s="43" t="n">
        <v>0.0581</v>
      </c>
      <c r="AB11" s="44"/>
      <c r="AC11" s="45" t="s">
        <v>111</v>
      </c>
      <c r="AD11" s="0"/>
      <c r="AE11" s="32" t="s">
        <v>112</v>
      </c>
      <c r="AF11" s="15"/>
      <c r="AG11" s="0"/>
      <c r="AH11" s="46" t="n">
        <f aca="false">MAX(L11,P11)</f>
        <v>111</v>
      </c>
      <c r="AI11" s="41" t="n">
        <f aca="false">MAX(M11,Q11)</f>
        <v>1.8E-005</v>
      </c>
      <c r="AJ11" s="47" t="n">
        <f aca="false">MAX(N11,R11)</f>
        <v>1.225</v>
      </c>
      <c r="AK11" s="47"/>
      <c r="AL11" s="19" t="n">
        <v>9</v>
      </c>
      <c r="AM11" s="20" t="str">
        <f aca="false">B11</f>
        <v>Elbow</v>
      </c>
      <c r="AN11" s="20" t="str">
        <f aca="false">C11</f>
        <v>Gas-solid</v>
      </c>
      <c r="AO11" s="20" t="str">
        <f aca="false">D11</f>
        <v>H-V</v>
      </c>
      <c r="AP11" s="20" t="n">
        <f aca="false">E11</f>
        <v>90</v>
      </c>
      <c r="AQ11" s="48" t="n">
        <f aca="false">G11</f>
        <v>1.5</v>
      </c>
      <c r="AR11" s="23" t="n">
        <f aca="false">H11/(F11/1000)</f>
        <v>336</v>
      </c>
      <c r="AS11" s="22" t="n">
        <v>1E-006</v>
      </c>
      <c r="AT11" s="23" t="n">
        <f aca="false">AH11/SQRT(9.81*(F11/1000))</f>
        <v>157.237676979956</v>
      </c>
      <c r="AU11" s="23" t="n">
        <f aca="false">(AH11*AJ11*(F11/1000))/AI11</f>
        <v>383751.666666667</v>
      </c>
      <c r="AV11" s="23" t="n">
        <f aca="false">((U11/10^6)^3*AJ11*(V11-AJ11)*9.81)/AI11^2</f>
        <v>16345.3123116537</v>
      </c>
      <c r="AW11" s="23" t="n">
        <f aca="false">(V11*((U11/10^6)^2)/(18*AI11))*AH11/(F11/1000)</f>
        <v>5406.11785505978</v>
      </c>
      <c r="AX11" s="23" t="n">
        <f aca="false">AJ11*(U11/10^6)*AH11/AI11</f>
        <v>4154.79166666667</v>
      </c>
      <c r="AY11" s="24" t="n">
        <f aca="false">(U11/10^6)/(F11/1000)</f>
        <v>0.0108267716535433</v>
      </c>
      <c r="AZ11" s="23" t="n">
        <f aca="false">AJ11/V11</f>
        <v>0.000462264150943396</v>
      </c>
      <c r="BA11" s="24" t="n">
        <f aca="false">(J11*10^9)/(K11*AH11^2)</f>
        <v>19.8718256903831</v>
      </c>
      <c r="BB11" s="23" t="n">
        <f aca="false">Y11</f>
        <v>0.000644091995245587</v>
      </c>
      <c r="BC11" s="23" t="n">
        <f aca="false">MAX(Z11,1)</f>
        <v>1</v>
      </c>
      <c r="BD11" s="23" t="n">
        <f aca="false">AA11</f>
        <v>0.0581</v>
      </c>
      <c r="BE11" s="23" t="n">
        <f aca="false">0.8*BD11</f>
        <v>0.04648</v>
      </c>
      <c r="BF11" s="23" t="n">
        <f aca="false">BD11*1.2</f>
        <v>0.06972</v>
      </c>
      <c r="BG11" s="0" t="str">
        <f aca="false">AC11</f>
        <v>Bourgoyne (1989)</v>
      </c>
    </row>
    <row r="12" customFormat="false" ht="12.8" hidden="false" customHeight="false" outlineLevel="0" collapsed="false">
      <c r="A12" s="15" t="n">
        <v>10</v>
      </c>
      <c r="B12" s="34" t="s">
        <v>109</v>
      </c>
      <c r="C12" s="34" t="s">
        <v>49</v>
      </c>
      <c r="D12" s="34" t="s">
        <v>50</v>
      </c>
      <c r="E12" s="34" t="n">
        <v>90</v>
      </c>
      <c r="F12" s="35" t="n">
        <f aca="false">0.0508*1000</f>
        <v>50.8</v>
      </c>
      <c r="G12" s="34" t="n">
        <v>1.5</v>
      </c>
      <c r="H12" s="36" t="n">
        <f aca="false">56*0.3048</f>
        <v>17.0688</v>
      </c>
      <c r="I12" s="34" t="s">
        <v>110</v>
      </c>
      <c r="J12" s="33" t="n">
        <v>1.922</v>
      </c>
      <c r="K12" s="34" t="n">
        <v>7850</v>
      </c>
      <c r="L12" s="34" t="n">
        <v>109</v>
      </c>
      <c r="M12" s="37" t="n">
        <v>1.8E-005</v>
      </c>
      <c r="N12" s="34" t="n">
        <v>1.225</v>
      </c>
      <c r="O12" s="34" t="n">
        <v>0</v>
      </c>
      <c r="P12" s="34" t="n">
        <v>0</v>
      </c>
      <c r="Q12" s="34" t="n">
        <v>0</v>
      </c>
      <c r="R12" s="34" t="n">
        <v>0</v>
      </c>
      <c r="S12" s="36" t="n">
        <f aca="false">(N12*L12+P12*R12)/(L12+P12)</f>
        <v>1.225</v>
      </c>
      <c r="T12" s="38" t="n">
        <f aca="false">(M12*L12+P12*Q12*0.1)/(L12+P12)</f>
        <v>1.8E-005</v>
      </c>
      <c r="U12" s="34" t="n">
        <v>550</v>
      </c>
      <c r="V12" s="34" t="n">
        <v>2650</v>
      </c>
      <c r="W12" s="40" t="n">
        <f aca="false">0.0000149*V12</f>
        <v>0.039485</v>
      </c>
      <c r="X12" s="41" t="n">
        <f aca="false">Y12-BB12</f>
        <v>0</v>
      </c>
      <c r="Y12" s="42" t="n">
        <v>6.74393188258282E-005</v>
      </c>
      <c r="Z12" s="15" t="n">
        <v>1</v>
      </c>
      <c r="AA12" s="43" t="n">
        <v>0.0611</v>
      </c>
      <c r="AB12" s="44"/>
      <c r="AC12" s="45" t="s">
        <v>111</v>
      </c>
      <c r="AD12" s="0"/>
      <c r="AE12" s="32" t="s">
        <v>112</v>
      </c>
      <c r="AF12" s="15"/>
      <c r="AG12" s="0"/>
      <c r="AH12" s="46" t="n">
        <f aca="false">MAX(L12,P12)</f>
        <v>109</v>
      </c>
      <c r="AI12" s="41" t="n">
        <f aca="false">MAX(M12,Q12)</f>
        <v>1.8E-005</v>
      </c>
      <c r="AJ12" s="47" t="n">
        <f aca="false">MAX(N12,R12)</f>
        <v>1.225</v>
      </c>
      <c r="AK12" s="47"/>
      <c r="AL12" s="19" t="n">
        <v>10</v>
      </c>
      <c r="AM12" s="20" t="str">
        <f aca="false">B12</f>
        <v>Elbow</v>
      </c>
      <c r="AN12" s="20" t="str">
        <f aca="false">C12</f>
        <v>Gas-solid</v>
      </c>
      <c r="AO12" s="20" t="str">
        <f aca="false">D12</f>
        <v>H-V</v>
      </c>
      <c r="AP12" s="20" t="n">
        <f aca="false">E12</f>
        <v>90</v>
      </c>
      <c r="AQ12" s="48" t="n">
        <f aca="false">G12</f>
        <v>1.5</v>
      </c>
      <c r="AR12" s="23" t="n">
        <f aca="false">H12/(F12/1000)</f>
        <v>336</v>
      </c>
      <c r="AS12" s="22" t="n">
        <v>1E-006</v>
      </c>
      <c r="AT12" s="23" t="n">
        <f aca="false">AH12/SQRT(9.81*(F12/1000))</f>
        <v>154.40456568302</v>
      </c>
      <c r="AU12" s="23" t="n">
        <f aca="false">(AH12*AJ12*(F12/1000))/AI12</f>
        <v>376837.222222222</v>
      </c>
      <c r="AV12" s="23" t="n">
        <f aca="false">((U12/10^6)^3*AJ12*(V12-AJ12)*9.81)/AI12^2</f>
        <v>16345.3123116537</v>
      </c>
      <c r="AW12" s="23" t="n">
        <f aca="false">(V12*((U12/10^6)^2)/(18*AI12))*AH12/(F12/1000)</f>
        <v>5308.71032613979</v>
      </c>
      <c r="AX12" s="23" t="n">
        <f aca="false">AJ12*(U12/10^6)*AH12/AI12</f>
        <v>4079.93055555556</v>
      </c>
      <c r="AY12" s="24" t="n">
        <f aca="false">(U12/10^6)/(F12/1000)</f>
        <v>0.0108267716535433</v>
      </c>
      <c r="AZ12" s="23" t="n">
        <f aca="false">AJ12/V12</f>
        <v>0.000462264150943396</v>
      </c>
      <c r="BA12" s="24" t="n">
        <f aca="false">(J12*10^9)/(K12*AH12^2)</f>
        <v>20.6077572873672</v>
      </c>
      <c r="BB12" s="23" t="n">
        <f aca="false">Y12</f>
        <v>6.74393188258282E-005</v>
      </c>
      <c r="BC12" s="23" t="n">
        <f aca="false">MAX(Z12,1)</f>
        <v>1</v>
      </c>
      <c r="BD12" s="23" t="n">
        <f aca="false">AA12</f>
        <v>0.0611</v>
      </c>
      <c r="BE12" s="23" t="n">
        <f aca="false">0.8*BD12</f>
        <v>0.04888</v>
      </c>
      <c r="BF12" s="23" t="n">
        <f aca="false">BD12*1.2</f>
        <v>0.07332</v>
      </c>
      <c r="BG12" s="0" t="str">
        <f aca="false">AC12</f>
        <v>Bourgoyne (1989)</v>
      </c>
    </row>
    <row r="13" customFormat="false" ht="12.8" hidden="false" customHeight="false" outlineLevel="0" collapsed="false">
      <c r="A13" s="15" t="n">
        <v>11</v>
      </c>
      <c r="B13" s="34" t="s">
        <v>109</v>
      </c>
      <c r="C13" s="34" t="s">
        <v>49</v>
      </c>
      <c r="D13" s="34" t="s">
        <v>50</v>
      </c>
      <c r="E13" s="34" t="n">
        <v>90</v>
      </c>
      <c r="F13" s="35" t="n">
        <f aca="false">0.0508*1000</f>
        <v>50.8</v>
      </c>
      <c r="G13" s="34" t="n">
        <v>1.5</v>
      </c>
      <c r="H13" s="36" t="n">
        <f aca="false">56*0.3048</f>
        <v>17.0688</v>
      </c>
      <c r="I13" s="34" t="s">
        <v>110</v>
      </c>
      <c r="J13" s="33" t="n">
        <v>1.922</v>
      </c>
      <c r="K13" s="34" t="n">
        <v>7850</v>
      </c>
      <c r="L13" s="34" t="n">
        <v>108</v>
      </c>
      <c r="M13" s="37" t="n">
        <v>1.8E-005</v>
      </c>
      <c r="N13" s="34" t="n">
        <v>1.225</v>
      </c>
      <c r="O13" s="34" t="n">
        <v>0</v>
      </c>
      <c r="P13" s="34" t="n">
        <v>0</v>
      </c>
      <c r="Q13" s="34" t="n">
        <v>0</v>
      </c>
      <c r="R13" s="34" t="n">
        <v>0</v>
      </c>
      <c r="S13" s="36" t="n">
        <f aca="false">(N13*L13+P13*R13)/(L13+P13)</f>
        <v>1.225</v>
      </c>
      <c r="T13" s="49" t="n">
        <f aca="false">(M13*L13+P13*Q13*0.1)/(L13+P13)</f>
        <v>1.8E-005</v>
      </c>
      <c r="U13" s="34" t="n">
        <v>550</v>
      </c>
      <c r="V13" s="34" t="n">
        <v>2650</v>
      </c>
      <c r="W13" s="40" t="n">
        <f aca="false">0.0000363*V13</f>
        <v>0.096195</v>
      </c>
      <c r="X13" s="41" t="n">
        <f aca="false">Y13-BB13</f>
        <v>0</v>
      </c>
      <c r="Y13" s="42" t="n">
        <v>0.00016580344508113</v>
      </c>
      <c r="Z13" s="15" t="n">
        <v>1</v>
      </c>
      <c r="AA13" s="43" t="n">
        <v>0.0712</v>
      </c>
      <c r="AB13" s="44"/>
      <c r="AC13" s="45" t="s">
        <v>111</v>
      </c>
      <c r="AD13" s="0"/>
      <c r="AE13" s="32" t="s">
        <v>112</v>
      </c>
      <c r="AF13" s="15"/>
      <c r="AG13" s="0"/>
      <c r="AH13" s="46" t="n">
        <f aca="false">MAX(L13,P13)</f>
        <v>108</v>
      </c>
      <c r="AI13" s="41" t="n">
        <f aca="false">MAX(M13,Q13)</f>
        <v>1.8E-005</v>
      </c>
      <c r="AJ13" s="47" t="n">
        <f aca="false">MAX(N13,R13)</f>
        <v>1.225</v>
      </c>
      <c r="AK13" s="47"/>
      <c r="AL13" s="19" t="n">
        <v>11</v>
      </c>
      <c r="AM13" s="20" t="str">
        <f aca="false">B13</f>
        <v>Elbow</v>
      </c>
      <c r="AN13" s="20" t="str">
        <f aca="false">C13</f>
        <v>Gas-solid</v>
      </c>
      <c r="AO13" s="20" t="str">
        <f aca="false">D13</f>
        <v>H-V</v>
      </c>
      <c r="AP13" s="20" t="n">
        <f aca="false">E13</f>
        <v>90</v>
      </c>
      <c r="AQ13" s="48" t="n">
        <f aca="false">G13</f>
        <v>1.5</v>
      </c>
      <c r="AR13" s="23" t="n">
        <f aca="false">H13/(F13/1000)</f>
        <v>336</v>
      </c>
      <c r="AS13" s="22" t="n">
        <v>1E-006</v>
      </c>
      <c r="AT13" s="23" t="n">
        <f aca="false">AH13/SQRT(9.81*(F13/1000))</f>
        <v>152.988010034552</v>
      </c>
      <c r="AU13" s="23" t="n">
        <f aca="false">(AH13*AJ13*(F13/1000))/AI13</f>
        <v>373380</v>
      </c>
      <c r="AV13" s="23" t="n">
        <f aca="false">((U13/10^6)^3*AJ13*(V13-AJ13)*9.81)/AI13^2</f>
        <v>16345.3123116537</v>
      </c>
      <c r="AW13" s="23" t="n">
        <f aca="false">(V13*((U13/10^6)^2)/(18*AI13))*AH13/(F13/1000)</f>
        <v>5260.00656167979</v>
      </c>
      <c r="AX13" s="23" t="n">
        <f aca="false">AJ13*(U13/10^6)*AH13/AI13</f>
        <v>4042.5</v>
      </c>
      <c r="AY13" s="24" t="n">
        <f aca="false">(U13/10^6)/(F13/1000)</f>
        <v>0.0108267716535433</v>
      </c>
      <c r="AZ13" s="23" t="n">
        <f aca="false">AJ13/V13</f>
        <v>0.000462264150943396</v>
      </c>
      <c r="BA13" s="24" t="n">
        <f aca="false">(J13*10^9)/(K13*AH13^2)</f>
        <v>20.9911492053507</v>
      </c>
      <c r="BB13" s="23" t="n">
        <f aca="false">Y13</f>
        <v>0.00016580344508113</v>
      </c>
      <c r="BC13" s="23" t="n">
        <f aca="false">MAX(Z13,1)</f>
        <v>1</v>
      </c>
      <c r="BD13" s="23" t="n">
        <f aca="false">AA13</f>
        <v>0.0712</v>
      </c>
      <c r="BE13" s="23" t="n">
        <f aca="false">0.8*BD13</f>
        <v>0.05696</v>
      </c>
      <c r="BF13" s="23" t="n">
        <f aca="false">BD13*1.2</f>
        <v>0.08544</v>
      </c>
      <c r="BG13" s="0" t="str">
        <f aca="false">AC13</f>
        <v>Bourgoyne (1989)</v>
      </c>
    </row>
    <row r="14" customFormat="false" ht="12.8" hidden="false" customHeight="false" outlineLevel="0" collapsed="false">
      <c r="A14" s="15" t="n">
        <v>12</v>
      </c>
      <c r="B14" s="34" t="s">
        <v>109</v>
      </c>
      <c r="C14" s="34" t="s">
        <v>49</v>
      </c>
      <c r="D14" s="34" t="s">
        <v>50</v>
      </c>
      <c r="E14" s="34" t="n">
        <v>90</v>
      </c>
      <c r="F14" s="35" t="n">
        <f aca="false">0.0508*1000</f>
        <v>50.8</v>
      </c>
      <c r="G14" s="34" t="n">
        <v>1.5</v>
      </c>
      <c r="H14" s="36" t="n">
        <f aca="false">56*0.3048</f>
        <v>17.0688</v>
      </c>
      <c r="I14" s="34" t="s">
        <v>110</v>
      </c>
      <c r="J14" s="33" t="n">
        <v>1.922</v>
      </c>
      <c r="K14" s="34" t="n">
        <v>7850</v>
      </c>
      <c r="L14" s="34" t="n">
        <v>108</v>
      </c>
      <c r="M14" s="37" t="n">
        <v>1.8E-005</v>
      </c>
      <c r="N14" s="34" t="n">
        <v>1.225</v>
      </c>
      <c r="O14" s="34" t="n">
        <v>0</v>
      </c>
      <c r="P14" s="34" t="n">
        <v>0</v>
      </c>
      <c r="Q14" s="34" t="n">
        <v>0</v>
      </c>
      <c r="R14" s="34" t="n">
        <v>0</v>
      </c>
      <c r="S14" s="36" t="n">
        <f aca="false">(N14*L14+P14*R14)/(L14+P14)</f>
        <v>1.225</v>
      </c>
      <c r="T14" s="49" t="n">
        <f aca="false">(M14*L14+P14*Q14*0.1)/(L14+P14)</f>
        <v>1.8E-005</v>
      </c>
      <c r="U14" s="34" t="n">
        <v>550</v>
      </c>
      <c r="V14" s="34" t="n">
        <v>2650</v>
      </c>
      <c r="W14" s="40" t="n">
        <f aca="false">0.0000784*V14</f>
        <v>0.20776</v>
      </c>
      <c r="X14" s="41" t="n">
        <f aca="false">Y14-BB14</f>
        <v>0</v>
      </c>
      <c r="Y14" s="42" t="n">
        <v>0.000358030053118911</v>
      </c>
      <c r="Z14" s="15" t="n">
        <v>1</v>
      </c>
      <c r="AA14" s="43" t="n">
        <v>0.0551</v>
      </c>
      <c r="AB14" s="44"/>
      <c r="AC14" s="45" t="s">
        <v>111</v>
      </c>
      <c r="AD14" s="0"/>
      <c r="AE14" s="32" t="s">
        <v>112</v>
      </c>
      <c r="AF14" s="15"/>
      <c r="AG14" s="0"/>
      <c r="AH14" s="46" t="n">
        <f aca="false">MAX(L14,P14)</f>
        <v>108</v>
      </c>
      <c r="AI14" s="41" t="n">
        <f aca="false">MAX(M14,Q14)</f>
        <v>1.8E-005</v>
      </c>
      <c r="AJ14" s="47" t="n">
        <f aca="false">MAX(N14,R14)</f>
        <v>1.225</v>
      </c>
      <c r="AK14" s="47"/>
      <c r="AL14" s="19" t="n">
        <v>12</v>
      </c>
      <c r="AM14" s="20" t="str">
        <f aca="false">B14</f>
        <v>Elbow</v>
      </c>
      <c r="AN14" s="20" t="str">
        <f aca="false">C14</f>
        <v>Gas-solid</v>
      </c>
      <c r="AO14" s="20" t="str">
        <f aca="false">D14</f>
        <v>H-V</v>
      </c>
      <c r="AP14" s="20" t="n">
        <f aca="false">E14</f>
        <v>90</v>
      </c>
      <c r="AQ14" s="48" t="n">
        <f aca="false">G14</f>
        <v>1.5</v>
      </c>
      <c r="AR14" s="23" t="n">
        <f aca="false">H14/(F14/1000)</f>
        <v>336</v>
      </c>
      <c r="AS14" s="22" t="n">
        <v>1E-006</v>
      </c>
      <c r="AT14" s="23" t="n">
        <f aca="false">AH14/SQRT(9.81*(F14/1000))</f>
        <v>152.988010034552</v>
      </c>
      <c r="AU14" s="23" t="n">
        <f aca="false">(AH14*AJ14*(F14/1000))/AI14</f>
        <v>373380</v>
      </c>
      <c r="AV14" s="23" t="n">
        <f aca="false">((U14/10^6)^3*AJ14*(V14-AJ14)*9.81)/AI14^2</f>
        <v>16345.3123116537</v>
      </c>
      <c r="AW14" s="23" t="n">
        <f aca="false">(V14*((U14/10^6)^2)/(18*AI14))*AH14/(F14/1000)</f>
        <v>5260.00656167979</v>
      </c>
      <c r="AX14" s="23" t="n">
        <f aca="false">AJ14*(U14/10^6)*AH14/AI14</f>
        <v>4042.5</v>
      </c>
      <c r="AY14" s="24" t="n">
        <f aca="false">(U14/10^6)/(F14/1000)</f>
        <v>0.0108267716535433</v>
      </c>
      <c r="AZ14" s="23" t="n">
        <f aca="false">AJ14/V14</f>
        <v>0.000462264150943396</v>
      </c>
      <c r="BA14" s="24" t="n">
        <f aca="false">(J14*10^9)/(K14*AH14^2)</f>
        <v>20.9911492053507</v>
      </c>
      <c r="BB14" s="23" t="n">
        <f aca="false">Y14</f>
        <v>0.000358030053118911</v>
      </c>
      <c r="BC14" s="23" t="n">
        <f aca="false">MAX(Z14,1)</f>
        <v>1</v>
      </c>
      <c r="BD14" s="23" t="n">
        <f aca="false">AA14</f>
        <v>0.0551</v>
      </c>
      <c r="BE14" s="23" t="n">
        <f aca="false">0.8*BD14</f>
        <v>0.04408</v>
      </c>
      <c r="BF14" s="23" t="n">
        <f aca="false">BD14*1.2</f>
        <v>0.06612</v>
      </c>
      <c r="BG14" s="0" t="str">
        <f aca="false">AC14</f>
        <v>Bourgoyne (1989)</v>
      </c>
    </row>
    <row r="15" customFormat="false" ht="12.8" hidden="false" customHeight="false" outlineLevel="0" collapsed="false">
      <c r="A15" s="15" t="n">
        <v>13</v>
      </c>
      <c r="B15" s="34" t="s">
        <v>109</v>
      </c>
      <c r="C15" s="34" t="s">
        <v>49</v>
      </c>
      <c r="D15" s="34" t="s">
        <v>50</v>
      </c>
      <c r="E15" s="34" t="n">
        <v>90</v>
      </c>
      <c r="F15" s="35" t="n">
        <f aca="false">0.0508*1000</f>
        <v>50.8</v>
      </c>
      <c r="G15" s="34" t="n">
        <v>1.5</v>
      </c>
      <c r="H15" s="36" t="n">
        <f aca="false">56*0.3048</f>
        <v>17.0688</v>
      </c>
      <c r="I15" s="34" t="s">
        <v>110</v>
      </c>
      <c r="J15" s="33" t="n">
        <v>1.922</v>
      </c>
      <c r="K15" s="34" t="n">
        <v>7850</v>
      </c>
      <c r="L15" s="34" t="n">
        <v>108</v>
      </c>
      <c r="M15" s="37" t="n">
        <v>1.8E-005</v>
      </c>
      <c r="N15" s="34" t="n">
        <v>1.225</v>
      </c>
      <c r="O15" s="34" t="n">
        <v>0</v>
      </c>
      <c r="P15" s="34" t="n">
        <v>0</v>
      </c>
      <c r="Q15" s="34" t="n">
        <v>0</v>
      </c>
      <c r="R15" s="34" t="n">
        <v>0</v>
      </c>
      <c r="S15" s="36" t="n">
        <f aca="false">(N15*L15+P15*R15)/(L15+P15)</f>
        <v>1.225</v>
      </c>
      <c r="T15" s="49" t="n">
        <f aca="false">(M15*L15+P15*Q15*0.1)/(L15+P15)</f>
        <v>1.8E-005</v>
      </c>
      <c r="U15" s="34" t="n">
        <v>550</v>
      </c>
      <c r="V15" s="34" t="n">
        <v>2650</v>
      </c>
      <c r="W15" s="40" t="n">
        <f aca="false">0.0000646*V15</f>
        <v>0.17119</v>
      </c>
      <c r="X15" s="41" t="n">
        <f aca="false">Y15-BB15</f>
        <v>0</v>
      </c>
      <c r="Y15" s="42" t="n">
        <v>0.00029502804987777</v>
      </c>
      <c r="Z15" s="15" t="n">
        <v>1</v>
      </c>
      <c r="AA15" s="43" t="n">
        <v>0.0807</v>
      </c>
      <c r="AB15" s="44"/>
      <c r="AC15" s="45" t="s">
        <v>111</v>
      </c>
      <c r="AD15" s="0"/>
      <c r="AE15" s="32" t="s">
        <v>112</v>
      </c>
      <c r="AF15" s="15"/>
      <c r="AG15" s="0"/>
      <c r="AH15" s="46" t="n">
        <f aca="false">MAX(L15,P15)</f>
        <v>108</v>
      </c>
      <c r="AI15" s="41" t="n">
        <f aca="false">MAX(M15,Q15)</f>
        <v>1.8E-005</v>
      </c>
      <c r="AJ15" s="47" t="n">
        <f aca="false">MAX(N15,R15)</f>
        <v>1.225</v>
      </c>
      <c r="AK15" s="47"/>
      <c r="AL15" s="19" t="n">
        <v>13</v>
      </c>
      <c r="AM15" s="20" t="str">
        <f aca="false">B15</f>
        <v>Elbow</v>
      </c>
      <c r="AN15" s="20" t="str">
        <f aca="false">C15</f>
        <v>Gas-solid</v>
      </c>
      <c r="AO15" s="20" t="str">
        <f aca="false">D15</f>
        <v>H-V</v>
      </c>
      <c r="AP15" s="20" t="n">
        <f aca="false">E15</f>
        <v>90</v>
      </c>
      <c r="AQ15" s="48" t="n">
        <f aca="false">G15</f>
        <v>1.5</v>
      </c>
      <c r="AR15" s="23" t="n">
        <f aca="false">H15/(F15/1000)</f>
        <v>336</v>
      </c>
      <c r="AS15" s="22" t="n">
        <v>1E-006</v>
      </c>
      <c r="AT15" s="23" t="n">
        <f aca="false">AH15/SQRT(9.81*(F15/1000))</f>
        <v>152.988010034552</v>
      </c>
      <c r="AU15" s="23" t="n">
        <f aca="false">(AH15*AJ15*(F15/1000))/AI15</f>
        <v>373380</v>
      </c>
      <c r="AV15" s="23" t="n">
        <f aca="false">((U15/10^6)^3*AJ15*(V15-AJ15)*9.81)/AI15^2</f>
        <v>16345.3123116537</v>
      </c>
      <c r="AW15" s="23" t="n">
        <f aca="false">(V15*((U15/10^6)^2)/(18*AI15))*AH15/(F15/1000)</f>
        <v>5260.00656167979</v>
      </c>
      <c r="AX15" s="23" t="n">
        <f aca="false">AJ15*(U15/10^6)*AH15/AI15</f>
        <v>4042.5</v>
      </c>
      <c r="AY15" s="24" t="n">
        <f aca="false">(U15/10^6)/(F15/1000)</f>
        <v>0.0108267716535433</v>
      </c>
      <c r="AZ15" s="23" t="n">
        <f aca="false">AJ15/V15</f>
        <v>0.000462264150943396</v>
      </c>
      <c r="BA15" s="24" t="n">
        <f aca="false">(J15*10^9)/(K15*AH15^2)</f>
        <v>20.9911492053507</v>
      </c>
      <c r="BB15" s="23" t="n">
        <f aca="false">Y15</f>
        <v>0.00029502804987777</v>
      </c>
      <c r="BC15" s="23" t="n">
        <f aca="false">MAX(Z15,1)</f>
        <v>1</v>
      </c>
      <c r="BD15" s="23" t="n">
        <f aca="false">AA15</f>
        <v>0.0807</v>
      </c>
      <c r="BE15" s="23" t="n">
        <f aca="false">0.8*BD15</f>
        <v>0.06456</v>
      </c>
      <c r="BF15" s="23" t="n">
        <f aca="false">BD15*1.2</f>
        <v>0.09684</v>
      </c>
      <c r="BG15" s="0" t="str">
        <f aca="false">AC15</f>
        <v>Bourgoyne (1989)</v>
      </c>
    </row>
    <row r="16" customFormat="false" ht="12.8" hidden="false" customHeight="false" outlineLevel="0" collapsed="false">
      <c r="A16" s="15" t="n">
        <v>14</v>
      </c>
      <c r="B16" s="34" t="s">
        <v>109</v>
      </c>
      <c r="C16" s="34" t="s">
        <v>49</v>
      </c>
      <c r="D16" s="34" t="s">
        <v>50</v>
      </c>
      <c r="E16" s="34" t="n">
        <v>90</v>
      </c>
      <c r="F16" s="35" t="n">
        <f aca="false">0.0508*1000</f>
        <v>50.8</v>
      </c>
      <c r="G16" s="34" t="n">
        <v>1.5</v>
      </c>
      <c r="H16" s="36" t="n">
        <f aca="false">56*0.3048</f>
        <v>17.0688</v>
      </c>
      <c r="I16" s="34" t="s">
        <v>110</v>
      </c>
      <c r="J16" s="33" t="n">
        <v>1.922</v>
      </c>
      <c r="K16" s="34" t="n">
        <v>7850</v>
      </c>
      <c r="L16" s="34" t="n">
        <v>108</v>
      </c>
      <c r="M16" s="37" t="n">
        <v>1.8E-005</v>
      </c>
      <c r="N16" s="34" t="n">
        <v>1.225</v>
      </c>
      <c r="O16" s="34" t="n">
        <v>0</v>
      </c>
      <c r="P16" s="34" t="n">
        <v>0</v>
      </c>
      <c r="Q16" s="34" t="n">
        <v>0</v>
      </c>
      <c r="R16" s="34" t="n">
        <v>0</v>
      </c>
      <c r="S16" s="36" t="n">
        <f aca="false">(N16*L16+P16*R16)/(L16+P16)</f>
        <v>1.225</v>
      </c>
      <c r="T16" s="49" t="n">
        <f aca="false">(M16*L16+P16*Q16*0.1)/(L16+P16)</f>
        <v>1.8E-005</v>
      </c>
      <c r="U16" s="34" t="n">
        <v>550</v>
      </c>
      <c r="V16" s="34" t="n">
        <v>2650</v>
      </c>
      <c r="W16" s="40" t="n">
        <f aca="false">0.0000189*V16</f>
        <v>0.050085</v>
      </c>
      <c r="X16" s="41" t="n">
        <f aca="false">Y16-BB16</f>
        <v>0</v>
      </c>
      <c r="Y16" s="42" t="n">
        <v>8.63342750602044E-005</v>
      </c>
      <c r="Z16" s="15" t="n">
        <v>1</v>
      </c>
      <c r="AA16" s="43" t="n">
        <v>0.066</v>
      </c>
      <c r="AB16" s="44"/>
      <c r="AC16" s="45" t="s">
        <v>111</v>
      </c>
      <c r="AD16" s="0"/>
      <c r="AE16" s="32" t="s">
        <v>112</v>
      </c>
      <c r="AF16" s="15"/>
      <c r="AG16" s="0"/>
      <c r="AH16" s="46" t="n">
        <f aca="false">MAX(L16,P16)</f>
        <v>108</v>
      </c>
      <c r="AI16" s="41" t="n">
        <f aca="false">MAX(M16,Q16)</f>
        <v>1.8E-005</v>
      </c>
      <c r="AJ16" s="47" t="n">
        <f aca="false">MAX(N16,R16)</f>
        <v>1.225</v>
      </c>
      <c r="AK16" s="47"/>
      <c r="AL16" s="19" t="n">
        <v>14</v>
      </c>
      <c r="AM16" s="20" t="str">
        <f aca="false">B16</f>
        <v>Elbow</v>
      </c>
      <c r="AN16" s="20" t="str">
        <f aca="false">C16</f>
        <v>Gas-solid</v>
      </c>
      <c r="AO16" s="20" t="str">
        <f aca="false">D16</f>
        <v>H-V</v>
      </c>
      <c r="AP16" s="20" t="n">
        <f aca="false">E16</f>
        <v>90</v>
      </c>
      <c r="AQ16" s="48" t="n">
        <f aca="false">G16</f>
        <v>1.5</v>
      </c>
      <c r="AR16" s="23" t="n">
        <f aca="false">H16/(F16/1000)</f>
        <v>336</v>
      </c>
      <c r="AS16" s="22" t="n">
        <v>1E-006</v>
      </c>
      <c r="AT16" s="23" t="n">
        <f aca="false">AH16/SQRT(9.81*(F16/1000))</f>
        <v>152.988010034552</v>
      </c>
      <c r="AU16" s="23" t="n">
        <f aca="false">(AH16*AJ16*(F16/1000))/AI16</f>
        <v>373380</v>
      </c>
      <c r="AV16" s="23" t="n">
        <f aca="false">((U16/10^6)^3*AJ16*(V16-AJ16)*9.81)/AI16^2</f>
        <v>16345.3123116537</v>
      </c>
      <c r="AW16" s="23" t="n">
        <f aca="false">(V16*((U16/10^6)^2)/(18*AI16))*AH16/(F16/1000)</f>
        <v>5260.00656167979</v>
      </c>
      <c r="AX16" s="23" t="n">
        <f aca="false">AJ16*(U16/10^6)*AH16/AI16</f>
        <v>4042.5</v>
      </c>
      <c r="AY16" s="24" t="n">
        <f aca="false">(U16/10^6)/(F16/1000)</f>
        <v>0.0108267716535433</v>
      </c>
      <c r="AZ16" s="23" t="n">
        <f aca="false">AJ16/V16</f>
        <v>0.000462264150943396</v>
      </c>
      <c r="BA16" s="24" t="n">
        <f aca="false">(J16*10^9)/(K16*AH16^2)</f>
        <v>20.9911492053507</v>
      </c>
      <c r="BB16" s="23" t="n">
        <f aca="false">Y16</f>
        <v>8.63342750602044E-005</v>
      </c>
      <c r="BC16" s="23" t="n">
        <f aca="false">MAX(Z16,1)</f>
        <v>1</v>
      </c>
      <c r="BD16" s="23" t="n">
        <f aca="false">AA16</f>
        <v>0.066</v>
      </c>
      <c r="BE16" s="23" t="n">
        <f aca="false">0.8*BD16</f>
        <v>0.0528</v>
      </c>
      <c r="BF16" s="23" t="n">
        <f aca="false">BD16*1.2</f>
        <v>0.0792</v>
      </c>
      <c r="BG16" s="0" t="str">
        <f aca="false">AC16</f>
        <v>Bourgoyne (1989)</v>
      </c>
    </row>
    <row r="17" customFormat="false" ht="12.8" hidden="false" customHeight="false" outlineLevel="0" collapsed="false">
      <c r="A17" s="15" t="n">
        <v>15</v>
      </c>
      <c r="B17" s="34" t="s">
        <v>109</v>
      </c>
      <c r="C17" s="34" t="s">
        <v>49</v>
      </c>
      <c r="D17" s="34" t="s">
        <v>50</v>
      </c>
      <c r="E17" s="34" t="n">
        <v>90</v>
      </c>
      <c r="F17" s="35" t="n">
        <f aca="false">0.0508*1000</f>
        <v>50.8</v>
      </c>
      <c r="G17" s="34" t="n">
        <v>1.5</v>
      </c>
      <c r="H17" s="36" t="n">
        <f aca="false">56*0.3048</f>
        <v>17.0688</v>
      </c>
      <c r="I17" s="34" t="s">
        <v>110</v>
      </c>
      <c r="J17" s="33" t="n">
        <v>1.922</v>
      </c>
      <c r="K17" s="34" t="n">
        <v>7850</v>
      </c>
      <c r="L17" s="34" t="n">
        <v>107</v>
      </c>
      <c r="M17" s="37" t="n">
        <v>1.8E-005</v>
      </c>
      <c r="N17" s="34" t="n">
        <v>1.225</v>
      </c>
      <c r="O17" s="34" t="n">
        <v>0</v>
      </c>
      <c r="P17" s="34" t="n">
        <v>0</v>
      </c>
      <c r="Q17" s="34" t="n">
        <v>0</v>
      </c>
      <c r="R17" s="34" t="n">
        <v>0</v>
      </c>
      <c r="S17" s="36" t="n">
        <f aca="false">(N17*L17+P17*R17)/(L17+P17)</f>
        <v>1.225</v>
      </c>
      <c r="T17" s="49" t="n">
        <f aca="false">(M17*L17+P17*Q17*0.1)/(L17+P17)</f>
        <v>1.8E-005</v>
      </c>
      <c r="U17" s="34" t="n">
        <v>550</v>
      </c>
      <c r="V17" s="34" t="n">
        <v>2650</v>
      </c>
      <c r="W17" s="40" t="n">
        <f aca="false">0.000122*V17</f>
        <v>0.3233</v>
      </c>
      <c r="X17" s="41" t="n">
        <f aca="false">Y17-BB17</f>
        <v>0</v>
      </c>
      <c r="Y17" s="42" t="n">
        <v>0.000562230633493652</v>
      </c>
      <c r="Z17" s="15" t="n">
        <v>1</v>
      </c>
      <c r="AA17" s="43" t="n">
        <v>0.0482</v>
      </c>
      <c r="AB17" s="44"/>
      <c r="AC17" s="45" t="s">
        <v>111</v>
      </c>
      <c r="AD17" s="0"/>
      <c r="AE17" s="32" t="s">
        <v>112</v>
      </c>
      <c r="AF17" s="15"/>
      <c r="AG17" s="0"/>
      <c r="AH17" s="46" t="n">
        <f aca="false">MAX(L17,P17)</f>
        <v>107</v>
      </c>
      <c r="AI17" s="41" t="n">
        <f aca="false">MAX(M17,Q17)</f>
        <v>1.8E-005</v>
      </c>
      <c r="AJ17" s="47" t="n">
        <f aca="false">MAX(N17,R17)</f>
        <v>1.225</v>
      </c>
      <c r="AK17" s="47"/>
      <c r="AL17" s="19" t="n">
        <v>15</v>
      </c>
      <c r="AM17" s="20" t="str">
        <f aca="false">B17</f>
        <v>Elbow</v>
      </c>
      <c r="AN17" s="20" t="str">
        <f aca="false">C17</f>
        <v>Gas-solid</v>
      </c>
      <c r="AO17" s="20" t="str">
        <f aca="false">D17</f>
        <v>H-V</v>
      </c>
      <c r="AP17" s="20" t="n">
        <f aca="false">E17</f>
        <v>90</v>
      </c>
      <c r="AQ17" s="48" t="n">
        <f aca="false">G17</f>
        <v>1.5</v>
      </c>
      <c r="AR17" s="23" t="n">
        <f aca="false">H17/(F17/1000)</f>
        <v>336</v>
      </c>
      <c r="AS17" s="22" t="n">
        <v>1E-006</v>
      </c>
      <c r="AT17" s="23" t="n">
        <f aca="false">AH17/SQRT(9.81*(F17/1000))</f>
        <v>151.571454386084</v>
      </c>
      <c r="AU17" s="23" t="n">
        <f aca="false">(AH17*AJ17*(F17/1000))/AI17</f>
        <v>369922.777777778</v>
      </c>
      <c r="AV17" s="23" t="n">
        <f aca="false">((U17/10^6)^3*AJ17*(V17-AJ17)*9.81)/AI17^2</f>
        <v>16345.3123116537</v>
      </c>
      <c r="AW17" s="23" t="n">
        <f aca="false">(V17*((U17/10^6)^2)/(18*AI17))*AH17/(F17/1000)</f>
        <v>5211.30279721979</v>
      </c>
      <c r="AX17" s="23" t="n">
        <f aca="false">AJ17*(U17/10^6)*AH17/AI17</f>
        <v>4005.06944444444</v>
      </c>
      <c r="AY17" s="24" t="n">
        <f aca="false">(U17/10^6)/(F17/1000)</f>
        <v>0.0108267716535433</v>
      </c>
      <c r="AZ17" s="23" t="n">
        <f aca="false">AJ17/V17</f>
        <v>0.000462264150943396</v>
      </c>
      <c r="BA17" s="24" t="n">
        <f aca="false">(J17*10^9)/(K17*AH17^2)</f>
        <v>21.3853405826893</v>
      </c>
      <c r="BB17" s="23" t="n">
        <f aca="false">Y17</f>
        <v>0.000562230633493652</v>
      </c>
      <c r="BC17" s="23" t="n">
        <f aca="false">MAX(Z17,1)</f>
        <v>1</v>
      </c>
      <c r="BD17" s="23" t="n">
        <f aca="false">AA17</f>
        <v>0.0482</v>
      </c>
      <c r="BE17" s="23" t="n">
        <f aca="false">0.8*BD17</f>
        <v>0.03856</v>
      </c>
      <c r="BF17" s="23" t="n">
        <f aca="false">BD17*1.2</f>
        <v>0.05784</v>
      </c>
      <c r="BG17" s="0" t="str">
        <f aca="false">AC17</f>
        <v>Bourgoyne (1989)</v>
      </c>
    </row>
    <row r="18" customFormat="false" ht="12.8" hidden="false" customHeight="false" outlineLevel="0" collapsed="false">
      <c r="A18" s="15" t="n">
        <v>16</v>
      </c>
      <c r="B18" s="34" t="s">
        <v>109</v>
      </c>
      <c r="C18" s="34" t="s">
        <v>49</v>
      </c>
      <c r="D18" s="34" t="s">
        <v>50</v>
      </c>
      <c r="E18" s="34" t="n">
        <v>90</v>
      </c>
      <c r="F18" s="35" t="n">
        <f aca="false">0.0508*1000</f>
        <v>50.8</v>
      </c>
      <c r="G18" s="34" t="n">
        <v>1.5</v>
      </c>
      <c r="H18" s="36" t="n">
        <f aca="false">56*0.3048</f>
        <v>17.0688</v>
      </c>
      <c r="I18" s="34" t="s">
        <v>110</v>
      </c>
      <c r="J18" s="33" t="n">
        <v>1.922</v>
      </c>
      <c r="K18" s="34" t="n">
        <v>7850</v>
      </c>
      <c r="L18" s="34" t="n">
        <v>107</v>
      </c>
      <c r="M18" s="37" t="n">
        <v>1.8E-005</v>
      </c>
      <c r="N18" s="34" t="n">
        <v>1.225</v>
      </c>
      <c r="O18" s="34" t="n">
        <v>0</v>
      </c>
      <c r="P18" s="34" t="n">
        <v>0</v>
      </c>
      <c r="Q18" s="34" t="n">
        <v>0</v>
      </c>
      <c r="R18" s="34" t="n">
        <v>0</v>
      </c>
      <c r="S18" s="36" t="n">
        <f aca="false">(N18*L18+P18*R18)/(L18+P18)</f>
        <v>1.225</v>
      </c>
      <c r="T18" s="49" t="n">
        <f aca="false">(M18*L18+P18*Q18*0.1)/(L18+P18)</f>
        <v>1.8E-005</v>
      </c>
      <c r="U18" s="34" t="n">
        <v>550</v>
      </c>
      <c r="V18" s="34" t="n">
        <v>2650</v>
      </c>
      <c r="W18" s="40" t="n">
        <f aca="false">0.000227*V18</f>
        <v>0.60155</v>
      </c>
      <c r="X18" s="41" t="n">
        <f aca="false">Y18-BB18</f>
        <v>0</v>
      </c>
      <c r="Y18" s="42" t="n">
        <v>0.00104561169619503</v>
      </c>
      <c r="Z18" s="15" t="n">
        <v>1</v>
      </c>
      <c r="AA18" s="43" t="n">
        <v>0.0593</v>
      </c>
      <c r="AB18" s="44"/>
      <c r="AC18" s="45" t="s">
        <v>111</v>
      </c>
      <c r="AD18" s="0"/>
      <c r="AE18" s="32" t="s">
        <v>112</v>
      </c>
      <c r="AF18" s="15"/>
      <c r="AG18" s="0"/>
      <c r="AH18" s="46" t="n">
        <f aca="false">MAX(L18,P18)</f>
        <v>107</v>
      </c>
      <c r="AI18" s="41" t="n">
        <f aca="false">MAX(M18,Q18)</f>
        <v>1.8E-005</v>
      </c>
      <c r="AJ18" s="47" t="n">
        <f aca="false">MAX(N18,R18)</f>
        <v>1.225</v>
      </c>
      <c r="AK18" s="47"/>
      <c r="AL18" s="19" t="n">
        <v>16</v>
      </c>
      <c r="AM18" s="20" t="str">
        <f aca="false">B18</f>
        <v>Elbow</v>
      </c>
      <c r="AN18" s="20" t="str">
        <f aca="false">C18</f>
        <v>Gas-solid</v>
      </c>
      <c r="AO18" s="20" t="str">
        <f aca="false">D18</f>
        <v>H-V</v>
      </c>
      <c r="AP18" s="20" t="n">
        <f aca="false">E18</f>
        <v>90</v>
      </c>
      <c r="AQ18" s="48" t="n">
        <f aca="false">G18</f>
        <v>1.5</v>
      </c>
      <c r="AR18" s="23" t="n">
        <f aca="false">H18/(F18/1000)</f>
        <v>336</v>
      </c>
      <c r="AS18" s="22" t="n">
        <v>1E-006</v>
      </c>
      <c r="AT18" s="23" t="n">
        <f aca="false">AH18/SQRT(9.81*(F18/1000))</f>
        <v>151.571454386084</v>
      </c>
      <c r="AU18" s="23" t="n">
        <f aca="false">(AH18*AJ18*(F18/1000))/AI18</f>
        <v>369922.777777778</v>
      </c>
      <c r="AV18" s="23" t="n">
        <f aca="false">((U18/10^6)^3*AJ18*(V18-AJ18)*9.81)/AI18^2</f>
        <v>16345.3123116537</v>
      </c>
      <c r="AW18" s="23" t="n">
        <f aca="false">(V18*((U18/10^6)^2)/(18*AI18))*AH18/(F18/1000)</f>
        <v>5211.30279721979</v>
      </c>
      <c r="AX18" s="23" t="n">
        <f aca="false">AJ18*(U18/10^6)*AH18/AI18</f>
        <v>4005.06944444444</v>
      </c>
      <c r="AY18" s="24" t="n">
        <f aca="false">(U18/10^6)/(F18/1000)</f>
        <v>0.0108267716535433</v>
      </c>
      <c r="AZ18" s="23" t="n">
        <f aca="false">AJ18/V18</f>
        <v>0.000462264150943396</v>
      </c>
      <c r="BA18" s="24" t="n">
        <f aca="false">(J18*10^9)/(K18*AH18^2)</f>
        <v>21.3853405826893</v>
      </c>
      <c r="BB18" s="23" t="n">
        <f aca="false">Y18</f>
        <v>0.00104561169619503</v>
      </c>
      <c r="BC18" s="23" t="n">
        <f aca="false">MAX(Z18,1)</f>
        <v>1</v>
      </c>
      <c r="BD18" s="23" t="n">
        <f aca="false">AA18</f>
        <v>0.0593</v>
      </c>
      <c r="BE18" s="23" t="n">
        <f aca="false">0.8*BD18</f>
        <v>0.04744</v>
      </c>
      <c r="BF18" s="23" t="n">
        <f aca="false">BD18*1.2</f>
        <v>0.07116</v>
      </c>
      <c r="BG18" s="0" t="str">
        <f aca="false">AC18</f>
        <v>Bourgoyne (1989)</v>
      </c>
    </row>
    <row r="19" customFormat="false" ht="12.8" hidden="false" customHeight="false" outlineLevel="0" collapsed="false">
      <c r="A19" s="15" t="n">
        <v>17</v>
      </c>
      <c r="B19" s="34" t="s">
        <v>109</v>
      </c>
      <c r="C19" s="34" t="s">
        <v>49</v>
      </c>
      <c r="D19" s="34" t="s">
        <v>50</v>
      </c>
      <c r="E19" s="34" t="n">
        <v>90</v>
      </c>
      <c r="F19" s="35" t="n">
        <f aca="false">0.0508*1000</f>
        <v>50.8</v>
      </c>
      <c r="G19" s="34" t="n">
        <v>1.5</v>
      </c>
      <c r="H19" s="36" t="n">
        <f aca="false">56*0.3048</f>
        <v>17.0688</v>
      </c>
      <c r="I19" s="34" t="s">
        <v>110</v>
      </c>
      <c r="J19" s="33" t="n">
        <v>1.922</v>
      </c>
      <c r="K19" s="34" t="n">
        <v>7850</v>
      </c>
      <c r="L19" s="34" t="n">
        <v>106</v>
      </c>
      <c r="M19" s="37" t="n">
        <v>1.8E-005</v>
      </c>
      <c r="N19" s="34" t="n">
        <v>1.225</v>
      </c>
      <c r="O19" s="34" t="n">
        <v>0</v>
      </c>
      <c r="P19" s="34" t="n">
        <v>0</v>
      </c>
      <c r="Q19" s="34" t="n">
        <v>0</v>
      </c>
      <c r="R19" s="34" t="n">
        <v>0</v>
      </c>
      <c r="S19" s="36" t="n">
        <f aca="false">(N19*L19+P19*R19)/(L19+P19)</f>
        <v>1.225</v>
      </c>
      <c r="T19" s="49" t="n">
        <f aca="false">(M19*L19+P19*Q19*0.1)/(L19+P19)</f>
        <v>1.8E-005</v>
      </c>
      <c r="U19" s="34" t="n">
        <v>550</v>
      </c>
      <c r="V19" s="34" t="n">
        <v>2650</v>
      </c>
      <c r="W19" s="40" t="n">
        <f aca="false">0.00024*V19</f>
        <v>0.636</v>
      </c>
      <c r="X19" s="41" t="n">
        <f aca="false">Y19-BB19</f>
        <v>0</v>
      </c>
      <c r="Y19" s="42" t="n">
        <v>0.00111584326219619</v>
      </c>
      <c r="Z19" s="15" t="n">
        <v>1</v>
      </c>
      <c r="AA19" s="43" t="n">
        <v>0.0513</v>
      </c>
      <c r="AB19" s="44"/>
      <c r="AC19" s="45" t="s">
        <v>111</v>
      </c>
      <c r="AD19" s="0"/>
      <c r="AE19" s="32" t="s">
        <v>112</v>
      </c>
      <c r="AF19" s="15"/>
      <c r="AG19" s="0"/>
      <c r="AH19" s="46" t="n">
        <f aca="false">MAX(L19,P19)</f>
        <v>106</v>
      </c>
      <c r="AI19" s="41" t="n">
        <f aca="false">MAX(M19,Q19)</f>
        <v>1.8E-005</v>
      </c>
      <c r="AJ19" s="47" t="n">
        <f aca="false">MAX(N19,R19)</f>
        <v>1.225</v>
      </c>
      <c r="AK19" s="47"/>
      <c r="AL19" s="19" t="n">
        <v>17</v>
      </c>
      <c r="AM19" s="20" t="str">
        <f aca="false">B19</f>
        <v>Elbow</v>
      </c>
      <c r="AN19" s="20" t="str">
        <f aca="false">C19</f>
        <v>Gas-solid</v>
      </c>
      <c r="AO19" s="20" t="str">
        <f aca="false">D19</f>
        <v>H-V</v>
      </c>
      <c r="AP19" s="20" t="n">
        <f aca="false">E19</f>
        <v>90</v>
      </c>
      <c r="AQ19" s="48" t="n">
        <f aca="false">G19</f>
        <v>1.5</v>
      </c>
      <c r="AR19" s="23" t="n">
        <f aca="false">H19/(F19/1000)</f>
        <v>336</v>
      </c>
      <c r="AS19" s="22" t="n">
        <v>1E-006</v>
      </c>
      <c r="AT19" s="23" t="n">
        <f aca="false">AH19/SQRT(9.81*(F19/1000))</f>
        <v>150.154898737616</v>
      </c>
      <c r="AU19" s="23" t="n">
        <f aca="false">(AH19*AJ19*(F19/1000))/AI19</f>
        <v>366465.555555556</v>
      </c>
      <c r="AV19" s="23" t="n">
        <f aca="false">((U19/10^6)^3*AJ19*(V19-AJ19)*9.81)/AI19^2</f>
        <v>16345.3123116537</v>
      </c>
      <c r="AW19" s="23" t="n">
        <f aca="false">(V19*((U19/10^6)^2)/(18*AI19))*AH19/(F19/1000)</f>
        <v>5162.59903275979</v>
      </c>
      <c r="AX19" s="23" t="n">
        <f aca="false">AJ19*(U19/10^6)*AH19/AI19</f>
        <v>3967.63888888889</v>
      </c>
      <c r="AY19" s="24" t="n">
        <f aca="false">(U19/10^6)/(F19/1000)</f>
        <v>0.0108267716535433</v>
      </c>
      <c r="AZ19" s="23" t="n">
        <f aca="false">AJ19/V19</f>
        <v>0.000462264150943396</v>
      </c>
      <c r="BA19" s="24" t="n">
        <f aca="false">(J19*10^9)/(K19*AH19^2)</f>
        <v>21.7907408625143</v>
      </c>
      <c r="BB19" s="23" t="n">
        <f aca="false">Y19</f>
        <v>0.00111584326219619</v>
      </c>
      <c r="BC19" s="23" t="n">
        <f aca="false">MAX(Z19,1)</f>
        <v>1</v>
      </c>
      <c r="BD19" s="23" t="n">
        <f aca="false">AA19</f>
        <v>0.0513</v>
      </c>
      <c r="BE19" s="23" t="n">
        <f aca="false">0.8*BD19</f>
        <v>0.04104</v>
      </c>
      <c r="BF19" s="23" t="n">
        <f aca="false">BD19*1.2</f>
        <v>0.06156</v>
      </c>
      <c r="BG19" s="0" t="str">
        <f aca="false">AC19</f>
        <v>Bourgoyne (1989)</v>
      </c>
    </row>
    <row r="20" customFormat="false" ht="12.8" hidden="false" customHeight="false" outlineLevel="0" collapsed="false">
      <c r="A20" s="15" t="n">
        <v>18</v>
      </c>
      <c r="B20" s="34" t="s">
        <v>109</v>
      </c>
      <c r="C20" s="34" t="s">
        <v>49</v>
      </c>
      <c r="D20" s="34" t="s">
        <v>50</v>
      </c>
      <c r="E20" s="34" t="n">
        <v>90</v>
      </c>
      <c r="F20" s="35" t="n">
        <f aca="false">0.0508*1000</f>
        <v>50.8</v>
      </c>
      <c r="G20" s="34" t="n">
        <v>1.5</v>
      </c>
      <c r="H20" s="36" t="n">
        <f aca="false">56*0.3048</f>
        <v>17.0688</v>
      </c>
      <c r="I20" s="34" t="s">
        <v>110</v>
      </c>
      <c r="J20" s="33" t="n">
        <v>1.922</v>
      </c>
      <c r="K20" s="34" t="n">
        <v>7850</v>
      </c>
      <c r="L20" s="34" t="n">
        <v>104</v>
      </c>
      <c r="M20" s="37" t="n">
        <v>1.8E-005</v>
      </c>
      <c r="N20" s="34" t="n">
        <v>1.225</v>
      </c>
      <c r="O20" s="34" t="n">
        <v>0</v>
      </c>
      <c r="P20" s="34" t="n">
        <v>0</v>
      </c>
      <c r="Q20" s="34" t="n">
        <v>0</v>
      </c>
      <c r="R20" s="34" t="n">
        <v>0</v>
      </c>
      <c r="S20" s="36" t="n">
        <f aca="false">(N20*L20+P20*R20)/(L20+P20)</f>
        <v>1.225</v>
      </c>
      <c r="T20" s="49" t="n">
        <f aca="false">(M20*L20+P20*Q20*0.1)/(L20+P20)</f>
        <v>1.8E-005</v>
      </c>
      <c r="U20" s="34" t="n">
        <v>550</v>
      </c>
      <c r="V20" s="34" t="n">
        <v>2650</v>
      </c>
      <c r="W20" s="40" t="n">
        <f aca="false">0.0000578*V20</f>
        <v>0.15317</v>
      </c>
      <c r="X20" s="41" t="n">
        <f aca="false">Y20-BB20</f>
        <v>0</v>
      </c>
      <c r="Y20" s="42" t="n">
        <v>0.000274130982925955</v>
      </c>
      <c r="Z20" s="15" t="n">
        <v>1</v>
      </c>
      <c r="AA20" s="43" t="n">
        <v>0.0646</v>
      </c>
      <c r="AB20" s="44"/>
      <c r="AC20" s="45" t="s">
        <v>111</v>
      </c>
      <c r="AD20" s="0"/>
      <c r="AE20" s="32" t="s">
        <v>112</v>
      </c>
      <c r="AF20" s="15"/>
      <c r="AG20" s="0"/>
      <c r="AH20" s="46" t="n">
        <f aca="false">MAX(L20,P20)</f>
        <v>104</v>
      </c>
      <c r="AI20" s="41" t="n">
        <f aca="false">MAX(M20,Q20)</f>
        <v>1.8E-005</v>
      </c>
      <c r="AJ20" s="47" t="n">
        <f aca="false">MAX(N20,R20)</f>
        <v>1.225</v>
      </c>
      <c r="AK20" s="47"/>
      <c r="AL20" s="19" t="n">
        <v>18</v>
      </c>
      <c r="AM20" s="20" t="str">
        <f aca="false">B20</f>
        <v>Elbow</v>
      </c>
      <c r="AN20" s="20" t="str">
        <f aca="false">C20</f>
        <v>Gas-solid</v>
      </c>
      <c r="AO20" s="20" t="str">
        <f aca="false">D20</f>
        <v>H-V</v>
      </c>
      <c r="AP20" s="20" t="n">
        <f aca="false">E20</f>
        <v>90</v>
      </c>
      <c r="AQ20" s="48" t="n">
        <f aca="false">G20</f>
        <v>1.5</v>
      </c>
      <c r="AR20" s="23" t="n">
        <f aca="false">H20/(F20/1000)</f>
        <v>336</v>
      </c>
      <c r="AS20" s="22" t="n">
        <v>1E-006</v>
      </c>
      <c r="AT20" s="23" t="n">
        <f aca="false">AH20/SQRT(9.81*(F20/1000))</f>
        <v>147.32178744068</v>
      </c>
      <c r="AU20" s="23" t="n">
        <f aca="false">(AH20*AJ20*(F20/1000))/AI20</f>
        <v>359551.111111111</v>
      </c>
      <c r="AV20" s="23" t="n">
        <f aca="false">((U20/10^6)^3*AJ20*(V20-AJ20)*9.81)/AI20^2</f>
        <v>16345.3123116537</v>
      </c>
      <c r="AW20" s="23" t="n">
        <f aca="false">(V20*((U20/10^6)^2)/(18*AI20))*AH20/(F20/1000)</f>
        <v>5065.1915038398</v>
      </c>
      <c r="AX20" s="23" t="n">
        <f aca="false">AJ20*(U20/10^6)*AH20/AI20</f>
        <v>3892.77777777778</v>
      </c>
      <c r="AY20" s="24" t="n">
        <f aca="false">(U20/10^6)/(F20/1000)</f>
        <v>0.0108267716535433</v>
      </c>
      <c r="AZ20" s="23" t="n">
        <f aca="false">AJ20/V20</f>
        <v>0.000462264150943396</v>
      </c>
      <c r="BA20" s="24" t="n">
        <f aca="false">(J20*10^9)/(K20*AH20^2)</f>
        <v>22.6369049862435</v>
      </c>
      <c r="BB20" s="23" t="n">
        <f aca="false">Y20</f>
        <v>0.000274130982925955</v>
      </c>
      <c r="BC20" s="23" t="n">
        <f aca="false">MAX(Z20,1)</f>
        <v>1</v>
      </c>
      <c r="BD20" s="23" t="n">
        <f aca="false">AA20</f>
        <v>0.0646</v>
      </c>
      <c r="BE20" s="23" t="n">
        <f aca="false">0.8*BD20</f>
        <v>0.05168</v>
      </c>
      <c r="BF20" s="23" t="n">
        <f aca="false">BD20*1.2</f>
        <v>0.07752</v>
      </c>
      <c r="BG20" s="0" t="str">
        <f aca="false">AC20</f>
        <v>Bourgoyne (1989)</v>
      </c>
    </row>
    <row r="21" customFormat="false" ht="12.8" hidden="false" customHeight="false" outlineLevel="0" collapsed="false">
      <c r="A21" s="15" t="n">
        <v>19</v>
      </c>
      <c r="B21" s="34" t="s">
        <v>109</v>
      </c>
      <c r="C21" s="34" t="s">
        <v>49</v>
      </c>
      <c r="D21" s="34" t="s">
        <v>50</v>
      </c>
      <c r="E21" s="34" t="n">
        <v>90</v>
      </c>
      <c r="F21" s="35" t="n">
        <f aca="false">0.0508*1000</f>
        <v>50.8</v>
      </c>
      <c r="G21" s="34" t="n">
        <v>1.5</v>
      </c>
      <c r="H21" s="36" t="n">
        <f aca="false">56*0.3048</f>
        <v>17.0688</v>
      </c>
      <c r="I21" s="34" t="s">
        <v>110</v>
      </c>
      <c r="J21" s="33" t="n">
        <v>1.922</v>
      </c>
      <c r="K21" s="34" t="n">
        <v>7850</v>
      </c>
      <c r="L21" s="34" t="n">
        <v>103</v>
      </c>
      <c r="M21" s="37" t="n">
        <v>1.8E-005</v>
      </c>
      <c r="N21" s="34" t="n">
        <v>1.225</v>
      </c>
      <c r="O21" s="34" t="n">
        <v>0</v>
      </c>
      <c r="P21" s="34" t="n">
        <v>0</v>
      </c>
      <c r="Q21" s="34" t="n">
        <v>0</v>
      </c>
      <c r="R21" s="34" t="n">
        <v>0</v>
      </c>
      <c r="S21" s="36" t="n">
        <f aca="false">(N21*L21+P21*R21)/(L21+P21)</f>
        <v>1.225</v>
      </c>
      <c r="T21" s="49" t="n">
        <f aca="false">(M21*L21+P21*Q21*0.1)/(L21+P21)</f>
        <v>1.8E-005</v>
      </c>
      <c r="U21" s="34" t="n">
        <v>550</v>
      </c>
      <c r="V21" s="34" t="n">
        <v>2650</v>
      </c>
      <c r="W21" s="40" t="n">
        <f aca="false">0.0000532*V21</f>
        <v>0.14098</v>
      </c>
      <c r="X21" s="41" t="n">
        <f aca="false">Y21-BB21</f>
        <v>0</v>
      </c>
      <c r="Y21" s="42" t="n">
        <v>0.000254768918107201</v>
      </c>
      <c r="Z21" s="15" t="n">
        <v>1</v>
      </c>
      <c r="AA21" s="43" t="n">
        <v>0.0376</v>
      </c>
      <c r="AB21" s="44"/>
      <c r="AC21" s="45" t="s">
        <v>111</v>
      </c>
      <c r="AD21" s="0"/>
      <c r="AE21" s="32" t="s">
        <v>112</v>
      </c>
      <c r="AF21" s="15"/>
      <c r="AG21" s="0"/>
      <c r="AH21" s="46" t="n">
        <f aca="false">MAX(L21,P21)</f>
        <v>103</v>
      </c>
      <c r="AI21" s="41" t="n">
        <f aca="false">MAX(M21,Q21)</f>
        <v>1.8E-005</v>
      </c>
      <c r="AJ21" s="47" t="n">
        <f aca="false">MAX(N21,R21)</f>
        <v>1.225</v>
      </c>
      <c r="AK21" s="47"/>
      <c r="AL21" s="19" t="n">
        <v>19</v>
      </c>
      <c r="AM21" s="20" t="str">
        <f aca="false">B21</f>
        <v>Elbow</v>
      </c>
      <c r="AN21" s="20" t="str">
        <f aca="false">C21</f>
        <v>Gas-solid</v>
      </c>
      <c r="AO21" s="20" t="str">
        <f aca="false">D21</f>
        <v>H-V</v>
      </c>
      <c r="AP21" s="20" t="n">
        <f aca="false">E21</f>
        <v>90</v>
      </c>
      <c r="AQ21" s="48" t="n">
        <f aca="false">G21</f>
        <v>1.5</v>
      </c>
      <c r="AR21" s="23" t="n">
        <f aca="false">H21/(F21/1000)</f>
        <v>336</v>
      </c>
      <c r="AS21" s="22" t="n">
        <v>1E-006</v>
      </c>
      <c r="AT21" s="23" t="n">
        <f aca="false">AH21/SQRT(9.81*(F21/1000))</f>
        <v>145.905231792212</v>
      </c>
      <c r="AU21" s="23" t="n">
        <f aca="false">(AH21*AJ21*(F21/1000))/AI21</f>
        <v>356093.888888889</v>
      </c>
      <c r="AV21" s="23" t="n">
        <f aca="false">((U21/10^6)^3*AJ21*(V21-AJ21)*9.81)/AI21^2</f>
        <v>16345.3123116537</v>
      </c>
      <c r="AW21" s="23" t="n">
        <f aca="false">(V21*((U21/10^6)^2)/(18*AI21))*AH21/(F21/1000)</f>
        <v>5016.4877393798</v>
      </c>
      <c r="AX21" s="23" t="n">
        <f aca="false">AJ21*(U21/10^6)*AH21/AI21</f>
        <v>3855.34722222222</v>
      </c>
      <c r="AY21" s="24" t="n">
        <f aca="false">(U21/10^6)/(F21/1000)</f>
        <v>0.0108267716535433</v>
      </c>
      <c r="AZ21" s="23" t="n">
        <f aca="false">AJ21/V21</f>
        <v>0.000462264150943396</v>
      </c>
      <c r="BA21" s="24" t="n">
        <f aca="false">(J21*10^9)/(K21*AH21^2)</f>
        <v>23.078590284778</v>
      </c>
      <c r="BB21" s="23" t="n">
        <f aca="false">Y21</f>
        <v>0.000254768918107201</v>
      </c>
      <c r="BC21" s="23" t="n">
        <f aca="false">MAX(Z21,1)</f>
        <v>1</v>
      </c>
      <c r="BD21" s="23" t="n">
        <f aca="false">AA21</f>
        <v>0.0376</v>
      </c>
      <c r="BE21" s="23" t="n">
        <f aca="false">0.8*BD21</f>
        <v>0.03008</v>
      </c>
      <c r="BF21" s="23" t="n">
        <f aca="false">BD21*1.2</f>
        <v>0.04512</v>
      </c>
      <c r="BG21" s="0" t="str">
        <f aca="false">AC21</f>
        <v>Bourgoyne (1989)</v>
      </c>
    </row>
    <row r="22" customFormat="false" ht="12.8" hidden="false" customHeight="false" outlineLevel="0" collapsed="false">
      <c r="A22" s="15" t="n">
        <v>20</v>
      </c>
      <c r="B22" s="34" t="s">
        <v>109</v>
      </c>
      <c r="C22" s="34" t="s">
        <v>49</v>
      </c>
      <c r="D22" s="34" t="s">
        <v>50</v>
      </c>
      <c r="E22" s="34" t="n">
        <v>90</v>
      </c>
      <c r="F22" s="35" t="n">
        <f aca="false">0.0508*1000</f>
        <v>50.8</v>
      </c>
      <c r="G22" s="34" t="n">
        <v>1.5</v>
      </c>
      <c r="H22" s="36" t="n">
        <f aca="false">56*0.3048</f>
        <v>17.0688</v>
      </c>
      <c r="I22" s="34" t="s">
        <v>110</v>
      </c>
      <c r="J22" s="33" t="n">
        <v>1.922</v>
      </c>
      <c r="K22" s="34" t="n">
        <v>7850</v>
      </c>
      <c r="L22" s="34" t="n">
        <v>103</v>
      </c>
      <c r="M22" s="37" t="n">
        <v>1.8E-005</v>
      </c>
      <c r="N22" s="34" t="n">
        <v>1.225</v>
      </c>
      <c r="O22" s="34" t="n">
        <v>0</v>
      </c>
      <c r="P22" s="34" t="n">
        <v>0</v>
      </c>
      <c r="Q22" s="34" t="n">
        <v>0</v>
      </c>
      <c r="R22" s="34" t="n">
        <v>0</v>
      </c>
      <c r="S22" s="36" t="n">
        <f aca="false">(N22*L22+P22*R22)/(L22+P22)</f>
        <v>1.225</v>
      </c>
      <c r="T22" s="49" t="n">
        <f aca="false">(M22*L22+P22*Q22*0.1)/(L22+P22)</f>
        <v>1.8E-005</v>
      </c>
      <c r="U22" s="34" t="n">
        <v>550</v>
      </c>
      <c r="V22" s="34" t="n">
        <v>2650</v>
      </c>
      <c r="W22" s="40" t="n">
        <f aca="false">0.000282*V22</f>
        <v>0.7473</v>
      </c>
      <c r="X22" s="41" t="n">
        <f aca="false">Y22-BB22</f>
        <v>0</v>
      </c>
      <c r="Y22" s="42" t="n">
        <v>0.00134898873741434</v>
      </c>
      <c r="Z22" s="15" t="n">
        <v>1</v>
      </c>
      <c r="AA22" s="43" t="n">
        <v>0.0397</v>
      </c>
      <c r="AB22" s="44"/>
      <c r="AC22" s="45" t="s">
        <v>111</v>
      </c>
      <c r="AD22" s="0"/>
      <c r="AE22" s="32" t="s">
        <v>112</v>
      </c>
      <c r="AF22" s="15"/>
      <c r="AG22" s="0"/>
      <c r="AH22" s="46" t="n">
        <f aca="false">MAX(L22,P22)</f>
        <v>103</v>
      </c>
      <c r="AI22" s="41" t="n">
        <f aca="false">MAX(M22,Q22)</f>
        <v>1.8E-005</v>
      </c>
      <c r="AJ22" s="47" t="n">
        <f aca="false">MAX(N22,R22)</f>
        <v>1.225</v>
      </c>
      <c r="AK22" s="47"/>
      <c r="AL22" s="19" t="n">
        <v>20</v>
      </c>
      <c r="AM22" s="20" t="str">
        <f aca="false">B22</f>
        <v>Elbow</v>
      </c>
      <c r="AN22" s="20" t="str">
        <f aca="false">C22</f>
        <v>Gas-solid</v>
      </c>
      <c r="AO22" s="20" t="str">
        <f aca="false">D22</f>
        <v>H-V</v>
      </c>
      <c r="AP22" s="20" t="n">
        <f aca="false">E22</f>
        <v>90</v>
      </c>
      <c r="AQ22" s="48" t="n">
        <f aca="false">G22</f>
        <v>1.5</v>
      </c>
      <c r="AR22" s="23" t="n">
        <f aca="false">H22/(F22/1000)</f>
        <v>336</v>
      </c>
      <c r="AS22" s="22" t="n">
        <v>1E-006</v>
      </c>
      <c r="AT22" s="23" t="n">
        <f aca="false">AH22/SQRT(9.81*(F22/1000))</f>
        <v>145.905231792212</v>
      </c>
      <c r="AU22" s="23" t="n">
        <f aca="false">(AH22*AJ22*(F22/1000))/AI22</f>
        <v>356093.888888889</v>
      </c>
      <c r="AV22" s="23" t="n">
        <f aca="false">((U22/10^6)^3*AJ22*(V22-AJ22)*9.81)/AI22^2</f>
        <v>16345.3123116537</v>
      </c>
      <c r="AW22" s="23" t="n">
        <f aca="false">(V22*((U22/10^6)^2)/(18*AI22))*AH22/(F22/1000)</f>
        <v>5016.4877393798</v>
      </c>
      <c r="AX22" s="23" t="n">
        <f aca="false">AJ22*(U22/10^6)*AH22/AI22</f>
        <v>3855.34722222222</v>
      </c>
      <c r="AY22" s="24" t="n">
        <f aca="false">(U22/10^6)/(F22/1000)</f>
        <v>0.0108267716535433</v>
      </c>
      <c r="AZ22" s="23" t="n">
        <f aca="false">AJ22/V22</f>
        <v>0.000462264150943396</v>
      </c>
      <c r="BA22" s="24" t="n">
        <f aca="false">(J22*10^9)/(K22*AH22^2)</f>
        <v>23.078590284778</v>
      </c>
      <c r="BB22" s="23" t="n">
        <f aca="false">Y22</f>
        <v>0.00134898873741434</v>
      </c>
      <c r="BC22" s="23" t="n">
        <f aca="false">MAX(Z22,1)</f>
        <v>1</v>
      </c>
      <c r="BD22" s="23" t="n">
        <f aca="false">AA22</f>
        <v>0.0397</v>
      </c>
      <c r="BE22" s="23" t="n">
        <f aca="false">0.8*BD22</f>
        <v>0.03176</v>
      </c>
      <c r="BF22" s="23" t="n">
        <f aca="false">BD22*1.2</f>
        <v>0.04764</v>
      </c>
      <c r="BG22" s="0" t="str">
        <f aca="false">AC22</f>
        <v>Bourgoyne (1989)</v>
      </c>
    </row>
    <row r="23" customFormat="false" ht="12.8" hidden="false" customHeight="false" outlineLevel="0" collapsed="false">
      <c r="A23" s="15" t="n">
        <v>21</v>
      </c>
      <c r="B23" s="34" t="s">
        <v>109</v>
      </c>
      <c r="C23" s="34" t="s">
        <v>49</v>
      </c>
      <c r="D23" s="34" t="s">
        <v>50</v>
      </c>
      <c r="E23" s="34" t="n">
        <v>90</v>
      </c>
      <c r="F23" s="35" t="n">
        <f aca="false">0.0508*1000</f>
        <v>50.8</v>
      </c>
      <c r="G23" s="34" t="n">
        <v>1.5</v>
      </c>
      <c r="H23" s="36" t="n">
        <f aca="false">56*0.3048</f>
        <v>17.0688</v>
      </c>
      <c r="I23" s="34" t="s">
        <v>110</v>
      </c>
      <c r="J23" s="33" t="n">
        <v>1.922</v>
      </c>
      <c r="K23" s="34" t="n">
        <v>7850</v>
      </c>
      <c r="L23" s="34" t="n">
        <v>98</v>
      </c>
      <c r="M23" s="37" t="n">
        <v>1.8E-005</v>
      </c>
      <c r="N23" s="34" t="n">
        <v>1.225</v>
      </c>
      <c r="O23" s="34" t="n">
        <v>0</v>
      </c>
      <c r="P23" s="34" t="n">
        <v>0</v>
      </c>
      <c r="Q23" s="34" t="n">
        <v>0</v>
      </c>
      <c r="R23" s="34" t="n">
        <v>0</v>
      </c>
      <c r="S23" s="36" t="n">
        <f aca="false">(N23*L23+P23*R23)/(L23+P23)</f>
        <v>1.225</v>
      </c>
      <c r="T23" s="49" t="n">
        <f aca="false">(M23*L23+P23*Q23*0.1)/(L23+P23)</f>
        <v>1.8E-005</v>
      </c>
      <c r="U23" s="34" t="n">
        <v>550</v>
      </c>
      <c r="V23" s="34" t="n">
        <v>2650</v>
      </c>
      <c r="W23" s="40" t="n">
        <f aca="false">0.0000452*V23</f>
        <v>0.11978</v>
      </c>
      <c r="X23" s="41" t="n">
        <f aca="false">Y23-BB23</f>
        <v>0</v>
      </c>
      <c r="Y23" s="42" t="n">
        <v>0.000227507771575305</v>
      </c>
      <c r="Z23" s="15" t="n">
        <v>1</v>
      </c>
      <c r="AA23" s="43" t="n">
        <v>0.0354</v>
      </c>
      <c r="AB23" s="44"/>
      <c r="AC23" s="45" t="s">
        <v>111</v>
      </c>
      <c r="AD23" s="0"/>
      <c r="AE23" s="32" t="s">
        <v>112</v>
      </c>
      <c r="AF23" s="15"/>
      <c r="AG23" s="0"/>
      <c r="AH23" s="46" t="n">
        <f aca="false">MAX(L23,P23)</f>
        <v>98</v>
      </c>
      <c r="AI23" s="41" t="n">
        <f aca="false">MAX(M23,Q23)</f>
        <v>1.8E-005</v>
      </c>
      <c r="AJ23" s="47" t="n">
        <f aca="false">MAX(N23,R23)</f>
        <v>1.225</v>
      </c>
      <c r="AK23" s="47"/>
      <c r="AL23" s="19" t="n">
        <v>21</v>
      </c>
      <c r="AM23" s="20" t="str">
        <f aca="false">B23</f>
        <v>Elbow</v>
      </c>
      <c r="AN23" s="20" t="str">
        <f aca="false">C23</f>
        <v>Gas-solid</v>
      </c>
      <c r="AO23" s="20" t="str">
        <f aca="false">D23</f>
        <v>H-V</v>
      </c>
      <c r="AP23" s="20" t="n">
        <f aca="false">E23</f>
        <v>90</v>
      </c>
      <c r="AQ23" s="48" t="n">
        <f aca="false">G23</f>
        <v>1.5</v>
      </c>
      <c r="AR23" s="23" t="n">
        <f aca="false">H23/(F23/1000)</f>
        <v>336</v>
      </c>
      <c r="AS23" s="22" t="n">
        <v>1E-006</v>
      </c>
      <c r="AT23" s="23" t="n">
        <f aca="false">AH23/SQRT(9.81*(F23/1000))</f>
        <v>138.822453549871</v>
      </c>
      <c r="AU23" s="23" t="n">
        <f aca="false">(AH23*AJ23*(F23/1000))/AI23</f>
        <v>338807.777777778</v>
      </c>
      <c r="AV23" s="23" t="n">
        <f aca="false">((U23/10^6)^3*AJ23*(V23-AJ23)*9.81)/AI23^2</f>
        <v>16345.3123116537</v>
      </c>
      <c r="AW23" s="23" t="n">
        <f aca="false">(V23*((U23/10^6)^2)/(18*AI23))*AH23/(F23/1000)</f>
        <v>4772.96891707981</v>
      </c>
      <c r="AX23" s="23" t="n">
        <f aca="false">AJ23*(U23/10^6)*AH23/AI23</f>
        <v>3668.19444444444</v>
      </c>
      <c r="AY23" s="24" t="n">
        <f aca="false">(U23/10^6)/(F23/1000)</f>
        <v>0.0108267716535433</v>
      </c>
      <c r="AZ23" s="23" t="n">
        <f aca="false">AJ23/V23</f>
        <v>0.000462264150943396</v>
      </c>
      <c r="BA23" s="24" t="n">
        <f aca="false">(J23*10^9)/(K23*AH23^2)</f>
        <v>25.4936239411922</v>
      </c>
      <c r="BB23" s="23" t="n">
        <f aca="false">Y23</f>
        <v>0.000227507771575305</v>
      </c>
      <c r="BC23" s="23" t="n">
        <f aca="false">MAX(Z23,1)</f>
        <v>1</v>
      </c>
      <c r="BD23" s="23" t="n">
        <f aca="false">AA23</f>
        <v>0.0354</v>
      </c>
      <c r="BE23" s="23" t="n">
        <f aca="false">0.8*BD23</f>
        <v>0.02832</v>
      </c>
      <c r="BF23" s="23" t="n">
        <f aca="false">BD23*1.2</f>
        <v>0.04248</v>
      </c>
      <c r="BG23" s="0" t="str">
        <f aca="false">AC23</f>
        <v>Bourgoyne (1989)</v>
      </c>
    </row>
    <row r="24" customFormat="false" ht="12.8" hidden="false" customHeight="false" outlineLevel="0" collapsed="false">
      <c r="A24" s="15" t="n">
        <v>22</v>
      </c>
      <c r="B24" s="34" t="s">
        <v>109</v>
      </c>
      <c r="C24" s="34" t="s">
        <v>49</v>
      </c>
      <c r="D24" s="34" t="s">
        <v>50</v>
      </c>
      <c r="E24" s="34" t="n">
        <v>90</v>
      </c>
      <c r="F24" s="35" t="n">
        <f aca="false">0.0508*1000</f>
        <v>50.8</v>
      </c>
      <c r="G24" s="34" t="n">
        <v>1.5</v>
      </c>
      <c r="H24" s="36" t="n">
        <f aca="false">56*0.3048</f>
        <v>17.0688</v>
      </c>
      <c r="I24" s="34" t="s">
        <v>110</v>
      </c>
      <c r="J24" s="33" t="n">
        <v>1.922</v>
      </c>
      <c r="K24" s="34" t="n">
        <v>7850</v>
      </c>
      <c r="L24" s="34" t="n">
        <v>98</v>
      </c>
      <c r="M24" s="37" t="n">
        <v>1.8E-005</v>
      </c>
      <c r="N24" s="34" t="n">
        <v>1.225</v>
      </c>
      <c r="O24" s="34" t="n">
        <v>0</v>
      </c>
      <c r="P24" s="34" t="n">
        <v>0</v>
      </c>
      <c r="Q24" s="34" t="n">
        <v>0</v>
      </c>
      <c r="R24" s="34" t="n">
        <v>0</v>
      </c>
      <c r="S24" s="36" t="n">
        <f aca="false">(N24*L24+P24*R24)/(L24+P24)</f>
        <v>1.225</v>
      </c>
      <c r="T24" s="49" t="n">
        <f aca="false">(M24*L24+P24*Q24*0.1)/(L24+P24)</f>
        <v>1.8E-005</v>
      </c>
      <c r="U24" s="34" t="n">
        <v>550</v>
      </c>
      <c r="V24" s="34" t="n">
        <v>2650</v>
      </c>
      <c r="W24" s="40" t="n">
        <f aca="false">0.0000526*V24</f>
        <v>0.13939</v>
      </c>
      <c r="X24" s="41" t="n">
        <f aca="false">Y24-BB24</f>
        <v>0</v>
      </c>
      <c r="Y24" s="42" t="n">
        <v>0.000264744758226442</v>
      </c>
      <c r="Z24" s="15" t="n">
        <v>1</v>
      </c>
      <c r="AA24" s="43" t="n">
        <v>0.0355</v>
      </c>
      <c r="AB24" s="44"/>
      <c r="AC24" s="45" t="s">
        <v>111</v>
      </c>
      <c r="AD24" s="0"/>
      <c r="AE24" s="32" t="s">
        <v>112</v>
      </c>
      <c r="AF24" s="15"/>
      <c r="AG24" s="0"/>
      <c r="AH24" s="46" t="n">
        <f aca="false">MAX(L24,P24)</f>
        <v>98</v>
      </c>
      <c r="AI24" s="41" t="n">
        <f aca="false">MAX(M24,Q24)</f>
        <v>1.8E-005</v>
      </c>
      <c r="AJ24" s="47" t="n">
        <f aca="false">MAX(N24,R24)</f>
        <v>1.225</v>
      </c>
      <c r="AK24" s="47"/>
      <c r="AL24" s="19" t="n">
        <v>22</v>
      </c>
      <c r="AM24" s="20" t="str">
        <f aca="false">B24</f>
        <v>Elbow</v>
      </c>
      <c r="AN24" s="20" t="str">
        <f aca="false">C24</f>
        <v>Gas-solid</v>
      </c>
      <c r="AO24" s="20" t="str">
        <f aca="false">D24</f>
        <v>H-V</v>
      </c>
      <c r="AP24" s="20" t="n">
        <f aca="false">E24</f>
        <v>90</v>
      </c>
      <c r="AQ24" s="48" t="n">
        <f aca="false">G24</f>
        <v>1.5</v>
      </c>
      <c r="AR24" s="23" t="n">
        <f aca="false">H24/(F24/1000)</f>
        <v>336</v>
      </c>
      <c r="AS24" s="22" t="n">
        <v>1E-006</v>
      </c>
      <c r="AT24" s="23" t="n">
        <f aca="false">AH24/SQRT(9.81*(F24/1000))</f>
        <v>138.822453549871</v>
      </c>
      <c r="AU24" s="23" t="n">
        <f aca="false">(AH24*AJ24*(F24/1000))/AI24</f>
        <v>338807.777777778</v>
      </c>
      <c r="AV24" s="23" t="n">
        <f aca="false">((U24/10^6)^3*AJ24*(V24-AJ24)*9.81)/AI24^2</f>
        <v>16345.3123116537</v>
      </c>
      <c r="AW24" s="23" t="n">
        <f aca="false">(V24*((U24/10^6)^2)/(18*AI24))*AH24/(F24/1000)</f>
        <v>4772.96891707981</v>
      </c>
      <c r="AX24" s="23" t="n">
        <f aca="false">AJ24*(U24/10^6)*AH24/AI24</f>
        <v>3668.19444444444</v>
      </c>
      <c r="AY24" s="24" t="n">
        <f aca="false">(U24/10^6)/(F24/1000)</f>
        <v>0.0108267716535433</v>
      </c>
      <c r="AZ24" s="23" t="n">
        <f aca="false">AJ24/V24</f>
        <v>0.000462264150943396</v>
      </c>
      <c r="BA24" s="24" t="n">
        <f aca="false">(J24*10^9)/(K24*AH24^2)</f>
        <v>25.4936239411922</v>
      </c>
      <c r="BB24" s="23" t="n">
        <f aca="false">Y24</f>
        <v>0.000264744758226442</v>
      </c>
      <c r="BC24" s="23" t="n">
        <f aca="false">MAX(Z24,1)</f>
        <v>1</v>
      </c>
      <c r="BD24" s="23" t="n">
        <f aca="false">AA24</f>
        <v>0.0355</v>
      </c>
      <c r="BE24" s="23" t="n">
        <f aca="false">0.8*BD24</f>
        <v>0.0284</v>
      </c>
      <c r="BF24" s="23" t="n">
        <f aca="false">BD24*1.2</f>
        <v>0.0426</v>
      </c>
      <c r="BG24" s="0" t="str">
        <f aca="false">AC24</f>
        <v>Bourgoyne (1989)</v>
      </c>
    </row>
    <row r="25" customFormat="false" ht="12.8" hidden="false" customHeight="false" outlineLevel="0" collapsed="false">
      <c r="A25" s="15" t="n">
        <v>23</v>
      </c>
      <c r="B25" s="34" t="s">
        <v>109</v>
      </c>
      <c r="C25" s="34" t="s">
        <v>49</v>
      </c>
      <c r="D25" s="34" t="s">
        <v>50</v>
      </c>
      <c r="E25" s="34" t="n">
        <v>90</v>
      </c>
      <c r="F25" s="35" t="n">
        <f aca="false">0.0508*1000</f>
        <v>50.8</v>
      </c>
      <c r="G25" s="34" t="n">
        <v>1.5</v>
      </c>
      <c r="H25" s="36" t="n">
        <f aca="false">56*0.3048</f>
        <v>17.0688</v>
      </c>
      <c r="I25" s="34" t="s">
        <v>110</v>
      </c>
      <c r="J25" s="33" t="n">
        <v>1.922</v>
      </c>
      <c r="K25" s="34" t="n">
        <v>7850</v>
      </c>
      <c r="L25" s="34" t="n">
        <v>93</v>
      </c>
      <c r="M25" s="37" t="n">
        <v>1.8E-005</v>
      </c>
      <c r="N25" s="34" t="n">
        <v>1.225</v>
      </c>
      <c r="O25" s="34" t="n">
        <v>0</v>
      </c>
      <c r="P25" s="34" t="n">
        <v>0</v>
      </c>
      <c r="Q25" s="34" t="n">
        <v>0</v>
      </c>
      <c r="R25" s="34" t="n">
        <v>0</v>
      </c>
      <c r="S25" s="36" t="n">
        <f aca="false">(N25*L25+P25*R25)/(L25+P25)</f>
        <v>1.225</v>
      </c>
      <c r="T25" s="49" t="n">
        <f aca="false">(M25*L25+P25*Q25*0.1)/(L25+P25)</f>
        <v>1.8E-005</v>
      </c>
      <c r="U25" s="34" t="n">
        <v>550</v>
      </c>
      <c r="V25" s="34" t="n">
        <v>2650</v>
      </c>
      <c r="W25" s="40" t="n">
        <f aca="false">0.0000493*V25</f>
        <v>0.130645</v>
      </c>
      <c r="X25" s="41" t="n">
        <f aca="false">Y25-BB25</f>
        <v>0</v>
      </c>
      <c r="Y25" s="42" t="n">
        <v>0.000261476758260997</v>
      </c>
      <c r="Z25" s="15" t="n">
        <v>1</v>
      </c>
      <c r="AA25" s="43" t="n">
        <v>0.0282</v>
      </c>
      <c r="AB25" s="44"/>
      <c r="AC25" s="45" t="s">
        <v>111</v>
      </c>
      <c r="AD25" s="0"/>
      <c r="AE25" s="32" t="s">
        <v>112</v>
      </c>
      <c r="AF25" s="15"/>
      <c r="AG25" s="0"/>
      <c r="AH25" s="46" t="n">
        <f aca="false">MAX(L25,P25)</f>
        <v>93</v>
      </c>
      <c r="AI25" s="41" t="n">
        <f aca="false">MAX(M25,Q25)</f>
        <v>1.8E-005</v>
      </c>
      <c r="AJ25" s="47" t="n">
        <f aca="false">MAX(N25,R25)</f>
        <v>1.225</v>
      </c>
      <c r="AK25" s="47"/>
      <c r="AL25" s="19" t="n">
        <v>23</v>
      </c>
      <c r="AM25" s="20" t="str">
        <f aca="false">B25</f>
        <v>Elbow</v>
      </c>
      <c r="AN25" s="20" t="str">
        <f aca="false">C25</f>
        <v>Gas-solid</v>
      </c>
      <c r="AO25" s="20" t="str">
        <f aca="false">D25</f>
        <v>H-V</v>
      </c>
      <c r="AP25" s="20" t="n">
        <f aca="false">E25</f>
        <v>90</v>
      </c>
      <c r="AQ25" s="48" t="n">
        <f aca="false">G25</f>
        <v>1.5</v>
      </c>
      <c r="AR25" s="23" t="n">
        <f aca="false">H25/(F25/1000)</f>
        <v>336</v>
      </c>
      <c r="AS25" s="22" t="n">
        <v>1E-006</v>
      </c>
      <c r="AT25" s="23" t="n">
        <f aca="false">AH25/SQRT(9.81*(F25/1000))</f>
        <v>131.739675307531</v>
      </c>
      <c r="AU25" s="23" t="n">
        <f aca="false">(AH25*AJ25*(F25/1000))/AI25</f>
        <v>321521.666666667</v>
      </c>
      <c r="AV25" s="23" t="n">
        <f aca="false">((U25/10^6)^3*AJ25*(V25-AJ25)*9.81)/AI25^2</f>
        <v>16345.3123116537</v>
      </c>
      <c r="AW25" s="23" t="n">
        <f aca="false">(V25*((U25/10^6)^2)/(18*AI25))*AH25/(F25/1000)</f>
        <v>4529.45009477982</v>
      </c>
      <c r="AX25" s="23" t="n">
        <f aca="false">AJ25*(U25/10^6)*AH25/AI25</f>
        <v>3481.04166666667</v>
      </c>
      <c r="AY25" s="24" t="n">
        <f aca="false">(U25/10^6)/(F25/1000)</f>
        <v>0.0108267716535433</v>
      </c>
      <c r="AZ25" s="23" t="n">
        <f aca="false">AJ25/V25</f>
        <v>0.000462264150943396</v>
      </c>
      <c r="BA25" s="24" t="n">
        <f aca="false">(J25*10^9)/(K25*AH25^2)</f>
        <v>28.3085633404105</v>
      </c>
      <c r="BB25" s="23" t="n">
        <f aca="false">Y25</f>
        <v>0.000261476758260997</v>
      </c>
      <c r="BC25" s="23" t="n">
        <f aca="false">MAX(Z25,1)</f>
        <v>1</v>
      </c>
      <c r="BD25" s="23" t="n">
        <f aca="false">AA25</f>
        <v>0.0282</v>
      </c>
      <c r="BE25" s="23" t="n">
        <f aca="false">0.8*BD25</f>
        <v>0.02256</v>
      </c>
      <c r="BF25" s="23" t="n">
        <f aca="false">BD25*1.2</f>
        <v>0.03384</v>
      </c>
      <c r="BG25" s="0" t="str">
        <f aca="false">AC25</f>
        <v>Bourgoyne (1989)</v>
      </c>
    </row>
    <row r="26" customFormat="false" ht="12.8" hidden="false" customHeight="false" outlineLevel="0" collapsed="false">
      <c r="A26" s="15" t="n">
        <v>24</v>
      </c>
      <c r="B26" s="34" t="s">
        <v>109</v>
      </c>
      <c r="C26" s="34" t="s">
        <v>49</v>
      </c>
      <c r="D26" s="34" t="s">
        <v>50</v>
      </c>
      <c r="E26" s="34" t="n">
        <v>90</v>
      </c>
      <c r="F26" s="35" t="n">
        <f aca="false">0.0508*1000</f>
        <v>50.8</v>
      </c>
      <c r="G26" s="34" t="n">
        <v>1.5</v>
      </c>
      <c r="H26" s="36" t="n">
        <f aca="false">56*0.3048</f>
        <v>17.0688</v>
      </c>
      <c r="I26" s="34" t="s">
        <v>110</v>
      </c>
      <c r="J26" s="33" t="n">
        <v>1.922</v>
      </c>
      <c r="K26" s="34" t="n">
        <v>7850</v>
      </c>
      <c r="L26" s="34" t="n">
        <v>72</v>
      </c>
      <c r="M26" s="37" t="n">
        <v>1.8E-005</v>
      </c>
      <c r="N26" s="34" t="n">
        <v>1.225</v>
      </c>
      <c r="O26" s="34" t="n">
        <v>0</v>
      </c>
      <c r="P26" s="34" t="n">
        <v>0</v>
      </c>
      <c r="Q26" s="34" t="n">
        <v>0</v>
      </c>
      <c r="R26" s="34" t="n">
        <v>0</v>
      </c>
      <c r="S26" s="36" t="n">
        <f aca="false">(N26*L26+P26*R26)/(L26+P26)</f>
        <v>1.225</v>
      </c>
      <c r="T26" s="49" t="n">
        <f aca="false">(M26*L26+P26*Q26*0.1)/(L26+P26)</f>
        <v>1.8E-005</v>
      </c>
      <c r="U26" s="34" t="n">
        <v>550</v>
      </c>
      <c r="V26" s="34" t="n">
        <v>2650</v>
      </c>
      <c r="W26" s="40" t="n">
        <f aca="false">0.0000446*V26</f>
        <v>0.11819</v>
      </c>
      <c r="X26" s="41" t="n">
        <f aca="false">Y26-BB26</f>
        <v>0</v>
      </c>
      <c r="Y26" s="42" t="n">
        <v>0.000305528935228005</v>
      </c>
      <c r="Z26" s="15" t="n">
        <v>1</v>
      </c>
      <c r="AA26" s="43" t="n">
        <v>0.014</v>
      </c>
      <c r="AB26" s="44"/>
      <c r="AC26" s="45" t="s">
        <v>111</v>
      </c>
      <c r="AD26" s="0"/>
      <c r="AE26" s="32" t="s">
        <v>112</v>
      </c>
      <c r="AF26" s="15"/>
      <c r="AG26" s="0"/>
      <c r="AH26" s="46" t="n">
        <f aca="false">MAX(L26,P26)</f>
        <v>72</v>
      </c>
      <c r="AI26" s="41" t="n">
        <f aca="false">MAX(M26,Q26)</f>
        <v>1.8E-005</v>
      </c>
      <c r="AJ26" s="47" t="n">
        <f aca="false">MAX(N26,R26)</f>
        <v>1.225</v>
      </c>
      <c r="AK26" s="47"/>
      <c r="AL26" s="19" t="n">
        <v>24</v>
      </c>
      <c r="AM26" s="20" t="str">
        <f aca="false">B26</f>
        <v>Elbow</v>
      </c>
      <c r="AN26" s="20" t="str">
        <f aca="false">C26</f>
        <v>Gas-solid</v>
      </c>
      <c r="AO26" s="20" t="str">
        <f aca="false">D26</f>
        <v>H-V</v>
      </c>
      <c r="AP26" s="20" t="n">
        <f aca="false">E26</f>
        <v>90</v>
      </c>
      <c r="AQ26" s="48" t="n">
        <f aca="false">G26</f>
        <v>1.5</v>
      </c>
      <c r="AR26" s="23" t="n">
        <f aca="false">H26/(F26/1000)</f>
        <v>336</v>
      </c>
      <c r="AS26" s="22" t="n">
        <v>1E-006</v>
      </c>
      <c r="AT26" s="23" t="n">
        <f aca="false">AH26/SQRT(9.81*(F26/1000))</f>
        <v>101.992006689701</v>
      </c>
      <c r="AU26" s="23" t="n">
        <f aca="false">(AH26*AJ26*(F26/1000))/AI26</f>
        <v>248920</v>
      </c>
      <c r="AV26" s="23" t="n">
        <f aca="false">((U26/10^6)^3*AJ26*(V26-AJ26)*9.81)/AI26^2</f>
        <v>16345.3123116537</v>
      </c>
      <c r="AW26" s="23" t="n">
        <f aca="false">(V26*((U26/10^6)^2)/(18*AI26))*AH26/(F26/1000)</f>
        <v>3506.67104111986</v>
      </c>
      <c r="AX26" s="23" t="n">
        <f aca="false">AJ26*(U26/10^6)*AH26/AI26</f>
        <v>2695</v>
      </c>
      <c r="AY26" s="24" t="n">
        <f aca="false">(U26/10^6)/(F26/1000)</f>
        <v>0.0108267716535433</v>
      </c>
      <c r="AZ26" s="23" t="n">
        <f aca="false">AJ26/V26</f>
        <v>0.000462264150943396</v>
      </c>
      <c r="BA26" s="24" t="n">
        <f aca="false">(J26*10^9)/(K26*AH26^2)</f>
        <v>47.230085712039</v>
      </c>
      <c r="BB26" s="23" t="n">
        <f aca="false">Y26</f>
        <v>0.000305528935228005</v>
      </c>
      <c r="BC26" s="23" t="n">
        <f aca="false">MAX(Z26,1)</f>
        <v>1</v>
      </c>
      <c r="BD26" s="23" t="n">
        <f aca="false">AA26</f>
        <v>0.014</v>
      </c>
      <c r="BE26" s="23" t="n">
        <f aca="false">0.8*BD26</f>
        <v>0.0112</v>
      </c>
      <c r="BF26" s="23" t="n">
        <f aca="false">BD26*1.2</f>
        <v>0.0168</v>
      </c>
      <c r="BG26" s="0" t="str">
        <f aca="false">AC26</f>
        <v>Bourgoyne (1989)</v>
      </c>
    </row>
    <row r="27" customFormat="false" ht="12.8" hidden="false" customHeight="false" outlineLevel="0" collapsed="false">
      <c r="A27" s="15" t="n">
        <v>25</v>
      </c>
      <c r="B27" s="34" t="s">
        <v>109</v>
      </c>
      <c r="C27" s="34" t="s">
        <v>49</v>
      </c>
      <c r="D27" s="34" t="s">
        <v>50</v>
      </c>
      <c r="E27" s="34" t="n">
        <v>90</v>
      </c>
      <c r="F27" s="35" t="n">
        <f aca="false">0.0508*1000</f>
        <v>50.8</v>
      </c>
      <c r="G27" s="34" t="n">
        <v>1.5</v>
      </c>
      <c r="H27" s="36" t="n">
        <f aca="false">56*0.3048</f>
        <v>17.0688</v>
      </c>
      <c r="I27" s="34" t="s">
        <v>110</v>
      </c>
      <c r="J27" s="33" t="n">
        <v>1.922</v>
      </c>
      <c r="K27" s="34" t="n">
        <v>7850</v>
      </c>
      <c r="L27" s="34" t="n">
        <v>47</v>
      </c>
      <c r="M27" s="37" t="n">
        <v>1.8E-005</v>
      </c>
      <c r="N27" s="34" t="n">
        <v>1.225</v>
      </c>
      <c r="O27" s="34" t="n">
        <v>0</v>
      </c>
      <c r="P27" s="34" t="n">
        <v>0</v>
      </c>
      <c r="Q27" s="34" t="n">
        <v>0</v>
      </c>
      <c r="R27" s="34" t="n">
        <v>0</v>
      </c>
      <c r="S27" s="36" t="n">
        <f aca="false">(N27*L27+P27*R27)/(L27+P27)</f>
        <v>1.225</v>
      </c>
      <c r="T27" s="49" t="n">
        <f aca="false">(M27*L27+P27*Q27*0.1)/(L27+P27)</f>
        <v>1.8E-005</v>
      </c>
      <c r="U27" s="34" t="n">
        <v>550</v>
      </c>
      <c r="V27" s="34" t="n">
        <v>2650</v>
      </c>
      <c r="W27" s="40" t="n">
        <f aca="false">0.0000255*V27</f>
        <v>0.067575</v>
      </c>
      <c r="X27" s="41" t="n">
        <f aca="false">Y27-BB27</f>
        <v>0</v>
      </c>
      <c r="Y27" s="42" t="n">
        <v>0.000267613968143389</v>
      </c>
      <c r="Z27" s="15" t="n">
        <v>1</v>
      </c>
      <c r="AA27" s="43" t="n">
        <v>0.00492</v>
      </c>
      <c r="AB27" s="44"/>
      <c r="AC27" s="45" t="s">
        <v>111</v>
      </c>
      <c r="AD27" s="0"/>
      <c r="AE27" s="32" t="s">
        <v>112</v>
      </c>
      <c r="AF27" s="15"/>
      <c r="AG27" s="0"/>
      <c r="AH27" s="46" t="n">
        <f aca="false">MAX(L27,P27)</f>
        <v>47</v>
      </c>
      <c r="AI27" s="41" t="n">
        <f aca="false">MAX(M27,Q27)</f>
        <v>1.8E-005</v>
      </c>
      <c r="AJ27" s="47" t="n">
        <f aca="false">MAX(N27,R27)</f>
        <v>1.225</v>
      </c>
      <c r="AK27" s="47"/>
      <c r="AL27" s="19" t="n">
        <v>25</v>
      </c>
      <c r="AM27" s="20" t="str">
        <f aca="false">B27</f>
        <v>Elbow</v>
      </c>
      <c r="AN27" s="20" t="str">
        <f aca="false">C27</f>
        <v>Gas-solid</v>
      </c>
      <c r="AO27" s="20" t="str">
        <f aca="false">D27</f>
        <v>H-V</v>
      </c>
      <c r="AP27" s="20" t="n">
        <f aca="false">E27</f>
        <v>90</v>
      </c>
      <c r="AQ27" s="48" t="n">
        <f aca="false">G27</f>
        <v>1.5</v>
      </c>
      <c r="AR27" s="23" t="n">
        <f aca="false">H27/(F27/1000)</f>
        <v>336</v>
      </c>
      <c r="AS27" s="22" t="n">
        <v>1E-006</v>
      </c>
      <c r="AT27" s="23" t="n">
        <f aca="false">AH27/SQRT(9.81*(F27/1000))</f>
        <v>66.5781154779994</v>
      </c>
      <c r="AU27" s="23" t="n">
        <f aca="false">(AH27*AJ27*(F27/1000))/AI27</f>
        <v>162489.444444444</v>
      </c>
      <c r="AV27" s="23" t="n">
        <f aca="false">((U27/10^6)^3*AJ27*(V27-AJ27)*9.81)/AI27^2</f>
        <v>16345.3123116537</v>
      </c>
      <c r="AW27" s="23" t="n">
        <f aca="false">(V27*((U27/10^6)^2)/(18*AI27))*AH27/(F27/1000)</f>
        <v>2289.07692961991</v>
      </c>
      <c r="AX27" s="23" t="n">
        <f aca="false">AJ27*(U27/10^6)*AH27/AI27</f>
        <v>1759.23611111111</v>
      </c>
      <c r="AY27" s="24" t="n">
        <f aca="false">(U27/10^6)/(F27/1000)</f>
        <v>0.0108267716535433</v>
      </c>
      <c r="AZ27" s="23" t="n">
        <f aca="false">AJ27/V27</f>
        <v>0.000462264150943396</v>
      </c>
      <c r="BA27" s="24" t="n">
        <f aca="false">(J27*10^9)/(K27*AH27^2)</f>
        <v>110.837829031784</v>
      </c>
      <c r="BB27" s="23" t="n">
        <f aca="false">Y27</f>
        <v>0.000267613968143389</v>
      </c>
      <c r="BC27" s="23" t="n">
        <f aca="false">MAX(Z27,1)</f>
        <v>1</v>
      </c>
      <c r="BD27" s="23" t="n">
        <f aca="false">AA27</f>
        <v>0.00492</v>
      </c>
      <c r="BE27" s="23" t="n">
        <f aca="false">0.8*BD27</f>
        <v>0.003936</v>
      </c>
      <c r="BF27" s="23" t="n">
        <f aca="false">BD27*1.2</f>
        <v>0.005904</v>
      </c>
      <c r="BG27" s="0" t="str">
        <f aca="false">AC27</f>
        <v>Bourgoyne (1989)</v>
      </c>
    </row>
    <row r="28" customFormat="false" ht="12.8" hidden="false" customHeight="false" outlineLevel="0" collapsed="false">
      <c r="A28" s="15" t="n">
        <v>26</v>
      </c>
      <c r="B28" s="34" t="s">
        <v>109</v>
      </c>
      <c r="C28" s="34" t="s">
        <v>49</v>
      </c>
      <c r="D28" s="34" t="s">
        <v>50</v>
      </c>
      <c r="E28" s="34" t="n">
        <v>90</v>
      </c>
      <c r="F28" s="35" t="n">
        <f aca="false">0.0508*1000</f>
        <v>50.8</v>
      </c>
      <c r="G28" s="34" t="n">
        <v>1.5</v>
      </c>
      <c r="H28" s="36" t="n">
        <f aca="false">56*0.3048</f>
        <v>17.0688</v>
      </c>
      <c r="I28" s="39" t="s">
        <v>110</v>
      </c>
      <c r="J28" s="33" t="n">
        <v>1.922</v>
      </c>
      <c r="K28" s="34" t="n">
        <v>7850</v>
      </c>
      <c r="L28" s="34" t="n">
        <v>32</v>
      </c>
      <c r="M28" s="37" t="n">
        <v>1.8E-005</v>
      </c>
      <c r="N28" s="34" t="n">
        <v>1.225</v>
      </c>
      <c r="O28" s="34" t="n">
        <v>0</v>
      </c>
      <c r="P28" s="34" t="n">
        <v>0</v>
      </c>
      <c r="Q28" s="34" t="n">
        <v>0</v>
      </c>
      <c r="R28" s="34" t="n">
        <v>0</v>
      </c>
      <c r="S28" s="36" t="n">
        <f aca="false">(N28*L28+P28*R28)/(L28+P28)</f>
        <v>1.225</v>
      </c>
      <c r="T28" s="49" t="n">
        <f aca="false">(M28*L28+P28*Q28*0.1)/(L28+P28)</f>
        <v>1.8E-005</v>
      </c>
      <c r="U28" s="39" t="n">
        <v>550</v>
      </c>
      <c r="V28" s="34" t="n">
        <v>2650</v>
      </c>
      <c r="W28" s="40" t="n">
        <f aca="false">0.0000174*V28</f>
        <v>0.04611</v>
      </c>
      <c r="X28" s="41" t="n">
        <f aca="false">Y28-BB28</f>
        <v>0</v>
      </c>
      <c r="Y28" s="42" t="n">
        <v>0.00026820413474553</v>
      </c>
      <c r="Z28" s="15" t="n">
        <v>1</v>
      </c>
      <c r="AA28" s="43" t="n">
        <v>0.00812</v>
      </c>
      <c r="AB28" s="44"/>
      <c r="AC28" s="45" t="s">
        <v>111</v>
      </c>
      <c r="AD28" s="0"/>
      <c r="AE28" s="32" t="s">
        <v>112</v>
      </c>
      <c r="AF28" s="50"/>
      <c r="AG28" s="0"/>
      <c r="AH28" s="46" t="n">
        <f aca="false">MAX(L28,P28)</f>
        <v>32</v>
      </c>
      <c r="AI28" s="41" t="n">
        <f aca="false">MAX(M28,Q28)</f>
        <v>1.8E-005</v>
      </c>
      <c r="AJ28" s="47" t="n">
        <f aca="false">MAX(N28,R28)</f>
        <v>1.225</v>
      </c>
      <c r="AK28" s="47"/>
      <c r="AL28" s="19" t="n">
        <v>26</v>
      </c>
      <c r="AM28" s="20" t="str">
        <f aca="false">B28</f>
        <v>Elbow</v>
      </c>
      <c r="AN28" s="20" t="str">
        <f aca="false">C28</f>
        <v>Gas-solid</v>
      </c>
      <c r="AO28" s="20" t="str">
        <f aca="false">D28</f>
        <v>H-V</v>
      </c>
      <c r="AP28" s="20" t="n">
        <f aca="false">E28</f>
        <v>90</v>
      </c>
      <c r="AQ28" s="48" t="n">
        <f aca="false">G28</f>
        <v>1.5</v>
      </c>
      <c r="AR28" s="23" t="n">
        <f aca="false">H28/(F28/1000)</f>
        <v>336</v>
      </c>
      <c r="AS28" s="22" t="n">
        <v>1E-006</v>
      </c>
      <c r="AT28" s="23" t="n">
        <f aca="false">AH28/SQRT(9.81*(F28/1000))</f>
        <v>45.3297807509783</v>
      </c>
      <c r="AU28" s="23" t="n">
        <f aca="false">(AH28*AJ28*(F28/1000))/AI28</f>
        <v>110631.111111111</v>
      </c>
      <c r="AV28" s="23" t="n">
        <f aca="false">((U28/10^6)^3*AJ28*(V28-AJ28)*9.81)/AI28^2</f>
        <v>16345.3123116537</v>
      </c>
      <c r="AW28" s="23" t="n">
        <f aca="false">(V28*((U28/10^6)^2)/(18*AI28))*AH28/(F28/1000)</f>
        <v>1558.52046271994</v>
      </c>
      <c r="AX28" s="23" t="n">
        <f aca="false">AJ28*(U28/10^6)*AH28/AI28</f>
        <v>1197.77777777778</v>
      </c>
      <c r="AY28" s="24" t="n">
        <f aca="false">(U28/10^6)/(F28/1000)</f>
        <v>0.0108267716535433</v>
      </c>
      <c r="AZ28" s="23" t="n">
        <f aca="false">AJ28/V28</f>
        <v>0.000462264150943396</v>
      </c>
      <c r="BA28" s="24" t="n">
        <f aca="false">(J28*10^9)/(K28*AH28^2)</f>
        <v>239.102308917197</v>
      </c>
      <c r="BB28" s="23" t="n">
        <f aca="false">Y28</f>
        <v>0.00026820413474553</v>
      </c>
      <c r="BC28" s="23" t="n">
        <f aca="false">MAX(Z28,1)</f>
        <v>1</v>
      </c>
      <c r="BD28" s="23" t="n">
        <f aca="false">AA28</f>
        <v>0.00812</v>
      </c>
      <c r="BE28" s="23" t="n">
        <f aca="false">0.8*BD28</f>
        <v>0.006496</v>
      </c>
      <c r="BF28" s="23" t="n">
        <f aca="false">BD28*1.2</f>
        <v>0.009744</v>
      </c>
      <c r="BG28" s="0" t="str">
        <f aca="false">AC28</f>
        <v>Bourgoyne (1989)</v>
      </c>
    </row>
    <row r="29" customFormat="false" ht="12.8" hidden="false" customHeight="false" outlineLevel="0" collapsed="false">
      <c r="A29" s="15" t="n">
        <v>27</v>
      </c>
      <c r="B29" s="51" t="s">
        <v>109</v>
      </c>
      <c r="C29" s="51" t="s">
        <v>49</v>
      </c>
      <c r="D29" s="51" t="s">
        <v>113</v>
      </c>
      <c r="E29" s="51" t="n">
        <v>90</v>
      </c>
      <c r="F29" s="52" t="n">
        <v>76.2</v>
      </c>
      <c r="G29" s="51" t="n">
        <v>1.5</v>
      </c>
      <c r="H29" s="53" t="n">
        <v>18</v>
      </c>
      <c r="I29" s="51" t="s">
        <v>114</v>
      </c>
      <c r="J29" s="51" t="n">
        <v>1.5177</v>
      </c>
      <c r="K29" s="51" t="n">
        <v>7990</v>
      </c>
      <c r="L29" s="51" t="n">
        <v>18.3</v>
      </c>
      <c r="M29" s="54" t="n">
        <v>1.8E-005</v>
      </c>
      <c r="N29" s="51" t="n">
        <v>1.225</v>
      </c>
      <c r="O29" s="51" t="n">
        <v>0</v>
      </c>
      <c r="P29" s="51" t="n">
        <v>0</v>
      </c>
      <c r="Q29" s="51" t="n">
        <v>0</v>
      </c>
      <c r="R29" s="51" t="n">
        <v>0</v>
      </c>
      <c r="S29" s="55" t="n">
        <f aca="false">(N29*L29+P29*R29)/(L29+P29)</f>
        <v>1.225</v>
      </c>
      <c r="T29" s="56" t="n">
        <f aca="false">(M29*L29+P29*Q29*0.1)/(L29+P29)</f>
        <v>1.8E-005</v>
      </c>
      <c r="U29" s="51" t="n">
        <v>150</v>
      </c>
      <c r="V29" s="51" t="n">
        <v>2650</v>
      </c>
      <c r="W29" s="57" t="n">
        <f aca="false">27.3/1000/60</f>
        <v>0.000455</v>
      </c>
      <c r="X29" s="41" t="n">
        <f aca="false">Y29-BB29</f>
        <v>0</v>
      </c>
      <c r="Y29" s="42" t="n">
        <v>2.05737621840343E-006</v>
      </c>
      <c r="Z29" s="15" t="n">
        <v>1</v>
      </c>
      <c r="AA29" s="58" t="n">
        <v>0.000476</v>
      </c>
      <c r="AB29" s="44"/>
      <c r="AC29" s="59" t="s">
        <v>115</v>
      </c>
      <c r="AD29" s="51" t="s">
        <v>116</v>
      </c>
      <c r="AE29" s="59" t="s">
        <v>117</v>
      </c>
      <c r="AF29" s="60"/>
      <c r="AG29" s="0"/>
      <c r="AH29" s="46" t="n">
        <f aca="false">MAX(L29,P29)</f>
        <v>18.3</v>
      </c>
      <c r="AI29" s="41" t="n">
        <f aca="false">MAX(M29,Q29)</f>
        <v>1.8E-005</v>
      </c>
      <c r="AJ29" s="47" t="n">
        <f aca="false">MAX(N29,R29)</f>
        <v>1.225</v>
      </c>
      <c r="AK29" s="47"/>
      <c r="AL29" s="19" t="n">
        <v>27</v>
      </c>
      <c r="AM29" s="20" t="str">
        <f aca="false">B29</f>
        <v>Elbow</v>
      </c>
      <c r="AN29" s="20" t="str">
        <f aca="false">C29</f>
        <v>Gas-solid</v>
      </c>
      <c r="AO29" s="20" t="str">
        <f aca="false">D29</f>
        <v>H-H</v>
      </c>
      <c r="AP29" s="20" t="n">
        <f aca="false">E29</f>
        <v>90</v>
      </c>
      <c r="AQ29" s="48" t="n">
        <f aca="false">G29</f>
        <v>1.5</v>
      </c>
      <c r="AR29" s="23" t="n">
        <f aca="false">H29/(F29/1000)</f>
        <v>236.220472440945</v>
      </c>
      <c r="AS29" s="22" t="n">
        <v>1E-006</v>
      </c>
      <c r="AT29" s="23" t="n">
        <f aca="false">AH29/SQRT(9.81*(F29/1000))</f>
        <v>21.1660150391251</v>
      </c>
      <c r="AU29" s="23" t="n">
        <f aca="false">(AH29*AJ29*(F29/1000))/AI29</f>
        <v>94900.75</v>
      </c>
      <c r="AV29" s="23" t="n">
        <f aca="false">((U29/10^6)^3*AJ29*(V29-AJ29)*9.81)/AI29^2</f>
        <v>331.572826757812</v>
      </c>
      <c r="AW29" s="23" t="n">
        <f aca="false">(V29*((U29/10^6)^2)/(18*AI29))*AH29/(F29/1000)</f>
        <v>44.1956474190726</v>
      </c>
      <c r="AX29" s="23" t="n">
        <f aca="false">AJ29*(U29/10^6)*AH29/AI29</f>
        <v>186.8125</v>
      </c>
      <c r="AY29" s="24" t="n">
        <f aca="false">(U29/10^6)/(F29/1000)</f>
        <v>0.00196850393700787</v>
      </c>
      <c r="AZ29" s="23" t="n">
        <f aca="false">AJ29/V29</f>
        <v>0.000462264150943396</v>
      </c>
      <c r="BA29" s="24" t="n">
        <f aca="false">(J29*10^9)/(K29*AH29^2)</f>
        <v>567.200983671585</v>
      </c>
      <c r="BB29" s="23" t="n">
        <f aca="false">Y29</f>
        <v>2.05737621840343E-006</v>
      </c>
      <c r="BC29" s="23" t="n">
        <f aca="false">MAX(Z29,1)</f>
        <v>1</v>
      </c>
      <c r="BD29" s="23" t="n">
        <f aca="false">AA29</f>
        <v>0.000476</v>
      </c>
      <c r="BE29" s="23" t="n">
        <f aca="false">0.8*BD29</f>
        <v>0.0003808</v>
      </c>
      <c r="BF29" s="23" t="n">
        <f aca="false">BD29*1.2</f>
        <v>0.0005712</v>
      </c>
      <c r="BG29" s="0" t="str">
        <f aca="false">AC29</f>
        <v>Kesana (2013)</v>
      </c>
    </row>
    <row r="30" customFormat="false" ht="12.8" hidden="false" customHeight="false" outlineLevel="0" collapsed="false">
      <c r="A30" s="15" t="n">
        <v>28</v>
      </c>
      <c r="B30" s="51" t="s">
        <v>109</v>
      </c>
      <c r="C30" s="51" t="s">
        <v>49</v>
      </c>
      <c r="D30" s="51" t="s">
        <v>113</v>
      </c>
      <c r="E30" s="51" t="n">
        <v>90</v>
      </c>
      <c r="F30" s="52" t="n">
        <v>76.2</v>
      </c>
      <c r="G30" s="51" t="n">
        <v>1.5</v>
      </c>
      <c r="H30" s="53" t="n">
        <v>18</v>
      </c>
      <c r="I30" s="51" t="s">
        <v>114</v>
      </c>
      <c r="J30" s="51" t="n">
        <v>1.5177</v>
      </c>
      <c r="K30" s="51" t="n">
        <v>7990</v>
      </c>
      <c r="L30" s="51" t="n">
        <v>28.9</v>
      </c>
      <c r="M30" s="54" t="n">
        <v>1.8E-005</v>
      </c>
      <c r="N30" s="51" t="n">
        <v>1.225</v>
      </c>
      <c r="O30" s="51" t="n">
        <v>0</v>
      </c>
      <c r="P30" s="51" t="n">
        <v>0</v>
      </c>
      <c r="Q30" s="51" t="n">
        <v>0</v>
      </c>
      <c r="R30" s="51" t="n">
        <v>0</v>
      </c>
      <c r="S30" s="55" t="n">
        <f aca="false">(N30*L30+P30*R30)/(L30+P30)</f>
        <v>1.225</v>
      </c>
      <c r="T30" s="56" t="n">
        <f aca="false">(M30*L30+P30*Q30*0.1)/(L30+P30)</f>
        <v>1.8E-005</v>
      </c>
      <c r="U30" s="51" t="n">
        <v>150</v>
      </c>
      <c r="V30" s="51" t="n">
        <v>2650</v>
      </c>
      <c r="W30" s="57" t="n">
        <f aca="false">69.6/1000/60</f>
        <v>0.00116</v>
      </c>
      <c r="X30" s="41" t="n">
        <f aca="false">Y30-BB30</f>
        <v>0</v>
      </c>
      <c r="Y30" s="42" t="n">
        <v>3.32133747761761E-006</v>
      </c>
      <c r="Z30" s="15" t="n">
        <v>1</v>
      </c>
      <c r="AA30" s="58" t="n">
        <v>0.000683</v>
      </c>
      <c r="AB30" s="44"/>
      <c r="AC30" s="59" t="s">
        <v>115</v>
      </c>
      <c r="AD30" s="51" t="s">
        <v>116</v>
      </c>
      <c r="AE30" s="59" t="s">
        <v>117</v>
      </c>
      <c r="AF30" s="60"/>
      <c r="AG30" s="0"/>
      <c r="AH30" s="46" t="n">
        <f aca="false">MAX(L30,P30)</f>
        <v>28.9</v>
      </c>
      <c r="AI30" s="41" t="n">
        <f aca="false">MAX(M30,Q30)</f>
        <v>1.8E-005</v>
      </c>
      <c r="AJ30" s="47" t="n">
        <f aca="false">MAX(N30,R30)</f>
        <v>1.225</v>
      </c>
      <c r="AK30" s="47"/>
      <c r="AL30" s="19" t="n">
        <v>28</v>
      </c>
      <c r="AM30" s="20" t="str">
        <f aca="false">B30</f>
        <v>Elbow</v>
      </c>
      <c r="AN30" s="20" t="str">
        <f aca="false">C30</f>
        <v>Gas-solid</v>
      </c>
      <c r="AO30" s="20" t="str">
        <f aca="false">D30</f>
        <v>H-H</v>
      </c>
      <c r="AP30" s="20" t="n">
        <f aca="false">E30</f>
        <v>90</v>
      </c>
      <c r="AQ30" s="48" t="n">
        <f aca="false">G30</f>
        <v>1.5</v>
      </c>
      <c r="AR30" s="23" t="n">
        <f aca="false">H30/(F30/1000)</f>
        <v>236.220472440945</v>
      </c>
      <c r="AS30" s="22" t="n">
        <v>1E-006</v>
      </c>
      <c r="AT30" s="23" t="n">
        <f aca="false">AH30/SQRT(9.81*(F30/1000))</f>
        <v>33.4261111820063</v>
      </c>
      <c r="AU30" s="23" t="n">
        <f aca="false">(AH30*AJ30*(F30/1000))/AI30</f>
        <v>149870.583333333</v>
      </c>
      <c r="AV30" s="23" t="n">
        <f aca="false">((U30/10^6)^3*AJ30*(V30-AJ30)*9.81)/AI30^2</f>
        <v>331.572826757812</v>
      </c>
      <c r="AW30" s="23" t="n">
        <f aca="false">(V30*((U30/10^6)^2)/(18*AI30))*AH30/(F30/1000)</f>
        <v>69.7953120443278</v>
      </c>
      <c r="AX30" s="23" t="n">
        <f aca="false">AJ30*(U30/10^6)*AH30/AI30</f>
        <v>295.020833333333</v>
      </c>
      <c r="AY30" s="24" t="n">
        <f aca="false">(U30/10^6)/(F30/1000)</f>
        <v>0.00196850393700787</v>
      </c>
      <c r="AZ30" s="23" t="n">
        <f aca="false">AJ30/V30</f>
        <v>0.000462264150943396</v>
      </c>
      <c r="BA30" s="24" t="n">
        <f aca="false">(J30*10^9)/(K30*AH30^2)</f>
        <v>227.427757596026</v>
      </c>
      <c r="BB30" s="23" t="n">
        <f aca="false">Y30</f>
        <v>3.32133747761761E-006</v>
      </c>
      <c r="BC30" s="23" t="n">
        <f aca="false">MAX(Z30,1)</f>
        <v>1</v>
      </c>
      <c r="BD30" s="23" t="n">
        <f aca="false">AA30</f>
        <v>0.000683</v>
      </c>
      <c r="BE30" s="23" t="n">
        <f aca="false">0.8*BD30</f>
        <v>0.0005464</v>
      </c>
      <c r="BF30" s="23" t="n">
        <f aca="false">BD30*1.2</f>
        <v>0.0008196</v>
      </c>
      <c r="BG30" s="0" t="str">
        <f aca="false">AC30</f>
        <v>Kesana (2013)</v>
      </c>
    </row>
    <row r="31" customFormat="false" ht="12.8" hidden="false" customHeight="false" outlineLevel="0" collapsed="false">
      <c r="A31" s="15" t="n">
        <v>29</v>
      </c>
      <c r="B31" s="51" t="s">
        <v>109</v>
      </c>
      <c r="C31" s="51" t="s">
        <v>49</v>
      </c>
      <c r="D31" s="51" t="s">
        <v>113</v>
      </c>
      <c r="E31" s="51" t="n">
        <v>90</v>
      </c>
      <c r="F31" s="52" t="n">
        <v>76.2</v>
      </c>
      <c r="G31" s="51" t="n">
        <v>1.5</v>
      </c>
      <c r="H31" s="53" t="n">
        <v>18</v>
      </c>
      <c r="I31" s="51" t="s">
        <v>114</v>
      </c>
      <c r="J31" s="51" t="n">
        <v>1.5177</v>
      </c>
      <c r="K31" s="51" t="n">
        <v>7990</v>
      </c>
      <c r="L31" s="51" t="n">
        <v>32.9</v>
      </c>
      <c r="M31" s="54" t="n">
        <v>1.8E-005</v>
      </c>
      <c r="N31" s="51" t="n">
        <v>1.225</v>
      </c>
      <c r="O31" s="51" t="n">
        <v>0</v>
      </c>
      <c r="P31" s="51" t="n">
        <v>0</v>
      </c>
      <c r="Q31" s="51" t="n">
        <v>0</v>
      </c>
      <c r="R31" s="51" t="n">
        <v>0</v>
      </c>
      <c r="S31" s="55" t="n">
        <f aca="false">(N31*L31+P31*R31)/(L31+P31)</f>
        <v>1.225</v>
      </c>
      <c r="T31" s="56" t="n">
        <f aca="false">(M31*L31+P31*Q31*0.1)/(L31+P31)</f>
        <v>1.8E-005</v>
      </c>
      <c r="U31" s="51" t="n">
        <v>150</v>
      </c>
      <c r="V31" s="51" t="n">
        <v>2650</v>
      </c>
      <c r="W31" s="57" t="n">
        <f aca="false">69/1000/60</f>
        <v>0.00115</v>
      </c>
      <c r="X31" s="41" t="n">
        <f aca="false">Y31-BB31</f>
        <v>0</v>
      </c>
      <c r="Y31" s="42" t="n">
        <v>2.89237759195487E-006</v>
      </c>
      <c r="Z31" s="15" t="n">
        <v>1</v>
      </c>
      <c r="AA31" s="58" t="n">
        <v>0.0012</v>
      </c>
      <c r="AB31" s="44"/>
      <c r="AC31" s="59" t="s">
        <v>115</v>
      </c>
      <c r="AD31" s="51" t="s">
        <v>116</v>
      </c>
      <c r="AE31" s="59" t="s">
        <v>117</v>
      </c>
      <c r="AF31" s="60"/>
      <c r="AG31" s="0"/>
      <c r="AH31" s="46" t="n">
        <f aca="false">MAX(L31,P31)</f>
        <v>32.9</v>
      </c>
      <c r="AI31" s="41" t="n">
        <f aca="false">MAX(M31,Q31)</f>
        <v>1.8E-005</v>
      </c>
      <c r="AJ31" s="47" t="n">
        <f aca="false">MAX(N31,R31)</f>
        <v>1.225</v>
      </c>
      <c r="AK31" s="47"/>
      <c r="AL31" s="19" t="n">
        <v>29</v>
      </c>
      <c r="AM31" s="20" t="str">
        <f aca="false">B31</f>
        <v>Elbow</v>
      </c>
      <c r="AN31" s="20" t="str">
        <f aca="false">C31</f>
        <v>Gas-solid</v>
      </c>
      <c r="AO31" s="20" t="str">
        <f aca="false">D31</f>
        <v>H-H</v>
      </c>
      <c r="AP31" s="20" t="n">
        <f aca="false">E31</f>
        <v>90</v>
      </c>
      <c r="AQ31" s="48" t="n">
        <f aca="false">G31</f>
        <v>1.5</v>
      </c>
      <c r="AR31" s="23" t="n">
        <f aca="false">H31/(F31/1000)</f>
        <v>236.220472440945</v>
      </c>
      <c r="AS31" s="22" t="n">
        <v>1E-006</v>
      </c>
      <c r="AT31" s="23" t="n">
        <f aca="false">AH31/SQRT(9.81*(F31/1000))</f>
        <v>38.0525625566785</v>
      </c>
      <c r="AU31" s="23" t="n">
        <f aca="false">(AH31*AJ31*(F31/1000))/AI31</f>
        <v>170613.916666667</v>
      </c>
      <c r="AV31" s="23" t="n">
        <f aca="false">((U31/10^6)^3*AJ31*(V31-AJ31)*9.81)/AI31^2</f>
        <v>331.572826757812</v>
      </c>
      <c r="AW31" s="23" t="n">
        <f aca="false">(V31*((U31/10^6)^2)/(18*AI31))*AH31/(F31/1000)</f>
        <v>79.4555628463109</v>
      </c>
      <c r="AX31" s="23" t="n">
        <f aca="false">AJ31*(U31/10^6)*AH31/AI31</f>
        <v>335.854166666667</v>
      </c>
      <c r="AY31" s="24" t="n">
        <f aca="false">(U31/10^6)/(F31/1000)</f>
        <v>0.00196850393700787</v>
      </c>
      <c r="AZ31" s="23" t="n">
        <f aca="false">AJ31/V31</f>
        <v>0.000462264150943396</v>
      </c>
      <c r="BA31" s="24" t="n">
        <f aca="false">(J31*10^9)/(K31*AH31^2)</f>
        <v>175.48797352369</v>
      </c>
      <c r="BB31" s="23" t="n">
        <f aca="false">Y31</f>
        <v>2.89237759195487E-006</v>
      </c>
      <c r="BC31" s="23" t="n">
        <f aca="false">MAX(Z31,1)</f>
        <v>1</v>
      </c>
      <c r="BD31" s="23" t="n">
        <f aca="false">AA31</f>
        <v>0.0012</v>
      </c>
      <c r="BE31" s="23" t="n">
        <f aca="false">0.8*BD31</f>
        <v>0.00096</v>
      </c>
      <c r="BF31" s="23" t="n">
        <f aca="false">BD31*1.2</f>
        <v>0.00144</v>
      </c>
      <c r="BG31" s="0" t="str">
        <f aca="false">AC31</f>
        <v>Kesana (2013)</v>
      </c>
    </row>
    <row r="32" customFormat="false" ht="12.8" hidden="false" customHeight="false" outlineLevel="0" collapsed="false">
      <c r="A32" s="15" t="n">
        <v>30</v>
      </c>
      <c r="B32" s="51" t="s">
        <v>109</v>
      </c>
      <c r="C32" s="51" t="s">
        <v>49</v>
      </c>
      <c r="D32" s="51" t="s">
        <v>113</v>
      </c>
      <c r="E32" s="51" t="n">
        <v>90</v>
      </c>
      <c r="F32" s="52" t="n">
        <v>76.2</v>
      </c>
      <c r="G32" s="51" t="n">
        <v>1.5</v>
      </c>
      <c r="H32" s="53" t="n">
        <v>18</v>
      </c>
      <c r="I32" s="51" t="s">
        <v>114</v>
      </c>
      <c r="J32" s="51" t="n">
        <v>1.5177</v>
      </c>
      <c r="K32" s="51" t="n">
        <v>7990</v>
      </c>
      <c r="L32" s="51" t="n">
        <v>33.5</v>
      </c>
      <c r="M32" s="54" t="n">
        <v>1.8E-005</v>
      </c>
      <c r="N32" s="51" t="n">
        <v>1.225</v>
      </c>
      <c r="O32" s="51" t="n">
        <v>0</v>
      </c>
      <c r="P32" s="51" t="n">
        <v>0</v>
      </c>
      <c r="Q32" s="51" t="n">
        <v>0</v>
      </c>
      <c r="R32" s="51" t="n">
        <v>0</v>
      </c>
      <c r="S32" s="55" t="n">
        <f aca="false">(N32*L32+P32*R32)/(L32+P32)</f>
        <v>1.225</v>
      </c>
      <c r="T32" s="56" t="n">
        <f aca="false">(M32*L32+P32*Q32*0.1)/(L32+P32)</f>
        <v>1.8E-005</v>
      </c>
      <c r="U32" s="51" t="n">
        <v>150</v>
      </c>
      <c r="V32" s="51" t="n">
        <v>2650</v>
      </c>
      <c r="W32" s="57" t="n">
        <f aca="false">68/1000/60</f>
        <v>0.00113333333333333</v>
      </c>
      <c r="X32" s="41" t="n">
        <f aca="false">Y32-BB32</f>
        <v>0</v>
      </c>
      <c r="Y32" s="42" t="n">
        <v>2.79940633801605E-006</v>
      </c>
      <c r="Z32" s="15" t="n">
        <v>1</v>
      </c>
      <c r="AA32" s="58" t="n">
        <v>0.00176</v>
      </c>
      <c r="AB32" s="44"/>
      <c r="AC32" s="59" t="s">
        <v>115</v>
      </c>
      <c r="AD32" s="51" t="s">
        <v>116</v>
      </c>
      <c r="AE32" s="59" t="s">
        <v>117</v>
      </c>
      <c r="AF32" s="60"/>
      <c r="AG32" s="0"/>
      <c r="AH32" s="46" t="n">
        <f aca="false">MAX(L32,P32)</f>
        <v>33.5</v>
      </c>
      <c r="AI32" s="41" t="n">
        <f aca="false">MAX(M32,Q32)</f>
        <v>1.8E-005</v>
      </c>
      <c r="AJ32" s="47" t="n">
        <f aca="false">MAX(N32,R32)</f>
        <v>1.225</v>
      </c>
      <c r="AK32" s="47"/>
      <c r="AL32" s="19" t="n">
        <v>30</v>
      </c>
      <c r="AM32" s="20" t="str">
        <f aca="false">B32</f>
        <v>Elbow</v>
      </c>
      <c r="AN32" s="20" t="str">
        <f aca="false">C32</f>
        <v>Gas-solid</v>
      </c>
      <c r="AO32" s="20" t="str">
        <f aca="false">D32</f>
        <v>H-H</v>
      </c>
      <c r="AP32" s="20" t="n">
        <f aca="false">E32</f>
        <v>90</v>
      </c>
      <c r="AQ32" s="48" t="n">
        <f aca="false">G32</f>
        <v>1.5</v>
      </c>
      <c r="AR32" s="23" t="n">
        <f aca="false">H32/(F32/1000)</f>
        <v>236.220472440945</v>
      </c>
      <c r="AS32" s="22" t="n">
        <v>1E-006</v>
      </c>
      <c r="AT32" s="23" t="n">
        <f aca="false">AH32/SQRT(9.81*(F32/1000))</f>
        <v>38.7465302628793</v>
      </c>
      <c r="AU32" s="23" t="n">
        <f aca="false">(AH32*AJ32*(F32/1000))/AI32</f>
        <v>173725.416666667</v>
      </c>
      <c r="AV32" s="23" t="n">
        <f aca="false">((U32/10^6)^3*AJ32*(V32-AJ32)*9.81)/AI32^2</f>
        <v>331.572826757812</v>
      </c>
      <c r="AW32" s="23" t="n">
        <f aca="false">(V32*((U32/10^6)^2)/(18*AI32))*AH32/(F32/1000)</f>
        <v>80.9046004666083</v>
      </c>
      <c r="AX32" s="23" t="n">
        <f aca="false">AJ32*(U32/10^6)*AH32/AI32</f>
        <v>341.979166666667</v>
      </c>
      <c r="AY32" s="24" t="n">
        <f aca="false">(U32/10^6)/(F32/1000)</f>
        <v>0.00196850393700787</v>
      </c>
      <c r="AZ32" s="23" t="n">
        <f aca="false">AJ32/V32</f>
        <v>0.000462264150943396</v>
      </c>
      <c r="BA32" s="24" t="n">
        <f aca="false">(J32*10^9)/(K32*AH32^2)</f>
        <v>169.258130917155</v>
      </c>
      <c r="BB32" s="23" t="n">
        <f aca="false">Y32</f>
        <v>2.79940633801605E-006</v>
      </c>
      <c r="BC32" s="23" t="n">
        <f aca="false">MAX(Z32,1)</f>
        <v>1</v>
      </c>
      <c r="BD32" s="23" t="n">
        <f aca="false">AA32</f>
        <v>0.00176</v>
      </c>
      <c r="BE32" s="23" t="n">
        <f aca="false">0.8*BD32</f>
        <v>0.001408</v>
      </c>
      <c r="BF32" s="23" t="n">
        <f aca="false">BD32*1.2</f>
        <v>0.002112</v>
      </c>
      <c r="BG32" s="0" t="str">
        <f aca="false">AC32</f>
        <v>Kesana (2013)</v>
      </c>
    </row>
    <row r="33" customFormat="false" ht="12.8" hidden="false" customHeight="false" outlineLevel="0" collapsed="false">
      <c r="A33" s="15" t="n">
        <v>31</v>
      </c>
      <c r="B33" s="15" t="s">
        <v>109</v>
      </c>
      <c r="C33" s="15" t="s">
        <v>49</v>
      </c>
      <c r="D33" s="15" t="s">
        <v>54</v>
      </c>
      <c r="E33" s="15" t="n">
        <v>90</v>
      </c>
      <c r="F33" s="61" t="n">
        <v>76.2</v>
      </c>
      <c r="G33" s="15" t="n">
        <v>1.5</v>
      </c>
      <c r="H33" s="62" t="n">
        <v>18</v>
      </c>
      <c r="I33" s="15" t="s">
        <v>114</v>
      </c>
      <c r="J33" s="51" t="n">
        <v>1.5177</v>
      </c>
      <c r="K33" s="15" t="n">
        <v>7990</v>
      </c>
      <c r="L33" s="15" t="n">
        <v>27</v>
      </c>
      <c r="M33" s="41" t="n">
        <v>1.8E-005</v>
      </c>
      <c r="N33" s="15" t="n">
        <v>1.225</v>
      </c>
      <c r="O33" s="15" t="n">
        <v>0</v>
      </c>
      <c r="P33" s="15" t="n">
        <v>0</v>
      </c>
      <c r="Q33" s="15" t="n">
        <v>0</v>
      </c>
      <c r="R33" s="15" t="n">
        <v>0</v>
      </c>
      <c r="S33" s="55" t="n">
        <f aca="false">(N33*L33+P33*R33)/(L33+P33)</f>
        <v>1.225</v>
      </c>
      <c r="T33" s="56" t="n">
        <f aca="false">(M33*L33+P33*Q33*0.1)/(L33+P33)</f>
        <v>1.8E-005</v>
      </c>
      <c r="U33" s="15" t="n">
        <v>300</v>
      </c>
      <c r="V33" s="15" t="n">
        <v>2650</v>
      </c>
      <c r="W33" s="63" t="n">
        <f aca="false">256/(24*60*60)</f>
        <v>0.00296296296296296</v>
      </c>
      <c r="X33" s="41" t="n">
        <f aca="false">Y33-BB33</f>
        <v>0</v>
      </c>
      <c r="Y33" s="42" t="n">
        <v>9.08056386097609E-006</v>
      </c>
      <c r="Z33" s="15" t="n">
        <v>1</v>
      </c>
      <c r="AA33" s="44" t="n">
        <v>0.00139</v>
      </c>
      <c r="AB33" s="44"/>
      <c r="AC33" s="32" t="s">
        <v>118</v>
      </c>
      <c r="AD33" s="64" t="s">
        <v>119</v>
      </c>
      <c r="AE33" s="15" t="s">
        <v>120</v>
      </c>
      <c r="AF33" s="15"/>
      <c r="AG33" s="0"/>
      <c r="AH33" s="46" t="n">
        <f aca="false">MAX(L33,P33)</f>
        <v>27</v>
      </c>
      <c r="AI33" s="41" t="n">
        <f aca="false">MAX(M33,Q33)</f>
        <v>1.8E-005</v>
      </c>
      <c r="AJ33" s="47" t="n">
        <f aca="false">MAX(N33,R33)</f>
        <v>1.225</v>
      </c>
      <c r="AK33" s="47"/>
      <c r="AL33" s="19" t="n">
        <v>31</v>
      </c>
      <c r="AM33" s="20" t="str">
        <f aca="false">B33</f>
        <v>Elbow</v>
      </c>
      <c r="AN33" s="20" t="str">
        <f aca="false">C33</f>
        <v>Gas-solid</v>
      </c>
      <c r="AO33" s="20" t="str">
        <f aca="false">D33</f>
        <v>V-H</v>
      </c>
      <c r="AP33" s="20" t="n">
        <f aca="false">E33</f>
        <v>90</v>
      </c>
      <c r="AQ33" s="48" t="n">
        <f aca="false">G33</f>
        <v>1.5</v>
      </c>
      <c r="AR33" s="23" t="n">
        <f aca="false">H33/(F33/1000)</f>
        <v>236.220472440945</v>
      </c>
      <c r="AS33" s="22" t="n">
        <v>1E-006</v>
      </c>
      <c r="AT33" s="23" t="n">
        <f aca="false">AH33/SQRT(9.81*(F33/1000))</f>
        <v>31.2285467790371</v>
      </c>
      <c r="AU33" s="23" t="n">
        <f aca="false">(AH33*AJ33*(F33/1000))/AI33</f>
        <v>140017.5</v>
      </c>
      <c r="AV33" s="23" t="n">
        <f aca="false">((U33/10^6)^3*AJ33*(V33-AJ33)*9.81)/AI33^2</f>
        <v>2652.5826140625</v>
      </c>
      <c r="AW33" s="23" t="n">
        <f aca="false">(V33*((U33/10^6)^2)/(18*AI33))*AH33/(F33/1000)</f>
        <v>260.826771653543</v>
      </c>
      <c r="AX33" s="23" t="n">
        <f aca="false">AJ33*(U33/10^6)*AH33/AI33</f>
        <v>551.25</v>
      </c>
      <c r="AY33" s="24" t="n">
        <f aca="false">(U33/10^6)/(F33/1000)</f>
        <v>0.00393700787401575</v>
      </c>
      <c r="AZ33" s="23" t="n">
        <f aca="false">AJ33/V33</f>
        <v>0.000462264150943396</v>
      </c>
      <c r="BA33" s="24" t="n">
        <f aca="false">(J33*10^9)/(K33*AH33^2)</f>
        <v>260.562328424934</v>
      </c>
      <c r="BB33" s="23" t="n">
        <f aca="false">Y33</f>
        <v>9.08056386097609E-006</v>
      </c>
      <c r="BC33" s="23" t="n">
        <f aca="false">MAX(Z33,1)</f>
        <v>1</v>
      </c>
      <c r="BD33" s="23" t="n">
        <f aca="false">AA33</f>
        <v>0.00139</v>
      </c>
      <c r="BE33" s="23" t="n">
        <f aca="false">0.8*BD33</f>
        <v>0.001112</v>
      </c>
      <c r="BF33" s="23" t="n">
        <f aca="false">BD33*1.2</f>
        <v>0.001668</v>
      </c>
      <c r="BG33" s="0" t="str">
        <f aca="false">AC33</f>
        <v>Vieira (2016)</v>
      </c>
    </row>
    <row r="34" customFormat="false" ht="12.8" hidden="false" customHeight="false" outlineLevel="0" collapsed="false">
      <c r="A34" s="15" t="n">
        <v>32</v>
      </c>
      <c r="B34" s="15" t="s">
        <v>109</v>
      </c>
      <c r="C34" s="15" t="s">
        <v>49</v>
      </c>
      <c r="D34" s="15" t="s">
        <v>54</v>
      </c>
      <c r="E34" s="15" t="n">
        <v>90</v>
      </c>
      <c r="F34" s="61" t="n">
        <v>76.2</v>
      </c>
      <c r="G34" s="15" t="n">
        <v>1.5</v>
      </c>
      <c r="H34" s="62" t="n">
        <v>18</v>
      </c>
      <c r="I34" s="15" t="s">
        <v>114</v>
      </c>
      <c r="J34" s="51" t="n">
        <v>1.5177</v>
      </c>
      <c r="K34" s="15" t="n">
        <v>7990</v>
      </c>
      <c r="L34" s="15" t="n">
        <v>23</v>
      </c>
      <c r="M34" s="41" t="n">
        <v>1.8E-005</v>
      </c>
      <c r="N34" s="15" t="n">
        <v>1.225</v>
      </c>
      <c r="O34" s="15" t="n">
        <v>0</v>
      </c>
      <c r="P34" s="15" t="n">
        <v>0</v>
      </c>
      <c r="Q34" s="15" t="n">
        <v>0</v>
      </c>
      <c r="R34" s="15" t="n">
        <v>0</v>
      </c>
      <c r="S34" s="55" t="n">
        <f aca="false">(N34*L34+P34*R34)/(L34+P34)</f>
        <v>1.225</v>
      </c>
      <c r="T34" s="56" t="n">
        <f aca="false">(M34*L34+P34*Q34*0.1)/(L34+P34)</f>
        <v>1.8E-005</v>
      </c>
      <c r="U34" s="15" t="n">
        <v>300</v>
      </c>
      <c r="V34" s="15" t="n">
        <v>2650</v>
      </c>
      <c r="W34" s="63" t="n">
        <f aca="false">227/(24*60*60)</f>
        <v>0.00262731481481481</v>
      </c>
      <c r="X34" s="41" t="n">
        <f aca="false">Y34-BB34</f>
        <v>0</v>
      </c>
      <c r="Y34" s="42" t="n">
        <v>9.4522342422729E-006</v>
      </c>
      <c r="Z34" s="15" t="n">
        <v>1</v>
      </c>
      <c r="AA34" s="44" t="n">
        <v>0.000971</v>
      </c>
      <c r="AB34" s="44"/>
      <c r="AC34" s="32" t="s">
        <v>118</v>
      </c>
      <c r="AD34" s="64" t="s">
        <v>119</v>
      </c>
      <c r="AE34" s="32"/>
      <c r="AF34" s="15"/>
      <c r="AG34" s="0"/>
      <c r="AH34" s="46" t="n">
        <f aca="false">MAX(L34,P34)</f>
        <v>23</v>
      </c>
      <c r="AI34" s="41" t="n">
        <f aca="false">MAX(M34,Q34)</f>
        <v>1.8E-005</v>
      </c>
      <c r="AJ34" s="47" t="n">
        <f aca="false">MAX(N34,R34)</f>
        <v>1.225</v>
      </c>
      <c r="AK34" s="47"/>
      <c r="AL34" s="19" t="n">
        <v>32</v>
      </c>
      <c r="AM34" s="20" t="str">
        <f aca="false">B34</f>
        <v>Elbow</v>
      </c>
      <c r="AN34" s="20" t="str">
        <f aca="false">C34</f>
        <v>Gas-solid</v>
      </c>
      <c r="AO34" s="20" t="str">
        <f aca="false">D34</f>
        <v>V-H</v>
      </c>
      <c r="AP34" s="20" t="n">
        <f aca="false">E34</f>
        <v>90</v>
      </c>
      <c r="AQ34" s="48" t="n">
        <f aca="false">G34</f>
        <v>1.5</v>
      </c>
      <c r="AR34" s="23" t="n">
        <f aca="false">H34/(F34/1000)</f>
        <v>236.220472440945</v>
      </c>
      <c r="AS34" s="22" t="n">
        <v>1E-006</v>
      </c>
      <c r="AT34" s="23" t="n">
        <f aca="false">AH34/SQRT(9.81*(F34/1000))</f>
        <v>26.6020954043649</v>
      </c>
      <c r="AU34" s="23" t="n">
        <f aca="false">(AH34*AJ34*(F34/1000))/AI34</f>
        <v>119274.166666667</v>
      </c>
      <c r="AV34" s="23" t="n">
        <f aca="false">((U34/10^6)^3*AJ34*(V34-AJ34)*9.81)/AI34^2</f>
        <v>2652.5826140625</v>
      </c>
      <c r="AW34" s="23" t="n">
        <f aca="false">(V34*((U34/10^6)^2)/(18*AI34))*AH34/(F34/1000)</f>
        <v>222.185768445611</v>
      </c>
      <c r="AX34" s="23" t="n">
        <f aca="false">AJ34*(U34/10^6)*AH34/AI34</f>
        <v>469.583333333333</v>
      </c>
      <c r="AY34" s="24" t="n">
        <f aca="false">(U34/10^6)/(F34/1000)</f>
        <v>0.00393700787401575</v>
      </c>
      <c r="AZ34" s="23" t="n">
        <f aca="false">AJ34/V34</f>
        <v>0.000462264150943396</v>
      </c>
      <c r="BA34" s="24" t="n">
        <f aca="false">(J34*10^9)/(K34*AH34^2)</f>
        <v>359.073605712244</v>
      </c>
      <c r="BB34" s="23" t="n">
        <f aca="false">Y34</f>
        <v>9.4522342422729E-006</v>
      </c>
      <c r="BC34" s="23" t="n">
        <f aca="false">MAX(Z34,1)</f>
        <v>1</v>
      </c>
      <c r="BD34" s="23" t="n">
        <f aca="false">AA34</f>
        <v>0.000971</v>
      </c>
      <c r="BE34" s="23" t="n">
        <f aca="false">0.8*BD34</f>
        <v>0.0007768</v>
      </c>
      <c r="BF34" s="23" t="n">
        <f aca="false">BD34*1.2</f>
        <v>0.0011652</v>
      </c>
      <c r="BG34" s="0" t="str">
        <f aca="false">AC34</f>
        <v>Vieira (2016)</v>
      </c>
    </row>
    <row r="35" customFormat="false" ht="12.8" hidden="false" customHeight="false" outlineLevel="0" collapsed="false">
      <c r="A35" s="15" t="n">
        <v>33</v>
      </c>
      <c r="B35" s="15" t="s">
        <v>109</v>
      </c>
      <c r="C35" s="15" t="s">
        <v>49</v>
      </c>
      <c r="D35" s="15" t="s">
        <v>54</v>
      </c>
      <c r="E35" s="15" t="n">
        <v>90</v>
      </c>
      <c r="F35" s="61" t="n">
        <v>76.2</v>
      </c>
      <c r="G35" s="15" t="n">
        <v>1.5</v>
      </c>
      <c r="H35" s="62" t="n">
        <v>18</v>
      </c>
      <c r="I35" s="15" t="s">
        <v>114</v>
      </c>
      <c r="J35" s="51" t="n">
        <v>1.5177</v>
      </c>
      <c r="K35" s="15" t="n">
        <v>7990</v>
      </c>
      <c r="L35" s="15" t="n">
        <v>15</v>
      </c>
      <c r="M35" s="41" t="n">
        <v>1.8E-005</v>
      </c>
      <c r="N35" s="15" t="n">
        <v>1.225</v>
      </c>
      <c r="O35" s="15" t="n">
        <v>0</v>
      </c>
      <c r="P35" s="15" t="n">
        <v>0</v>
      </c>
      <c r="Q35" s="15" t="n">
        <v>0</v>
      </c>
      <c r="R35" s="15" t="n">
        <v>0</v>
      </c>
      <c r="S35" s="55" t="n">
        <f aca="false">(N35*L35+P35*R35)/(L35+P35)</f>
        <v>1.225</v>
      </c>
      <c r="T35" s="56" t="n">
        <f aca="false">(M35*L35+P35*Q35*0.1)/(L35+P35)</f>
        <v>1.8E-005</v>
      </c>
      <c r="U35" s="15" t="n">
        <v>300</v>
      </c>
      <c r="V35" s="15" t="n">
        <v>2650</v>
      </c>
      <c r="W35" s="63" t="n">
        <f aca="false">452/(24*60*60)</f>
        <v>0.00523148148148148</v>
      </c>
      <c r="X35" s="41" t="n">
        <f aca="false">Y35-BB35</f>
        <v>0</v>
      </c>
      <c r="Y35" s="42" t="n">
        <v>2.88585962379419E-005</v>
      </c>
      <c r="Z35" s="15" t="n">
        <v>1</v>
      </c>
      <c r="AA35" s="44" t="n">
        <v>0.000355</v>
      </c>
      <c r="AB35" s="44"/>
      <c r="AC35" s="32" t="s">
        <v>118</v>
      </c>
      <c r="AD35" s="64" t="s">
        <v>119</v>
      </c>
      <c r="AE35" s="32"/>
      <c r="AF35" s="15"/>
      <c r="AG35" s="0"/>
      <c r="AH35" s="46" t="n">
        <f aca="false">MAX(L35,P35)</f>
        <v>15</v>
      </c>
      <c r="AI35" s="41" t="n">
        <f aca="false">MAX(M35,Q35)</f>
        <v>1.8E-005</v>
      </c>
      <c r="AJ35" s="47" t="n">
        <f aca="false">MAX(N35,R35)</f>
        <v>1.225</v>
      </c>
      <c r="AK35" s="47"/>
      <c r="AL35" s="19" t="n">
        <v>33</v>
      </c>
      <c r="AM35" s="20" t="str">
        <f aca="false">B35</f>
        <v>Elbow</v>
      </c>
      <c r="AN35" s="20" t="str">
        <f aca="false">C35</f>
        <v>Gas-solid</v>
      </c>
      <c r="AO35" s="20" t="str">
        <f aca="false">D35</f>
        <v>V-H</v>
      </c>
      <c r="AP35" s="20" t="n">
        <f aca="false">E35</f>
        <v>90</v>
      </c>
      <c r="AQ35" s="48" t="n">
        <f aca="false">G35</f>
        <v>1.5</v>
      </c>
      <c r="AR35" s="23" t="n">
        <f aca="false">H35/(F35/1000)</f>
        <v>236.220472440945</v>
      </c>
      <c r="AS35" s="22" t="n">
        <v>1E-006</v>
      </c>
      <c r="AT35" s="23" t="n">
        <f aca="false">AH35/SQRT(9.81*(F35/1000))</f>
        <v>17.3491926550206</v>
      </c>
      <c r="AU35" s="23" t="n">
        <f aca="false">(AH35*AJ35*(F35/1000))/AI35</f>
        <v>77787.5</v>
      </c>
      <c r="AV35" s="23" t="n">
        <f aca="false">((U35/10^6)^3*AJ35*(V35-AJ35)*9.81)/AI35^2</f>
        <v>2652.5826140625</v>
      </c>
      <c r="AW35" s="23" t="n">
        <f aca="false">(V35*((U35/10^6)^2)/(18*AI35))*AH35/(F35/1000)</f>
        <v>144.903762029746</v>
      </c>
      <c r="AX35" s="23" t="n">
        <f aca="false">AJ35*(U35/10^6)*AH35/AI35</f>
        <v>306.25</v>
      </c>
      <c r="AY35" s="24" t="n">
        <f aca="false">(U35/10^6)/(F35/1000)</f>
        <v>0.00393700787401575</v>
      </c>
      <c r="AZ35" s="23" t="n">
        <f aca="false">AJ35/V35</f>
        <v>0.000462264150943396</v>
      </c>
      <c r="BA35" s="24" t="n">
        <f aca="false">(J35*10^9)/(K35*AH35^2)</f>
        <v>844.221944096788</v>
      </c>
      <c r="BB35" s="23" t="n">
        <f aca="false">Y35</f>
        <v>2.88585962379419E-005</v>
      </c>
      <c r="BC35" s="23" t="n">
        <f aca="false">MAX(Z35,1)</f>
        <v>1</v>
      </c>
      <c r="BD35" s="23" t="n">
        <f aca="false">AA35</f>
        <v>0.000355</v>
      </c>
      <c r="BE35" s="23" t="n">
        <f aca="false">0.8*BD35</f>
        <v>0.000284</v>
      </c>
      <c r="BF35" s="23" t="n">
        <f aca="false">BD35*1.2</f>
        <v>0.000426</v>
      </c>
      <c r="BG35" s="0" t="str">
        <f aca="false">AC35</f>
        <v>Vieira (2016)</v>
      </c>
    </row>
    <row r="36" customFormat="false" ht="12.8" hidden="false" customHeight="false" outlineLevel="0" collapsed="false">
      <c r="A36" s="15" t="n">
        <v>34</v>
      </c>
      <c r="B36" s="15" t="s">
        <v>109</v>
      </c>
      <c r="C36" s="15" t="s">
        <v>49</v>
      </c>
      <c r="D36" s="15" t="s">
        <v>54</v>
      </c>
      <c r="E36" s="15" t="n">
        <v>90</v>
      </c>
      <c r="F36" s="61" t="n">
        <v>76.2</v>
      </c>
      <c r="G36" s="15" t="n">
        <v>1.5</v>
      </c>
      <c r="H36" s="62" t="n">
        <v>18</v>
      </c>
      <c r="I36" s="15" t="s">
        <v>114</v>
      </c>
      <c r="J36" s="51" t="n">
        <v>1.5177</v>
      </c>
      <c r="K36" s="15" t="n">
        <v>7990</v>
      </c>
      <c r="L36" s="15" t="n">
        <v>15</v>
      </c>
      <c r="M36" s="41" t="n">
        <v>1.8E-005</v>
      </c>
      <c r="N36" s="15" t="n">
        <v>1.225</v>
      </c>
      <c r="O36" s="15" t="n">
        <v>0</v>
      </c>
      <c r="P36" s="15" t="n">
        <v>0</v>
      </c>
      <c r="Q36" s="15" t="n">
        <v>0</v>
      </c>
      <c r="R36" s="15" t="n">
        <v>0</v>
      </c>
      <c r="S36" s="55" t="n">
        <f aca="false">(N36*L36+P36*R36)/(L36+P36)</f>
        <v>1.225</v>
      </c>
      <c r="T36" s="56" t="n">
        <f aca="false">(M36*L36+P36*Q36*0.1)/(L36+P36)</f>
        <v>1.8E-005</v>
      </c>
      <c r="U36" s="15" t="n">
        <v>300</v>
      </c>
      <c r="V36" s="15" t="n">
        <v>2650</v>
      </c>
      <c r="W36" s="63" t="n">
        <f aca="false">103/(24*60*60)</f>
        <v>0.00119212962962963</v>
      </c>
      <c r="X36" s="41" t="n">
        <f aca="false">Y36-BB36</f>
        <v>0</v>
      </c>
      <c r="Y36" s="42" t="n">
        <v>6.57633107746346E-006</v>
      </c>
      <c r="Z36" s="15" t="n">
        <v>1</v>
      </c>
      <c r="AA36" s="44" t="n">
        <v>0.000393</v>
      </c>
      <c r="AB36" s="44"/>
      <c r="AC36" s="32" t="s">
        <v>118</v>
      </c>
      <c r="AD36" s="64" t="s">
        <v>119</v>
      </c>
      <c r="AE36" s="32"/>
      <c r="AF36" s="15"/>
      <c r="AG36" s="0"/>
      <c r="AH36" s="46" t="n">
        <f aca="false">MAX(L36,P36)</f>
        <v>15</v>
      </c>
      <c r="AI36" s="41" t="n">
        <f aca="false">MAX(M36,Q36)</f>
        <v>1.8E-005</v>
      </c>
      <c r="AJ36" s="47" t="n">
        <f aca="false">MAX(N36,R36)</f>
        <v>1.225</v>
      </c>
      <c r="AK36" s="47"/>
      <c r="AL36" s="19" t="n">
        <v>34</v>
      </c>
      <c r="AM36" s="20" t="str">
        <f aca="false">B36</f>
        <v>Elbow</v>
      </c>
      <c r="AN36" s="20" t="str">
        <f aca="false">C36</f>
        <v>Gas-solid</v>
      </c>
      <c r="AO36" s="20" t="str">
        <f aca="false">D36</f>
        <v>V-H</v>
      </c>
      <c r="AP36" s="20" t="n">
        <f aca="false">E36</f>
        <v>90</v>
      </c>
      <c r="AQ36" s="48" t="n">
        <f aca="false">G36</f>
        <v>1.5</v>
      </c>
      <c r="AR36" s="23" t="n">
        <f aca="false">H36/(F36/1000)</f>
        <v>236.220472440945</v>
      </c>
      <c r="AS36" s="22" t="n">
        <v>1E-006</v>
      </c>
      <c r="AT36" s="23" t="n">
        <f aca="false">AH36/SQRT(9.81*(F36/1000))</f>
        <v>17.3491926550206</v>
      </c>
      <c r="AU36" s="23" t="n">
        <f aca="false">(AH36*AJ36*(F36/1000))/AI36</f>
        <v>77787.5</v>
      </c>
      <c r="AV36" s="23" t="n">
        <f aca="false">((U36/10^6)^3*AJ36*(V36-AJ36)*9.81)/AI36^2</f>
        <v>2652.5826140625</v>
      </c>
      <c r="AW36" s="23" t="n">
        <f aca="false">(V36*((U36/10^6)^2)/(18*AI36))*AH36/(F36/1000)</f>
        <v>144.903762029746</v>
      </c>
      <c r="AX36" s="23" t="n">
        <f aca="false">AJ36*(U36/10^6)*AH36/AI36</f>
        <v>306.25</v>
      </c>
      <c r="AY36" s="24" t="n">
        <f aca="false">(U36/10^6)/(F36/1000)</f>
        <v>0.00393700787401575</v>
      </c>
      <c r="AZ36" s="23" t="n">
        <f aca="false">AJ36/V36</f>
        <v>0.000462264150943396</v>
      </c>
      <c r="BA36" s="24" t="n">
        <f aca="false">(J36*10^9)/(K36*AH36^2)</f>
        <v>844.221944096788</v>
      </c>
      <c r="BB36" s="23" t="n">
        <f aca="false">Y36</f>
        <v>6.57633107746346E-006</v>
      </c>
      <c r="BC36" s="23" t="n">
        <f aca="false">MAX(Z36,1)</f>
        <v>1</v>
      </c>
      <c r="BD36" s="23" t="n">
        <f aca="false">AA36</f>
        <v>0.000393</v>
      </c>
      <c r="BE36" s="23" t="n">
        <f aca="false">0.8*BD36</f>
        <v>0.0003144</v>
      </c>
      <c r="BF36" s="23" t="n">
        <f aca="false">BD36*1.2</f>
        <v>0.0004716</v>
      </c>
      <c r="BG36" s="0" t="str">
        <f aca="false">AC36</f>
        <v>Vieira (2016)</v>
      </c>
    </row>
    <row r="37" customFormat="false" ht="12.8" hidden="false" customHeight="false" outlineLevel="0" collapsed="false">
      <c r="A37" s="15" t="n">
        <v>35</v>
      </c>
      <c r="B37" s="15" t="s">
        <v>109</v>
      </c>
      <c r="C37" s="15" t="s">
        <v>49</v>
      </c>
      <c r="D37" s="15" t="s">
        <v>54</v>
      </c>
      <c r="E37" s="15" t="n">
        <v>90</v>
      </c>
      <c r="F37" s="61" t="n">
        <v>76.2</v>
      </c>
      <c r="G37" s="15" t="n">
        <v>1.5</v>
      </c>
      <c r="H37" s="62" t="n">
        <v>18</v>
      </c>
      <c r="I37" s="15" t="s">
        <v>114</v>
      </c>
      <c r="J37" s="51" t="n">
        <v>1.5177</v>
      </c>
      <c r="K37" s="15" t="n">
        <v>7990</v>
      </c>
      <c r="L37" s="15" t="n">
        <v>15</v>
      </c>
      <c r="M37" s="41" t="n">
        <v>1.8E-005</v>
      </c>
      <c r="N37" s="15" t="n">
        <v>1.225</v>
      </c>
      <c r="O37" s="15" t="n">
        <v>0</v>
      </c>
      <c r="P37" s="15" t="n">
        <v>0</v>
      </c>
      <c r="Q37" s="15" t="n">
        <v>0</v>
      </c>
      <c r="R37" s="15" t="n">
        <v>0</v>
      </c>
      <c r="S37" s="55" t="n">
        <f aca="false">(N37*L37+P37*R37)/(L37+P37)</f>
        <v>1.225</v>
      </c>
      <c r="T37" s="56" t="n">
        <f aca="false">(M37*L37+P37*Q37*0.1)/(L37+P37)</f>
        <v>1.8E-005</v>
      </c>
      <c r="U37" s="15" t="n">
        <v>300</v>
      </c>
      <c r="V37" s="15" t="n">
        <v>2650</v>
      </c>
      <c r="W37" s="63" t="n">
        <f aca="false">192/(24*60*60)</f>
        <v>0.00222222222222222</v>
      </c>
      <c r="X37" s="41" t="n">
        <f aca="false">Y37-BB37</f>
        <v>0</v>
      </c>
      <c r="Y37" s="42" t="n">
        <v>1.22587222516791E-005</v>
      </c>
      <c r="Z37" s="15" t="n">
        <v>1</v>
      </c>
      <c r="AA37" s="44" t="n">
        <v>0.000276</v>
      </c>
      <c r="AB37" s="44"/>
      <c r="AC37" s="32" t="s">
        <v>118</v>
      </c>
      <c r="AD37" s="64" t="s">
        <v>119</v>
      </c>
      <c r="AE37" s="32"/>
      <c r="AF37" s="15"/>
      <c r="AG37" s="0"/>
      <c r="AH37" s="46" t="n">
        <f aca="false">MAX(L37,P37)</f>
        <v>15</v>
      </c>
      <c r="AI37" s="41" t="n">
        <f aca="false">MAX(M37,Q37)</f>
        <v>1.8E-005</v>
      </c>
      <c r="AJ37" s="47" t="n">
        <f aca="false">MAX(N37,R37)</f>
        <v>1.225</v>
      </c>
      <c r="AK37" s="47"/>
      <c r="AL37" s="19" t="n">
        <v>35</v>
      </c>
      <c r="AM37" s="20" t="str">
        <f aca="false">B37</f>
        <v>Elbow</v>
      </c>
      <c r="AN37" s="20" t="str">
        <f aca="false">C37</f>
        <v>Gas-solid</v>
      </c>
      <c r="AO37" s="20" t="str">
        <f aca="false">D37</f>
        <v>V-H</v>
      </c>
      <c r="AP37" s="20" t="n">
        <f aca="false">E37</f>
        <v>90</v>
      </c>
      <c r="AQ37" s="48" t="n">
        <f aca="false">G37</f>
        <v>1.5</v>
      </c>
      <c r="AR37" s="23" t="n">
        <f aca="false">H37/(F37/1000)</f>
        <v>236.220472440945</v>
      </c>
      <c r="AS37" s="22" t="n">
        <v>1E-006</v>
      </c>
      <c r="AT37" s="23" t="n">
        <f aca="false">AH37/SQRT(9.81*(F37/1000))</f>
        <v>17.3491926550206</v>
      </c>
      <c r="AU37" s="23" t="n">
        <f aca="false">(AH37*AJ37*(F37/1000))/AI37</f>
        <v>77787.5</v>
      </c>
      <c r="AV37" s="23" t="n">
        <f aca="false">((U37/10^6)^3*AJ37*(V37-AJ37)*9.81)/AI37^2</f>
        <v>2652.5826140625</v>
      </c>
      <c r="AW37" s="23" t="n">
        <f aca="false">(V37*((U37/10^6)^2)/(18*AI37))*AH37/(F37/1000)</f>
        <v>144.903762029746</v>
      </c>
      <c r="AX37" s="23" t="n">
        <f aca="false">AJ37*(U37/10^6)*AH37/AI37</f>
        <v>306.25</v>
      </c>
      <c r="AY37" s="24" t="n">
        <f aca="false">(U37/10^6)/(F37/1000)</f>
        <v>0.00393700787401575</v>
      </c>
      <c r="AZ37" s="23" t="n">
        <f aca="false">AJ37/V37</f>
        <v>0.000462264150943396</v>
      </c>
      <c r="BA37" s="24" t="n">
        <f aca="false">(J37*10^9)/(K37*AH37^2)</f>
        <v>844.221944096788</v>
      </c>
      <c r="BB37" s="23" t="n">
        <f aca="false">Y37</f>
        <v>1.22587222516791E-005</v>
      </c>
      <c r="BC37" s="23" t="n">
        <f aca="false">MAX(Z37,1)</f>
        <v>1</v>
      </c>
      <c r="BD37" s="23" t="n">
        <f aca="false">AA37</f>
        <v>0.000276</v>
      </c>
      <c r="BE37" s="23" t="n">
        <f aca="false">0.8*BD37</f>
        <v>0.0002208</v>
      </c>
      <c r="BF37" s="23" t="n">
        <f aca="false">BD37*1.2</f>
        <v>0.0003312</v>
      </c>
      <c r="BG37" s="0" t="str">
        <f aca="false">AC37</f>
        <v>Vieira (2016)</v>
      </c>
    </row>
    <row r="38" customFormat="false" ht="12.8" hidden="false" customHeight="false" outlineLevel="0" collapsed="false">
      <c r="A38" s="15" t="n">
        <v>36</v>
      </c>
      <c r="B38" s="15" t="s">
        <v>109</v>
      </c>
      <c r="C38" s="15" t="s">
        <v>49</v>
      </c>
      <c r="D38" s="15" t="s">
        <v>54</v>
      </c>
      <c r="E38" s="15" t="n">
        <v>90</v>
      </c>
      <c r="F38" s="61" t="n">
        <v>76.2</v>
      </c>
      <c r="G38" s="15" t="n">
        <v>1.5</v>
      </c>
      <c r="H38" s="62" t="n">
        <v>18</v>
      </c>
      <c r="I38" s="15" t="s">
        <v>114</v>
      </c>
      <c r="J38" s="51" t="n">
        <v>1.5177</v>
      </c>
      <c r="K38" s="15" t="n">
        <v>7990</v>
      </c>
      <c r="L38" s="15" t="n">
        <v>15</v>
      </c>
      <c r="M38" s="41" t="n">
        <v>1.8E-005</v>
      </c>
      <c r="N38" s="15" t="n">
        <v>1.225</v>
      </c>
      <c r="O38" s="15" t="n">
        <v>0</v>
      </c>
      <c r="P38" s="15" t="n">
        <v>0</v>
      </c>
      <c r="Q38" s="15" t="n">
        <v>0</v>
      </c>
      <c r="R38" s="15" t="n">
        <v>0</v>
      </c>
      <c r="S38" s="55" t="n">
        <f aca="false">(N38*L38+P38*R38)/(L38+P38)</f>
        <v>1.225</v>
      </c>
      <c r="T38" s="56" t="n">
        <f aca="false">(M38*L38+P38*Q38*0.1)/(L38+P38)</f>
        <v>1.8E-005</v>
      </c>
      <c r="U38" s="15" t="n">
        <v>300</v>
      </c>
      <c r="V38" s="15" t="n">
        <v>2650</v>
      </c>
      <c r="W38" s="63" t="n">
        <f aca="false">154/(24*60*60)</f>
        <v>0.00178240740740741</v>
      </c>
      <c r="X38" s="41" t="n">
        <f aca="false">Y38-BB38</f>
        <v>0</v>
      </c>
      <c r="Y38" s="42" t="n">
        <v>9.832540661798E-006</v>
      </c>
      <c r="Z38" s="15" t="n">
        <v>1</v>
      </c>
      <c r="AA38" s="44" t="n">
        <v>0.000394</v>
      </c>
      <c r="AB38" s="44"/>
      <c r="AC38" s="32" t="s">
        <v>118</v>
      </c>
      <c r="AD38" s="64" t="s">
        <v>119</v>
      </c>
      <c r="AE38" s="32"/>
      <c r="AF38" s="15"/>
      <c r="AG38" s="0"/>
      <c r="AH38" s="46" t="n">
        <f aca="false">MAX(L38,P38)</f>
        <v>15</v>
      </c>
      <c r="AI38" s="41" t="n">
        <f aca="false">MAX(M38,Q38)</f>
        <v>1.8E-005</v>
      </c>
      <c r="AJ38" s="47" t="n">
        <f aca="false">MAX(N38,R38)</f>
        <v>1.225</v>
      </c>
      <c r="AK38" s="47"/>
      <c r="AL38" s="19" t="n">
        <v>36</v>
      </c>
      <c r="AM38" s="20" t="str">
        <f aca="false">B38</f>
        <v>Elbow</v>
      </c>
      <c r="AN38" s="20" t="str">
        <f aca="false">C38</f>
        <v>Gas-solid</v>
      </c>
      <c r="AO38" s="20" t="str">
        <f aca="false">D38</f>
        <v>V-H</v>
      </c>
      <c r="AP38" s="20" t="n">
        <f aca="false">E38</f>
        <v>90</v>
      </c>
      <c r="AQ38" s="48" t="n">
        <f aca="false">G38</f>
        <v>1.5</v>
      </c>
      <c r="AR38" s="23" t="n">
        <f aca="false">H38/(F38/1000)</f>
        <v>236.220472440945</v>
      </c>
      <c r="AS38" s="22" t="n">
        <v>1E-006</v>
      </c>
      <c r="AT38" s="23" t="n">
        <f aca="false">AH38/SQRT(9.81*(F38/1000))</f>
        <v>17.3491926550206</v>
      </c>
      <c r="AU38" s="23" t="n">
        <f aca="false">(AH38*AJ38*(F38/1000))/AI38</f>
        <v>77787.5</v>
      </c>
      <c r="AV38" s="23" t="n">
        <f aca="false">((U38/10^6)^3*AJ38*(V38-AJ38)*9.81)/AI38^2</f>
        <v>2652.5826140625</v>
      </c>
      <c r="AW38" s="23" t="n">
        <f aca="false">(V38*((U38/10^6)^2)/(18*AI38))*AH38/(F38/1000)</f>
        <v>144.903762029746</v>
      </c>
      <c r="AX38" s="23" t="n">
        <f aca="false">AJ38*(U38/10^6)*AH38/AI38</f>
        <v>306.25</v>
      </c>
      <c r="AY38" s="24" t="n">
        <f aca="false">(U38/10^6)/(F38/1000)</f>
        <v>0.00393700787401575</v>
      </c>
      <c r="AZ38" s="23" t="n">
        <f aca="false">AJ38/V38</f>
        <v>0.000462264150943396</v>
      </c>
      <c r="BA38" s="24" t="n">
        <f aca="false">(J38*10^9)/(K38*AH38^2)</f>
        <v>844.221944096788</v>
      </c>
      <c r="BB38" s="23" t="n">
        <f aca="false">Y38</f>
        <v>9.832540661798E-006</v>
      </c>
      <c r="BC38" s="23" t="n">
        <f aca="false">MAX(Z38,1)</f>
        <v>1</v>
      </c>
      <c r="BD38" s="23" t="n">
        <f aca="false">AA38</f>
        <v>0.000394</v>
      </c>
      <c r="BE38" s="23" t="n">
        <f aca="false">0.8*BD38</f>
        <v>0.0003152</v>
      </c>
      <c r="BF38" s="23" t="n">
        <f aca="false">BD38*1.2</f>
        <v>0.0004728</v>
      </c>
      <c r="BG38" s="0" t="str">
        <f aca="false">AC38</f>
        <v>Vieira (2016)</v>
      </c>
    </row>
    <row r="39" customFormat="false" ht="12.8" hidden="false" customHeight="false" outlineLevel="0" collapsed="false">
      <c r="A39" s="15" t="n">
        <v>37</v>
      </c>
      <c r="B39" s="15" t="s">
        <v>109</v>
      </c>
      <c r="C39" s="15" t="s">
        <v>49</v>
      </c>
      <c r="D39" s="15" t="s">
        <v>54</v>
      </c>
      <c r="E39" s="15" t="n">
        <v>90</v>
      </c>
      <c r="F39" s="61" t="n">
        <v>76.2</v>
      </c>
      <c r="G39" s="15" t="n">
        <v>1.5</v>
      </c>
      <c r="H39" s="62" t="n">
        <v>18</v>
      </c>
      <c r="I39" s="15" t="s">
        <v>114</v>
      </c>
      <c r="J39" s="51" t="n">
        <v>1.5177</v>
      </c>
      <c r="K39" s="15" t="n">
        <v>7990</v>
      </c>
      <c r="L39" s="15" t="n">
        <v>11</v>
      </c>
      <c r="M39" s="41" t="n">
        <v>1.8E-005</v>
      </c>
      <c r="N39" s="15" t="n">
        <v>1.225</v>
      </c>
      <c r="O39" s="15" t="n">
        <v>0</v>
      </c>
      <c r="P39" s="15" t="n">
        <v>0</v>
      </c>
      <c r="Q39" s="15" t="n">
        <v>0</v>
      </c>
      <c r="R39" s="15" t="n">
        <v>0</v>
      </c>
      <c r="S39" s="55" t="n">
        <f aca="false">(N39*L39+P39*R39)/(L39+P39)</f>
        <v>1.225</v>
      </c>
      <c r="T39" s="56" t="n">
        <f aca="false">(M39*L39+P39*Q39*0.1)/(L39+P39)</f>
        <v>1.8E-005</v>
      </c>
      <c r="U39" s="15" t="n">
        <v>300</v>
      </c>
      <c r="V39" s="15" t="n">
        <v>2650</v>
      </c>
      <c r="W39" s="63" t="n">
        <f aca="false">288/(24*60*60)</f>
        <v>0.00333333333333333</v>
      </c>
      <c r="X39" s="41" t="n">
        <f aca="false">Y39-BB39</f>
        <v>0</v>
      </c>
      <c r="Y39" s="42" t="n">
        <v>2.50743378000308E-005</v>
      </c>
      <c r="Z39" s="15" t="n">
        <v>1</v>
      </c>
      <c r="AA39" s="44" t="n">
        <v>0.000161</v>
      </c>
      <c r="AB39" s="44"/>
      <c r="AC39" s="32" t="s">
        <v>118</v>
      </c>
      <c r="AD39" s="64" t="s">
        <v>119</v>
      </c>
      <c r="AE39" s="32"/>
      <c r="AF39" s="15"/>
      <c r="AG39" s="0"/>
      <c r="AH39" s="46" t="n">
        <f aca="false">MAX(L39,P39)</f>
        <v>11</v>
      </c>
      <c r="AI39" s="41" t="n">
        <f aca="false">MAX(M39,Q39)</f>
        <v>1.8E-005</v>
      </c>
      <c r="AJ39" s="47" t="n">
        <f aca="false">MAX(N39,R39)</f>
        <v>1.225</v>
      </c>
      <c r="AK39" s="47"/>
      <c r="AL39" s="19" t="n">
        <v>37</v>
      </c>
      <c r="AM39" s="20" t="str">
        <f aca="false">B39</f>
        <v>Elbow</v>
      </c>
      <c r="AN39" s="20" t="str">
        <f aca="false">C39</f>
        <v>Gas-solid</v>
      </c>
      <c r="AO39" s="20" t="str">
        <f aca="false">D39</f>
        <v>V-H</v>
      </c>
      <c r="AP39" s="20" t="n">
        <f aca="false">E39</f>
        <v>90</v>
      </c>
      <c r="AQ39" s="48" t="n">
        <f aca="false">G39</f>
        <v>1.5</v>
      </c>
      <c r="AR39" s="23" t="n">
        <f aca="false">H39/(F39/1000)</f>
        <v>236.220472440945</v>
      </c>
      <c r="AS39" s="22" t="n">
        <v>1E-006</v>
      </c>
      <c r="AT39" s="23" t="n">
        <f aca="false">AH39/SQRT(9.81*(F39/1000))</f>
        <v>12.7227412803484</v>
      </c>
      <c r="AU39" s="23" t="n">
        <f aca="false">(AH39*AJ39*(F39/1000))/AI39</f>
        <v>57044.1666666667</v>
      </c>
      <c r="AV39" s="23" t="n">
        <f aca="false">((U39/10^6)^3*AJ39*(V39-AJ39)*9.81)/AI39^2</f>
        <v>2652.5826140625</v>
      </c>
      <c r="AW39" s="23" t="n">
        <f aca="false">(V39*((U39/10^6)^2)/(18*AI39))*AH39/(F39/1000)</f>
        <v>106.262758821814</v>
      </c>
      <c r="AX39" s="23" t="n">
        <f aca="false">AJ39*(U39/10^6)*AH39/AI39</f>
        <v>224.583333333333</v>
      </c>
      <c r="AY39" s="24" t="n">
        <f aca="false">(U39/10^6)/(F39/1000)</f>
        <v>0.00393700787401575</v>
      </c>
      <c r="AZ39" s="23" t="n">
        <f aca="false">AJ39/V39</f>
        <v>0.000462264150943396</v>
      </c>
      <c r="BA39" s="24" t="n">
        <f aca="false">(J39*10^9)/(K39*AH39^2)</f>
        <v>1569.83419356841</v>
      </c>
      <c r="BB39" s="23" t="n">
        <f aca="false">Y39</f>
        <v>2.50743378000308E-005</v>
      </c>
      <c r="BC39" s="23" t="n">
        <f aca="false">MAX(Z39,1)</f>
        <v>1</v>
      </c>
      <c r="BD39" s="23" t="n">
        <f aca="false">AA39</f>
        <v>0.000161</v>
      </c>
      <c r="BE39" s="23" t="n">
        <f aca="false">0.8*BD39</f>
        <v>0.0001288</v>
      </c>
      <c r="BF39" s="23" t="n">
        <f aca="false">BD39*1.2</f>
        <v>0.0001932</v>
      </c>
      <c r="BG39" s="0" t="str">
        <f aca="false">AC39</f>
        <v>Vieira (2016)</v>
      </c>
    </row>
    <row r="40" customFormat="false" ht="12.8" hidden="false" customHeight="false" outlineLevel="0" collapsed="false">
      <c r="A40" s="15" t="n">
        <v>38</v>
      </c>
      <c r="B40" s="15" t="s">
        <v>109</v>
      </c>
      <c r="C40" s="15" t="s">
        <v>49</v>
      </c>
      <c r="D40" s="15" t="s">
        <v>54</v>
      </c>
      <c r="E40" s="15" t="n">
        <v>90</v>
      </c>
      <c r="F40" s="61" t="n">
        <v>76.2</v>
      </c>
      <c r="G40" s="15" t="n">
        <v>1.5</v>
      </c>
      <c r="H40" s="62" t="n">
        <v>18</v>
      </c>
      <c r="I40" s="15" t="s">
        <v>114</v>
      </c>
      <c r="J40" s="51" t="n">
        <v>1.5177</v>
      </c>
      <c r="K40" s="15" t="n">
        <v>7990</v>
      </c>
      <c r="L40" s="15" t="n">
        <v>27</v>
      </c>
      <c r="M40" s="41" t="n">
        <v>1.8E-005</v>
      </c>
      <c r="N40" s="15" t="n">
        <v>1.225</v>
      </c>
      <c r="O40" s="15" t="n">
        <v>0</v>
      </c>
      <c r="P40" s="15" t="n">
        <v>0</v>
      </c>
      <c r="Q40" s="15" t="n">
        <v>0</v>
      </c>
      <c r="R40" s="15" t="n">
        <v>0</v>
      </c>
      <c r="S40" s="55" t="n">
        <f aca="false">(N40*L40+P40*R40)/(L40+P40)</f>
        <v>1.225</v>
      </c>
      <c r="T40" s="56" t="n">
        <f aca="false">(M40*L40+P40*Q40*0.1)/(L40+P40)</f>
        <v>1.8E-005</v>
      </c>
      <c r="U40" s="15" t="n">
        <v>150</v>
      </c>
      <c r="V40" s="15" t="n">
        <v>2650</v>
      </c>
      <c r="W40" s="63" t="n">
        <f aca="false">206/(24*60*60)</f>
        <v>0.00238425925925926</v>
      </c>
      <c r="X40" s="41" t="n">
        <f aca="false">Y40-BB40</f>
        <v>0</v>
      </c>
      <c r="Y40" s="42" t="n">
        <v>7.3070291912435E-006</v>
      </c>
      <c r="Z40" s="15" t="n">
        <v>1</v>
      </c>
      <c r="AA40" s="44" t="n">
        <v>0.000719</v>
      </c>
      <c r="AB40" s="44"/>
      <c r="AC40" s="32" t="s">
        <v>118</v>
      </c>
      <c r="AD40" s="64" t="s">
        <v>119</v>
      </c>
      <c r="AE40" s="32"/>
      <c r="AF40" s="15"/>
      <c r="AG40" s="0"/>
      <c r="AH40" s="46" t="n">
        <f aca="false">MAX(L40,P40)</f>
        <v>27</v>
      </c>
      <c r="AI40" s="41" t="n">
        <f aca="false">MAX(M40,Q40)</f>
        <v>1.8E-005</v>
      </c>
      <c r="AJ40" s="47" t="n">
        <f aca="false">MAX(N40,R40)</f>
        <v>1.225</v>
      </c>
      <c r="AK40" s="47"/>
      <c r="AL40" s="19" t="n">
        <v>38</v>
      </c>
      <c r="AM40" s="20" t="str">
        <f aca="false">B40</f>
        <v>Elbow</v>
      </c>
      <c r="AN40" s="20" t="str">
        <f aca="false">C40</f>
        <v>Gas-solid</v>
      </c>
      <c r="AO40" s="20" t="str">
        <f aca="false">D40</f>
        <v>V-H</v>
      </c>
      <c r="AP40" s="20" t="n">
        <f aca="false">E40</f>
        <v>90</v>
      </c>
      <c r="AQ40" s="48" t="n">
        <f aca="false">G40</f>
        <v>1.5</v>
      </c>
      <c r="AR40" s="23" t="n">
        <f aca="false">H40/(F40/1000)</f>
        <v>236.220472440945</v>
      </c>
      <c r="AS40" s="22" t="n">
        <v>1E-006</v>
      </c>
      <c r="AT40" s="23" t="n">
        <f aca="false">AH40/SQRT(9.81*(F40/1000))</f>
        <v>31.2285467790371</v>
      </c>
      <c r="AU40" s="23" t="n">
        <f aca="false">(AH40*AJ40*(F40/1000))/AI40</f>
        <v>140017.5</v>
      </c>
      <c r="AV40" s="23" t="n">
        <f aca="false">((U40/10^6)^3*AJ40*(V40-AJ40)*9.81)/AI40^2</f>
        <v>331.572826757812</v>
      </c>
      <c r="AW40" s="23" t="n">
        <f aca="false">(V40*((U40/10^6)^2)/(18*AI40))*AH40/(F40/1000)</f>
        <v>65.2066929133858</v>
      </c>
      <c r="AX40" s="23" t="n">
        <f aca="false">AJ40*(U40/10^6)*AH40/AI40</f>
        <v>275.625</v>
      </c>
      <c r="AY40" s="24" t="n">
        <f aca="false">(U40/10^6)/(F40/1000)</f>
        <v>0.00196850393700787</v>
      </c>
      <c r="AZ40" s="23" t="n">
        <f aca="false">AJ40/V40</f>
        <v>0.000462264150943396</v>
      </c>
      <c r="BA40" s="24" t="n">
        <f aca="false">(J40*10^9)/(K40*AH40^2)</f>
        <v>260.562328424934</v>
      </c>
      <c r="BB40" s="23" t="n">
        <f aca="false">Y40</f>
        <v>7.3070291912435E-006</v>
      </c>
      <c r="BC40" s="23" t="n">
        <f aca="false">MAX(Z40,1)</f>
        <v>1</v>
      </c>
      <c r="BD40" s="23" t="n">
        <f aca="false">AA40</f>
        <v>0.000719</v>
      </c>
      <c r="BE40" s="23" t="n">
        <f aca="false">0.8*BD40</f>
        <v>0.0005752</v>
      </c>
      <c r="BF40" s="23" t="n">
        <f aca="false">BD40*1.2</f>
        <v>0.0008628</v>
      </c>
      <c r="BG40" s="0" t="str">
        <f aca="false">AC40</f>
        <v>Vieira (2016)</v>
      </c>
    </row>
    <row r="41" customFormat="false" ht="12.8" hidden="false" customHeight="false" outlineLevel="0" collapsed="false">
      <c r="A41" s="15" t="n">
        <v>39</v>
      </c>
      <c r="B41" s="15" t="s">
        <v>109</v>
      </c>
      <c r="C41" s="15" t="s">
        <v>49</v>
      </c>
      <c r="D41" s="15" t="s">
        <v>54</v>
      </c>
      <c r="E41" s="15" t="n">
        <v>90</v>
      </c>
      <c r="F41" s="61" t="n">
        <v>76.2</v>
      </c>
      <c r="G41" s="15" t="n">
        <v>1.5</v>
      </c>
      <c r="H41" s="62" t="n">
        <v>18</v>
      </c>
      <c r="I41" s="15" t="s">
        <v>114</v>
      </c>
      <c r="J41" s="51" t="n">
        <v>1.5177</v>
      </c>
      <c r="K41" s="15" t="n">
        <v>7990</v>
      </c>
      <c r="L41" s="15" t="n">
        <v>23</v>
      </c>
      <c r="M41" s="41" t="n">
        <v>1.8E-005</v>
      </c>
      <c r="N41" s="15" t="n">
        <v>1.225</v>
      </c>
      <c r="O41" s="15" t="n">
        <v>0</v>
      </c>
      <c r="P41" s="15" t="n">
        <v>0</v>
      </c>
      <c r="Q41" s="15" t="n">
        <v>0</v>
      </c>
      <c r="R41" s="15" t="n">
        <v>0</v>
      </c>
      <c r="S41" s="55" t="n">
        <f aca="false">(N41*L41+P41*R41)/(L41+P41)</f>
        <v>1.225</v>
      </c>
      <c r="T41" s="56" t="n">
        <f aca="false">(M41*L41+P41*Q41*0.1)/(L41+P41)</f>
        <v>1.8E-005</v>
      </c>
      <c r="U41" s="15" t="n">
        <v>150</v>
      </c>
      <c r="V41" s="15" t="n">
        <v>2650</v>
      </c>
      <c r="W41" s="63" t="n">
        <f aca="false">257/(24*60*60)</f>
        <v>0.00297453703703704</v>
      </c>
      <c r="X41" s="41" t="n">
        <f aca="false">Y41-BB41</f>
        <v>0</v>
      </c>
      <c r="Y41" s="42" t="n">
        <v>1.07014148268535E-005</v>
      </c>
      <c r="Z41" s="15" t="n">
        <v>1</v>
      </c>
      <c r="AA41" s="44" t="n">
        <v>0.000386</v>
      </c>
      <c r="AB41" s="44"/>
      <c r="AC41" s="32" t="s">
        <v>118</v>
      </c>
      <c r="AD41" s="64" t="s">
        <v>119</v>
      </c>
      <c r="AE41" s="32"/>
      <c r="AF41" s="15"/>
      <c r="AG41" s="0"/>
      <c r="AH41" s="46" t="n">
        <f aca="false">MAX(L41,P41)</f>
        <v>23</v>
      </c>
      <c r="AI41" s="41" t="n">
        <f aca="false">MAX(M41,Q41)</f>
        <v>1.8E-005</v>
      </c>
      <c r="AJ41" s="47" t="n">
        <f aca="false">MAX(N41,R41)</f>
        <v>1.225</v>
      </c>
      <c r="AK41" s="47"/>
      <c r="AL41" s="19" t="n">
        <v>39</v>
      </c>
      <c r="AM41" s="20" t="str">
        <f aca="false">B41</f>
        <v>Elbow</v>
      </c>
      <c r="AN41" s="20" t="str">
        <f aca="false">C41</f>
        <v>Gas-solid</v>
      </c>
      <c r="AO41" s="20" t="str">
        <f aca="false">D41</f>
        <v>V-H</v>
      </c>
      <c r="AP41" s="20" t="n">
        <f aca="false">E41</f>
        <v>90</v>
      </c>
      <c r="AQ41" s="48" t="n">
        <f aca="false">G41</f>
        <v>1.5</v>
      </c>
      <c r="AR41" s="23" t="n">
        <f aca="false">H41/(F41/1000)</f>
        <v>236.220472440945</v>
      </c>
      <c r="AS41" s="22" t="n">
        <v>1E-006</v>
      </c>
      <c r="AT41" s="23" t="n">
        <f aca="false">AH41/SQRT(9.81*(F41/1000))</f>
        <v>26.6020954043649</v>
      </c>
      <c r="AU41" s="23" t="n">
        <f aca="false">(AH41*AJ41*(F41/1000))/AI41</f>
        <v>119274.166666667</v>
      </c>
      <c r="AV41" s="23" t="n">
        <f aca="false">((U41/10^6)^3*AJ41*(V41-AJ41)*9.81)/AI41^2</f>
        <v>331.572826757812</v>
      </c>
      <c r="AW41" s="23" t="n">
        <f aca="false">(V41*((U41/10^6)^2)/(18*AI41))*AH41/(F41/1000)</f>
        <v>55.5464421114027</v>
      </c>
      <c r="AX41" s="23" t="n">
        <f aca="false">AJ41*(U41/10^6)*AH41/AI41</f>
        <v>234.791666666667</v>
      </c>
      <c r="AY41" s="24" t="n">
        <f aca="false">(U41/10^6)/(F41/1000)</f>
        <v>0.00196850393700787</v>
      </c>
      <c r="AZ41" s="23" t="n">
        <f aca="false">AJ41/V41</f>
        <v>0.000462264150943396</v>
      </c>
      <c r="BA41" s="24" t="n">
        <f aca="false">(J41*10^9)/(K41*AH41^2)</f>
        <v>359.073605712244</v>
      </c>
      <c r="BB41" s="23" t="n">
        <f aca="false">Y41</f>
        <v>1.07014148268535E-005</v>
      </c>
      <c r="BC41" s="23" t="n">
        <f aca="false">MAX(Z41,1)</f>
        <v>1</v>
      </c>
      <c r="BD41" s="23" t="n">
        <f aca="false">AA41</f>
        <v>0.000386</v>
      </c>
      <c r="BE41" s="23" t="n">
        <f aca="false">0.8*BD41</f>
        <v>0.0003088</v>
      </c>
      <c r="BF41" s="23" t="n">
        <f aca="false">BD41*1.2</f>
        <v>0.0004632</v>
      </c>
      <c r="BG41" s="0" t="str">
        <f aca="false">AC41</f>
        <v>Vieira (2016)</v>
      </c>
    </row>
    <row r="42" customFormat="false" ht="12.8" hidden="false" customHeight="false" outlineLevel="0" collapsed="false">
      <c r="A42" s="15" t="n">
        <v>40</v>
      </c>
      <c r="B42" s="15" t="s">
        <v>109</v>
      </c>
      <c r="C42" s="15" t="s">
        <v>49</v>
      </c>
      <c r="D42" s="15" t="s">
        <v>54</v>
      </c>
      <c r="E42" s="15" t="n">
        <v>90</v>
      </c>
      <c r="F42" s="61" t="n">
        <v>76.2</v>
      </c>
      <c r="G42" s="15" t="n">
        <v>1.5</v>
      </c>
      <c r="H42" s="62" t="n">
        <v>18</v>
      </c>
      <c r="I42" s="15" t="s">
        <v>114</v>
      </c>
      <c r="J42" s="51" t="n">
        <v>1.5177</v>
      </c>
      <c r="K42" s="15" t="n">
        <v>7990</v>
      </c>
      <c r="L42" s="15" t="n">
        <v>15</v>
      </c>
      <c r="M42" s="41" t="n">
        <v>1.8E-005</v>
      </c>
      <c r="N42" s="15" t="n">
        <v>1.225</v>
      </c>
      <c r="O42" s="15" t="n">
        <v>0</v>
      </c>
      <c r="P42" s="15" t="n">
        <v>0</v>
      </c>
      <c r="Q42" s="15" t="n">
        <v>0</v>
      </c>
      <c r="R42" s="15" t="n">
        <v>0</v>
      </c>
      <c r="S42" s="55" t="n">
        <f aca="false">(N42*L42+P42*R42)/(L42+P42)</f>
        <v>1.225</v>
      </c>
      <c r="T42" s="56" t="n">
        <f aca="false">(M42*L42+P42*Q42*0.1)/(L42+P42)</f>
        <v>1.8E-005</v>
      </c>
      <c r="U42" s="15" t="n">
        <v>150</v>
      </c>
      <c r="V42" s="15" t="n">
        <v>2650</v>
      </c>
      <c r="W42" s="63" t="n">
        <f aca="false">237/(24*60*60)</f>
        <v>0.00274305555555556</v>
      </c>
      <c r="X42" s="41" t="n">
        <f aca="false">Y42-BB42</f>
        <v>0</v>
      </c>
      <c r="Y42" s="42" t="n">
        <v>1.51318168036181E-005</v>
      </c>
      <c r="Z42" s="15" t="n">
        <v>1</v>
      </c>
      <c r="AA42" s="44" t="n">
        <v>0.000153</v>
      </c>
      <c r="AB42" s="44"/>
      <c r="AC42" s="32" t="s">
        <v>118</v>
      </c>
      <c r="AD42" s="64" t="s">
        <v>119</v>
      </c>
      <c r="AE42" s="32"/>
      <c r="AF42" s="15"/>
      <c r="AG42" s="0"/>
      <c r="AH42" s="46" t="n">
        <f aca="false">MAX(L42,P42)</f>
        <v>15</v>
      </c>
      <c r="AI42" s="41" t="n">
        <f aca="false">MAX(M42,Q42)</f>
        <v>1.8E-005</v>
      </c>
      <c r="AJ42" s="47" t="n">
        <f aca="false">MAX(N42,R42)</f>
        <v>1.225</v>
      </c>
      <c r="AK42" s="47"/>
      <c r="AL42" s="19" t="n">
        <v>40</v>
      </c>
      <c r="AM42" s="20" t="str">
        <f aca="false">B42</f>
        <v>Elbow</v>
      </c>
      <c r="AN42" s="20" t="str">
        <f aca="false">C42</f>
        <v>Gas-solid</v>
      </c>
      <c r="AO42" s="20" t="str">
        <f aca="false">D42</f>
        <v>V-H</v>
      </c>
      <c r="AP42" s="20" t="n">
        <f aca="false">E42</f>
        <v>90</v>
      </c>
      <c r="AQ42" s="48" t="n">
        <f aca="false">G42</f>
        <v>1.5</v>
      </c>
      <c r="AR42" s="23" t="n">
        <f aca="false">H42/(F42/1000)</f>
        <v>236.220472440945</v>
      </c>
      <c r="AS42" s="22" t="n">
        <v>1E-006</v>
      </c>
      <c r="AT42" s="23" t="n">
        <f aca="false">AH42/SQRT(9.81*(F42/1000))</f>
        <v>17.3491926550206</v>
      </c>
      <c r="AU42" s="23" t="n">
        <f aca="false">(AH42*AJ42*(F42/1000))/AI42</f>
        <v>77787.5</v>
      </c>
      <c r="AV42" s="23" t="n">
        <f aca="false">((U42/10^6)^3*AJ42*(V42-AJ42)*9.81)/AI42^2</f>
        <v>331.572826757812</v>
      </c>
      <c r="AW42" s="23" t="n">
        <f aca="false">(V42*((U42/10^6)^2)/(18*AI42))*AH42/(F42/1000)</f>
        <v>36.2259405074366</v>
      </c>
      <c r="AX42" s="23" t="n">
        <f aca="false">AJ42*(U42/10^6)*AH42/AI42</f>
        <v>153.125</v>
      </c>
      <c r="AY42" s="24" t="n">
        <f aca="false">(U42/10^6)/(F42/1000)</f>
        <v>0.00196850393700787</v>
      </c>
      <c r="AZ42" s="23" t="n">
        <f aca="false">AJ42/V42</f>
        <v>0.000462264150943396</v>
      </c>
      <c r="BA42" s="24" t="n">
        <f aca="false">(J42*10^9)/(K42*AH42^2)</f>
        <v>844.221944096788</v>
      </c>
      <c r="BB42" s="23" t="n">
        <f aca="false">Y42</f>
        <v>1.51318168036181E-005</v>
      </c>
      <c r="BC42" s="23" t="n">
        <f aca="false">MAX(Z42,1)</f>
        <v>1</v>
      </c>
      <c r="BD42" s="23" t="n">
        <f aca="false">AA42</f>
        <v>0.000153</v>
      </c>
      <c r="BE42" s="23" t="n">
        <f aca="false">0.8*BD42</f>
        <v>0.0001224</v>
      </c>
      <c r="BF42" s="23" t="n">
        <f aca="false">BD42*1.2</f>
        <v>0.0001836</v>
      </c>
      <c r="BG42" s="0" t="str">
        <f aca="false">AC42</f>
        <v>Vieira (2016)</v>
      </c>
    </row>
    <row r="43" customFormat="false" ht="12.8" hidden="false" customHeight="false" outlineLevel="0" collapsed="false">
      <c r="A43" s="15" t="n">
        <v>41</v>
      </c>
      <c r="B43" s="15" t="s">
        <v>109</v>
      </c>
      <c r="C43" s="15" t="s">
        <v>49</v>
      </c>
      <c r="D43" s="15" t="s">
        <v>54</v>
      </c>
      <c r="E43" s="15" t="n">
        <v>90</v>
      </c>
      <c r="F43" s="61" t="n">
        <v>76.2</v>
      </c>
      <c r="G43" s="15" t="n">
        <v>1.5</v>
      </c>
      <c r="H43" s="62" t="n">
        <v>18</v>
      </c>
      <c r="I43" s="15" t="s">
        <v>114</v>
      </c>
      <c r="J43" s="51" t="n">
        <v>1.5177</v>
      </c>
      <c r="K43" s="15" t="n">
        <v>7990</v>
      </c>
      <c r="L43" s="15" t="n">
        <v>11</v>
      </c>
      <c r="M43" s="41" t="n">
        <v>1.8E-005</v>
      </c>
      <c r="N43" s="15" t="n">
        <v>1.225</v>
      </c>
      <c r="O43" s="15" t="n">
        <v>0</v>
      </c>
      <c r="P43" s="15" t="n">
        <v>0</v>
      </c>
      <c r="Q43" s="15" t="n">
        <v>0</v>
      </c>
      <c r="R43" s="15" t="n">
        <v>0</v>
      </c>
      <c r="S43" s="55" t="n">
        <f aca="false">(N43*L43+P43*R43)/(L43+P43)</f>
        <v>1.225</v>
      </c>
      <c r="T43" s="56" t="n">
        <f aca="false">(M43*L43+P43*Q43*0.1)/(L43+P43)</f>
        <v>1.8E-005</v>
      </c>
      <c r="U43" s="15" t="n">
        <v>150</v>
      </c>
      <c r="V43" s="15" t="n">
        <v>2650</v>
      </c>
      <c r="W43" s="63" t="n">
        <f aca="false">254/(24*60*60)</f>
        <v>0.00293981481481481</v>
      </c>
      <c r="X43" s="41" t="n">
        <f aca="false">Y43-BB43</f>
        <v>0</v>
      </c>
      <c r="Y43" s="42" t="n">
        <v>2.21142383826523E-005</v>
      </c>
      <c r="Z43" s="15" t="n">
        <v>1</v>
      </c>
      <c r="AA43" s="44" t="n">
        <v>7.05E-005</v>
      </c>
      <c r="AB43" s="44"/>
      <c r="AC43" s="32" t="s">
        <v>118</v>
      </c>
      <c r="AD43" s="64" t="s">
        <v>119</v>
      </c>
      <c r="AE43" s="32"/>
      <c r="AF43" s="15"/>
      <c r="AG43" s="0"/>
      <c r="AH43" s="46" t="n">
        <f aca="false">MAX(L43,P43)</f>
        <v>11</v>
      </c>
      <c r="AI43" s="41" t="n">
        <f aca="false">MAX(M43,Q43)</f>
        <v>1.8E-005</v>
      </c>
      <c r="AJ43" s="47" t="n">
        <f aca="false">MAX(N43,R43)</f>
        <v>1.225</v>
      </c>
      <c r="AK43" s="47"/>
      <c r="AL43" s="19" t="n">
        <v>41</v>
      </c>
      <c r="AM43" s="20" t="str">
        <f aca="false">B43</f>
        <v>Elbow</v>
      </c>
      <c r="AN43" s="20" t="str">
        <f aca="false">C43</f>
        <v>Gas-solid</v>
      </c>
      <c r="AO43" s="20" t="str">
        <f aca="false">D43</f>
        <v>V-H</v>
      </c>
      <c r="AP43" s="20" t="n">
        <f aca="false">E43</f>
        <v>90</v>
      </c>
      <c r="AQ43" s="48" t="n">
        <f aca="false">G43</f>
        <v>1.5</v>
      </c>
      <c r="AR43" s="23" t="n">
        <f aca="false">H43/(F43/1000)</f>
        <v>236.220472440945</v>
      </c>
      <c r="AS43" s="22" t="n">
        <v>1E-006</v>
      </c>
      <c r="AT43" s="23" t="n">
        <f aca="false">AH43/SQRT(9.81*(F43/1000))</f>
        <v>12.7227412803484</v>
      </c>
      <c r="AU43" s="23" t="n">
        <f aca="false">(AH43*AJ43*(F43/1000))/AI43</f>
        <v>57044.1666666667</v>
      </c>
      <c r="AV43" s="23" t="n">
        <f aca="false">((U43/10^6)^3*AJ43*(V43-AJ43)*9.81)/AI43^2</f>
        <v>331.572826757812</v>
      </c>
      <c r="AW43" s="23" t="n">
        <f aca="false">(V43*((U43/10^6)^2)/(18*AI43))*AH43/(F43/1000)</f>
        <v>26.5656897054535</v>
      </c>
      <c r="AX43" s="23" t="n">
        <f aca="false">AJ43*(U43/10^6)*AH43/AI43</f>
        <v>112.291666666667</v>
      </c>
      <c r="AY43" s="24" t="n">
        <f aca="false">(U43/10^6)/(F43/1000)</f>
        <v>0.00196850393700787</v>
      </c>
      <c r="AZ43" s="23" t="n">
        <f aca="false">AJ43/V43</f>
        <v>0.000462264150943396</v>
      </c>
      <c r="BA43" s="24" t="n">
        <f aca="false">(J43*10^9)/(K43*AH43^2)</f>
        <v>1569.83419356841</v>
      </c>
      <c r="BB43" s="23" t="n">
        <f aca="false">Y43</f>
        <v>2.21142383826523E-005</v>
      </c>
      <c r="BC43" s="23" t="n">
        <f aca="false">MAX(Z43,1)</f>
        <v>1</v>
      </c>
      <c r="BD43" s="23" t="n">
        <f aca="false">AA43</f>
        <v>7.05E-005</v>
      </c>
      <c r="BE43" s="23" t="n">
        <f aca="false">0.8*BD43</f>
        <v>5.64E-005</v>
      </c>
      <c r="BF43" s="23" t="n">
        <f aca="false">BD43*1.2</f>
        <v>8.46E-005</v>
      </c>
      <c r="BG43" s="0" t="str">
        <f aca="false">AC43</f>
        <v>Vieira (2016)</v>
      </c>
    </row>
    <row r="44" customFormat="false" ht="12.8" hidden="false" customHeight="false" outlineLevel="0" collapsed="false">
      <c r="A44" s="15" t="n">
        <v>42</v>
      </c>
      <c r="B44" s="51" t="s">
        <v>109</v>
      </c>
      <c r="C44" s="51" t="s">
        <v>49</v>
      </c>
      <c r="D44" s="51" t="s">
        <v>54</v>
      </c>
      <c r="E44" s="51" t="n">
        <v>90</v>
      </c>
      <c r="F44" s="51" t="n">
        <v>76.2</v>
      </c>
      <c r="G44" s="51" t="n">
        <v>1.5</v>
      </c>
      <c r="H44" s="53" t="n">
        <v>18</v>
      </c>
      <c r="I44" s="65" t="s">
        <v>51</v>
      </c>
      <c r="J44" s="51" t="n">
        <v>2.274</v>
      </c>
      <c r="K44" s="51" t="n">
        <v>8200</v>
      </c>
      <c r="L44" s="51" t="n">
        <v>27</v>
      </c>
      <c r="M44" s="54" t="n">
        <v>1.8E-005</v>
      </c>
      <c r="N44" s="51" t="n">
        <v>1.225</v>
      </c>
      <c r="O44" s="51" t="n">
        <v>0</v>
      </c>
      <c r="P44" s="51" t="n">
        <v>0</v>
      </c>
      <c r="Q44" s="51" t="n">
        <v>0</v>
      </c>
      <c r="R44" s="51" t="n">
        <v>0</v>
      </c>
      <c r="S44" s="55" t="n">
        <f aca="false">(N44*L44+P44*R44)/(L44+P44)</f>
        <v>1.225</v>
      </c>
      <c r="T44" s="56" t="n">
        <f aca="false">(M44*L44+P44*Q44*0.1)/(L44+P44)</f>
        <v>1.8E-005</v>
      </c>
      <c r="U44" s="51" t="n">
        <v>300</v>
      </c>
      <c r="V44" s="51" t="n">
        <v>2650</v>
      </c>
      <c r="W44" s="66" t="n">
        <f aca="false">460/(24*60*60)</f>
        <v>0.00532407407407407</v>
      </c>
      <c r="X44" s="41" t="n">
        <f aca="false">Y44-BB44</f>
        <v>0</v>
      </c>
      <c r="Y44" s="42" t="n">
        <v>1.63165201201391E-005</v>
      </c>
      <c r="Z44" s="15" t="n">
        <v>1</v>
      </c>
      <c r="AA44" s="54" t="n">
        <v>0.00085</v>
      </c>
      <c r="AB44" s="44"/>
      <c r="AC44" s="59" t="s">
        <v>121</v>
      </c>
      <c r="AD44" s="67" t="s">
        <v>122</v>
      </c>
      <c r="AE44" s="68"/>
      <c r="AF44" s="68"/>
      <c r="AG44" s="0"/>
      <c r="AH44" s="46" t="n">
        <f aca="false">MAX(L44,P44)</f>
        <v>27</v>
      </c>
      <c r="AI44" s="41" t="n">
        <f aca="false">MAX(M44,Q44)</f>
        <v>1.8E-005</v>
      </c>
      <c r="AJ44" s="47" t="n">
        <f aca="false">MAX(N44,R44)</f>
        <v>1.225</v>
      </c>
      <c r="AK44" s="47"/>
      <c r="AL44" s="19" t="n">
        <v>42</v>
      </c>
      <c r="AM44" s="20" t="str">
        <f aca="false">B44</f>
        <v>Elbow</v>
      </c>
      <c r="AN44" s="20" t="str">
        <f aca="false">C44</f>
        <v>Gas-solid</v>
      </c>
      <c r="AO44" s="20" t="str">
        <f aca="false">D44</f>
        <v>V-H</v>
      </c>
      <c r="AP44" s="20" t="n">
        <f aca="false">E44</f>
        <v>90</v>
      </c>
      <c r="AQ44" s="48" t="n">
        <f aca="false">G44</f>
        <v>1.5</v>
      </c>
      <c r="AR44" s="23" t="n">
        <f aca="false">H44/(F44/1000)</f>
        <v>236.220472440945</v>
      </c>
      <c r="AS44" s="22" t="n">
        <v>1E-006</v>
      </c>
      <c r="AT44" s="23" t="n">
        <f aca="false">AH44/SQRT(9.81*(F44/1000))</f>
        <v>31.2285467790371</v>
      </c>
      <c r="AU44" s="23" t="n">
        <f aca="false">(AH44*AJ44*(F44/1000))/AI44</f>
        <v>140017.5</v>
      </c>
      <c r="AV44" s="23" t="n">
        <f aca="false">((U44/10^6)^3*AJ44*(V44-AJ44)*9.81)/AI44^2</f>
        <v>2652.5826140625</v>
      </c>
      <c r="AW44" s="23" t="n">
        <f aca="false">(V44*((U44/10^6)^2)/(18*AI44))*AH44/(F44/1000)</f>
        <v>260.826771653543</v>
      </c>
      <c r="AX44" s="23" t="n">
        <f aca="false">AJ44*(U44/10^6)*AH44/AI44</f>
        <v>551.25</v>
      </c>
      <c r="AY44" s="24" t="n">
        <f aca="false">(U44/10^6)/(F44/1000)</f>
        <v>0.00393700787401575</v>
      </c>
      <c r="AZ44" s="23" t="n">
        <f aca="false">AJ44/V44</f>
        <v>0.000462264150943396</v>
      </c>
      <c r="BA44" s="24" t="n">
        <f aca="false">(J44*10^9)/(K44*AH44^2)</f>
        <v>380.407507778781</v>
      </c>
      <c r="BB44" s="23" t="n">
        <f aca="false">Y44</f>
        <v>1.63165201201391E-005</v>
      </c>
      <c r="BC44" s="23" t="n">
        <f aca="false">MAX(Z44,1)</f>
        <v>1</v>
      </c>
      <c r="BD44" s="23" t="n">
        <f aca="false">AA44</f>
        <v>0.00085</v>
      </c>
      <c r="BE44" s="23" t="n">
        <f aca="false">0.8*BD44</f>
        <v>0.00068</v>
      </c>
      <c r="BF44" s="23" t="n">
        <f aca="false">BD44*1.2</f>
        <v>0.00102</v>
      </c>
      <c r="BG44" s="0" t="str">
        <f aca="false">AC44</f>
        <v>Viera (2014)</v>
      </c>
    </row>
    <row r="45" customFormat="false" ht="12.8" hidden="false" customHeight="false" outlineLevel="0" collapsed="false">
      <c r="A45" s="15" t="n">
        <v>43</v>
      </c>
      <c r="B45" s="51" t="s">
        <v>109</v>
      </c>
      <c r="C45" s="51" t="s">
        <v>49</v>
      </c>
      <c r="D45" s="51" t="s">
        <v>54</v>
      </c>
      <c r="E45" s="51" t="n">
        <v>90</v>
      </c>
      <c r="F45" s="51" t="n">
        <v>76.2</v>
      </c>
      <c r="G45" s="51" t="n">
        <v>1.5</v>
      </c>
      <c r="H45" s="53" t="n">
        <v>18</v>
      </c>
      <c r="I45" s="65" t="s">
        <v>51</v>
      </c>
      <c r="J45" s="51" t="n">
        <v>2.274</v>
      </c>
      <c r="K45" s="51" t="n">
        <v>8200</v>
      </c>
      <c r="L45" s="51" t="n">
        <v>23</v>
      </c>
      <c r="M45" s="54" t="n">
        <v>1.8E-005</v>
      </c>
      <c r="N45" s="51" t="n">
        <v>1.225</v>
      </c>
      <c r="O45" s="51" t="n">
        <v>0</v>
      </c>
      <c r="P45" s="51" t="n">
        <v>0</v>
      </c>
      <c r="Q45" s="51" t="n">
        <v>0</v>
      </c>
      <c r="R45" s="51" t="n">
        <v>0</v>
      </c>
      <c r="S45" s="55" t="n">
        <f aca="false">(N45*L45+P45*R45)/(L45+P45)</f>
        <v>1.225</v>
      </c>
      <c r="T45" s="56" t="n">
        <f aca="false">(M45*L45+P45*Q45*0.1)/(L45+P45)</f>
        <v>1.8E-005</v>
      </c>
      <c r="U45" s="51" t="n">
        <v>300</v>
      </c>
      <c r="V45" s="51" t="n">
        <v>2650</v>
      </c>
      <c r="W45" s="66" t="n">
        <f aca="false">218/(24*60*60)</f>
        <v>0.00252314814814815</v>
      </c>
      <c r="X45" s="41" t="n">
        <f aca="false">Y45-BB45</f>
        <v>0</v>
      </c>
      <c r="Y45" s="42" t="n">
        <v>9.07747945831565E-006</v>
      </c>
      <c r="Z45" s="15" t="n">
        <v>1</v>
      </c>
      <c r="AA45" s="54" t="n">
        <v>0.000576</v>
      </c>
      <c r="AB45" s="44"/>
      <c r="AC45" s="59" t="s">
        <v>121</v>
      </c>
      <c r="AD45" s="67" t="s">
        <v>122</v>
      </c>
      <c r="AE45" s="68"/>
      <c r="AF45" s="68"/>
      <c r="AG45" s="0"/>
      <c r="AH45" s="46" t="n">
        <f aca="false">MAX(L45,P45)</f>
        <v>23</v>
      </c>
      <c r="AI45" s="41" t="n">
        <f aca="false">MAX(M45,Q45)</f>
        <v>1.8E-005</v>
      </c>
      <c r="AJ45" s="47" t="n">
        <f aca="false">MAX(N45,R45)</f>
        <v>1.225</v>
      </c>
      <c r="AK45" s="47"/>
      <c r="AL45" s="19" t="n">
        <v>43</v>
      </c>
      <c r="AM45" s="20" t="str">
        <f aca="false">B45</f>
        <v>Elbow</v>
      </c>
      <c r="AN45" s="20" t="str">
        <f aca="false">C45</f>
        <v>Gas-solid</v>
      </c>
      <c r="AO45" s="20" t="str">
        <f aca="false">D45</f>
        <v>V-H</v>
      </c>
      <c r="AP45" s="20" t="n">
        <f aca="false">E45</f>
        <v>90</v>
      </c>
      <c r="AQ45" s="48" t="n">
        <f aca="false">G45</f>
        <v>1.5</v>
      </c>
      <c r="AR45" s="23" t="n">
        <f aca="false">H45/(F45/1000)</f>
        <v>236.220472440945</v>
      </c>
      <c r="AS45" s="22" t="n">
        <v>1E-006</v>
      </c>
      <c r="AT45" s="23" t="n">
        <f aca="false">AH45/SQRT(9.81*(F45/1000))</f>
        <v>26.6020954043649</v>
      </c>
      <c r="AU45" s="23" t="n">
        <f aca="false">(AH45*AJ45*(F45/1000))/AI45</f>
        <v>119274.166666667</v>
      </c>
      <c r="AV45" s="23" t="n">
        <f aca="false">((U45/10^6)^3*AJ45*(V45-AJ45)*9.81)/AI45^2</f>
        <v>2652.5826140625</v>
      </c>
      <c r="AW45" s="23" t="n">
        <f aca="false">(V45*((U45/10^6)^2)/(18*AI45))*AH45/(F45/1000)</f>
        <v>222.185768445611</v>
      </c>
      <c r="AX45" s="23" t="n">
        <f aca="false">AJ45*(U45/10^6)*AH45/AI45</f>
        <v>469.583333333333</v>
      </c>
      <c r="AY45" s="24" t="n">
        <f aca="false">(U45/10^6)/(F45/1000)</f>
        <v>0.00393700787401575</v>
      </c>
      <c r="AZ45" s="23" t="n">
        <f aca="false">AJ45/V45</f>
        <v>0.000462264150943396</v>
      </c>
      <c r="BA45" s="24" t="n">
        <f aca="false">(J45*10^9)/(K45*AH45^2)</f>
        <v>524.228871778321</v>
      </c>
      <c r="BB45" s="23" t="n">
        <f aca="false">Y45</f>
        <v>9.07747945831565E-006</v>
      </c>
      <c r="BC45" s="23" t="n">
        <f aca="false">MAX(Z45,1)</f>
        <v>1</v>
      </c>
      <c r="BD45" s="23" t="n">
        <f aca="false">AA45</f>
        <v>0.000576</v>
      </c>
      <c r="BE45" s="23" t="n">
        <f aca="false">0.8*BD45</f>
        <v>0.0004608</v>
      </c>
      <c r="BF45" s="23" t="n">
        <f aca="false">BD45*1.2</f>
        <v>0.0006912</v>
      </c>
      <c r="BG45" s="0" t="str">
        <f aca="false">AC45</f>
        <v>Viera (2014)</v>
      </c>
    </row>
    <row r="46" customFormat="false" ht="12.8" hidden="false" customHeight="false" outlineLevel="0" collapsed="false">
      <c r="A46" s="15" t="n">
        <v>44</v>
      </c>
      <c r="B46" s="51" t="s">
        <v>109</v>
      </c>
      <c r="C46" s="51" t="s">
        <v>49</v>
      </c>
      <c r="D46" s="51" t="s">
        <v>54</v>
      </c>
      <c r="E46" s="51" t="n">
        <v>90</v>
      </c>
      <c r="F46" s="51" t="n">
        <v>76.2</v>
      </c>
      <c r="G46" s="51" t="n">
        <v>1.5</v>
      </c>
      <c r="H46" s="53" t="n">
        <v>18</v>
      </c>
      <c r="I46" s="65" t="s">
        <v>51</v>
      </c>
      <c r="J46" s="51" t="n">
        <v>2.274</v>
      </c>
      <c r="K46" s="51" t="n">
        <v>8200</v>
      </c>
      <c r="L46" s="51" t="n">
        <v>15</v>
      </c>
      <c r="M46" s="54" t="n">
        <v>1.8E-005</v>
      </c>
      <c r="N46" s="51" t="n">
        <v>1.225</v>
      </c>
      <c r="O46" s="51" t="n">
        <v>0</v>
      </c>
      <c r="P46" s="51" t="n">
        <v>0</v>
      </c>
      <c r="Q46" s="51" t="n">
        <v>0</v>
      </c>
      <c r="R46" s="51" t="n">
        <v>0</v>
      </c>
      <c r="S46" s="55" t="n">
        <f aca="false">(N46*L46+P46*R46)/(L46+P46)</f>
        <v>1.225</v>
      </c>
      <c r="T46" s="56" t="n">
        <f aca="false">(M46*L46+P46*Q46*0.1)/(L46+P46)</f>
        <v>1.8E-005</v>
      </c>
      <c r="U46" s="51" t="n">
        <v>300</v>
      </c>
      <c r="V46" s="51" t="n">
        <v>2650</v>
      </c>
      <c r="W46" s="66" t="n">
        <f aca="false">381/(24*60*60)</f>
        <v>0.00440972222222222</v>
      </c>
      <c r="X46" s="41" t="n">
        <f aca="false">Y46-BB46</f>
        <v>0</v>
      </c>
      <c r="Y46" s="42" t="n">
        <v>2.43256084266872E-005</v>
      </c>
      <c r="Z46" s="15" t="n">
        <v>1</v>
      </c>
      <c r="AA46" s="54" t="n">
        <v>0.000227</v>
      </c>
      <c r="AB46" s="44"/>
      <c r="AC46" s="59" t="s">
        <v>121</v>
      </c>
      <c r="AD46" s="67" t="s">
        <v>122</v>
      </c>
      <c r="AE46" s="68"/>
      <c r="AF46" s="68"/>
      <c r="AG46" s="0"/>
      <c r="AH46" s="46" t="n">
        <f aca="false">MAX(L46,P46)</f>
        <v>15</v>
      </c>
      <c r="AI46" s="41" t="n">
        <f aca="false">MAX(M46,Q46)</f>
        <v>1.8E-005</v>
      </c>
      <c r="AJ46" s="47" t="n">
        <f aca="false">MAX(N46,R46)</f>
        <v>1.225</v>
      </c>
      <c r="AK46" s="47"/>
      <c r="AL46" s="19" t="n">
        <v>44</v>
      </c>
      <c r="AM46" s="20" t="str">
        <f aca="false">B46</f>
        <v>Elbow</v>
      </c>
      <c r="AN46" s="20" t="str">
        <f aca="false">C46</f>
        <v>Gas-solid</v>
      </c>
      <c r="AO46" s="20" t="str">
        <f aca="false">D46</f>
        <v>V-H</v>
      </c>
      <c r="AP46" s="20" t="n">
        <f aca="false">E46</f>
        <v>90</v>
      </c>
      <c r="AQ46" s="48" t="n">
        <f aca="false">G46</f>
        <v>1.5</v>
      </c>
      <c r="AR46" s="23" t="n">
        <f aca="false">H46/(F46/1000)</f>
        <v>236.220472440945</v>
      </c>
      <c r="AS46" s="22" t="n">
        <v>1E-006</v>
      </c>
      <c r="AT46" s="23" t="n">
        <f aca="false">AH46/SQRT(9.81*(F46/1000))</f>
        <v>17.3491926550206</v>
      </c>
      <c r="AU46" s="23" t="n">
        <f aca="false">(AH46*AJ46*(F46/1000))/AI46</f>
        <v>77787.5</v>
      </c>
      <c r="AV46" s="23" t="n">
        <f aca="false">((U46/10^6)^3*AJ46*(V46-AJ46)*9.81)/AI46^2</f>
        <v>2652.5826140625</v>
      </c>
      <c r="AW46" s="23" t="n">
        <f aca="false">(V46*((U46/10^6)^2)/(18*AI46))*AH46/(F46/1000)</f>
        <v>144.903762029746</v>
      </c>
      <c r="AX46" s="23" t="n">
        <f aca="false">AJ46*(U46/10^6)*AH46/AI46</f>
        <v>306.25</v>
      </c>
      <c r="AY46" s="24" t="n">
        <f aca="false">(U46/10^6)/(F46/1000)</f>
        <v>0.00393700787401575</v>
      </c>
      <c r="AZ46" s="23" t="n">
        <f aca="false">AJ46/V46</f>
        <v>0.000462264150943396</v>
      </c>
      <c r="BA46" s="24" t="n">
        <f aca="false">(J46*10^9)/(K46*AH46^2)</f>
        <v>1232.52032520325</v>
      </c>
      <c r="BB46" s="23" t="n">
        <f aca="false">Y46</f>
        <v>2.43256084266872E-005</v>
      </c>
      <c r="BC46" s="23" t="n">
        <f aca="false">MAX(Z46,1)</f>
        <v>1</v>
      </c>
      <c r="BD46" s="23" t="n">
        <f aca="false">AA46</f>
        <v>0.000227</v>
      </c>
      <c r="BE46" s="23" t="n">
        <f aca="false">0.8*BD46</f>
        <v>0.0001816</v>
      </c>
      <c r="BF46" s="23" t="n">
        <f aca="false">BD46*1.2</f>
        <v>0.0002724</v>
      </c>
      <c r="BG46" s="0" t="str">
        <f aca="false">AC46</f>
        <v>Viera (2014)</v>
      </c>
    </row>
    <row r="47" customFormat="false" ht="12.8" hidden="false" customHeight="false" outlineLevel="0" collapsed="false">
      <c r="A47" s="15" t="n">
        <v>45</v>
      </c>
      <c r="B47" s="51" t="s">
        <v>109</v>
      </c>
      <c r="C47" s="51" t="s">
        <v>49</v>
      </c>
      <c r="D47" s="51" t="s">
        <v>54</v>
      </c>
      <c r="E47" s="51" t="n">
        <v>90</v>
      </c>
      <c r="F47" s="51" t="n">
        <v>76.2</v>
      </c>
      <c r="G47" s="51" t="n">
        <v>1.5</v>
      </c>
      <c r="H47" s="53" t="n">
        <v>18</v>
      </c>
      <c r="I47" s="65" t="s">
        <v>51</v>
      </c>
      <c r="J47" s="51" t="n">
        <v>2.274</v>
      </c>
      <c r="K47" s="51" t="n">
        <v>8200</v>
      </c>
      <c r="L47" s="51" t="n">
        <v>11</v>
      </c>
      <c r="M47" s="54" t="n">
        <v>1.8E-005</v>
      </c>
      <c r="N47" s="51" t="n">
        <v>1.225</v>
      </c>
      <c r="O47" s="51" t="n">
        <v>0</v>
      </c>
      <c r="P47" s="51" t="n">
        <v>0</v>
      </c>
      <c r="Q47" s="51" t="n">
        <v>0</v>
      </c>
      <c r="R47" s="51" t="n">
        <v>0</v>
      </c>
      <c r="S47" s="55" t="n">
        <f aca="false">(N47*L47+P47*R47)/(L47+P47)</f>
        <v>1.225</v>
      </c>
      <c r="T47" s="56" t="n">
        <f aca="false">(M47*L47+P47*Q47*0.1)/(L47+P47)</f>
        <v>1.8E-005</v>
      </c>
      <c r="U47" s="51" t="n">
        <v>300</v>
      </c>
      <c r="V47" s="51" t="n">
        <v>2650</v>
      </c>
      <c r="W47" s="66" t="n">
        <f aca="false">321/(24*60*60)</f>
        <v>0.00371527777777778</v>
      </c>
      <c r="X47" s="41" t="n">
        <f aca="false">Y47-BB47</f>
        <v>0</v>
      </c>
      <c r="Y47" s="42" t="n">
        <v>2.79473587106943E-005</v>
      </c>
      <c r="Z47" s="15" t="n">
        <v>1</v>
      </c>
      <c r="AA47" s="54" t="n">
        <v>6.79E-005</v>
      </c>
      <c r="AB47" s="44"/>
      <c r="AC47" s="59" t="s">
        <v>121</v>
      </c>
      <c r="AD47" s="67" t="s">
        <v>122</v>
      </c>
      <c r="AE47" s="68"/>
      <c r="AF47" s="68"/>
      <c r="AG47" s="0"/>
      <c r="AH47" s="46" t="n">
        <f aca="false">MAX(L47,P47)</f>
        <v>11</v>
      </c>
      <c r="AI47" s="41" t="n">
        <f aca="false">MAX(M47,Q47)</f>
        <v>1.8E-005</v>
      </c>
      <c r="AJ47" s="47" t="n">
        <f aca="false">MAX(N47,R47)</f>
        <v>1.225</v>
      </c>
      <c r="AK47" s="47"/>
      <c r="AL47" s="19" t="n">
        <v>45</v>
      </c>
      <c r="AM47" s="20" t="str">
        <f aca="false">B47</f>
        <v>Elbow</v>
      </c>
      <c r="AN47" s="20" t="str">
        <f aca="false">C47</f>
        <v>Gas-solid</v>
      </c>
      <c r="AO47" s="20" t="str">
        <f aca="false">D47</f>
        <v>V-H</v>
      </c>
      <c r="AP47" s="20" t="n">
        <f aca="false">E47</f>
        <v>90</v>
      </c>
      <c r="AQ47" s="48" t="n">
        <f aca="false">G47</f>
        <v>1.5</v>
      </c>
      <c r="AR47" s="23" t="n">
        <f aca="false">H47/(F47/1000)</f>
        <v>236.220472440945</v>
      </c>
      <c r="AS47" s="22" t="n">
        <v>1E-006</v>
      </c>
      <c r="AT47" s="23" t="n">
        <f aca="false">AH47/SQRT(9.81*(F47/1000))</f>
        <v>12.7227412803484</v>
      </c>
      <c r="AU47" s="23" t="n">
        <f aca="false">(AH47*AJ47*(F47/1000))/AI47</f>
        <v>57044.1666666667</v>
      </c>
      <c r="AV47" s="23" t="n">
        <f aca="false">((U47/10^6)^3*AJ47*(V47-AJ47)*9.81)/AI47^2</f>
        <v>2652.5826140625</v>
      </c>
      <c r="AW47" s="23" t="n">
        <f aca="false">(V47*((U47/10^6)^2)/(18*AI47))*AH47/(F47/1000)</f>
        <v>106.262758821814</v>
      </c>
      <c r="AX47" s="23" t="n">
        <f aca="false">AJ47*(U47/10^6)*AH47/AI47</f>
        <v>224.583333333333</v>
      </c>
      <c r="AY47" s="24" t="n">
        <f aca="false">(U47/10^6)/(F47/1000)</f>
        <v>0.00393700787401575</v>
      </c>
      <c r="AZ47" s="23" t="n">
        <f aca="false">AJ47/V47</f>
        <v>0.000462264150943396</v>
      </c>
      <c r="BA47" s="24" t="n">
        <f aca="false">(J47*10^9)/(K47*AH47^2)</f>
        <v>2291.87663777464</v>
      </c>
      <c r="BB47" s="23" t="n">
        <f aca="false">Y47</f>
        <v>2.79473587106943E-005</v>
      </c>
      <c r="BC47" s="23" t="n">
        <f aca="false">MAX(Z47,1)</f>
        <v>1</v>
      </c>
      <c r="BD47" s="23" t="n">
        <f aca="false">AA47</f>
        <v>6.79E-005</v>
      </c>
      <c r="BE47" s="23" t="n">
        <f aca="false">0.8*BD47</f>
        <v>5.432E-005</v>
      </c>
      <c r="BF47" s="23" t="n">
        <f aca="false">BD47*1.2</f>
        <v>8.148E-005</v>
      </c>
      <c r="BG47" s="0" t="str">
        <f aca="false">AC47</f>
        <v>Viera (2014)</v>
      </c>
    </row>
    <row r="48" customFormat="false" ht="12.8" hidden="false" customHeight="false" outlineLevel="0" collapsed="false">
      <c r="A48" s="15" t="n">
        <v>46</v>
      </c>
      <c r="B48" s="51" t="s">
        <v>109</v>
      </c>
      <c r="C48" s="51" t="s">
        <v>49</v>
      </c>
      <c r="D48" s="51" t="s">
        <v>54</v>
      </c>
      <c r="E48" s="51" t="n">
        <v>90</v>
      </c>
      <c r="F48" s="51" t="n">
        <v>76.2</v>
      </c>
      <c r="G48" s="51" t="n">
        <v>1.5</v>
      </c>
      <c r="H48" s="53" t="n">
        <v>18</v>
      </c>
      <c r="I48" s="65" t="s">
        <v>51</v>
      </c>
      <c r="J48" s="51" t="n">
        <v>2.274</v>
      </c>
      <c r="K48" s="51" t="n">
        <v>8200</v>
      </c>
      <c r="L48" s="51" t="n">
        <v>27</v>
      </c>
      <c r="M48" s="54" t="n">
        <v>1.8E-005</v>
      </c>
      <c r="N48" s="51" t="n">
        <v>1.225</v>
      </c>
      <c r="O48" s="51" t="n">
        <v>0</v>
      </c>
      <c r="P48" s="51" t="n">
        <v>0</v>
      </c>
      <c r="Q48" s="51" t="n">
        <v>0</v>
      </c>
      <c r="R48" s="51" t="n">
        <v>0</v>
      </c>
      <c r="S48" s="55" t="n">
        <f aca="false">(N48*L48+P48*R48)/(L48+P48)</f>
        <v>1.225</v>
      </c>
      <c r="T48" s="56" t="n">
        <f aca="false">(M48*L48+P48*Q48*0.1)/(L48+P48)</f>
        <v>1.8E-005</v>
      </c>
      <c r="U48" s="51" t="n">
        <v>150</v>
      </c>
      <c r="V48" s="51" t="n">
        <v>2650</v>
      </c>
      <c r="W48" s="66" t="n">
        <f aca="false">304/(24*60*60)</f>
        <v>0.00351851851851852</v>
      </c>
      <c r="X48" s="41" t="n">
        <f aca="false">Y48-BB48</f>
        <v>0</v>
      </c>
      <c r="Y48" s="42" t="n">
        <v>1.07831512254541E-005</v>
      </c>
      <c r="Z48" s="15" t="n">
        <v>1</v>
      </c>
      <c r="AA48" s="54" t="n">
        <v>0.000327</v>
      </c>
      <c r="AB48" s="44"/>
      <c r="AC48" s="59" t="s">
        <v>121</v>
      </c>
      <c r="AD48" s="67" t="s">
        <v>122</v>
      </c>
      <c r="AE48" s="68"/>
      <c r="AF48" s="68"/>
      <c r="AG48" s="0"/>
      <c r="AH48" s="46" t="n">
        <f aca="false">MAX(L48,P48)</f>
        <v>27</v>
      </c>
      <c r="AI48" s="41" t="n">
        <f aca="false">MAX(M48,Q48)</f>
        <v>1.8E-005</v>
      </c>
      <c r="AJ48" s="47" t="n">
        <f aca="false">MAX(N48,R48)</f>
        <v>1.225</v>
      </c>
      <c r="AK48" s="47"/>
      <c r="AL48" s="19" t="n">
        <v>46</v>
      </c>
      <c r="AM48" s="20" t="str">
        <f aca="false">B48</f>
        <v>Elbow</v>
      </c>
      <c r="AN48" s="20" t="str">
        <f aca="false">C48</f>
        <v>Gas-solid</v>
      </c>
      <c r="AO48" s="20" t="str">
        <f aca="false">D48</f>
        <v>V-H</v>
      </c>
      <c r="AP48" s="20" t="n">
        <f aca="false">E48</f>
        <v>90</v>
      </c>
      <c r="AQ48" s="48" t="n">
        <f aca="false">G48</f>
        <v>1.5</v>
      </c>
      <c r="AR48" s="23" t="n">
        <f aca="false">H48/(F48/1000)</f>
        <v>236.220472440945</v>
      </c>
      <c r="AS48" s="22" t="n">
        <v>1E-006</v>
      </c>
      <c r="AT48" s="23" t="n">
        <f aca="false">AH48/SQRT(9.81*(F48/1000))</f>
        <v>31.2285467790371</v>
      </c>
      <c r="AU48" s="23" t="n">
        <f aca="false">(AH48*AJ48*(F48/1000))/AI48</f>
        <v>140017.5</v>
      </c>
      <c r="AV48" s="23" t="n">
        <f aca="false">((U48/10^6)^3*AJ48*(V48-AJ48)*9.81)/AI48^2</f>
        <v>331.572826757812</v>
      </c>
      <c r="AW48" s="23" t="n">
        <f aca="false">(V48*((U48/10^6)^2)/(18*AI48))*AH48/(F48/1000)</f>
        <v>65.2066929133858</v>
      </c>
      <c r="AX48" s="23" t="n">
        <f aca="false">AJ48*(U48/10^6)*AH48/AI48</f>
        <v>275.625</v>
      </c>
      <c r="AY48" s="24" t="n">
        <f aca="false">(U48/10^6)/(F48/1000)</f>
        <v>0.00196850393700787</v>
      </c>
      <c r="AZ48" s="23" t="n">
        <f aca="false">AJ48/V48</f>
        <v>0.000462264150943396</v>
      </c>
      <c r="BA48" s="24" t="n">
        <f aca="false">(J48*10^9)/(K48*AH48^2)</f>
        <v>380.407507778781</v>
      </c>
      <c r="BB48" s="23" t="n">
        <f aca="false">Y48</f>
        <v>1.07831512254541E-005</v>
      </c>
      <c r="BC48" s="23" t="n">
        <f aca="false">MAX(Z48,1)</f>
        <v>1</v>
      </c>
      <c r="BD48" s="23" t="n">
        <f aca="false">AA48</f>
        <v>0.000327</v>
      </c>
      <c r="BE48" s="23" t="n">
        <f aca="false">0.8*BD48</f>
        <v>0.0002616</v>
      </c>
      <c r="BF48" s="23" t="n">
        <f aca="false">BD48*1.2</f>
        <v>0.0003924</v>
      </c>
      <c r="BG48" s="0" t="str">
        <f aca="false">AC48</f>
        <v>Viera (2014)</v>
      </c>
    </row>
    <row r="49" customFormat="false" ht="12.8" hidden="false" customHeight="false" outlineLevel="0" collapsed="false">
      <c r="A49" s="15" t="n">
        <v>47</v>
      </c>
      <c r="B49" s="51" t="s">
        <v>109</v>
      </c>
      <c r="C49" s="51" t="s">
        <v>49</v>
      </c>
      <c r="D49" s="51" t="s">
        <v>54</v>
      </c>
      <c r="E49" s="51" t="n">
        <v>90</v>
      </c>
      <c r="F49" s="51" t="n">
        <v>76.2</v>
      </c>
      <c r="G49" s="51" t="n">
        <v>1.5</v>
      </c>
      <c r="H49" s="53" t="n">
        <v>18</v>
      </c>
      <c r="I49" s="65" t="s">
        <v>51</v>
      </c>
      <c r="J49" s="51" t="n">
        <v>2.274</v>
      </c>
      <c r="K49" s="51" t="n">
        <v>8200</v>
      </c>
      <c r="L49" s="51" t="n">
        <v>23</v>
      </c>
      <c r="M49" s="54" t="n">
        <v>1.8E-005</v>
      </c>
      <c r="N49" s="51" t="n">
        <v>1.225</v>
      </c>
      <c r="O49" s="51" t="n">
        <v>0</v>
      </c>
      <c r="P49" s="51" t="n">
        <v>0</v>
      </c>
      <c r="Q49" s="51" t="n">
        <v>0</v>
      </c>
      <c r="R49" s="51" t="n">
        <v>0</v>
      </c>
      <c r="S49" s="55" t="n">
        <f aca="false">(N49*L49+P49*R49)/(L49+P49)</f>
        <v>1.225</v>
      </c>
      <c r="T49" s="56" t="n">
        <f aca="false">(M49*L49+P49*Q49*0.1)/(L49+P49)</f>
        <v>1.8E-005</v>
      </c>
      <c r="U49" s="51" t="n">
        <v>150</v>
      </c>
      <c r="V49" s="51" t="n">
        <v>2650</v>
      </c>
      <c r="W49" s="66" t="n">
        <f aca="false">300/(24*60*60)</f>
        <v>0.00347222222222222</v>
      </c>
      <c r="X49" s="41" t="n">
        <f aca="false">Y49-BB49</f>
        <v>0</v>
      </c>
      <c r="Y49" s="42" t="n">
        <v>1.24919015555337E-005</v>
      </c>
      <c r="Z49" s="15" t="n">
        <v>1</v>
      </c>
      <c r="AA49" s="54" t="n">
        <v>0.000192</v>
      </c>
      <c r="AB49" s="44"/>
      <c r="AC49" s="59" t="s">
        <v>121</v>
      </c>
      <c r="AD49" s="67" t="s">
        <v>122</v>
      </c>
      <c r="AE49" s="68"/>
      <c r="AF49" s="68"/>
      <c r="AG49" s="0"/>
      <c r="AH49" s="46" t="n">
        <f aca="false">MAX(L49,P49)</f>
        <v>23</v>
      </c>
      <c r="AI49" s="41" t="n">
        <f aca="false">MAX(M49,Q49)</f>
        <v>1.8E-005</v>
      </c>
      <c r="AJ49" s="47" t="n">
        <f aca="false">MAX(N49,R49)</f>
        <v>1.225</v>
      </c>
      <c r="AK49" s="47"/>
      <c r="AL49" s="19" t="n">
        <v>47</v>
      </c>
      <c r="AM49" s="20" t="str">
        <f aca="false">B49</f>
        <v>Elbow</v>
      </c>
      <c r="AN49" s="20" t="str">
        <f aca="false">C49</f>
        <v>Gas-solid</v>
      </c>
      <c r="AO49" s="20" t="str">
        <f aca="false">D49</f>
        <v>V-H</v>
      </c>
      <c r="AP49" s="20" t="n">
        <f aca="false">E49</f>
        <v>90</v>
      </c>
      <c r="AQ49" s="48" t="n">
        <f aca="false">G49</f>
        <v>1.5</v>
      </c>
      <c r="AR49" s="23" t="n">
        <f aca="false">H49/(F49/1000)</f>
        <v>236.220472440945</v>
      </c>
      <c r="AS49" s="22" t="n">
        <v>1E-006</v>
      </c>
      <c r="AT49" s="23" t="n">
        <f aca="false">AH49/SQRT(9.81*(F49/1000))</f>
        <v>26.6020954043649</v>
      </c>
      <c r="AU49" s="23" t="n">
        <f aca="false">(AH49*AJ49*(F49/1000))/AI49</f>
        <v>119274.166666667</v>
      </c>
      <c r="AV49" s="23" t="n">
        <f aca="false">((U49/10^6)^3*AJ49*(V49-AJ49)*9.81)/AI49^2</f>
        <v>331.572826757812</v>
      </c>
      <c r="AW49" s="23" t="n">
        <f aca="false">(V49*((U49/10^6)^2)/(18*AI49))*AH49/(F49/1000)</f>
        <v>55.5464421114027</v>
      </c>
      <c r="AX49" s="23" t="n">
        <f aca="false">AJ49*(U49/10^6)*AH49/AI49</f>
        <v>234.791666666667</v>
      </c>
      <c r="AY49" s="24" t="n">
        <f aca="false">(U49/10^6)/(F49/1000)</f>
        <v>0.00196850393700787</v>
      </c>
      <c r="AZ49" s="23" t="n">
        <f aca="false">AJ49/V49</f>
        <v>0.000462264150943396</v>
      </c>
      <c r="BA49" s="24" t="n">
        <f aca="false">(J49*10^9)/(K49*AH49^2)</f>
        <v>524.228871778321</v>
      </c>
      <c r="BB49" s="23" t="n">
        <f aca="false">Y49</f>
        <v>1.24919015555337E-005</v>
      </c>
      <c r="BC49" s="23" t="n">
        <f aca="false">MAX(Z49,1)</f>
        <v>1</v>
      </c>
      <c r="BD49" s="23" t="n">
        <f aca="false">AA49</f>
        <v>0.000192</v>
      </c>
      <c r="BE49" s="23" t="n">
        <f aca="false">0.8*BD49</f>
        <v>0.0001536</v>
      </c>
      <c r="BF49" s="23" t="n">
        <f aca="false">BD49*1.2</f>
        <v>0.0002304</v>
      </c>
      <c r="BG49" s="0" t="str">
        <f aca="false">AC49</f>
        <v>Viera (2014)</v>
      </c>
    </row>
    <row r="50" customFormat="false" ht="12.8" hidden="false" customHeight="false" outlineLevel="0" collapsed="false">
      <c r="A50" s="15" t="n">
        <v>48</v>
      </c>
      <c r="B50" s="51" t="s">
        <v>109</v>
      </c>
      <c r="C50" s="51" t="s">
        <v>49</v>
      </c>
      <c r="D50" s="51" t="s">
        <v>54</v>
      </c>
      <c r="E50" s="51" t="n">
        <v>90</v>
      </c>
      <c r="F50" s="51" t="n">
        <v>76.2</v>
      </c>
      <c r="G50" s="51" t="n">
        <v>1.5</v>
      </c>
      <c r="H50" s="53" t="n">
        <v>18</v>
      </c>
      <c r="I50" s="65" t="s">
        <v>51</v>
      </c>
      <c r="J50" s="51" t="n">
        <v>2.274</v>
      </c>
      <c r="K50" s="51" t="n">
        <v>8200</v>
      </c>
      <c r="L50" s="51" t="n">
        <v>15</v>
      </c>
      <c r="M50" s="54" t="n">
        <v>1.8E-005</v>
      </c>
      <c r="N50" s="51" t="n">
        <v>1.225</v>
      </c>
      <c r="O50" s="51" t="n">
        <v>0</v>
      </c>
      <c r="P50" s="51" t="n">
        <v>0</v>
      </c>
      <c r="Q50" s="51" t="n">
        <v>0</v>
      </c>
      <c r="R50" s="51" t="n">
        <v>0</v>
      </c>
      <c r="S50" s="55" t="n">
        <f aca="false">(N50*L50+P50*R50)/(L50+P50)</f>
        <v>1.225</v>
      </c>
      <c r="T50" s="56" t="n">
        <f aca="false">(M50*L50+P50*Q50*0.1)/(L50+P50)</f>
        <v>1.8E-005</v>
      </c>
      <c r="U50" s="51" t="n">
        <v>150</v>
      </c>
      <c r="V50" s="51" t="n">
        <v>2650</v>
      </c>
      <c r="W50" s="66" t="n">
        <f aca="false">194/(24*60*60)</f>
        <v>0.00224537037037037</v>
      </c>
      <c r="X50" s="41" t="n">
        <f aca="false">Y50-BB50</f>
        <v>0</v>
      </c>
      <c r="Y50" s="42" t="n">
        <v>1.23864156934505E-005</v>
      </c>
      <c r="Z50" s="15" t="n">
        <v>1</v>
      </c>
      <c r="AA50" s="54" t="n">
        <v>8.21E-005</v>
      </c>
      <c r="AB50" s="44"/>
      <c r="AC50" s="59" t="s">
        <v>121</v>
      </c>
      <c r="AD50" s="67" t="s">
        <v>122</v>
      </c>
      <c r="AE50" s="68"/>
      <c r="AF50" s="68"/>
      <c r="AG50" s="0"/>
      <c r="AH50" s="46" t="n">
        <f aca="false">MAX(L50,P50)</f>
        <v>15</v>
      </c>
      <c r="AI50" s="41" t="n">
        <f aca="false">MAX(M50,Q50)</f>
        <v>1.8E-005</v>
      </c>
      <c r="AJ50" s="47" t="n">
        <f aca="false">MAX(N50,R50)</f>
        <v>1.225</v>
      </c>
      <c r="AK50" s="47"/>
      <c r="AL50" s="19" t="n">
        <v>48</v>
      </c>
      <c r="AM50" s="20" t="str">
        <f aca="false">B50</f>
        <v>Elbow</v>
      </c>
      <c r="AN50" s="20" t="str">
        <f aca="false">C50</f>
        <v>Gas-solid</v>
      </c>
      <c r="AO50" s="20" t="str">
        <f aca="false">D50</f>
        <v>V-H</v>
      </c>
      <c r="AP50" s="20" t="n">
        <f aca="false">E50</f>
        <v>90</v>
      </c>
      <c r="AQ50" s="48" t="n">
        <f aca="false">G50</f>
        <v>1.5</v>
      </c>
      <c r="AR50" s="23" t="n">
        <f aca="false">H50/(F50/1000)</f>
        <v>236.220472440945</v>
      </c>
      <c r="AS50" s="22" t="n">
        <v>1E-006</v>
      </c>
      <c r="AT50" s="23" t="n">
        <f aca="false">AH50/SQRT(9.81*(F50/1000))</f>
        <v>17.3491926550206</v>
      </c>
      <c r="AU50" s="23" t="n">
        <f aca="false">(AH50*AJ50*(F50/1000))/AI50</f>
        <v>77787.5</v>
      </c>
      <c r="AV50" s="23" t="n">
        <f aca="false">((U50/10^6)^3*AJ50*(V50-AJ50)*9.81)/AI50^2</f>
        <v>331.572826757812</v>
      </c>
      <c r="AW50" s="23" t="n">
        <f aca="false">(V50*((U50/10^6)^2)/(18*AI50))*AH50/(F50/1000)</f>
        <v>36.2259405074366</v>
      </c>
      <c r="AX50" s="23" t="n">
        <f aca="false">AJ50*(U50/10^6)*AH50/AI50</f>
        <v>153.125</v>
      </c>
      <c r="AY50" s="24" t="n">
        <f aca="false">(U50/10^6)/(F50/1000)</f>
        <v>0.00196850393700787</v>
      </c>
      <c r="AZ50" s="23" t="n">
        <f aca="false">AJ50/V50</f>
        <v>0.000462264150943396</v>
      </c>
      <c r="BA50" s="24" t="n">
        <f aca="false">(J50*10^9)/(K50*AH50^2)</f>
        <v>1232.52032520325</v>
      </c>
      <c r="BB50" s="23" t="n">
        <f aca="false">Y50</f>
        <v>1.23864156934505E-005</v>
      </c>
      <c r="BC50" s="23" t="n">
        <f aca="false">MAX(Z50,1)</f>
        <v>1</v>
      </c>
      <c r="BD50" s="23" t="n">
        <f aca="false">AA50</f>
        <v>8.21E-005</v>
      </c>
      <c r="BE50" s="23" t="n">
        <f aca="false">0.8*BD50</f>
        <v>6.568E-005</v>
      </c>
      <c r="BF50" s="23" t="n">
        <f aca="false">BD50*1.2</f>
        <v>9.852E-005</v>
      </c>
      <c r="BG50" s="0" t="str">
        <f aca="false">AC50</f>
        <v>Viera (2014)</v>
      </c>
    </row>
    <row r="51" customFormat="false" ht="12.8" hidden="false" customHeight="false" outlineLevel="0" collapsed="false">
      <c r="A51" s="15" t="n">
        <v>49</v>
      </c>
      <c r="B51" s="51" t="s">
        <v>109</v>
      </c>
      <c r="C51" s="51" t="s">
        <v>49</v>
      </c>
      <c r="D51" s="51" t="s">
        <v>113</v>
      </c>
      <c r="E51" s="51" t="n">
        <v>90</v>
      </c>
      <c r="F51" s="52" t="n">
        <v>76.2</v>
      </c>
      <c r="G51" s="51" t="n">
        <v>1.5</v>
      </c>
      <c r="H51" s="53" t="n">
        <v>18</v>
      </c>
      <c r="I51" s="65" t="s">
        <v>51</v>
      </c>
      <c r="J51" s="51" t="n">
        <v>2.274</v>
      </c>
      <c r="K51" s="51" t="n">
        <v>8200</v>
      </c>
      <c r="L51" s="51" t="n">
        <v>27</v>
      </c>
      <c r="M51" s="54" t="n">
        <v>1.8E-005</v>
      </c>
      <c r="N51" s="51" t="n">
        <v>1.225</v>
      </c>
      <c r="O51" s="51" t="n">
        <v>0</v>
      </c>
      <c r="P51" s="51" t="n">
        <v>0</v>
      </c>
      <c r="Q51" s="51" t="n">
        <v>0</v>
      </c>
      <c r="R51" s="51" t="n">
        <v>0</v>
      </c>
      <c r="S51" s="55" t="n">
        <f aca="false">(N51*L51+P51*R51)/(L51+P51)</f>
        <v>1.225</v>
      </c>
      <c r="T51" s="56" t="n">
        <f aca="false">(M51*L51+P51*Q51*0.1)/(L51+P51)</f>
        <v>1.8E-005</v>
      </c>
      <c r="U51" s="51" t="n">
        <v>300</v>
      </c>
      <c r="V51" s="51" t="n">
        <v>2650</v>
      </c>
      <c r="W51" s="66" t="n">
        <f aca="false">292/(24*60*60)</f>
        <v>0.00337962962962963</v>
      </c>
      <c r="X51" s="41" t="n">
        <f aca="false">Y51-BB51</f>
        <v>0</v>
      </c>
      <c r="Y51" s="42" t="n">
        <v>1.03575049278655E-005</v>
      </c>
      <c r="Z51" s="15" t="n">
        <v>1</v>
      </c>
      <c r="AA51" s="58" t="n">
        <v>0.00067</v>
      </c>
      <c r="AB51" s="44"/>
      <c r="AC51" s="59" t="s">
        <v>123</v>
      </c>
      <c r="AD51" s="67" t="s">
        <v>122</v>
      </c>
      <c r="AE51" s="51"/>
      <c r="AF51" s="51"/>
      <c r="AG51" s="0"/>
      <c r="AH51" s="46" t="n">
        <f aca="false">MAX(L51,P51)</f>
        <v>27</v>
      </c>
      <c r="AI51" s="41" t="n">
        <f aca="false">MAX(M51,Q51)</f>
        <v>1.8E-005</v>
      </c>
      <c r="AJ51" s="47" t="n">
        <f aca="false">MAX(N51,R51)</f>
        <v>1.225</v>
      </c>
      <c r="AK51" s="47"/>
      <c r="AL51" s="19" t="n">
        <v>49</v>
      </c>
      <c r="AM51" s="20" t="str">
        <f aca="false">B51</f>
        <v>Elbow</v>
      </c>
      <c r="AN51" s="20" t="str">
        <f aca="false">C51</f>
        <v>Gas-solid</v>
      </c>
      <c r="AO51" s="20" t="str">
        <f aca="false">D51</f>
        <v>H-H</v>
      </c>
      <c r="AP51" s="20" t="n">
        <f aca="false">E51</f>
        <v>90</v>
      </c>
      <c r="AQ51" s="48" t="n">
        <f aca="false">G51</f>
        <v>1.5</v>
      </c>
      <c r="AR51" s="23" t="n">
        <f aca="false">H51/(F51/1000)</f>
        <v>236.220472440945</v>
      </c>
      <c r="AS51" s="22" t="n">
        <v>1E-006</v>
      </c>
      <c r="AT51" s="23" t="n">
        <f aca="false">AH51/SQRT(9.81*(F51/1000))</f>
        <v>31.2285467790371</v>
      </c>
      <c r="AU51" s="23" t="n">
        <f aca="false">(AH51*AJ51*(F51/1000))/AI51</f>
        <v>140017.5</v>
      </c>
      <c r="AV51" s="23" t="n">
        <f aca="false">((U51/10^6)^3*AJ51*(V51-AJ51)*9.81)/AI51^2</f>
        <v>2652.5826140625</v>
      </c>
      <c r="AW51" s="23" t="n">
        <f aca="false">(V51*((U51/10^6)^2)/(18*AI51))*AH51/(F51/1000)</f>
        <v>260.826771653543</v>
      </c>
      <c r="AX51" s="23" t="n">
        <f aca="false">AJ51*(U51/10^6)*AH51/AI51</f>
        <v>551.25</v>
      </c>
      <c r="AY51" s="24" t="n">
        <f aca="false">(U51/10^6)/(F51/1000)</f>
        <v>0.00393700787401575</v>
      </c>
      <c r="AZ51" s="23" t="n">
        <f aca="false">AJ51/V51</f>
        <v>0.000462264150943396</v>
      </c>
      <c r="BA51" s="24" t="n">
        <f aca="false">(J51*10^9)/(K51*AH51^2)</f>
        <v>380.407507778781</v>
      </c>
      <c r="BB51" s="23" t="n">
        <f aca="false">Y51</f>
        <v>1.03575049278655E-005</v>
      </c>
      <c r="BC51" s="23" t="n">
        <f aca="false">MAX(Z51,1)</f>
        <v>1</v>
      </c>
      <c r="BD51" s="23" t="n">
        <f aca="false">AA51</f>
        <v>0.00067</v>
      </c>
      <c r="BE51" s="23" t="n">
        <f aca="false">0.8*BD51</f>
        <v>0.000536</v>
      </c>
      <c r="BF51" s="23" t="n">
        <f aca="false">BD51*1.2</f>
        <v>0.000804</v>
      </c>
      <c r="BG51" s="0" t="str">
        <f aca="false">AC51</f>
        <v>Vieira (2014)</v>
      </c>
    </row>
    <row r="52" customFormat="false" ht="12.8" hidden="false" customHeight="false" outlineLevel="0" collapsed="false">
      <c r="A52" s="15" t="n">
        <v>50</v>
      </c>
      <c r="B52" s="51" t="s">
        <v>109</v>
      </c>
      <c r="C52" s="51" t="s">
        <v>49</v>
      </c>
      <c r="D52" s="51" t="s">
        <v>113</v>
      </c>
      <c r="E52" s="51" t="n">
        <v>90</v>
      </c>
      <c r="F52" s="52" t="n">
        <v>76.2</v>
      </c>
      <c r="G52" s="51" t="n">
        <v>1.5</v>
      </c>
      <c r="H52" s="53" t="n">
        <v>18</v>
      </c>
      <c r="I52" s="65" t="s">
        <v>51</v>
      </c>
      <c r="J52" s="51" t="n">
        <v>2.274</v>
      </c>
      <c r="K52" s="51" t="n">
        <v>8200</v>
      </c>
      <c r="L52" s="51" t="n">
        <v>15</v>
      </c>
      <c r="M52" s="54" t="n">
        <v>1.8E-005</v>
      </c>
      <c r="N52" s="51" t="n">
        <v>1.225</v>
      </c>
      <c r="O52" s="51" t="n">
        <v>0</v>
      </c>
      <c r="P52" s="51" t="n">
        <v>0</v>
      </c>
      <c r="Q52" s="51" t="n">
        <v>0</v>
      </c>
      <c r="R52" s="51" t="n">
        <v>0</v>
      </c>
      <c r="S52" s="55" t="n">
        <f aca="false">(N52*L52+P52*R52)/(L52+P52)</f>
        <v>1.225</v>
      </c>
      <c r="T52" s="56" t="n">
        <f aca="false">(M52*L52+P52*Q52*0.1)/(L52+P52)</f>
        <v>1.8E-005</v>
      </c>
      <c r="U52" s="51" t="n">
        <v>300</v>
      </c>
      <c r="V52" s="51" t="n">
        <v>2650</v>
      </c>
      <c r="W52" s="66" t="n">
        <f aca="false">164/(24*60*60)</f>
        <v>0.00189814814814815</v>
      </c>
      <c r="X52" s="41" t="n">
        <f aca="false">Y52-BB52</f>
        <v>0</v>
      </c>
      <c r="Y52" s="42" t="n">
        <v>1.04710106426526E-005</v>
      </c>
      <c r="Z52" s="15" t="n">
        <v>1</v>
      </c>
      <c r="AA52" s="58" t="n">
        <v>0.00034</v>
      </c>
      <c r="AB52" s="44"/>
      <c r="AC52" s="59" t="s">
        <v>123</v>
      </c>
      <c r="AD52" s="67" t="s">
        <v>122</v>
      </c>
      <c r="AE52" s="51"/>
      <c r="AF52" s="51"/>
      <c r="AG52" s="0"/>
      <c r="AH52" s="46" t="n">
        <f aca="false">MAX(L52,P52)</f>
        <v>15</v>
      </c>
      <c r="AI52" s="41" t="n">
        <f aca="false">MAX(M52,Q52)</f>
        <v>1.8E-005</v>
      </c>
      <c r="AJ52" s="47" t="n">
        <f aca="false">MAX(N52,R52)</f>
        <v>1.225</v>
      </c>
      <c r="AK52" s="47"/>
      <c r="AL52" s="19" t="n">
        <v>50</v>
      </c>
      <c r="AM52" s="20" t="str">
        <f aca="false">B52</f>
        <v>Elbow</v>
      </c>
      <c r="AN52" s="20" t="str">
        <f aca="false">C52</f>
        <v>Gas-solid</v>
      </c>
      <c r="AO52" s="20" t="str">
        <f aca="false">D52</f>
        <v>H-H</v>
      </c>
      <c r="AP52" s="20" t="n">
        <f aca="false">E52</f>
        <v>90</v>
      </c>
      <c r="AQ52" s="48" t="n">
        <f aca="false">G52</f>
        <v>1.5</v>
      </c>
      <c r="AR52" s="23" t="n">
        <f aca="false">H52/(F52/1000)</f>
        <v>236.220472440945</v>
      </c>
      <c r="AS52" s="22" t="n">
        <v>1E-006</v>
      </c>
      <c r="AT52" s="23" t="n">
        <f aca="false">AH52/SQRT(9.81*(F52/1000))</f>
        <v>17.3491926550206</v>
      </c>
      <c r="AU52" s="23" t="n">
        <f aca="false">(AH52*AJ52*(F52/1000))/AI52</f>
        <v>77787.5</v>
      </c>
      <c r="AV52" s="23" t="n">
        <f aca="false">((U52/10^6)^3*AJ52*(V52-AJ52)*9.81)/AI52^2</f>
        <v>2652.5826140625</v>
      </c>
      <c r="AW52" s="23" t="n">
        <f aca="false">(V52*((U52/10^6)^2)/(18*AI52))*AH52/(F52/1000)</f>
        <v>144.903762029746</v>
      </c>
      <c r="AX52" s="23" t="n">
        <f aca="false">AJ52*(U52/10^6)*AH52/AI52</f>
        <v>306.25</v>
      </c>
      <c r="AY52" s="24" t="n">
        <f aca="false">(U52/10^6)/(F52/1000)</f>
        <v>0.00393700787401575</v>
      </c>
      <c r="AZ52" s="23" t="n">
        <f aca="false">AJ52/V52</f>
        <v>0.000462264150943396</v>
      </c>
      <c r="BA52" s="24" t="n">
        <f aca="false">(J52*10^9)/(K52*AH52^2)</f>
        <v>1232.52032520325</v>
      </c>
      <c r="BB52" s="23" t="n">
        <f aca="false">Y52</f>
        <v>1.04710106426526E-005</v>
      </c>
      <c r="BC52" s="23" t="n">
        <f aca="false">MAX(Z52,1)</f>
        <v>1</v>
      </c>
      <c r="BD52" s="23" t="n">
        <f aca="false">AA52</f>
        <v>0.00034</v>
      </c>
      <c r="BE52" s="23" t="n">
        <f aca="false">0.8*BD52</f>
        <v>0.000272</v>
      </c>
      <c r="BF52" s="23" t="n">
        <f aca="false">BD52*1.2</f>
        <v>0.000408</v>
      </c>
      <c r="BG52" s="0" t="str">
        <f aca="false">AC52</f>
        <v>Vieira (2014)</v>
      </c>
    </row>
    <row r="53" customFormat="false" ht="12.8" hidden="false" customHeight="false" outlineLevel="0" collapsed="false">
      <c r="A53" s="15" t="n">
        <v>51</v>
      </c>
      <c r="B53" s="51" t="s">
        <v>109</v>
      </c>
      <c r="C53" s="51" t="s">
        <v>49</v>
      </c>
      <c r="D53" s="51" t="s">
        <v>54</v>
      </c>
      <c r="E53" s="51" t="n">
        <v>90</v>
      </c>
      <c r="F53" s="51" t="n">
        <v>101.6</v>
      </c>
      <c r="G53" s="51" t="n">
        <v>1.5</v>
      </c>
      <c r="H53" s="69" t="n">
        <v>18</v>
      </c>
      <c r="I53" s="65" t="s">
        <v>51</v>
      </c>
      <c r="J53" s="65" t="n">
        <v>2.274</v>
      </c>
      <c r="K53" s="15" t="n">
        <v>8200</v>
      </c>
      <c r="L53" s="51" t="n">
        <v>15</v>
      </c>
      <c r="M53" s="54" t="n">
        <v>1.8E-005</v>
      </c>
      <c r="N53" s="51" t="n">
        <v>1.225</v>
      </c>
      <c r="O53" s="51" t="n">
        <v>0</v>
      </c>
      <c r="P53" s="51" t="n">
        <v>0</v>
      </c>
      <c r="Q53" s="51" t="n">
        <v>0</v>
      </c>
      <c r="R53" s="51" t="n">
        <v>0</v>
      </c>
      <c r="S53" s="55" t="n">
        <f aca="false">(N53*L53+P53*R53)/(L53+P53)</f>
        <v>1.225</v>
      </c>
      <c r="T53" s="56" t="n">
        <f aca="false">(M53*L53+P53*Q53*0.1)/(L53+P53)</f>
        <v>1.8E-005</v>
      </c>
      <c r="U53" s="51" t="n">
        <v>150</v>
      </c>
      <c r="V53" s="51" t="n">
        <v>2650</v>
      </c>
      <c r="W53" s="66" t="n">
        <f aca="false">48/(24*60*60)</f>
        <v>0.000555555555555556</v>
      </c>
      <c r="X53" s="41" t="n">
        <f aca="false">Y53-BB53</f>
        <v>0</v>
      </c>
      <c r="Y53" s="42" t="n">
        <v>1.72390097766238E-006</v>
      </c>
      <c r="Z53" s="15" t="n">
        <v>1</v>
      </c>
      <c r="AA53" s="54" t="n">
        <v>4.93E-005</v>
      </c>
      <c r="AB53" s="44"/>
      <c r="AC53" s="59" t="s">
        <v>124</v>
      </c>
      <c r="AD53" s="59" t="s">
        <v>125</v>
      </c>
      <c r="AE53" s="51" t="s">
        <v>120</v>
      </c>
      <c r="AF53" s="15"/>
      <c r="AG53" s="0"/>
      <c r="AH53" s="46" t="n">
        <f aca="false">MAX(L53,P53)</f>
        <v>15</v>
      </c>
      <c r="AI53" s="41" t="n">
        <f aca="false">MAX(M53,Q53)</f>
        <v>1.8E-005</v>
      </c>
      <c r="AJ53" s="47" t="n">
        <f aca="false">MAX(N53,R53)</f>
        <v>1.225</v>
      </c>
      <c r="AK53" s="47"/>
      <c r="AL53" s="19" t="n">
        <v>51</v>
      </c>
      <c r="AM53" s="20" t="str">
        <f aca="false">B53</f>
        <v>Elbow</v>
      </c>
      <c r="AN53" s="20" t="str">
        <f aca="false">C53</f>
        <v>Gas-solid</v>
      </c>
      <c r="AO53" s="20" t="str">
        <f aca="false">D53</f>
        <v>V-H</v>
      </c>
      <c r="AP53" s="20" t="n">
        <f aca="false">E53</f>
        <v>90</v>
      </c>
      <c r="AQ53" s="48" t="n">
        <f aca="false">G53</f>
        <v>1.5</v>
      </c>
      <c r="AR53" s="23" t="n">
        <f aca="false">H53/(F53/1000)</f>
        <v>177.165354330709</v>
      </c>
      <c r="AS53" s="22" t="n">
        <v>1E-006</v>
      </c>
      <c r="AT53" s="23" t="n">
        <f aca="false">AH53/SQRT(9.81*(F53/1000))</f>
        <v>15.0248415743982</v>
      </c>
      <c r="AU53" s="23" t="n">
        <f aca="false">(AH53*AJ53*(F53/1000))/AI53</f>
        <v>103716.666666667</v>
      </c>
      <c r="AV53" s="23" t="n">
        <f aca="false">((U53/10^6)^3*AJ53*(V53-AJ53)*9.81)/AI53^2</f>
        <v>331.572826757812</v>
      </c>
      <c r="AW53" s="23" t="n">
        <f aca="false">(V53*((U53/10^6)^2)/(18*AI53))*AH53/(F53/1000)</f>
        <v>27.1694553805774</v>
      </c>
      <c r="AX53" s="23" t="n">
        <f aca="false">AJ53*(U53/10^6)*AH53/AI53</f>
        <v>153.125</v>
      </c>
      <c r="AY53" s="24" t="n">
        <f aca="false">(U53/10^6)/(F53/1000)</f>
        <v>0.00147637795275591</v>
      </c>
      <c r="AZ53" s="23" t="n">
        <f aca="false">AJ53/V53</f>
        <v>0.000462264150943396</v>
      </c>
      <c r="BA53" s="24" t="n">
        <f aca="false">(J53*10^9)/(K53*AH53^2)</f>
        <v>1232.52032520325</v>
      </c>
      <c r="BB53" s="23" t="n">
        <f aca="false">Y53</f>
        <v>1.72390097766238E-006</v>
      </c>
      <c r="BC53" s="23" t="n">
        <f aca="false">MAX(Z53,1)</f>
        <v>1</v>
      </c>
      <c r="BD53" s="23" t="n">
        <f aca="false">AA53</f>
        <v>4.93E-005</v>
      </c>
      <c r="BE53" s="23" t="n">
        <f aca="false">0.8*BD53</f>
        <v>3.944E-005</v>
      </c>
      <c r="BF53" s="23" t="n">
        <f aca="false">BD53*1.2</f>
        <v>5.916E-005</v>
      </c>
      <c r="BG53" s="0" t="str">
        <f aca="false">AC53</f>
        <v>Fan (2010)</v>
      </c>
    </row>
    <row r="54" customFormat="false" ht="12.8" hidden="false" customHeight="false" outlineLevel="0" collapsed="false">
      <c r="A54" s="15" t="n">
        <v>52</v>
      </c>
      <c r="B54" s="51" t="s">
        <v>109</v>
      </c>
      <c r="C54" s="51" t="s">
        <v>49</v>
      </c>
      <c r="D54" s="51" t="s">
        <v>54</v>
      </c>
      <c r="E54" s="51" t="n">
        <v>90</v>
      </c>
      <c r="F54" s="51" t="n">
        <v>101.6</v>
      </c>
      <c r="G54" s="51" t="n">
        <v>1.5</v>
      </c>
      <c r="H54" s="69" t="n">
        <v>18</v>
      </c>
      <c r="I54" s="65" t="s">
        <v>51</v>
      </c>
      <c r="J54" s="65" t="n">
        <v>2.274</v>
      </c>
      <c r="K54" s="15" t="n">
        <v>8200</v>
      </c>
      <c r="L54" s="51" t="n">
        <v>15</v>
      </c>
      <c r="M54" s="54" t="n">
        <v>1.8E-005</v>
      </c>
      <c r="N54" s="51" t="n">
        <v>1.225</v>
      </c>
      <c r="O54" s="51" t="n">
        <v>0</v>
      </c>
      <c r="P54" s="51" t="n">
        <v>0</v>
      </c>
      <c r="Q54" s="51" t="n">
        <v>0</v>
      </c>
      <c r="R54" s="51" t="n">
        <v>0</v>
      </c>
      <c r="S54" s="55" t="n">
        <f aca="false">(N54*L54+P54*R54)/(L54+P54)</f>
        <v>1.225</v>
      </c>
      <c r="T54" s="56" t="n">
        <f aca="false">(M54*L54+P54*Q54*0.1)/(L54+P54)</f>
        <v>1.8E-005</v>
      </c>
      <c r="U54" s="51" t="n">
        <v>150</v>
      </c>
      <c r="V54" s="51" t="n">
        <v>2650</v>
      </c>
      <c r="W54" s="57" t="n">
        <f aca="false">48/(24*60*60)</f>
        <v>0.000555555555555556</v>
      </c>
      <c r="X54" s="41" t="n">
        <f aca="false">Y54-BB54</f>
        <v>0</v>
      </c>
      <c r="Y54" s="42" t="n">
        <v>1.72390097766238E-006</v>
      </c>
      <c r="Z54" s="15" t="n">
        <v>1</v>
      </c>
      <c r="AA54" s="54" t="n">
        <v>5.36E-005</v>
      </c>
      <c r="AB54" s="44"/>
      <c r="AC54" s="59" t="s">
        <v>124</v>
      </c>
      <c r="AD54" s="59" t="s">
        <v>125</v>
      </c>
      <c r="AE54" s="51" t="s">
        <v>120</v>
      </c>
      <c r="AF54" s="15"/>
      <c r="AG54" s="0"/>
      <c r="AH54" s="46" t="n">
        <f aca="false">MAX(L54,P54)</f>
        <v>15</v>
      </c>
      <c r="AI54" s="41" t="n">
        <f aca="false">MAX(M54,Q54)</f>
        <v>1.8E-005</v>
      </c>
      <c r="AJ54" s="47" t="n">
        <f aca="false">MAX(N54,R54)</f>
        <v>1.225</v>
      </c>
      <c r="AK54" s="47"/>
      <c r="AL54" s="19" t="n">
        <v>52</v>
      </c>
      <c r="AM54" s="20" t="str">
        <f aca="false">B54</f>
        <v>Elbow</v>
      </c>
      <c r="AN54" s="20" t="str">
        <f aca="false">C54</f>
        <v>Gas-solid</v>
      </c>
      <c r="AO54" s="20" t="str">
        <f aca="false">D54</f>
        <v>V-H</v>
      </c>
      <c r="AP54" s="20" t="n">
        <f aca="false">E54</f>
        <v>90</v>
      </c>
      <c r="AQ54" s="48" t="n">
        <f aca="false">G54</f>
        <v>1.5</v>
      </c>
      <c r="AR54" s="23" t="n">
        <f aca="false">H54/(F54/1000)</f>
        <v>177.165354330709</v>
      </c>
      <c r="AS54" s="22" t="n">
        <v>1E-006</v>
      </c>
      <c r="AT54" s="23" t="n">
        <f aca="false">AH54/SQRT(9.81*(F54/1000))</f>
        <v>15.0248415743982</v>
      </c>
      <c r="AU54" s="23" t="n">
        <f aca="false">(AH54*AJ54*(F54/1000))/AI54</f>
        <v>103716.666666667</v>
      </c>
      <c r="AV54" s="23" t="n">
        <f aca="false">((U54/10^6)^3*AJ54*(V54-AJ54)*9.81)/AI54^2</f>
        <v>331.572826757812</v>
      </c>
      <c r="AW54" s="23" t="n">
        <f aca="false">(V54*((U54/10^6)^2)/(18*AI54))*AH54/(F54/1000)</f>
        <v>27.1694553805774</v>
      </c>
      <c r="AX54" s="23" t="n">
        <f aca="false">AJ54*(U54/10^6)*AH54/AI54</f>
        <v>153.125</v>
      </c>
      <c r="AY54" s="24" t="n">
        <f aca="false">(U54/10^6)/(F54/1000)</f>
        <v>0.00147637795275591</v>
      </c>
      <c r="AZ54" s="23" t="n">
        <f aca="false">AJ54/V54</f>
        <v>0.000462264150943396</v>
      </c>
      <c r="BA54" s="24" t="n">
        <f aca="false">(J54*10^9)/(K54*AH54^2)</f>
        <v>1232.52032520325</v>
      </c>
      <c r="BB54" s="23" t="n">
        <f aca="false">Y54</f>
        <v>1.72390097766238E-006</v>
      </c>
      <c r="BC54" s="23" t="n">
        <f aca="false">MAX(Z54,1)</f>
        <v>1</v>
      </c>
      <c r="BD54" s="23" t="n">
        <f aca="false">AA54</f>
        <v>5.36E-005</v>
      </c>
      <c r="BE54" s="23" t="n">
        <f aca="false">0.8*BD54</f>
        <v>4.288E-005</v>
      </c>
      <c r="BF54" s="23" t="n">
        <f aca="false">BD54*1.2</f>
        <v>6.432E-005</v>
      </c>
      <c r="BG54" s="0" t="str">
        <f aca="false">AC54</f>
        <v>Fan (2010)</v>
      </c>
    </row>
    <row r="55" customFormat="false" ht="12.8" hidden="false" customHeight="false" outlineLevel="0" collapsed="false">
      <c r="A55" s="15" t="n">
        <v>53</v>
      </c>
      <c r="B55" s="51" t="s">
        <v>109</v>
      </c>
      <c r="C55" s="51" t="s">
        <v>49</v>
      </c>
      <c r="D55" s="51" t="s">
        <v>54</v>
      </c>
      <c r="E55" s="51" t="n">
        <v>90</v>
      </c>
      <c r="F55" s="51" t="n">
        <v>101.6</v>
      </c>
      <c r="G55" s="51" t="n">
        <v>1.5</v>
      </c>
      <c r="H55" s="69" t="n">
        <v>18</v>
      </c>
      <c r="I55" s="65" t="s">
        <v>51</v>
      </c>
      <c r="J55" s="65" t="n">
        <v>2.274</v>
      </c>
      <c r="K55" s="15" t="n">
        <v>8200</v>
      </c>
      <c r="L55" s="51" t="n">
        <v>15</v>
      </c>
      <c r="M55" s="54" t="n">
        <v>1.8E-005</v>
      </c>
      <c r="N55" s="51" t="n">
        <v>1.225</v>
      </c>
      <c r="O55" s="51" t="n">
        <v>0</v>
      </c>
      <c r="P55" s="51" t="n">
        <v>0</v>
      </c>
      <c r="Q55" s="51" t="n">
        <v>0</v>
      </c>
      <c r="R55" s="51" t="n">
        <v>0</v>
      </c>
      <c r="S55" s="55" t="n">
        <f aca="false">(N55*L55+P55*R55)/(L55+P55)</f>
        <v>1.225</v>
      </c>
      <c r="T55" s="56" t="n">
        <f aca="false">(M55*L55+P55*Q55*0.1)/(L55+P55)</f>
        <v>1.8E-005</v>
      </c>
      <c r="U55" s="51" t="n">
        <v>300</v>
      </c>
      <c r="V55" s="51" t="n">
        <v>2650</v>
      </c>
      <c r="W55" s="57" t="n">
        <f aca="false">36/(24*60*60)</f>
        <v>0.000416666666666667</v>
      </c>
      <c r="X55" s="41" t="n">
        <f aca="false">Y55-BB55</f>
        <v>0</v>
      </c>
      <c r="Y55" s="42" t="n">
        <v>1.29292629046601E-006</v>
      </c>
      <c r="Z55" s="15" t="n">
        <v>1</v>
      </c>
      <c r="AA55" s="54" t="n">
        <v>0.000232</v>
      </c>
      <c r="AB55" s="44"/>
      <c r="AC55" s="59" t="s">
        <v>124</v>
      </c>
      <c r="AD55" s="59" t="s">
        <v>125</v>
      </c>
      <c r="AE55" s="51" t="s">
        <v>120</v>
      </c>
      <c r="AF55" s="15"/>
      <c r="AG55" s="0"/>
      <c r="AH55" s="46" t="n">
        <f aca="false">MAX(L55,P55)</f>
        <v>15</v>
      </c>
      <c r="AI55" s="41" t="n">
        <f aca="false">MAX(M55,Q55)</f>
        <v>1.8E-005</v>
      </c>
      <c r="AJ55" s="47" t="n">
        <f aca="false">MAX(N55,R55)</f>
        <v>1.225</v>
      </c>
      <c r="AK55" s="47"/>
      <c r="AL55" s="19" t="n">
        <v>53</v>
      </c>
      <c r="AM55" s="20" t="str">
        <f aca="false">B55</f>
        <v>Elbow</v>
      </c>
      <c r="AN55" s="20" t="str">
        <f aca="false">C55</f>
        <v>Gas-solid</v>
      </c>
      <c r="AO55" s="20" t="str">
        <f aca="false">D55</f>
        <v>V-H</v>
      </c>
      <c r="AP55" s="20" t="n">
        <f aca="false">E55</f>
        <v>90</v>
      </c>
      <c r="AQ55" s="48" t="n">
        <f aca="false">G55</f>
        <v>1.5</v>
      </c>
      <c r="AR55" s="23" t="n">
        <f aca="false">H55/(F55/1000)</f>
        <v>177.165354330709</v>
      </c>
      <c r="AS55" s="22" t="n">
        <v>1E-006</v>
      </c>
      <c r="AT55" s="23" t="n">
        <f aca="false">AH55/SQRT(9.81*(F55/1000))</f>
        <v>15.0248415743982</v>
      </c>
      <c r="AU55" s="23" t="n">
        <f aca="false">(AH55*AJ55*(F55/1000))/AI55</f>
        <v>103716.666666667</v>
      </c>
      <c r="AV55" s="23" t="n">
        <f aca="false">((U55/10^6)^3*AJ55*(V55-AJ55)*9.81)/AI55^2</f>
        <v>2652.5826140625</v>
      </c>
      <c r="AW55" s="23" t="n">
        <f aca="false">(V55*((U55/10^6)^2)/(18*AI55))*AH55/(F55/1000)</f>
        <v>108.67782152231</v>
      </c>
      <c r="AX55" s="23" t="n">
        <f aca="false">AJ55*(U55/10^6)*AH55/AI55</f>
        <v>306.25</v>
      </c>
      <c r="AY55" s="24" t="n">
        <f aca="false">(U55/10^6)/(F55/1000)</f>
        <v>0.00295275590551181</v>
      </c>
      <c r="AZ55" s="23" t="n">
        <f aca="false">AJ55/V55</f>
        <v>0.000462264150943396</v>
      </c>
      <c r="BA55" s="24" t="n">
        <f aca="false">(J55*10^9)/(K55*AH55^2)</f>
        <v>1232.52032520325</v>
      </c>
      <c r="BB55" s="23" t="n">
        <f aca="false">Y55</f>
        <v>1.29292629046601E-006</v>
      </c>
      <c r="BC55" s="23" t="n">
        <f aca="false">MAX(Z55,1)</f>
        <v>1</v>
      </c>
      <c r="BD55" s="23" t="n">
        <f aca="false">AA55</f>
        <v>0.000232</v>
      </c>
      <c r="BE55" s="23" t="n">
        <f aca="false">0.8*BD55</f>
        <v>0.0001856</v>
      </c>
      <c r="BF55" s="23" t="n">
        <f aca="false">BD55*1.2</f>
        <v>0.0002784</v>
      </c>
      <c r="BG55" s="0" t="str">
        <f aca="false">AC55</f>
        <v>Fan (2010)</v>
      </c>
    </row>
    <row r="56" customFormat="false" ht="12.8" hidden="false" customHeight="false" outlineLevel="0" collapsed="false">
      <c r="A56" s="15" t="n">
        <v>54</v>
      </c>
      <c r="B56" s="51" t="s">
        <v>109</v>
      </c>
      <c r="C56" s="51" t="s">
        <v>49</v>
      </c>
      <c r="D56" s="51" t="s">
        <v>54</v>
      </c>
      <c r="E56" s="51" t="n">
        <v>90</v>
      </c>
      <c r="F56" s="51" t="n">
        <v>101.6</v>
      </c>
      <c r="G56" s="51" t="n">
        <v>1.5</v>
      </c>
      <c r="H56" s="69" t="n">
        <v>18</v>
      </c>
      <c r="I56" s="65" t="s">
        <v>51</v>
      </c>
      <c r="J56" s="65" t="n">
        <v>2.274</v>
      </c>
      <c r="K56" s="15" t="n">
        <v>8200</v>
      </c>
      <c r="L56" s="51" t="n">
        <v>23</v>
      </c>
      <c r="M56" s="54" t="n">
        <v>1.8E-005</v>
      </c>
      <c r="N56" s="51" t="n">
        <v>1.225</v>
      </c>
      <c r="O56" s="51" t="n">
        <v>0</v>
      </c>
      <c r="P56" s="51" t="n">
        <v>0</v>
      </c>
      <c r="Q56" s="51" t="n">
        <v>0</v>
      </c>
      <c r="R56" s="51" t="n">
        <v>0</v>
      </c>
      <c r="S56" s="55" t="n">
        <f aca="false">(N56*L56+P56*R56)/(L56+P56)</f>
        <v>1.225</v>
      </c>
      <c r="T56" s="56" t="n">
        <f aca="false">(M56*L56+P56*Q56*0.1)/(L56+P56)</f>
        <v>1.8E-005</v>
      </c>
      <c r="U56" s="51" t="n">
        <v>300</v>
      </c>
      <c r="V56" s="51" t="n">
        <v>2650</v>
      </c>
      <c r="W56" s="57" t="n">
        <f aca="false">35/(24*60*60)</f>
        <v>0.000405092592592593</v>
      </c>
      <c r="X56" s="41" t="n">
        <f aca="false">Y56-BB56</f>
        <v>0</v>
      </c>
      <c r="Y56" s="42" t="n">
        <v>8.19790608276679E-007</v>
      </c>
      <c r="Z56" s="15" t="n">
        <v>1</v>
      </c>
      <c r="AA56" s="54" t="n">
        <v>0.000546</v>
      </c>
      <c r="AB56" s="44"/>
      <c r="AC56" s="59" t="s">
        <v>124</v>
      </c>
      <c r="AD56" s="59" t="s">
        <v>125</v>
      </c>
      <c r="AE56" s="51" t="s">
        <v>120</v>
      </c>
      <c r="AF56" s="15"/>
      <c r="AG56" s="0"/>
      <c r="AH56" s="46" t="n">
        <f aca="false">MAX(L56,P56)</f>
        <v>23</v>
      </c>
      <c r="AI56" s="41" t="n">
        <f aca="false">MAX(M56,Q56)</f>
        <v>1.8E-005</v>
      </c>
      <c r="AJ56" s="47" t="n">
        <f aca="false">MAX(N56,R56)</f>
        <v>1.225</v>
      </c>
      <c r="AK56" s="47"/>
      <c r="AL56" s="19" t="n">
        <v>54</v>
      </c>
      <c r="AM56" s="20" t="str">
        <f aca="false">B56</f>
        <v>Elbow</v>
      </c>
      <c r="AN56" s="20" t="str">
        <f aca="false">C56</f>
        <v>Gas-solid</v>
      </c>
      <c r="AO56" s="20" t="str">
        <f aca="false">D56</f>
        <v>V-H</v>
      </c>
      <c r="AP56" s="20" t="n">
        <f aca="false">E56</f>
        <v>90</v>
      </c>
      <c r="AQ56" s="48" t="n">
        <f aca="false">G56</f>
        <v>1.5</v>
      </c>
      <c r="AR56" s="23" t="n">
        <f aca="false">H56/(F56/1000)</f>
        <v>177.165354330709</v>
      </c>
      <c r="AS56" s="22" t="n">
        <v>1E-006</v>
      </c>
      <c r="AT56" s="23" t="n">
        <f aca="false">AH56/SQRT(9.81*(F56/1000))</f>
        <v>23.0380904140773</v>
      </c>
      <c r="AU56" s="23" t="n">
        <f aca="false">(AH56*AJ56*(F56/1000))/AI56</f>
        <v>159032.222222222</v>
      </c>
      <c r="AV56" s="23" t="n">
        <f aca="false">((U56/10^6)^3*AJ56*(V56-AJ56)*9.81)/AI56^2</f>
        <v>2652.5826140625</v>
      </c>
      <c r="AW56" s="23" t="n">
        <f aca="false">(V56*((U56/10^6)^2)/(18*AI56))*AH56/(F56/1000)</f>
        <v>166.639326334208</v>
      </c>
      <c r="AX56" s="23" t="n">
        <f aca="false">AJ56*(U56/10^6)*AH56/AI56</f>
        <v>469.583333333333</v>
      </c>
      <c r="AY56" s="24" t="n">
        <f aca="false">(U56/10^6)/(F56/1000)</f>
        <v>0.00295275590551181</v>
      </c>
      <c r="AZ56" s="23" t="n">
        <f aca="false">AJ56/V56</f>
        <v>0.000462264150943396</v>
      </c>
      <c r="BA56" s="24" t="n">
        <f aca="false">(J56*10^9)/(K56*AH56^2)</f>
        <v>524.228871778321</v>
      </c>
      <c r="BB56" s="23" t="n">
        <f aca="false">Y56</f>
        <v>8.19790608276679E-007</v>
      </c>
      <c r="BC56" s="23" t="n">
        <f aca="false">MAX(Z56,1)</f>
        <v>1</v>
      </c>
      <c r="BD56" s="23" t="n">
        <f aca="false">AA56</f>
        <v>0.000546</v>
      </c>
      <c r="BE56" s="23" t="n">
        <f aca="false">0.8*BD56</f>
        <v>0.0004368</v>
      </c>
      <c r="BF56" s="23" t="n">
        <f aca="false">BD56*1.2</f>
        <v>0.0006552</v>
      </c>
      <c r="BG56" s="0" t="str">
        <f aca="false">AC56</f>
        <v>Fan (2010)</v>
      </c>
    </row>
    <row r="57" customFormat="false" ht="12.8" hidden="false" customHeight="false" outlineLevel="0" collapsed="false">
      <c r="A57" s="15" t="n">
        <v>55</v>
      </c>
      <c r="B57" s="15" t="s">
        <v>109</v>
      </c>
      <c r="C57" s="15" t="s">
        <v>49</v>
      </c>
      <c r="D57" s="15" t="s">
        <v>113</v>
      </c>
      <c r="E57" s="15" t="n">
        <v>90</v>
      </c>
      <c r="F57" s="15" t="n">
        <v>101.6</v>
      </c>
      <c r="G57" s="15" t="n">
        <v>1.5</v>
      </c>
      <c r="H57" s="70" t="n">
        <v>18</v>
      </c>
      <c r="I57" s="71" t="s">
        <v>51</v>
      </c>
      <c r="J57" s="71" t="n">
        <v>2.274</v>
      </c>
      <c r="K57" s="15" t="n">
        <v>8200</v>
      </c>
      <c r="L57" s="15" t="n">
        <v>15</v>
      </c>
      <c r="M57" s="41" t="n">
        <v>1.8E-005</v>
      </c>
      <c r="N57" s="15" t="n">
        <v>1.225</v>
      </c>
      <c r="O57" s="15" t="n">
        <v>0</v>
      </c>
      <c r="P57" s="15" t="n">
        <v>0</v>
      </c>
      <c r="Q57" s="15" t="n">
        <v>0</v>
      </c>
      <c r="R57" s="15" t="n">
        <v>0</v>
      </c>
      <c r="S57" s="55" t="n">
        <f aca="false">(N57*L57+P57*R57)/(L57+P57)</f>
        <v>1.225</v>
      </c>
      <c r="T57" s="56" t="n">
        <f aca="false">(M57*L57+P57*Q57*0.1)/(L57+P57)</f>
        <v>1.8E-005</v>
      </c>
      <c r="U57" s="15" t="n">
        <v>150</v>
      </c>
      <c r="V57" s="15" t="n">
        <v>2650</v>
      </c>
      <c r="W57" s="63" t="n">
        <f aca="false">54/(24*60*60)</f>
        <v>0.000625</v>
      </c>
      <c r="X57" s="41" t="n">
        <f aca="false">Y57-BB57</f>
        <v>0</v>
      </c>
      <c r="Y57" s="42" t="n">
        <v>1.93938818195603E-006</v>
      </c>
      <c r="Z57" s="15" t="n">
        <v>1</v>
      </c>
      <c r="AA57" s="41" t="n">
        <v>0.000143</v>
      </c>
      <c r="AB57" s="44"/>
      <c r="AC57" s="32" t="s">
        <v>124</v>
      </c>
      <c r="AD57" s="15" t="s">
        <v>126</v>
      </c>
      <c r="AE57" s="15" t="s">
        <v>120</v>
      </c>
      <c r="AF57" s="15"/>
      <c r="AG57" s="0"/>
      <c r="AH57" s="46" t="n">
        <f aca="false">MAX(L57,P57)</f>
        <v>15</v>
      </c>
      <c r="AI57" s="41" t="n">
        <f aca="false">MAX(M57,Q57)</f>
        <v>1.8E-005</v>
      </c>
      <c r="AJ57" s="47" t="n">
        <f aca="false">MAX(N57,R57)</f>
        <v>1.225</v>
      </c>
      <c r="AK57" s="47"/>
      <c r="AL57" s="19" t="n">
        <v>55</v>
      </c>
      <c r="AM57" s="20" t="str">
        <f aca="false">B57</f>
        <v>Elbow</v>
      </c>
      <c r="AN57" s="20" t="str">
        <f aca="false">C57</f>
        <v>Gas-solid</v>
      </c>
      <c r="AO57" s="20" t="str">
        <f aca="false">D57</f>
        <v>H-H</v>
      </c>
      <c r="AP57" s="20" t="n">
        <f aca="false">E57</f>
        <v>90</v>
      </c>
      <c r="AQ57" s="48" t="n">
        <f aca="false">G57</f>
        <v>1.5</v>
      </c>
      <c r="AR57" s="23" t="n">
        <f aca="false">H57/(F57/1000)</f>
        <v>177.165354330709</v>
      </c>
      <c r="AS57" s="22" t="n">
        <v>1E-006</v>
      </c>
      <c r="AT57" s="23" t="n">
        <f aca="false">AH57/SQRT(9.81*(F57/1000))</f>
        <v>15.0248415743982</v>
      </c>
      <c r="AU57" s="23" t="n">
        <f aca="false">(AH57*AJ57*(F57/1000))/AI57</f>
        <v>103716.666666667</v>
      </c>
      <c r="AV57" s="23" t="n">
        <f aca="false">((U57/10^6)^3*AJ57*(V57-AJ57)*9.81)/AI57^2</f>
        <v>331.572826757812</v>
      </c>
      <c r="AW57" s="23" t="n">
        <f aca="false">(V57*((U57/10^6)^2)/(18*AI57))*AH57/(F57/1000)</f>
        <v>27.1694553805774</v>
      </c>
      <c r="AX57" s="23" t="n">
        <f aca="false">AJ57*(U57/10^6)*AH57/AI57</f>
        <v>153.125</v>
      </c>
      <c r="AY57" s="24" t="n">
        <f aca="false">(U57/10^6)/(F57/1000)</f>
        <v>0.00147637795275591</v>
      </c>
      <c r="AZ57" s="23" t="n">
        <f aca="false">AJ57/V57</f>
        <v>0.000462264150943396</v>
      </c>
      <c r="BA57" s="24" t="n">
        <f aca="false">(J57*10^9)/(K57*AH57^2)</f>
        <v>1232.52032520325</v>
      </c>
      <c r="BB57" s="23" t="n">
        <f aca="false">Y57</f>
        <v>1.93938818195603E-006</v>
      </c>
      <c r="BC57" s="23" t="n">
        <f aca="false">MAX(Z57,1)</f>
        <v>1</v>
      </c>
      <c r="BD57" s="23" t="n">
        <f aca="false">AA57</f>
        <v>0.000143</v>
      </c>
      <c r="BE57" s="23" t="n">
        <f aca="false">0.8*BD57</f>
        <v>0.0001144</v>
      </c>
      <c r="BF57" s="23" t="n">
        <f aca="false">BD57*1.2</f>
        <v>0.0001716</v>
      </c>
      <c r="BG57" s="0" t="str">
        <f aca="false">AC57</f>
        <v>Fan (2010)</v>
      </c>
    </row>
    <row r="58" customFormat="false" ht="12.8" hidden="false" customHeight="false" outlineLevel="0" collapsed="false">
      <c r="A58" s="15" t="n">
        <v>56</v>
      </c>
      <c r="B58" s="15" t="s">
        <v>109</v>
      </c>
      <c r="C58" s="15" t="s">
        <v>49</v>
      </c>
      <c r="D58" s="15" t="s">
        <v>113</v>
      </c>
      <c r="E58" s="15" t="n">
        <v>90</v>
      </c>
      <c r="F58" s="15" t="n">
        <v>101.6</v>
      </c>
      <c r="G58" s="15" t="n">
        <v>1.5</v>
      </c>
      <c r="H58" s="70" t="n">
        <v>18</v>
      </c>
      <c r="I58" s="71" t="s">
        <v>51</v>
      </c>
      <c r="J58" s="71" t="n">
        <v>2.274</v>
      </c>
      <c r="K58" s="15" t="n">
        <v>8200</v>
      </c>
      <c r="L58" s="15" t="n">
        <v>23</v>
      </c>
      <c r="M58" s="41" t="n">
        <v>1.8E-005</v>
      </c>
      <c r="N58" s="15" t="n">
        <v>1.225</v>
      </c>
      <c r="O58" s="15" t="n">
        <v>0</v>
      </c>
      <c r="P58" s="15" t="n">
        <v>0</v>
      </c>
      <c r="Q58" s="15" t="n">
        <v>0</v>
      </c>
      <c r="R58" s="15" t="n">
        <v>0</v>
      </c>
      <c r="S58" s="55" t="n">
        <f aca="false">(N58*L58+P58*R58)/(L58+P58)</f>
        <v>1.225</v>
      </c>
      <c r="T58" s="56" t="n">
        <f aca="false">(M58*L58+P58*Q58*0.1)/(L58+P58)</f>
        <v>1.8E-005</v>
      </c>
      <c r="U58" s="15" t="n">
        <v>150</v>
      </c>
      <c r="V58" s="15" t="n">
        <v>2650</v>
      </c>
      <c r="W58" s="63" t="n">
        <f aca="false">52/(24*60*60)</f>
        <v>0.000601851851851852</v>
      </c>
      <c r="X58" s="41" t="n">
        <f aca="false">Y58-BB58</f>
        <v>0</v>
      </c>
      <c r="Y58" s="42" t="n">
        <v>1.21797413303324E-006</v>
      </c>
      <c r="Z58" s="15" t="n">
        <v>1</v>
      </c>
      <c r="AA58" s="41" t="n">
        <v>0.000226</v>
      </c>
      <c r="AB58" s="44"/>
      <c r="AC58" s="32" t="s">
        <v>124</v>
      </c>
      <c r="AD58" s="15" t="s">
        <v>126</v>
      </c>
      <c r="AE58" s="15" t="s">
        <v>120</v>
      </c>
      <c r="AF58" s="15"/>
      <c r="AG58" s="0"/>
      <c r="AH58" s="46" t="n">
        <f aca="false">MAX(L58,P58)</f>
        <v>23</v>
      </c>
      <c r="AI58" s="41" t="n">
        <f aca="false">MAX(M58,Q58)</f>
        <v>1.8E-005</v>
      </c>
      <c r="AJ58" s="47" t="n">
        <f aca="false">MAX(N58,R58)</f>
        <v>1.225</v>
      </c>
      <c r="AK58" s="47"/>
      <c r="AL58" s="19" t="n">
        <v>56</v>
      </c>
      <c r="AM58" s="20" t="str">
        <f aca="false">B58</f>
        <v>Elbow</v>
      </c>
      <c r="AN58" s="20" t="str">
        <f aca="false">C58</f>
        <v>Gas-solid</v>
      </c>
      <c r="AO58" s="20" t="str">
        <f aca="false">D58</f>
        <v>H-H</v>
      </c>
      <c r="AP58" s="20" t="n">
        <f aca="false">E58</f>
        <v>90</v>
      </c>
      <c r="AQ58" s="48" t="n">
        <f aca="false">G58</f>
        <v>1.5</v>
      </c>
      <c r="AR58" s="23" t="n">
        <f aca="false">H58/(F58/1000)</f>
        <v>177.165354330709</v>
      </c>
      <c r="AS58" s="22" t="n">
        <v>1E-006</v>
      </c>
      <c r="AT58" s="23" t="n">
        <f aca="false">AH58/SQRT(9.81*(F58/1000))</f>
        <v>23.0380904140773</v>
      </c>
      <c r="AU58" s="23" t="n">
        <f aca="false">(AH58*AJ58*(F58/1000))/AI58</f>
        <v>159032.222222222</v>
      </c>
      <c r="AV58" s="23" t="n">
        <f aca="false">((U58/10^6)^3*AJ58*(V58-AJ58)*9.81)/AI58^2</f>
        <v>331.572826757812</v>
      </c>
      <c r="AW58" s="23" t="n">
        <f aca="false">(V58*((U58/10^6)^2)/(18*AI58))*AH58/(F58/1000)</f>
        <v>41.659831583552</v>
      </c>
      <c r="AX58" s="23" t="n">
        <f aca="false">AJ58*(U58/10^6)*AH58/AI58</f>
        <v>234.791666666667</v>
      </c>
      <c r="AY58" s="24" t="n">
        <f aca="false">(U58/10^6)/(F58/1000)</f>
        <v>0.00147637795275591</v>
      </c>
      <c r="AZ58" s="23" t="n">
        <f aca="false">AJ58/V58</f>
        <v>0.000462264150943396</v>
      </c>
      <c r="BA58" s="24" t="n">
        <f aca="false">(J58*10^9)/(K58*AH58^2)</f>
        <v>524.228871778321</v>
      </c>
      <c r="BB58" s="23" t="n">
        <f aca="false">Y58</f>
        <v>1.21797413303324E-006</v>
      </c>
      <c r="BC58" s="23" t="n">
        <f aca="false">MAX(Z58,1)</f>
        <v>1</v>
      </c>
      <c r="BD58" s="23" t="n">
        <f aca="false">AA58</f>
        <v>0.000226</v>
      </c>
      <c r="BE58" s="23" t="n">
        <f aca="false">0.8*BD58</f>
        <v>0.0001808</v>
      </c>
      <c r="BF58" s="23" t="n">
        <f aca="false">BD58*1.2</f>
        <v>0.0002712</v>
      </c>
      <c r="BG58" s="0" t="str">
        <f aca="false">AC58</f>
        <v>Fan (2010)</v>
      </c>
    </row>
    <row r="59" customFormat="false" ht="12.8" hidden="false" customHeight="false" outlineLevel="0" collapsed="false">
      <c r="A59" s="15" t="n">
        <v>57</v>
      </c>
      <c r="B59" s="15" t="s">
        <v>109</v>
      </c>
      <c r="C59" s="15" t="s">
        <v>49</v>
      </c>
      <c r="D59" s="15" t="s">
        <v>113</v>
      </c>
      <c r="E59" s="15" t="n">
        <v>90</v>
      </c>
      <c r="F59" s="15" t="n">
        <v>101.6</v>
      </c>
      <c r="G59" s="15" t="n">
        <v>1.5</v>
      </c>
      <c r="H59" s="70" t="n">
        <v>18</v>
      </c>
      <c r="I59" s="71" t="s">
        <v>51</v>
      </c>
      <c r="J59" s="71" t="n">
        <v>2.274</v>
      </c>
      <c r="K59" s="15" t="n">
        <v>8200</v>
      </c>
      <c r="L59" s="15" t="n">
        <v>15</v>
      </c>
      <c r="M59" s="41" t="n">
        <v>1.8E-005</v>
      </c>
      <c r="N59" s="15" t="n">
        <v>1.225</v>
      </c>
      <c r="O59" s="15" t="n">
        <v>0</v>
      </c>
      <c r="P59" s="15" t="n">
        <v>0</v>
      </c>
      <c r="Q59" s="15" t="n">
        <v>0</v>
      </c>
      <c r="R59" s="15" t="n">
        <v>0</v>
      </c>
      <c r="S59" s="55" t="n">
        <f aca="false">(N59*L59+P59*R59)/(L59+P59)</f>
        <v>1.225</v>
      </c>
      <c r="T59" s="56" t="n">
        <f aca="false">(M59*L59+P59*Q59*0.1)/(L59+P59)</f>
        <v>1.8E-005</v>
      </c>
      <c r="U59" s="15" t="n">
        <v>300</v>
      </c>
      <c r="V59" s="15" t="n">
        <v>2650</v>
      </c>
      <c r="W59" s="63" t="n">
        <f aca="false">44/(24*60*60)</f>
        <v>0.000509259259259259</v>
      </c>
      <c r="X59" s="41" t="n">
        <f aca="false">Y59-BB59</f>
        <v>0</v>
      </c>
      <c r="Y59" s="42" t="n">
        <v>1.58024278987236E-006</v>
      </c>
      <c r="Z59" s="15" t="n">
        <v>1</v>
      </c>
      <c r="AA59" s="41" t="n">
        <v>0.000263</v>
      </c>
      <c r="AB59" s="44"/>
      <c r="AC59" s="32" t="s">
        <v>124</v>
      </c>
      <c r="AD59" s="15" t="s">
        <v>126</v>
      </c>
      <c r="AE59" s="15" t="s">
        <v>120</v>
      </c>
      <c r="AF59" s="15"/>
      <c r="AG59" s="0"/>
      <c r="AH59" s="46" t="n">
        <f aca="false">MAX(L59,P59)</f>
        <v>15</v>
      </c>
      <c r="AI59" s="41" t="n">
        <f aca="false">MAX(M59,Q59)</f>
        <v>1.8E-005</v>
      </c>
      <c r="AJ59" s="47" t="n">
        <f aca="false">MAX(N59,R59)</f>
        <v>1.225</v>
      </c>
      <c r="AK59" s="47"/>
      <c r="AL59" s="19" t="n">
        <v>57</v>
      </c>
      <c r="AM59" s="20" t="str">
        <f aca="false">B59</f>
        <v>Elbow</v>
      </c>
      <c r="AN59" s="20" t="str">
        <f aca="false">C59</f>
        <v>Gas-solid</v>
      </c>
      <c r="AO59" s="20" t="str">
        <f aca="false">D59</f>
        <v>H-H</v>
      </c>
      <c r="AP59" s="20" t="n">
        <f aca="false">E59</f>
        <v>90</v>
      </c>
      <c r="AQ59" s="48" t="n">
        <f aca="false">G59</f>
        <v>1.5</v>
      </c>
      <c r="AR59" s="23" t="n">
        <f aca="false">H59/(F59/1000)</f>
        <v>177.165354330709</v>
      </c>
      <c r="AS59" s="22" t="n">
        <v>1E-006</v>
      </c>
      <c r="AT59" s="23" t="n">
        <f aca="false">AH59/SQRT(9.81*(F59/1000))</f>
        <v>15.0248415743982</v>
      </c>
      <c r="AU59" s="23" t="n">
        <f aca="false">(AH59*AJ59*(F59/1000))/AI59</f>
        <v>103716.666666667</v>
      </c>
      <c r="AV59" s="23" t="n">
        <f aca="false">((U59/10^6)^3*AJ59*(V59-AJ59)*9.81)/AI59^2</f>
        <v>2652.5826140625</v>
      </c>
      <c r="AW59" s="23" t="n">
        <f aca="false">(V59*((U59/10^6)^2)/(18*AI59))*AH59/(F59/1000)</f>
        <v>108.67782152231</v>
      </c>
      <c r="AX59" s="23" t="n">
        <f aca="false">AJ59*(U59/10^6)*AH59/AI59</f>
        <v>306.25</v>
      </c>
      <c r="AY59" s="24" t="n">
        <f aca="false">(U59/10^6)/(F59/1000)</f>
        <v>0.00295275590551181</v>
      </c>
      <c r="AZ59" s="23" t="n">
        <f aca="false">AJ59/V59</f>
        <v>0.000462264150943396</v>
      </c>
      <c r="BA59" s="24" t="n">
        <f aca="false">(J59*10^9)/(K59*AH59^2)</f>
        <v>1232.52032520325</v>
      </c>
      <c r="BB59" s="23" t="n">
        <f aca="false">Y59</f>
        <v>1.58024278987236E-006</v>
      </c>
      <c r="BC59" s="23" t="n">
        <f aca="false">MAX(Z59,1)</f>
        <v>1</v>
      </c>
      <c r="BD59" s="23" t="n">
        <f aca="false">AA59</f>
        <v>0.000263</v>
      </c>
      <c r="BE59" s="23" t="n">
        <f aca="false">0.8*BD59</f>
        <v>0.0002104</v>
      </c>
      <c r="BF59" s="23" t="n">
        <f aca="false">BD59*1.2</f>
        <v>0.0003156</v>
      </c>
      <c r="BG59" s="0" t="str">
        <f aca="false">AC59</f>
        <v>Fan (2010)</v>
      </c>
    </row>
    <row r="60" customFormat="false" ht="12.8" hidden="false" customHeight="false" outlineLevel="0" collapsed="false">
      <c r="A60" s="15" t="n">
        <v>58</v>
      </c>
      <c r="B60" s="15" t="s">
        <v>109</v>
      </c>
      <c r="C60" s="15" t="s">
        <v>49</v>
      </c>
      <c r="D60" s="15" t="s">
        <v>113</v>
      </c>
      <c r="E60" s="15" t="n">
        <v>90</v>
      </c>
      <c r="F60" s="15" t="n">
        <v>101.6</v>
      </c>
      <c r="G60" s="15" t="n">
        <v>1.5</v>
      </c>
      <c r="H60" s="70" t="n">
        <v>18</v>
      </c>
      <c r="I60" s="71" t="s">
        <v>51</v>
      </c>
      <c r="J60" s="71" t="n">
        <v>2.274</v>
      </c>
      <c r="K60" s="15" t="n">
        <v>8200</v>
      </c>
      <c r="L60" s="15" t="n">
        <v>23</v>
      </c>
      <c r="M60" s="41" t="n">
        <v>1.8E-005</v>
      </c>
      <c r="N60" s="15" t="n">
        <v>1.225</v>
      </c>
      <c r="O60" s="15" t="n">
        <v>0</v>
      </c>
      <c r="P60" s="15" t="n">
        <v>0</v>
      </c>
      <c r="Q60" s="15" t="n">
        <v>0</v>
      </c>
      <c r="R60" s="15" t="n">
        <v>0</v>
      </c>
      <c r="S60" s="55" t="n">
        <f aca="false">(N60*L60+P60*R60)/(L60+P60)</f>
        <v>1.225</v>
      </c>
      <c r="T60" s="56" t="n">
        <f aca="false">(M60*L60+P60*Q60*0.1)/(L60+P60)</f>
        <v>1.8E-005</v>
      </c>
      <c r="U60" s="15" t="n">
        <v>300</v>
      </c>
      <c r="V60" s="15" t="n">
        <v>2650</v>
      </c>
      <c r="W60" s="63" t="n">
        <f aca="false">48/(24*60*60)</f>
        <v>0.000555555555555556</v>
      </c>
      <c r="X60" s="41" t="n">
        <f aca="false">Y60-BB60</f>
        <v>0</v>
      </c>
      <c r="Y60" s="42" t="n">
        <v>1.12428392044213E-006</v>
      </c>
      <c r="Z60" s="15" t="n">
        <v>1</v>
      </c>
      <c r="AA60" s="41" t="n">
        <v>0.000334</v>
      </c>
      <c r="AB60" s="44"/>
      <c r="AC60" s="32" t="s">
        <v>124</v>
      </c>
      <c r="AD60" s="15" t="s">
        <v>126</v>
      </c>
      <c r="AE60" s="15" t="s">
        <v>120</v>
      </c>
      <c r="AF60" s="15"/>
      <c r="AG60" s="0"/>
      <c r="AH60" s="46" t="n">
        <f aca="false">MAX(L60,P60)</f>
        <v>23</v>
      </c>
      <c r="AI60" s="41" t="n">
        <f aca="false">MAX(M60,Q60)</f>
        <v>1.8E-005</v>
      </c>
      <c r="AJ60" s="47" t="n">
        <f aca="false">MAX(N60,R60)</f>
        <v>1.225</v>
      </c>
      <c r="AK60" s="47"/>
      <c r="AL60" s="19" t="n">
        <v>58</v>
      </c>
      <c r="AM60" s="20" t="str">
        <f aca="false">B60</f>
        <v>Elbow</v>
      </c>
      <c r="AN60" s="20" t="str">
        <f aca="false">C60</f>
        <v>Gas-solid</v>
      </c>
      <c r="AO60" s="20" t="str">
        <f aca="false">D60</f>
        <v>H-H</v>
      </c>
      <c r="AP60" s="20" t="n">
        <f aca="false">E60</f>
        <v>90</v>
      </c>
      <c r="AQ60" s="48" t="n">
        <f aca="false">G60</f>
        <v>1.5</v>
      </c>
      <c r="AR60" s="23" t="n">
        <f aca="false">H60/(F60/1000)</f>
        <v>177.165354330709</v>
      </c>
      <c r="AS60" s="22" t="n">
        <v>1E-006</v>
      </c>
      <c r="AT60" s="23" t="n">
        <f aca="false">AH60/SQRT(9.81*(F60/1000))</f>
        <v>23.0380904140773</v>
      </c>
      <c r="AU60" s="23" t="n">
        <f aca="false">(AH60*AJ60*(F60/1000))/AI60</f>
        <v>159032.222222222</v>
      </c>
      <c r="AV60" s="23" t="n">
        <f aca="false">((U60/10^6)^3*AJ60*(V60-AJ60)*9.81)/AI60^2</f>
        <v>2652.5826140625</v>
      </c>
      <c r="AW60" s="23" t="n">
        <f aca="false">(V60*((U60/10^6)^2)/(18*AI60))*AH60/(F60/1000)</f>
        <v>166.639326334208</v>
      </c>
      <c r="AX60" s="23" t="n">
        <f aca="false">AJ60*(U60/10^6)*AH60/AI60</f>
        <v>469.583333333333</v>
      </c>
      <c r="AY60" s="24" t="n">
        <f aca="false">(U60/10^6)/(F60/1000)</f>
        <v>0.00295275590551181</v>
      </c>
      <c r="AZ60" s="23" t="n">
        <f aca="false">AJ60/V60</f>
        <v>0.000462264150943396</v>
      </c>
      <c r="BA60" s="24" t="n">
        <f aca="false">(J60*10^9)/(K60*AH60^2)</f>
        <v>524.228871778321</v>
      </c>
      <c r="BB60" s="23" t="n">
        <f aca="false">Y60</f>
        <v>1.12428392044213E-006</v>
      </c>
      <c r="BC60" s="23" t="n">
        <f aca="false">MAX(Z60,1)</f>
        <v>1</v>
      </c>
      <c r="BD60" s="23" t="n">
        <f aca="false">AA60</f>
        <v>0.000334</v>
      </c>
      <c r="BE60" s="23" t="n">
        <f aca="false">0.8*BD60</f>
        <v>0.0002672</v>
      </c>
      <c r="BF60" s="23" t="n">
        <f aca="false">BD60*1.2</f>
        <v>0.0004008</v>
      </c>
      <c r="BG60" s="0" t="str">
        <f aca="false">AC60</f>
        <v>Fan (2010)</v>
      </c>
    </row>
    <row r="61" customFormat="false" ht="12.8" hidden="false" customHeight="false" outlineLevel="0" collapsed="false">
      <c r="A61" s="15" t="n">
        <v>59</v>
      </c>
      <c r="B61" s="15" t="s">
        <v>109</v>
      </c>
      <c r="C61" s="15" t="s">
        <v>49</v>
      </c>
      <c r="D61" s="11" t="s">
        <v>54</v>
      </c>
      <c r="E61" s="15" t="n">
        <v>90</v>
      </c>
      <c r="F61" s="15" t="n">
        <v>101.6</v>
      </c>
      <c r="G61" s="15" t="n">
        <v>1.5</v>
      </c>
      <c r="H61" s="15" t="n">
        <v>18</v>
      </c>
      <c r="I61" s="15" t="s">
        <v>114</v>
      </c>
      <c r="J61" s="51" t="n">
        <v>1.5177</v>
      </c>
      <c r="K61" s="11" t="n">
        <v>7850</v>
      </c>
      <c r="L61" s="15" t="n">
        <v>15</v>
      </c>
      <c r="M61" s="41" t="n">
        <v>1.8E-005</v>
      </c>
      <c r="N61" s="15" t="n">
        <v>1.225</v>
      </c>
      <c r="O61" s="15" t="n">
        <v>0</v>
      </c>
      <c r="P61" s="15" t="n">
        <v>0</v>
      </c>
      <c r="Q61" s="15" t="n">
        <v>0</v>
      </c>
      <c r="R61" s="15" t="n">
        <v>0</v>
      </c>
      <c r="S61" s="55" t="n">
        <f aca="false">(N61*L61+P61*R61)/(L61+P61)</f>
        <v>1.225</v>
      </c>
      <c r="T61" s="56" t="n">
        <f aca="false">(M61*L61+P61*Q61*0.1)/(L61+P61)</f>
        <v>1.8E-005</v>
      </c>
      <c r="U61" s="11" t="n">
        <v>300</v>
      </c>
      <c r="V61" s="11" t="n">
        <v>2650</v>
      </c>
      <c r="W61" s="63" t="n">
        <f aca="false">((PI()*((F61/1000)^2)/4)*L61*Y61/(1-Y61))*V61</f>
        <v>0.642588003972863</v>
      </c>
      <c r="X61" s="41" t="n">
        <f aca="false">Y61-BB61</f>
        <v>0</v>
      </c>
      <c r="Y61" s="72" t="n">
        <v>0.00199</v>
      </c>
      <c r="Z61" s="15" t="n">
        <v>1</v>
      </c>
      <c r="AA61" s="73" t="n">
        <v>0.000259</v>
      </c>
      <c r="AB61" s="44"/>
      <c r="AC61" s="32" t="s">
        <v>127</v>
      </c>
      <c r="AD61" s="32" t="s">
        <v>128</v>
      </c>
      <c r="AH61" s="46" t="n">
        <f aca="false">MAX(L61,P61)</f>
        <v>15</v>
      </c>
      <c r="AI61" s="41" t="n">
        <f aca="false">MAX(M61,Q61)</f>
        <v>1.8E-005</v>
      </c>
      <c r="AJ61" s="47" t="n">
        <f aca="false">MAX(N61,R61)</f>
        <v>1.225</v>
      </c>
      <c r="AK61" s="47"/>
      <c r="AL61" s="19" t="n">
        <v>59</v>
      </c>
      <c r="AM61" s="20" t="str">
        <f aca="false">B61</f>
        <v>Elbow</v>
      </c>
      <c r="AN61" s="20" t="str">
        <f aca="false">C61</f>
        <v>Gas-solid</v>
      </c>
      <c r="AO61" s="20" t="str">
        <f aca="false">D61</f>
        <v>V-H</v>
      </c>
      <c r="AP61" s="20" t="n">
        <f aca="false">E61</f>
        <v>90</v>
      </c>
      <c r="AQ61" s="48" t="n">
        <f aca="false">G61</f>
        <v>1.5</v>
      </c>
      <c r="AR61" s="23" t="n">
        <f aca="false">H61/(F61/1000)</f>
        <v>177.165354330709</v>
      </c>
      <c r="AS61" s="22" t="n">
        <v>1E-006</v>
      </c>
      <c r="AT61" s="23" t="n">
        <f aca="false">AH61/SQRT(9.81*(F61/1000))</f>
        <v>15.0248415743982</v>
      </c>
      <c r="AU61" s="23" t="n">
        <f aca="false">(AH61*AJ61*(F61/1000))/AI61</f>
        <v>103716.666666667</v>
      </c>
      <c r="AV61" s="23" t="n">
        <f aca="false">((U61/10^6)^3*AJ61*(V61-AJ61)*9.81)/AI61^2</f>
        <v>2652.5826140625</v>
      </c>
      <c r="AW61" s="23" t="n">
        <f aca="false">(V61*((U61/10^6)^2)/(18*AI61))*AH61/(F61/1000)</f>
        <v>108.67782152231</v>
      </c>
      <c r="AX61" s="23" t="n">
        <f aca="false">AJ61*(U61/10^6)*AH61/AI61</f>
        <v>306.25</v>
      </c>
      <c r="AY61" s="24" t="n">
        <f aca="false">(U61/10^6)/(F61/1000)</f>
        <v>0.00295275590551181</v>
      </c>
      <c r="AZ61" s="23" t="n">
        <f aca="false">AJ61/V61</f>
        <v>0.000462264150943396</v>
      </c>
      <c r="BA61" s="24" t="n">
        <f aca="false">(J61*10^9)/(K61*AH61^2)</f>
        <v>859.278131634819</v>
      </c>
      <c r="BB61" s="23" t="n">
        <f aca="false">Y61</f>
        <v>0.00199</v>
      </c>
      <c r="BC61" s="23" t="n">
        <f aca="false">MAX(Z61,1)</f>
        <v>1</v>
      </c>
      <c r="BD61" s="23" t="n">
        <f aca="false">AA61</f>
        <v>0.000259</v>
      </c>
      <c r="BE61" s="23" t="n">
        <f aca="false">0.8*BD61</f>
        <v>0.0002072</v>
      </c>
      <c r="BF61" s="23" t="n">
        <f aca="false">BD61*1.2</f>
        <v>0.0003108</v>
      </c>
      <c r="BG61" s="0" t="str">
        <f aca="false">AC61</f>
        <v>Asgharpour 2020</v>
      </c>
    </row>
    <row r="62" customFormat="false" ht="12.8" hidden="false" customHeight="false" outlineLevel="0" collapsed="false">
      <c r="A62" s="15" t="n">
        <v>60</v>
      </c>
      <c r="B62" s="15" t="s">
        <v>109</v>
      </c>
      <c r="C62" s="15" t="s">
        <v>49</v>
      </c>
      <c r="D62" s="11" t="s">
        <v>54</v>
      </c>
      <c r="E62" s="15" t="n">
        <v>90</v>
      </c>
      <c r="F62" s="15" t="n">
        <v>101.6</v>
      </c>
      <c r="G62" s="15" t="n">
        <v>1.5</v>
      </c>
      <c r="H62" s="15" t="n">
        <v>18</v>
      </c>
      <c r="I62" s="15" t="s">
        <v>114</v>
      </c>
      <c r="J62" s="51" t="n">
        <v>1.5177</v>
      </c>
      <c r="K62" s="11" t="n">
        <v>7850</v>
      </c>
      <c r="L62" s="15" t="n">
        <v>23</v>
      </c>
      <c r="M62" s="41" t="n">
        <v>1.8E-005</v>
      </c>
      <c r="N62" s="15" t="n">
        <v>1.225</v>
      </c>
      <c r="O62" s="15" t="n">
        <v>0</v>
      </c>
      <c r="P62" s="15" t="n">
        <v>0</v>
      </c>
      <c r="Q62" s="15" t="n">
        <v>0</v>
      </c>
      <c r="R62" s="15" t="n">
        <v>0</v>
      </c>
      <c r="S62" s="55" t="n">
        <f aca="false">(N62*L62+P62*R62)/(L62+P62)</f>
        <v>1.225</v>
      </c>
      <c r="T62" s="56" t="n">
        <f aca="false">(M62*L62+P62*Q62*0.1)/(L62+P62)</f>
        <v>1.8E-005</v>
      </c>
      <c r="U62" s="11" t="n">
        <v>300</v>
      </c>
      <c r="V62" s="11" t="n">
        <v>2650</v>
      </c>
      <c r="W62" s="63" t="n">
        <f aca="false">((PI()*((F62/1000)^2)/4)*L62*Y62/(1-Y62))*V62</f>
        <v>0.407013124767553</v>
      </c>
      <c r="X62" s="41" t="n">
        <f aca="false">Y62-BB62</f>
        <v>0</v>
      </c>
      <c r="Y62" s="72" t="n">
        <v>0.000823</v>
      </c>
      <c r="Z62" s="15" t="n">
        <v>1</v>
      </c>
      <c r="AA62" s="73" t="n">
        <v>0.00077</v>
      </c>
      <c r="AB62" s="44"/>
      <c r="AC62" s="32" t="s">
        <v>127</v>
      </c>
      <c r="AD62" s="32" t="s">
        <v>128</v>
      </c>
      <c r="AH62" s="46" t="n">
        <f aca="false">MAX(L62,P62)</f>
        <v>23</v>
      </c>
      <c r="AI62" s="41" t="n">
        <f aca="false">MAX(M62,Q62)</f>
        <v>1.8E-005</v>
      </c>
      <c r="AJ62" s="47" t="n">
        <f aca="false">MAX(N62,R62)</f>
        <v>1.225</v>
      </c>
      <c r="AK62" s="47"/>
      <c r="AL62" s="19" t="n">
        <v>60</v>
      </c>
      <c r="AM62" s="20" t="str">
        <f aca="false">B62</f>
        <v>Elbow</v>
      </c>
      <c r="AN62" s="20" t="str">
        <f aca="false">C62</f>
        <v>Gas-solid</v>
      </c>
      <c r="AO62" s="20" t="str">
        <f aca="false">D62</f>
        <v>V-H</v>
      </c>
      <c r="AP62" s="20" t="n">
        <f aca="false">E62</f>
        <v>90</v>
      </c>
      <c r="AQ62" s="48" t="n">
        <f aca="false">G62</f>
        <v>1.5</v>
      </c>
      <c r="AR62" s="23" t="n">
        <f aca="false">H62/(F62/1000)</f>
        <v>177.165354330709</v>
      </c>
      <c r="AS62" s="22" t="n">
        <v>1E-006</v>
      </c>
      <c r="AT62" s="23" t="n">
        <f aca="false">AH62/SQRT(9.81*(F62/1000))</f>
        <v>23.0380904140773</v>
      </c>
      <c r="AU62" s="23" t="n">
        <f aca="false">(AH62*AJ62*(F62/1000))/AI62</f>
        <v>159032.222222222</v>
      </c>
      <c r="AV62" s="23" t="n">
        <f aca="false">((U62/10^6)^3*AJ62*(V62-AJ62)*9.81)/AI62^2</f>
        <v>2652.5826140625</v>
      </c>
      <c r="AW62" s="23" t="n">
        <f aca="false">(V62*((U62/10^6)^2)/(18*AI62))*AH62/(F62/1000)</f>
        <v>166.639326334208</v>
      </c>
      <c r="AX62" s="23" t="n">
        <f aca="false">AJ62*(U62/10^6)*AH62/AI62</f>
        <v>469.583333333333</v>
      </c>
      <c r="AY62" s="24" t="n">
        <f aca="false">(U62/10^6)/(F62/1000)</f>
        <v>0.00295275590551181</v>
      </c>
      <c r="AZ62" s="23" t="n">
        <f aca="false">AJ62/V62</f>
        <v>0.000462264150943396</v>
      </c>
      <c r="BA62" s="24" t="n">
        <f aca="false">(J62*10^9)/(K62*AH62^2)</f>
        <v>365.477466196284</v>
      </c>
      <c r="BB62" s="23" t="n">
        <f aca="false">Y62</f>
        <v>0.000823</v>
      </c>
      <c r="BC62" s="23" t="n">
        <f aca="false">MAX(Z62,1)</f>
        <v>1</v>
      </c>
      <c r="BD62" s="23" t="n">
        <f aca="false">AA62</f>
        <v>0.00077</v>
      </c>
      <c r="BE62" s="23" t="n">
        <f aca="false">0.8*BD62</f>
        <v>0.000616</v>
      </c>
      <c r="BF62" s="23" t="n">
        <f aca="false">BD62*1.2</f>
        <v>0.000924</v>
      </c>
      <c r="BG62" s="0" t="str">
        <f aca="false">AC62</f>
        <v>Asgharpour 2020</v>
      </c>
    </row>
    <row r="63" customFormat="false" ht="12.8" hidden="false" customHeight="false" outlineLevel="0" collapsed="false">
      <c r="A63" s="15" t="n">
        <v>61</v>
      </c>
      <c r="B63" s="15" t="s">
        <v>109</v>
      </c>
      <c r="C63" s="15" t="s">
        <v>49</v>
      </c>
      <c r="D63" s="11" t="s">
        <v>54</v>
      </c>
      <c r="E63" s="15" t="n">
        <v>90</v>
      </c>
      <c r="F63" s="15" t="n">
        <v>101.6</v>
      </c>
      <c r="G63" s="15" t="n">
        <v>1.5</v>
      </c>
      <c r="H63" s="15" t="n">
        <v>18</v>
      </c>
      <c r="I63" s="15" t="s">
        <v>114</v>
      </c>
      <c r="J63" s="51" t="n">
        <v>1.5177</v>
      </c>
      <c r="K63" s="11" t="n">
        <v>7850</v>
      </c>
      <c r="L63" s="15" t="n">
        <v>31</v>
      </c>
      <c r="M63" s="41" t="n">
        <v>1.8E-005</v>
      </c>
      <c r="N63" s="15" t="n">
        <v>1.225</v>
      </c>
      <c r="O63" s="15" t="n">
        <v>0</v>
      </c>
      <c r="P63" s="15" t="n">
        <v>0</v>
      </c>
      <c r="Q63" s="15" t="n">
        <v>0</v>
      </c>
      <c r="R63" s="15" t="n">
        <v>0</v>
      </c>
      <c r="S63" s="55" t="n">
        <f aca="false">(N63*L63+P63*R63)/(L63+P63)</f>
        <v>1.225</v>
      </c>
      <c r="T63" s="56" t="n">
        <f aca="false">(M63*L63+P63*Q63*0.1)/(L63+P63)</f>
        <v>1.8E-005</v>
      </c>
      <c r="U63" s="11" t="n">
        <v>300</v>
      </c>
      <c r="V63" s="11" t="n">
        <v>2650</v>
      </c>
      <c r="W63" s="63" t="n">
        <f aca="false">((PI()*((F63/1000)^2)/4)*L63*Y63/(1-Y63))*V63</f>
        <v>0.191867955402572</v>
      </c>
      <c r="X63" s="41" t="n">
        <f aca="false">Y63-BB63</f>
        <v>0</v>
      </c>
      <c r="Y63" s="72" t="n">
        <v>0.000288</v>
      </c>
      <c r="Z63" s="15" t="n">
        <v>1</v>
      </c>
      <c r="AA63" s="73" t="n">
        <v>0.00148</v>
      </c>
      <c r="AB63" s="44"/>
      <c r="AC63" s="32" t="s">
        <v>127</v>
      </c>
      <c r="AD63" s="32" t="s">
        <v>128</v>
      </c>
      <c r="AH63" s="46" t="n">
        <f aca="false">MAX(L63,P63)</f>
        <v>31</v>
      </c>
      <c r="AI63" s="41" t="n">
        <f aca="false">MAX(M63,Q63)</f>
        <v>1.8E-005</v>
      </c>
      <c r="AJ63" s="47" t="n">
        <f aca="false">MAX(N63,R63)</f>
        <v>1.225</v>
      </c>
      <c r="AK63" s="47"/>
      <c r="AL63" s="19" t="n">
        <v>61</v>
      </c>
      <c r="AM63" s="20" t="str">
        <f aca="false">B63</f>
        <v>Elbow</v>
      </c>
      <c r="AN63" s="20" t="str">
        <f aca="false">C63</f>
        <v>Gas-solid</v>
      </c>
      <c r="AO63" s="20" t="str">
        <f aca="false">D63</f>
        <v>V-H</v>
      </c>
      <c r="AP63" s="20" t="n">
        <f aca="false">E63</f>
        <v>90</v>
      </c>
      <c r="AQ63" s="48" t="n">
        <f aca="false">G63</f>
        <v>1.5</v>
      </c>
      <c r="AR63" s="23" t="n">
        <f aca="false">H63/(F63/1000)</f>
        <v>177.165354330709</v>
      </c>
      <c r="AS63" s="22" t="n">
        <v>1E-006</v>
      </c>
      <c r="AT63" s="23" t="n">
        <f aca="false">AH63/SQRT(9.81*(F63/1000))</f>
        <v>31.0513392537563</v>
      </c>
      <c r="AU63" s="23" t="n">
        <f aca="false">(AH63*AJ63*(F63/1000))/AI63</f>
        <v>214347.777777778</v>
      </c>
      <c r="AV63" s="23" t="n">
        <f aca="false">((U63/10^6)^3*AJ63*(V63-AJ63)*9.81)/AI63^2</f>
        <v>2652.5826140625</v>
      </c>
      <c r="AW63" s="23" t="n">
        <f aca="false">(V63*((U63/10^6)^2)/(18*AI63))*AH63/(F63/1000)</f>
        <v>224.600831146107</v>
      </c>
      <c r="AX63" s="23" t="n">
        <f aca="false">AJ63*(U63/10^6)*AH63/AI63</f>
        <v>632.916666666667</v>
      </c>
      <c r="AY63" s="24" t="n">
        <f aca="false">(U63/10^6)/(F63/1000)</f>
        <v>0.00295275590551181</v>
      </c>
      <c r="AZ63" s="23" t="n">
        <f aca="false">AJ63/V63</f>
        <v>0.000462264150943396</v>
      </c>
      <c r="BA63" s="24" t="n">
        <f aca="false">(J63*10^9)/(K63*AH63^2)</f>
        <v>201.18374570014</v>
      </c>
      <c r="BB63" s="23" t="n">
        <f aca="false">Y63</f>
        <v>0.000288</v>
      </c>
      <c r="BC63" s="23" t="n">
        <f aca="false">MAX(Z63,1)</f>
        <v>1</v>
      </c>
      <c r="BD63" s="23" t="n">
        <f aca="false">AA63</f>
        <v>0.00148</v>
      </c>
      <c r="BE63" s="23" t="n">
        <f aca="false">0.8*BD63</f>
        <v>0.001184</v>
      </c>
      <c r="BF63" s="23" t="n">
        <f aca="false">BD63*1.2</f>
        <v>0.001776</v>
      </c>
      <c r="BG63" s="0" t="str">
        <f aca="false">AC63</f>
        <v>Asgharpour 2020</v>
      </c>
    </row>
    <row r="64" customFormat="false" ht="12.8" hidden="false" customHeight="false" outlineLevel="0" collapsed="false">
      <c r="A64" s="15" t="n">
        <v>62</v>
      </c>
      <c r="B64" s="15" t="s">
        <v>109</v>
      </c>
      <c r="C64" s="15" t="s">
        <v>49</v>
      </c>
      <c r="D64" s="11" t="s">
        <v>54</v>
      </c>
      <c r="E64" s="15" t="n">
        <v>90</v>
      </c>
      <c r="F64" s="15" t="n">
        <v>101.6</v>
      </c>
      <c r="G64" s="15" t="n">
        <v>1.5</v>
      </c>
      <c r="H64" s="15" t="n">
        <v>18</v>
      </c>
      <c r="I64" s="15" t="s">
        <v>114</v>
      </c>
      <c r="J64" s="51" t="n">
        <v>1.5177</v>
      </c>
      <c r="K64" s="11" t="n">
        <v>7850</v>
      </c>
      <c r="L64" s="15" t="n">
        <v>37</v>
      </c>
      <c r="M64" s="41" t="n">
        <v>1.8E-005</v>
      </c>
      <c r="N64" s="15" t="n">
        <v>1.225</v>
      </c>
      <c r="O64" s="15" t="n">
        <v>0</v>
      </c>
      <c r="P64" s="15" t="n">
        <v>0</v>
      </c>
      <c r="Q64" s="15" t="n">
        <v>0</v>
      </c>
      <c r="R64" s="15" t="n">
        <v>0</v>
      </c>
      <c r="S64" s="55" t="n">
        <f aca="false">(N64*L64+P64*R64)/(L64+P64)</f>
        <v>1.225</v>
      </c>
      <c r="T64" s="56" t="n">
        <f aca="false">(M64*L64+P64*Q64*0.1)/(L64+P64)</f>
        <v>1.8E-005</v>
      </c>
      <c r="U64" s="11" t="n">
        <v>300</v>
      </c>
      <c r="V64" s="11" t="n">
        <v>2650</v>
      </c>
      <c r="W64" s="63" t="n">
        <f aca="false">((PI()*((F64/1000)^2)/4)*L64*Y64/(1-Y64))*V64</f>
        <v>0.172535664665402</v>
      </c>
      <c r="X64" s="41" t="n">
        <f aca="false">Y64-BB64</f>
        <v>0</v>
      </c>
      <c r="Y64" s="72" t="n">
        <v>0.000217</v>
      </c>
      <c r="Z64" s="15" t="n">
        <v>1</v>
      </c>
      <c r="AA64" s="73" t="n">
        <v>0.00302</v>
      </c>
      <c r="AB64" s="44"/>
      <c r="AC64" s="32" t="s">
        <v>127</v>
      </c>
      <c r="AD64" s="32" t="s">
        <v>128</v>
      </c>
      <c r="AH64" s="46" t="n">
        <f aca="false">MAX(L64,P64)</f>
        <v>37</v>
      </c>
      <c r="AI64" s="41" t="n">
        <f aca="false">MAX(M64,Q64)</f>
        <v>1.8E-005</v>
      </c>
      <c r="AJ64" s="47" t="n">
        <f aca="false">MAX(N64,R64)</f>
        <v>1.225</v>
      </c>
      <c r="AK64" s="47"/>
      <c r="AL64" s="19" t="n">
        <v>62</v>
      </c>
      <c r="AM64" s="20" t="str">
        <f aca="false">B64</f>
        <v>Elbow</v>
      </c>
      <c r="AN64" s="20" t="str">
        <f aca="false">C64</f>
        <v>Gas-solid</v>
      </c>
      <c r="AO64" s="20" t="str">
        <f aca="false">D64</f>
        <v>V-H</v>
      </c>
      <c r="AP64" s="20" t="n">
        <f aca="false">E64</f>
        <v>90</v>
      </c>
      <c r="AQ64" s="48" t="n">
        <f aca="false">G64</f>
        <v>1.5</v>
      </c>
      <c r="AR64" s="23" t="n">
        <f aca="false">H64/(F64/1000)</f>
        <v>177.165354330709</v>
      </c>
      <c r="AS64" s="22" t="n">
        <v>1E-006</v>
      </c>
      <c r="AT64" s="23" t="n">
        <f aca="false">AH64/SQRT(9.81*(F64/1000))</f>
        <v>37.0612758835156</v>
      </c>
      <c r="AU64" s="23" t="n">
        <f aca="false">(AH64*AJ64*(F64/1000))/AI64</f>
        <v>255834.444444444</v>
      </c>
      <c r="AV64" s="23" t="n">
        <f aca="false">((U64/10^6)^3*AJ64*(V64-AJ64)*9.81)/AI64^2</f>
        <v>2652.5826140625</v>
      </c>
      <c r="AW64" s="23" t="n">
        <f aca="false">(V64*((U64/10^6)^2)/(18*AI64))*AH64/(F64/1000)</f>
        <v>268.071959755031</v>
      </c>
      <c r="AX64" s="23" t="n">
        <f aca="false">AJ64*(U64/10^6)*AH64/AI64</f>
        <v>755.416666666667</v>
      </c>
      <c r="AY64" s="24" t="n">
        <f aca="false">(U64/10^6)/(F64/1000)</f>
        <v>0.00295275590551181</v>
      </c>
      <c r="AZ64" s="23" t="n">
        <f aca="false">AJ64/V64</f>
        <v>0.000462264150943396</v>
      </c>
      <c r="BA64" s="24" t="n">
        <f aca="false">(J64*10^9)/(K64*AH64^2)</f>
        <v>141.225405126249</v>
      </c>
      <c r="BB64" s="23" t="n">
        <f aca="false">Y64</f>
        <v>0.000217</v>
      </c>
      <c r="BC64" s="23" t="n">
        <f aca="false">MAX(Z64,1)</f>
        <v>1</v>
      </c>
      <c r="BD64" s="23" t="n">
        <f aca="false">AA64</f>
        <v>0.00302</v>
      </c>
      <c r="BE64" s="23" t="n">
        <f aca="false">0.8*BD64</f>
        <v>0.002416</v>
      </c>
      <c r="BF64" s="23" t="n">
        <f aca="false">BD64*1.2</f>
        <v>0.003624</v>
      </c>
      <c r="BG64" s="0" t="str">
        <f aca="false">AC64</f>
        <v>Asgharpour 2020</v>
      </c>
    </row>
    <row r="65" customFormat="false" ht="12.8" hidden="false" customHeight="false" outlineLevel="0" collapsed="false">
      <c r="A65" s="15" t="n">
        <v>63</v>
      </c>
      <c r="B65" s="15" t="s">
        <v>109</v>
      </c>
      <c r="C65" s="15" t="s">
        <v>49</v>
      </c>
      <c r="D65" s="11" t="s">
        <v>54</v>
      </c>
      <c r="E65" s="15" t="n">
        <v>90</v>
      </c>
      <c r="F65" s="15" t="n">
        <v>101.6</v>
      </c>
      <c r="G65" s="15" t="n">
        <v>1.5</v>
      </c>
      <c r="H65" s="15" t="n">
        <v>18</v>
      </c>
      <c r="I65" s="15" t="s">
        <v>114</v>
      </c>
      <c r="J65" s="51" t="n">
        <v>1.5177</v>
      </c>
      <c r="K65" s="11" t="n">
        <v>7850</v>
      </c>
      <c r="L65" s="15" t="n">
        <v>15</v>
      </c>
      <c r="M65" s="41" t="n">
        <v>1.8E-005</v>
      </c>
      <c r="N65" s="15" t="n">
        <v>1.225</v>
      </c>
      <c r="O65" s="15" t="n">
        <v>0</v>
      </c>
      <c r="P65" s="15" t="n">
        <v>0</v>
      </c>
      <c r="Q65" s="15" t="n">
        <v>0</v>
      </c>
      <c r="R65" s="15" t="n">
        <v>0</v>
      </c>
      <c r="S65" s="55" t="n">
        <f aca="false">(N65*L65+P65*R65)/(L65+P65)</f>
        <v>1.225</v>
      </c>
      <c r="T65" s="56" t="n">
        <f aca="false">(M65*L65+P65*Q65*0.1)/(L65+P65)</f>
        <v>1.8E-005</v>
      </c>
      <c r="U65" s="11" t="n">
        <v>75</v>
      </c>
      <c r="V65" s="11" t="n">
        <v>2650</v>
      </c>
      <c r="W65" s="63" t="n">
        <f aca="false">((PI()*((F65/1000)^2)/4)*L65*Y65/(1-Y65))*V65</f>
        <v>0.668474272124736</v>
      </c>
      <c r="X65" s="41" t="n">
        <f aca="false">Y65-BB65</f>
        <v>0</v>
      </c>
      <c r="Y65" s="72" t="n">
        <v>0.00207</v>
      </c>
      <c r="Z65" s="15" t="n">
        <v>1</v>
      </c>
      <c r="AA65" s="73" t="n">
        <v>0.000333</v>
      </c>
      <c r="AB65" s="44"/>
      <c r="AC65" s="32" t="s">
        <v>127</v>
      </c>
      <c r="AD65" s="32" t="s">
        <v>128</v>
      </c>
      <c r="AH65" s="46" t="n">
        <f aca="false">MAX(L65,P65)</f>
        <v>15</v>
      </c>
      <c r="AI65" s="41" t="n">
        <f aca="false">MAX(M65,Q65)</f>
        <v>1.8E-005</v>
      </c>
      <c r="AJ65" s="47" t="n">
        <f aca="false">MAX(N65,R65)</f>
        <v>1.225</v>
      </c>
      <c r="AK65" s="47"/>
      <c r="AL65" s="19" t="n">
        <v>63</v>
      </c>
      <c r="AM65" s="20" t="str">
        <f aca="false">B65</f>
        <v>Elbow</v>
      </c>
      <c r="AN65" s="20" t="str">
        <f aca="false">C65</f>
        <v>Gas-solid</v>
      </c>
      <c r="AO65" s="20" t="str">
        <f aca="false">D65</f>
        <v>V-H</v>
      </c>
      <c r="AP65" s="20" t="n">
        <f aca="false">E65</f>
        <v>90</v>
      </c>
      <c r="AQ65" s="48" t="n">
        <f aca="false">G65</f>
        <v>1.5</v>
      </c>
      <c r="AR65" s="23" t="n">
        <f aca="false">H65/(F65/1000)</f>
        <v>177.165354330709</v>
      </c>
      <c r="AS65" s="22" t="n">
        <v>1E-006</v>
      </c>
      <c r="AT65" s="23" t="n">
        <f aca="false">AH65/SQRT(9.81*(F65/1000))</f>
        <v>15.0248415743982</v>
      </c>
      <c r="AU65" s="23" t="n">
        <f aca="false">(AH65*AJ65*(F65/1000))/AI65</f>
        <v>103716.666666667</v>
      </c>
      <c r="AV65" s="23" t="n">
        <f aca="false">((U65/10^6)^3*AJ65*(V65-AJ65)*9.81)/AI65^2</f>
        <v>41.4466033447266</v>
      </c>
      <c r="AW65" s="23" t="n">
        <f aca="false">(V65*((U65/10^6)^2)/(18*AI65))*AH65/(F65/1000)</f>
        <v>6.79236384514436</v>
      </c>
      <c r="AX65" s="23" t="n">
        <f aca="false">AJ65*(U65/10^6)*AH65/AI65</f>
        <v>76.5625</v>
      </c>
      <c r="AY65" s="24" t="n">
        <f aca="false">(U65/10^6)/(F65/1000)</f>
        <v>0.000738188976377953</v>
      </c>
      <c r="AZ65" s="23" t="n">
        <f aca="false">AJ65/V65</f>
        <v>0.000462264150943396</v>
      </c>
      <c r="BA65" s="24" t="n">
        <f aca="false">(J65*10^9)/(K65*AH65^2)</f>
        <v>859.278131634819</v>
      </c>
      <c r="BB65" s="23" t="n">
        <f aca="false">Y65</f>
        <v>0.00207</v>
      </c>
      <c r="BC65" s="23" t="n">
        <f aca="false">MAX(Z65,1)</f>
        <v>1</v>
      </c>
      <c r="BD65" s="23" t="n">
        <f aca="false">AA65</f>
        <v>0.000333</v>
      </c>
      <c r="BE65" s="23" t="n">
        <f aca="false">0.8*BD65</f>
        <v>0.0002664</v>
      </c>
      <c r="BF65" s="23" t="n">
        <f aca="false">BD65*1.2</f>
        <v>0.0003996</v>
      </c>
      <c r="BG65" s="0" t="str">
        <f aca="false">AC65</f>
        <v>Asgharpour 2020</v>
      </c>
    </row>
    <row r="66" customFormat="false" ht="12.8" hidden="false" customHeight="false" outlineLevel="0" collapsed="false">
      <c r="A66" s="15" t="n">
        <v>64</v>
      </c>
      <c r="B66" s="15" t="s">
        <v>109</v>
      </c>
      <c r="C66" s="15" t="s">
        <v>49</v>
      </c>
      <c r="D66" s="11" t="s">
        <v>54</v>
      </c>
      <c r="E66" s="15" t="n">
        <v>90</v>
      </c>
      <c r="F66" s="15" t="n">
        <v>101.6</v>
      </c>
      <c r="G66" s="15" t="n">
        <v>1.5</v>
      </c>
      <c r="H66" s="15" t="n">
        <v>18</v>
      </c>
      <c r="I66" s="15" t="s">
        <v>114</v>
      </c>
      <c r="J66" s="51" t="n">
        <v>1.5177</v>
      </c>
      <c r="K66" s="11" t="n">
        <v>7850</v>
      </c>
      <c r="L66" s="15" t="n">
        <v>23</v>
      </c>
      <c r="M66" s="41" t="n">
        <v>1.8E-005</v>
      </c>
      <c r="N66" s="15" t="n">
        <v>1.225</v>
      </c>
      <c r="O66" s="15" t="n">
        <v>0</v>
      </c>
      <c r="P66" s="15" t="n">
        <v>0</v>
      </c>
      <c r="Q66" s="15" t="n">
        <v>0</v>
      </c>
      <c r="R66" s="15" t="n">
        <v>0</v>
      </c>
      <c r="S66" s="55" t="n">
        <f aca="false">(N66*L66+P66*R66)/(L66+P66)</f>
        <v>1.225</v>
      </c>
      <c r="T66" s="56" t="n">
        <f aca="false">(M66*L66+P66*Q66*0.1)/(L66+P66)</f>
        <v>1.8E-005</v>
      </c>
      <c r="U66" s="11" t="n">
        <v>75</v>
      </c>
      <c r="V66" s="11" t="n">
        <v>2650</v>
      </c>
      <c r="W66" s="63" t="n">
        <f aca="false">((PI()*((F66/1000)^2)/4)*L66*Y66/(1-Y66))*V66</f>
        <v>0.667992320013456</v>
      </c>
      <c r="X66" s="41" t="n">
        <f aca="false">Y66-BB66</f>
        <v>0</v>
      </c>
      <c r="Y66" s="72" t="n">
        <v>0.00135</v>
      </c>
      <c r="Z66" s="15" t="n">
        <v>1</v>
      </c>
      <c r="AA66" s="73" t="n">
        <v>0.000295</v>
      </c>
      <c r="AB66" s="44"/>
      <c r="AC66" s="32" t="s">
        <v>127</v>
      </c>
      <c r="AD66" s="32" t="s">
        <v>128</v>
      </c>
      <c r="AH66" s="46" t="n">
        <f aca="false">MAX(L66,P66)</f>
        <v>23</v>
      </c>
      <c r="AI66" s="41" t="n">
        <f aca="false">MAX(M66,Q66)</f>
        <v>1.8E-005</v>
      </c>
      <c r="AJ66" s="47" t="n">
        <f aca="false">MAX(N66,R66)</f>
        <v>1.225</v>
      </c>
      <c r="AK66" s="47"/>
      <c r="AL66" s="19" t="n">
        <v>64</v>
      </c>
      <c r="AM66" s="20" t="str">
        <f aca="false">B66</f>
        <v>Elbow</v>
      </c>
      <c r="AN66" s="20" t="str">
        <f aca="false">C66</f>
        <v>Gas-solid</v>
      </c>
      <c r="AO66" s="20" t="str">
        <f aca="false">D66</f>
        <v>V-H</v>
      </c>
      <c r="AP66" s="20" t="n">
        <f aca="false">E66</f>
        <v>90</v>
      </c>
      <c r="AQ66" s="48" t="n">
        <f aca="false">G66</f>
        <v>1.5</v>
      </c>
      <c r="AR66" s="23" t="n">
        <f aca="false">H66/(F66/1000)</f>
        <v>177.165354330709</v>
      </c>
      <c r="AS66" s="22" t="n">
        <v>1E-006</v>
      </c>
      <c r="AT66" s="23" t="n">
        <f aca="false">AH66/SQRT(9.81*(F66/1000))</f>
        <v>23.0380904140773</v>
      </c>
      <c r="AU66" s="23" t="n">
        <f aca="false">(AH66*AJ66*(F66/1000))/AI66</f>
        <v>159032.222222222</v>
      </c>
      <c r="AV66" s="23" t="n">
        <f aca="false">((U66/10^6)^3*AJ66*(V66-AJ66)*9.81)/AI66^2</f>
        <v>41.4466033447266</v>
      </c>
      <c r="AW66" s="23" t="n">
        <f aca="false">(V66*((U66/10^6)^2)/(18*AI66))*AH66/(F66/1000)</f>
        <v>10.414957895888</v>
      </c>
      <c r="AX66" s="23" t="n">
        <f aca="false">AJ66*(U66/10^6)*AH66/AI66</f>
        <v>117.395833333333</v>
      </c>
      <c r="AY66" s="24" t="n">
        <f aca="false">(U66/10^6)/(F66/1000)</f>
        <v>0.000738188976377953</v>
      </c>
      <c r="AZ66" s="23" t="n">
        <f aca="false">AJ66/V66</f>
        <v>0.000462264150943396</v>
      </c>
      <c r="BA66" s="24" t="n">
        <f aca="false">(J66*10^9)/(K66*AH66^2)</f>
        <v>365.477466196284</v>
      </c>
      <c r="BB66" s="23" t="n">
        <f aca="false">Y66</f>
        <v>0.00135</v>
      </c>
      <c r="BC66" s="23" t="n">
        <f aca="false">MAX(Z66,1)</f>
        <v>1</v>
      </c>
      <c r="BD66" s="23" t="n">
        <f aca="false">AA66</f>
        <v>0.000295</v>
      </c>
      <c r="BE66" s="23" t="n">
        <f aca="false">0.8*BD66</f>
        <v>0.000236</v>
      </c>
      <c r="BF66" s="23" t="n">
        <f aca="false">BD66*1.2</f>
        <v>0.000354</v>
      </c>
      <c r="BG66" s="0" t="str">
        <f aca="false">AC66</f>
        <v>Asgharpour 2020</v>
      </c>
    </row>
    <row r="67" customFormat="false" ht="12.8" hidden="false" customHeight="false" outlineLevel="0" collapsed="false">
      <c r="A67" s="15" t="n">
        <v>65</v>
      </c>
      <c r="B67" s="15" t="s">
        <v>109</v>
      </c>
      <c r="C67" s="15" t="s">
        <v>49</v>
      </c>
      <c r="D67" s="11" t="s">
        <v>54</v>
      </c>
      <c r="E67" s="15" t="n">
        <v>90</v>
      </c>
      <c r="F67" s="15" t="n">
        <v>101.6</v>
      </c>
      <c r="G67" s="15" t="n">
        <v>1.5</v>
      </c>
      <c r="H67" s="15" t="n">
        <v>18</v>
      </c>
      <c r="I67" s="15" t="s">
        <v>114</v>
      </c>
      <c r="J67" s="51" t="n">
        <v>1.5177</v>
      </c>
      <c r="K67" s="11" t="n">
        <v>7850</v>
      </c>
      <c r="L67" s="15" t="n">
        <v>31</v>
      </c>
      <c r="M67" s="41" t="n">
        <v>1.8E-005</v>
      </c>
      <c r="N67" s="15" t="n">
        <v>1.225</v>
      </c>
      <c r="O67" s="15" t="n">
        <v>0</v>
      </c>
      <c r="P67" s="15" t="n">
        <v>0</v>
      </c>
      <c r="Q67" s="15" t="n">
        <v>0</v>
      </c>
      <c r="R67" s="15" t="n">
        <v>0</v>
      </c>
      <c r="S67" s="55" t="n">
        <f aca="false">(N67*L67+P67*R67)/(L67+P67)</f>
        <v>1.225</v>
      </c>
      <c r="T67" s="56" t="n">
        <f aca="false">(M67*L67+P67*Q67*0.1)/(L67+P67)</f>
        <v>1.8E-005</v>
      </c>
      <c r="U67" s="11" t="n">
        <v>75</v>
      </c>
      <c r="V67" s="11" t="n">
        <v>2650</v>
      </c>
      <c r="W67" s="63" t="n">
        <f aca="false">((PI()*((F67/1000)^2)/4)*L67*Y67/(1-Y67))*V67</f>
        <v>0.347842087664203</v>
      </c>
      <c r="X67" s="41" t="n">
        <f aca="false">Y67-BB67</f>
        <v>0</v>
      </c>
      <c r="Y67" s="72" t="n">
        <v>0.000522</v>
      </c>
      <c r="Z67" s="15" t="n">
        <v>1</v>
      </c>
      <c r="AA67" s="73" t="n">
        <v>0.00114</v>
      </c>
      <c r="AB67" s="44"/>
      <c r="AC67" s="32" t="s">
        <v>127</v>
      </c>
      <c r="AD67" s="32" t="s">
        <v>128</v>
      </c>
      <c r="AH67" s="46" t="n">
        <f aca="false">MAX(L67,P67)</f>
        <v>31</v>
      </c>
      <c r="AI67" s="41" t="n">
        <f aca="false">MAX(M67,Q67)</f>
        <v>1.8E-005</v>
      </c>
      <c r="AJ67" s="47" t="n">
        <f aca="false">MAX(N67,R67)</f>
        <v>1.225</v>
      </c>
      <c r="AK67" s="47"/>
      <c r="AL67" s="19" t="n">
        <v>65</v>
      </c>
      <c r="AM67" s="20" t="str">
        <f aca="false">B67</f>
        <v>Elbow</v>
      </c>
      <c r="AN67" s="20" t="str">
        <f aca="false">C67</f>
        <v>Gas-solid</v>
      </c>
      <c r="AO67" s="20" t="str">
        <f aca="false">D67</f>
        <v>V-H</v>
      </c>
      <c r="AP67" s="20" t="n">
        <f aca="false">E67</f>
        <v>90</v>
      </c>
      <c r="AQ67" s="48" t="n">
        <f aca="false">G67</f>
        <v>1.5</v>
      </c>
      <c r="AR67" s="23" t="n">
        <f aca="false">H67/(F67/1000)</f>
        <v>177.165354330709</v>
      </c>
      <c r="AS67" s="22" t="n">
        <v>1E-006</v>
      </c>
      <c r="AT67" s="23" t="n">
        <f aca="false">AH67/SQRT(9.81*(F67/1000))</f>
        <v>31.0513392537563</v>
      </c>
      <c r="AU67" s="23" t="n">
        <f aca="false">(AH67*AJ67*(F67/1000))/AI67</f>
        <v>214347.777777778</v>
      </c>
      <c r="AV67" s="23" t="n">
        <f aca="false">((U67/10^6)^3*AJ67*(V67-AJ67)*9.81)/AI67^2</f>
        <v>41.4466033447266</v>
      </c>
      <c r="AW67" s="23" t="n">
        <f aca="false">(V67*((U67/10^6)^2)/(18*AI67))*AH67/(F67/1000)</f>
        <v>14.0375519466317</v>
      </c>
      <c r="AX67" s="23" t="n">
        <f aca="false">AJ67*(U67/10^6)*AH67/AI67</f>
        <v>158.229166666667</v>
      </c>
      <c r="AY67" s="24" t="n">
        <f aca="false">(U67/10^6)/(F67/1000)</f>
        <v>0.000738188976377953</v>
      </c>
      <c r="AZ67" s="23" t="n">
        <f aca="false">AJ67/V67</f>
        <v>0.000462264150943396</v>
      </c>
      <c r="BA67" s="24" t="n">
        <f aca="false">(J67*10^9)/(K67*AH67^2)</f>
        <v>201.18374570014</v>
      </c>
      <c r="BB67" s="23" t="n">
        <f aca="false">Y67</f>
        <v>0.000522</v>
      </c>
      <c r="BC67" s="23" t="n">
        <f aca="false">MAX(Z67,1)</f>
        <v>1</v>
      </c>
      <c r="BD67" s="23" t="n">
        <f aca="false">AA67</f>
        <v>0.00114</v>
      </c>
      <c r="BE67" s="23" t="n">
        <f aca="false">0.8*BD67</f>
        <v>0.000912</v>
      </c>
      <c r="BF67" s="23" t="n">
        <f aca="false">BD67*1.2</f>
        <v>0.001368</v>
      </c>
      <c r="BG67" s="0" t="str">
        <f aca="false">AC67</f>
        <v>Asgharpour 2020</v>
      </c>
    </row>
    <row r="68" customFormat="false" ht="12.8" hidden="false" customHeight="false" outlineLevel="0" collapsed="false">
      <c r="A68" s="15" t="n">
        <v>66</v>
      </c>
      <c r="B68" s="15" t="s">
        <v>109</v>
      </c>
      <c r="C68" s="15" t="s">
        <v>49</v>
      </c>
      <c r="D68" s="11" t="s">
        <v>54</v>
      </c>
      <c r="E68" s="15" t="n">
        <v>90</v>
      </c>
      <c r="F68" s="15" t="n">
        <v>101.6</v>
      </c>
      <c r="G68" s="15" t="n">
        <v>1.5</v>
      </c>
      <c r="H68" s="15" t="n">
        <v>18</v>
      </c>
      <c r="I68" s="15" t="s">
        <v>114</v>
      </c>
      <c r="J68" s="51" t="n">
        <v>1.5177</v>
      </c>
      <c r="K68" s="11" t="n">
        <v>7850</v>
      </c>
      <c r="L68" s="15" t="n">
        <v>37</v>
      </c>
      <c r="M68" s="41" t="n">
        <v>1.8E-005</v>
      </c>
      <c r="N68" s="15" t="n">
        <v>1.225</v>
      </c>
      <c r="O68" s="15" t="n">
        <v>0</v>
      </c>
      <c r="P68" s="15" t="n">
        <v>0</v>
      </c>
      <c r="Q68" s="15" t="n">
        <v>0</v>
      </c>
      <c r="R68" s="15" t="n">
        <v>0</v>
      </c>
      <c r="S68" s="55" t="n">
        <f aca="false">(N68*L68+P68*R68)/(L68+P68)</f>
        <v>1.225</v>
      </c>
      <c r="T68" s="56" t="n">
        <f aca="false">(M68*L68+P68*Q68*0.1)/(L68+P68)</f>
        <v>1.8E-005</v>
      </c>
      <c r="U68" s="11" t="n">
        <v>75</v>
      </c>
      <c r="V68" s="11" t="n">
        <v>2650</v>
      </c>
      <c r="W68" s="63" t="n">
        <f aca="false">((PI()*((F68/1000)^2)/4)*L68*Y68/(1-Y68))*V68</f>
        <v>0.09381194760838</v>
      </c>
      <c r="X68" s="41" t="n">
        <f aca="false">Y68-BB68</f>
        <v>0</v>
      </c>
      <c r="Y68" s="72" t="n">
        <v>0.000118</v>
      </c>
      <c r="Z68" s="15" t="n">
        <v>1</v>
      </c>
      <c r="AA68" s="73" t="n">
        <v>0.00283</v>
      </c>
      <c r="AB68" s="44"/>
      <c r="AC68" s="32" t="s">
        <v>127</v>
      </c>
      <c r="AD68" s="32" t="s">
        <v>128</v>
      </c>
      <c r="AH68" s="46" t="n">
        <f aca="false">MAX(L68,P68)</f>
        <v>37</v>
      </c>
      <c r="AI68" s="41" t="n">
        <f aca="false">MAX(M68,Q68)</f>
        <v>1.8E-005</v>
      </c>
      <c r="AJ68" s="47" t="n">
        <f aca="false">MAX(N68,R68)</f>
        <v>1.225</v>
      </c>
      <c r="AK68" s="47"/>
      <c r="AL68" s="19" t="n">
        <v>66</v>
      </c>
      <c r="AM68" s="20" t="str">
        <f aca="false">B68</f>
        <v>Elbow</v>
      </c>
      <c r="AN68" s="20" t="str">
        <f aca="false">C68</f>
        <v>Gas-solid</v>
      </c>
      <c r="AO68" s="20" t="str">
        <f aca="false">D68</f>
        <v>V-H</v>
      </c>
      <c r="AP68" s="20" t="n">
        <f aca="false">E68</f>
        <v>90</v>
      </c>
      <c r="AQ68" s="48" t="n">
        <f aca="false">G68</f>
        <v>1.5</v>
      </c>
      <c r="AR68" s="23" t="n">
        <f aca="false">H68/(F68/1000)</f>
        <v>177.165354330709</v>
      </c>
      <c r="AS68" s="22" t="n">
        <v>1E-006</v>
      </c>
      <c r="AT68" s="23" t="n">
        <f aca="false">AH68/SQRT(9.81*(F68/1000))</f>
        <v>37.0612758835156</v>
      </c>
      <c r="AU68" s="23" t="n">
        <f aca="false">(AH68*AJ68*(F68/1000))/AI68</f>
        <v>255834.444444444</v>
      </c>
      <c r="AV68" s="23" t="n">
        <f aca="false">((U68/10^6)^3*AJ68*(V68-AJ68)*9.81)/AI68^2</f>
        <v>41.4466033447266</v>
      </c>
      <c r="AW68" s="23" t="n">
        <f aca="false">(V68*((U68/10^6)^2)/(18*AI68))*AH68/(F68/1000)</f>
        <v>16.7544974846894</v>
      </c>
      <c r="AX68" s="23" t="n">
        <f aca="false">AJ68*(U68/10^6)*AH68/AI68</f>
        <v>188.854166666667</v>
      </c>
      <c r="AY68" s="24" t="n">
        <f aca="false">(U68/10^6)/(F68/1000)</f>
        <v>0.000738188976377953</v>
      </c>
      <c r="AZ68" s="23" t="n">
        <f aca="false">AJ68/V68</f>
        <v>0.000462264150943396</v>
      </c>
      <c r="BA68" s="24" t="n">
        <f aca="false">(J68*10^9)/(K68*AH68^2)</f>
        <v>141.225405126249</v>
      </c>
      <c r="BB68" s="23" t="n">
        <f aca="false">Y68</f>
        <v>0.000118</v>
      </c>
      <c r="BC68" s="23" t="n">
        <f aca="false">MAX(Z68,1)</f>
        <v>1</v>
      </c>
      <c r="BD68" s="23" t="n">
        <f aca="false">AA68</f>
        <v>0.00283</v>
      </c>
      <c r="BE68" s="23" t="n">
        <f aca="false">0.8*BD68</f>
        <v>0.002264</v>
      </c>
      <c r="BF68" s="23" t="n">
        <f aca="false">BD68*1.2</f>
        <v>0.003396</v>
      </c>
      <c r="BG68" s="0" t="str">
        <f aca="false">AC68</f>
        <v>Asgharpour 2020</v>
      </c>
    </row>
    <row r="69" customFormat="false" ht="12.8" hidden="false" customHeight="false" outlineLevel="0" collapsed="false">
      <c r="AB69" s="44"/>
    </row>
    <row r="70" customFormat="false" ht="12.8" hidden="false" customHeight="false" outlineLevel="0" collapsed="false">
      <c r="AB70" s="44"/>
    </row>
    <row r="71" customFormat="false" ht="12.8" hidden="false" customHeight="false" outlineLevel="0" collapsed="false">
      <c r="AB71" s="44"/>
    </row>
    <row r="72" customFormat="false" ht="12.8" hidden="false" customHeight="false" outlineLevel="0" collapsed="false">
      <c r="C72" s="15"/>
      <c r="AB72" s="44"/>
    </row>
    <row r="73" customFormat="false" ht="12.8" hidden="false" customHeight="false" outlineLevel="0" collapsed="false">
      <c r="AB73" s="44"/>
    </row>
    <row r="74" customFormat="false" ht="12.8" hidden="false" customHeight="false" outlineLevel="0" collapsed="false">
      <c r="AB74" s="44"/>
    </row>
  </sheetData>
  <conditionalFormatting sqref="AQ3:BF68">
    <cfRule type="cellIs" priority="2" operator="lessThanOrEqual" aboveAverage="0" equalAverage="0" bottom="0" percent="0" rank="0" text="" dxfId="0">
      <formula>0</formula>
    </cfRule>
  </conditionalFormatting>
  <conditionalFormatting sqref="W3:W68">
    <cfRule type="cellIs" priority="3" operator="lessThanOrEqual" aboveAverage="0" equalAverage="0" bottom="0" percent="0" rank="0" text="" dxfId="1">
      <formula>0</formula>
    </cfRule>
  </conditionalFormatting>
  <hyperlinks>
    <hyperlink ref="AE3" r:id="rId2" display="https://www.bsee.gov/sites/bsee.gov/files/tap-technical-assessment-program//008bv.pdf"/>
    <hyperlink ref="AE4" r:id="rId3" display="https://www.bsee.gov/sites/bsee.gov/files/tap-technical-assessment-program//008bv.pdf"/>
    <hyperlink ref="AE5" r:id="rId4" display="https://www.bsee.gov/sites/bsee.gov/files/tap-technical-assessment-program//008bv.pdf"/>
    <hyperlink ref="AE6" r:id="rId5" display="https://www.bsee.gov/sites/bsee.gov/files/tap-technical-assessment-program//008bv.pdf"/>
    <hyperlink ref="AE7" r:id="rId6" display="https://www.bsee.gov/sites/bsee.gov/files/tap-technical-assessment-program//008bv.pdf"/>
    <hyperlink ref="AE8" r:id="rId7" display="https://www.bsee.gov/sites/bsee.gov/files/tap-technical-assessment-program//008bv.pdf"/>
    <hyperlink ref="AE9" r:id="rId8" display="https://www.bsee.gov/sites/bsee.gov/files/tap-technical-assessment-program//008bv.pdf"/>
    <hyperlink ref="AE10" r:id="rId9" display="https://www.bsee.gov/sites/bsee.gov/files/tap-technical-assessment-program//008bv.pdf"/>
    <hyperlink ref="AE11" r:id="rId10" display="https://www.bsee.gov/sites/bsee.gov/files/tap-technical-assessment-program//008bv.pdf"/>
    <hyperlink ref="AE12" r:id="rId11" display="https://www.bsee.gov/sites/bsee.gov/files/tap-technical-assessment-program//008bv.pdf"/>
    <hyperlink ref="AE13" r:id="rId12" display="https://www.bsee.gov/sites/bsee.gov/files/tap-technical-assessment-program//008bv.pdf"/>
    <hyperlink ref="AE14" r:id="rId13" display="https://www.bsee.gov/sites/bsee.gov/files/tap-technical-assessment-program//008bv.pdf"/>
    <hyperlink ref="AE15" r:id="rId14" display="https://www.bsee.gov/sites/bsee.gov/files/tap-technical-assessment-program//008bv.pdf"/>
    <hyperlink ref="AE16" r:id="rId15" display="https://www.bsee.gov/sites/bsee.gov/files/tap-technical-assessment-program//008bv.pdf"/>
    <hyperlink ref="AE17" r:id="rId16" display="https://www.bsee.gov/sites/bsee.gov/files/tap-technical-assessment-program//008bv.pdf"/>
    <hyperlink ref="AE18" r:id="rId17" display="https://www.bsee.gov/sites/bsee.gov/files/tap-technical-assessment-program//008bv.pdf"/>
    <hyperlink ref="AE19" r:id="rId18" display="https://www.bsee.gov/sites/bsee.gov/files/tap-technical-assessment-program//008bv.pdf"/>
    <hyperlink ref="AE20" r:id="rId19" display="https://www.bsee.gov/sites/bsee.gov/files/tap-technical-assessment-program//008bv.pdf"/>
    <hyperlink ref="AE21" r:id="rId20" display="https://www.bsee.gov/sites/bsee.gov/files/tap-technical-assessment-program//008bv.pdf"/>
    <hyperlink ref="AE22" r:id="rId21" display="https://www.bsee.gov/sites/bsee.gov/files/tap-technical-assessment-program//008bv.pdf"/>
    <hyperlink ref="AE23" r:id="rId22" display="https://www.bsee.gov/sites/bsee.gov/files/tap-technical-assessment-program//008bv.pdf"/>
    <hyperlink ref="AE24" r:id="rId23" display="https://www.bsee.gov/sites/bsee.gov/files/tap-technical-assessment-program//008bv.pdf"/>
    <hyperlink ref="AE25" r:id="rId24" display="https://www.bsee.gov/sites/bsee.gov/files/tap-technical-assessment-program//008bv.pdf"/>
    <hyperlink ref="AE26" r:id="rId25" display="https://www.bsee.gov/sites/bsee.gov/files/tap-technical-assessment-program//008bv.pdf"/>
    <hyperlink ref="AE27" r:id="rId26" display="https://www.bsee.gov/sites/bsee.gov/files/tap-technical-assessment-program//008bv.pdf"/>
    <hyperlink ref="AE28" r:id="rId27" display="https://www.bsee.gov/sites/bsee.gov/files/tap-technical-assessment-program//008bv.pdf"/>
    <hyperlink ref="AE29" r:id="rId28" display="https://www.proquest.com/docview/1439439434/fulltextPDF/193DA742FB1647BDPQ/1?accountid=16260&amp;sourcetype=Dissertations%20&amp;%20Theses"/>
    <hyperlink ref="AE30" r:id="rId29" display="https://www.proquest.com/docview/1439439434/fulltextPDF/193DA742FB1647BDPQ/1?accountid=16260&amp;sourcetype=Dissertations%20&amp;%20Theses"/>
    <hyperlink ref="AE31" r:id="rId30" display="https://www.proquest.com/docview/1439439434/fulltextPDF/193DA742FB1647BDPQ/1?accountid=16260&amp;sourcetype=Dissertations%20&amp;%20Theses"/>
    <hyperlink ref="AE32" r:id="rId31" display="https://www.proquest.com/docview/1439439434/fulltextPDF/193DA742FB1647BDPQ/1?accountid=16260&amp;sourcetype=Dissertations%20&amp;%20Theses"/>
    <hyperlink ref="AD61" r:id="rId32" display="https://asmedigitalcollection.asme.org/fluidsengineering/article/142/6/061402/1073715/Experimental-Investigation-of-Solid-Particle"/>
    <hyperlink ref="AD62" r:id="rId33" display="https://asmedigitalcollection.asme.org/fluidsengineering/article/142/6/061402/1073715/Experimental-Investigation-of-Solid-Particle"/>
    <hyperlink ref="AD63" r:id="rId34" display="https://asmedigitalcollection.asme.org/fluidsengineering/article/142/6/061402/1073715/Experimental-Investigation-of-Solid-Particle"/>
    <hyperlink ref="AD64" r:id="rId35" display="https://asmedigitalcollection.asme.org/fluidsengineering/article/142/6/061402/1073715/Experimental-Investigation-of-Solid-Particle"/>
    <hyperlink ref="AD65" r:id="rId36" display="https://asmedigitalcollection.asme.org/fluidsengineering/article/142/6/061402/1073715/Experimental-Investigation-of-Solid-Particle"/>
    <hyperlink ref="AD66" r:id="rId37" display="https://asmedigitalcollection.asme.org/fluidsengineering/article/142/6/061402/1073715/Experimental-Investigation-of-Solid-Particle"/>
    <hyperlink ref="AD67" r:id="rId38" display="https://asmedigitalcollection.asme.org/fluidsengineering/article/142/6/061402/1073715/Experimental-Investigation-of-Solid-Particle"/>
    <hyperlink ref="AD68" r:id="rId39" display="https://asmedigitalcollection.asme.org/fluidsengineering/article/142/6/061402/1073715/Experimental-Investigation-of-Solid-Particle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legacyDrawing r:id="rId4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234"/>
  <sheetViews>
    <sheetView showFormulas="false" showGridLines="true" showRowColHeaders="true" showZeros="true" rightToLeft="false" tabSelected="true" showOutlineSymbols="true" defaultGridColor="true" view="normal" topLeftCell="A1" colorId="64" zoomScale="65" zoomScaleNormal="65" zoomScalePageLayoutView="100" workbookViewId="0">
      <selection pane="topLeft" activeCell="AE34" activeCellId="0" sqref="AE34"/>
    </sheetView>
  </sheetViews>
  <sheetFormatPr defaultColWidth="12.625" defaultRowHeight="12.8" zeroHeight="false" outlineLevelRow="0" outlineLevelCol="0"/>
  <cols>
    <col collapsed="false" customWidth="true" hidden="false" outlineLevel="0" max="2" min="1" style="2" width="9.72"/>
    <col collapsed="false" customWidth="true" hidden="false" outlineLevel="0" max="3" min="3" style="2" width="11.52"/>
    <col collapsed="false" customWidth="true" hidden="false" outlineLevel="0" max="5" min="4" style="2" width="9.72"/>
    <col collapsed="false" customWidth="true" hidden="false" outlineLevel="0" max="9" min="6" style="2" width="11.24"/>
    <col collapsed="false" customWidth="true" hidden="false" outlineLevel="0" max="10" min="10" style="2" width="12.5"/>
    <col collapsed="false" customWidth="true" hidden="false" outlineLevel="0" max="11" min="11" style="2" width="14.59"/>
    <col collapsed="false" customWidth="true" hidden="false" outlineLevel="0" max="12" min="12" style="2" width="11.52"/>
    <col collapsed="false" customWidth="true" hidden="false" outlineLevel="0" max="14" min="13" style="2" width="11.64"/>
    <col collapsed="false" customWidth="true" hidden="false" outlineLevel="0" max="15" min="15" style="2" width="12.96"/>
    <col collapsed="false" customWidth="true" hidden="false" outlineLevel="0" max="16" min="16" style="2" width="11.64"/>
    <col collapsed="false" customWidth="true" hidden="false" outlineLevel="0" max="17" min="17" style="2" width="12.78"/>
    <col collapsed="false" customWidth="true" hidden="false" outlineLevel="0" max="18" min="18" style="2" width="12.96"/>
    <col collapsed="false" customWidth="true" hidden="false" outlineLevel="0" max="19" min="19" style="0" width="12.96"/>
    <col collapsed="false" customWidth="true" hidden="false" outlineLevel="0" max="21" min="20" style="0" width="11.98"/>
    <col collapsed="false" customWidth="true" hidden="false" outlineLevel="0" max="1024" min="980" style="0" width="11.52"/>
  </cols>
  <sheetData>
    <row r="1" s="4" customFormat="true" ht="12.8" hidden="false" customHeight="false" outlineLevel="0" collapsed="false">
      <c r="A1" s="3"/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s="4" customFormat="true" ht="22.95" hidden="false" customHeight="false" outlineLevel="0" collapsed="false">
      <c r="A2" s="74" t="s">
        <v>30</v>
      </c>
      <c r="B2" s="74" t="s">
        <v>1</v>
      </c>
      <c r="C2" s="75" t="s">
        <v>2</v>
      </c>
      <c r="D2" s="75" t="s">
        <v>3</v>
      </c>
      <c r="E2" s="74" t="s">
        <v>4</v>
      </c>
      <c r="F2" s="74" t="s">
        <v>31</v>
      </c>
      <c r="G2" s="75" t="s">
        <v>32</v>
      </c>
      <c r="H2" s="75" t="s">
        <v>33</v>
      </c>
      <c r="I2" s="75" t="s">
        <v>34</v>
      </c>
      <c r="J2" s="75" t="s">
        <v>35</v>
      </c>
      <c r="K2" s="75" t="s">
        <v>36</v>
      </c>
      <c r="L2" s="75" t="s">
        <v>37</v>
      </c>
      <c r="M2" s="75" t="s">
        <v>38</v>
      </c>
      <c r="N2" s="75" t="s">
        <v>39</v>
      </c>
      <c r="O2" s="75" t="s">
        <v>40</v>
      </c>
      <c r="P2" s="75" t="s">
        <v>41</v>
      </c>
      <c r="Q2" s="75" t="s">
        <v>42</v>
      </c>
      <c r="R2" s="75" t="s">
        <v>43</v>
      </c>
      <c r="S2" s="75" t="s">
        <v>129</v>
      </c>
      <c r="T2" s="76" t="s">
        <v>45</v>
      </c>
      <c r="U2" s="76" t="s">
        <v>46</v>
      </c>
      <c r="V2" s="10" t="s">
        <v>47</v>
      </c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2.8" hidden="false" customHeight="false" outlineLevel="0" collapsed="false">
      <c r="A3" s="15" t="n">
        <v>1</v>
      </c>
      <c r="B3" s="20" t="str">
        <f aca="false">Elbow_2Phase!AM3</f>
        <v>Elbow</v>
      </c>
      <c r="C3" s="20" t="str">
        <f aca="false">Elbow_2Phase!AN3</f>
        <v>Gas-solid</v>
      </c>
      <c r="D3" s="20" t="str">
        <f aca="false">Elbow_2Phase!AO3</f>
        <v>H-V</v>
      </c>
      <c r="E3" s="48" t="n">
        <f aca="false">Elbow_2Phase!AP3</f>
        <v>90</v>
      </c>
      <c r="F3" s="48" t="n">
        <f aca="false">Elbow_2Phase!AQ3</f>
        <v>1.5</v>
      </c>
      <c r="G3" s="24" t="n">
        <f aca="false">Elbow_2Phase!AR3</f>
        <v>336</v>
      </c>
      <c r="H3" s="24" t="n">
        <f aca="false">Elbow_2Phase!AS3</f>
        <v>1E-006</v>
      </c>
      <c r="I3" s="24" t="n">
        <f aca="false">Elbow_2Phase!AT3</f>
        <v>314.475353959912</v>
      </c>
      <c r="J3" s="24" t="n">
        <f aca="false">Elbow_2Phase!AU3</f>
        <v>767503.333333334</v>
      </c>
      <c r="K3" s="24" t="n">
        <f aca="false">Elbow_2Phase!AV3</f>
        <v>16345.3123116537</v>
      </c>
      <c r="L3" s="24" t="n">
        <f aca="false">Elbow_2Phase!AW3</f>
        <v>10812.2357101196</v>
      </c>
      <c r="M3" s="24" t="n">
        <f aca="false">Elbow_2Phase!AX3</f>
        <v>8309.58333333333</v>
      </c>
      <c r="N3" s="24" t="n">
        <f aca="false">Elbow_2Phase!AY3</f>
        <v>0.0108267716535433</v>
      </c>
      <c r="O3" s="24" t="n">
        <f aca="false">Elbow_2Phase!AZ3</f>
        <v>0.000462264150943396</v>
      </c>
      <c r="P3" s="24" t="n">
        <f aca="false">Elbow_2Phase!BA3</f>
        <v>4.96795642259578</v>
      </c>
      <c r="Q3" s="24" t="n">
        <f aca="false">Elbow_2Phase!BB3</f>
        <v>0.000253293796176386</v>
      </c>
      <c r="R3" s="24" t="n">
        <f aca="false">Elbow_2Phase!BC3</f>
        <v>1</v>
      </c>
      <c r="S3" s="24" t="n">
        <f aca="false">Elbow_2Phase!BD3</f>
        <v>0.232</v>
      </c>
      <c r="T3" s="24" t="n">
        <f aca="false">Elbow_2Phase!BE3</f>
        <v>0.1856</v>
      </c>
      <c r="U3" s="24" t="n">
        <f aca="false">Elbow_2Phase!BF3</f>
        <v>0.2784</v>
      </c>
      <c r="V3" s="77" t="str">
        <f aca="false">Elbow_2Phase!BG3</f>
        <v>Bourgoyne (1989)</v>
      </c>
    </row>
    <row r="4" customFormat="false" ht="12.8" hidden="false" customHeight="false" outlineLevel="0" collapsed="false">
      <c r="A4" s="15" t="n">
        <v>2</v>
      </c>
      <c r="B4" s="20" t="str">
        <f aca="false">Elbow_2Phase!AM4</f>
        <v>Elbow</v>
      </c>
      <c r="C4" s="20" t="str">
        <f aca="false">Elbow_2Phase!AN4</f>
        <v>Gas-solid</v>
      </c>
      <c r="D4" s="20" t="str">
        <f aca="false">Elbow_2Phase!AO4</f>
        <v>H-V</v>
      </c>
      <c r="E4" s="48" t="n">
        <f aca="false">Elbow_2Phase!AP4</f>
        <v>90</v>
      </c>
      <c r="F4" s="48" t="n">
        <f aca="false">Elbow_2Phase!AQ4</f>
        <v>1.5</v>
      </c>
      <c r="G4" s="24" t="n">
        <f aca="false">Elbow_2Phase!AR4</f>
        <v>336</v>
      </c>
      <c r="H4" s="24" t="n">
        <f aca="false">Elbow_2Phase!AS4</f>
        <v>1E-006</v>
      </c>
      <c r="I4" s="24" t="n">
        <f aca="false">Elbow_2Phase!AT4</f>
        <v>290.393907935955</v>
      </c>
      <c r="J4" s="24" t="n">
        <f aca="false">Elbow_2Phase!AU4</f>
        <v>708730.555555556</v>
      </c>
      <c r="K4" s="24" t="n">
        <f aca="false">Elbow_2Phase!AV4</f>
        <v>16345.3123116537</v>
      </c>
      <c r="L4" s="24" t="n">
        <f aca="false">Elbow_2Phase!AW4</f>
        <v>9984.2717142996</v>
      </c>
      <c r="M4" s="24" t="n">
        <f aca="false">Elbow_2Phase!AX4</f>
        <v>7673.26388888889</v>
      </c>
      <c r="N4" s="24" t="n">
        <f aca="false">Elbow_2Phase!AY4</f>
        <v>0.0108267716535433</v>
      </c>
      <c r="O4" s="24" t="n">
        <f aca="false">Elbow_2Phase!AZ4</f>
        <v>0.000462264150943396</v>
      </c>
      <c r="P4" s="24" t="n">
        <f aca="false">Elbow_2Phase!BA4</f>
        <v>5.82607410663201</v>
      </c>
      <c r="Q4" s="24" t="n">
        <f aca="false">Elbow_2Phase!BB4</f>
        <v>0.000346450216942004</v>
      </c>
      <c r="R4" s="24" t="n">
        <f aca="false">Elbow_2Phase!BC4</f>
        <v>1</v>
      </c>
      <c r="S4" s="24" t="n">
        <f aca="false">Elbow_2Phase!BD4</f>
        <v>0.209</v>
      </c>
      <c r="T4" s="24" t="n">
        <f aca="false">Elbow_2Phase!BE4</f>
        <v>0.1672</v>
      </c>
      <c r="U4" s="24" t="n">
        <f aca="false">Elbow_2Phase!BF4</f>
        <v>0.2508</v>
      </c>
      <c r="V4" s="77" t="str">
        <f aca="false">Elbow_2Phase!BG4</f>
        <v>Bourgoyne (1989)</v>
      </c>
    </row>
    <row r="5" customFormat="false" ht="12.8" hidden="false" customHeight="false" outlineLevel="0" collapsed="false">
      <c r="A5" s="15" t="n">
        <v>3</v>
      </c>
      <c r="B5" s="20" t="str">
        <f aca="false">Elbow_2Phase!AM5</f>
        <v>Elbow</v>
      </c>
      <c r="C5" s="20" t="str">
        <f aca="false">Elbow_2Phase!AN5</f>
        <v>Gas-solid</v>
      </c>
      <c r="D5" s="20" t="str">
        <f aca="false">Elbow_2Phase!AO5</f>
        <v>H-V</v>
      </c>
      <c r="E5" s="48" t="n">
        <f aca="false">Elbow_2Phase!AP5</f>
        <v>90</v>
      </c>
      <c r="F5" s="48" t="n">
        <f aca="false">Elbow_2Phase!AQ5</f>
        <v>1.5</v>
      </c>
      <c r="G5" s="24" t="n">
        <f aca="false">Elbow_2Phase!AR5</f>
        <v>336</v>
      </c>
      <c r="H5" s="24" t="n">
        <f aca="false">Elbow_2Phase!AS5</f>
        <v>1E-006</v>
      </c>
      <c r="I5" s="24" t="n">
        <f aca="false">Elbow_2Phase!AT5</f>
        <v>287.560796639019</v>
      </c>
      <c r="J5" s="24" t="n">
        <f aca="false">Elbow_2Phase!AU5</f>
        <v>701816.111111111</v>
      </c>
      <c r="K5" s="24" t="n">
        <f aca="false">Elbow_2Phase!AV5</f>
        <v>16345.3123116537</v>
      </c>
      <c r="L5" s="24" t="n">
        <f aca="false">Elbow_2Phase!AW5</f>
        <v>9886.86418537961</v>
      </c>
      <c r="M5" s="24" t="n">
        <f aca="false">Elbow_2Phase!AX5</f>
        <v>7598.40277777778</v>
      </c>
      <c r="N5" s="24" t="n">
        <f aca="false">Elbow_2Phase!AY5</f>
        <v>0.0108267716535433</v>
      </c>
      <c r="O5" s="24" t="n">
        <f aca="false">Elbow_2Phase!AZ5</f>
        <v>0.000462264150943396</v>
      </c>
      <c r="P5" s="24" t="n">
        <f aca="false">Elbow_2Phase!BA5</f>
        <v>5.94143911114587</v>
      </c>
      <c r="Q5" s="24" t="n">
        <f aca="false">Elbow_2Phase!BB5</f>
        <v>0.000272136299797688</v>
      </c>
      <c r="R5" s="24" t="n">
        <f aca="false">Elbow_2Phase!BC5</f>
        <v>1</v>
      </c>
      <c r="S5" s="24" t="n">
        <f aca="false">Elbow_2Phase!BD5</f>
        <v>0.262</v>
      </c>
      <c r="T5" s="24" t="n">
        <f aca="false">Elbow_2Phase!BE5</f>
        <v>0.2096</v>
      </c>
      <c r="U5" s="24" t="n">
        <f aca="false">Elbow_2Phase!BF5</f>
        <v>0.3144</v>
      </c>
      <c r="V5" s="77" t="str">
        <f aca="false">Elbow_2Phase!BG5</f>
        <v>Bourgoyne (1989)</v>
      </c>
    </row>
    <row r="6" customFormat="false" ht="12.8" hidden="false" customHeight="false" outlineLevel="0" collapsed="false">
      <c r="A6" s="15" t="n">
        <v>4</v>
      </c>
      <c r="B6" s="20" t="str">
        <f aca="false">Elbow_2Phase!AM6</f>
        <v>Elbow</v>
      </c>
      <c r="C6" s="20" t="str">
        <f aca="false">Elbow_2Phase!AN6</f>
        <v>Gas-solid</v>
      </c>
      <c r="D6" s="20" t="str">
        <f aca="false">Elbow_2Phase!AO6</f>
        <v>H-V</v>
      </c>
      <c r="E6" s="48" t="n">
        <f aca="false">Elbow_2Phase!AP6</f>
        <v>90</v>
      </c>
      <c r="F6" s="48" t="n">
        <f aca="false">Elbow_2Phase!AQ6</f>
        <v>1.5</v>
      </c>
      <c r="G6" s="24" t="n">
        <f aca="false">Elbow_2Phase!AR6</f>
        <v>336</v>
      </c>
      <c r="H6" s="24" t="n">
        <f aca="false">Elbow_2Phase!AS6</f>
        <v>1E-006</v>
      </c>
      <c r="I6" s="24" t="n">
        <f aca="false">Elbow_2Phase!AT6</f>
        <v>252.146905427317</v>
      </c>
      <c r="J6" s="24" t="n">
        <f aca="false">Elbow_2Phase!AU6</f>
        <v>615385.555555556</v>
      </c>
      <c r="K6" s="24" t="n">
        <f aca="false">Elbow_2Phase!AV6</f>
        <v>16345.3123116537</v>
      </c>
      <c r="L6" s="24" t="n">
        <f aca="false">Elbow_2Phase!AW6</f>
        <v>8669.27007387965</v>
      </c>
      <c r="M6" s="24" t="n">
        <f aca="false">Elbow_2Phase!AX6</f>
        <v>6662.63888888889</v>
      </c>
      <c r="N6" s="24" t="n">
        <f aca="false">Elbow_2Phase!AY6</f>
        <v>0.0108267716535433</v>
      </c>
      <c r="O6" s="24" t="n">
        <f aca="false">Elbow_2Phase!AZ6</f>
        <v>0.000462264150943396</v>
      </c>
      <c r="P6" s="24" t="n">
        <f aca="false">Elbow_2Phase!BA6</f>
        <v>7.72758377512973</v>
      </c>
      <c r="Q6" s="24" t="n">
        <f aca="false">Elbow_2Phase!BB6</f>
        <v>0.000302035504452386</v>
      </c>
      <c r="R6" s="24" t="n">
        <f aca="false">Elbow_2Phase!BC6</f>
        <v>1</v>
      </c>
      <c r="S6" s="24" t="n">
        <f aca="false">Elbow_2Phase!BD6</f>
        <v>0.226</v>
      </c>
      <c r="T6" s="24" t="n">
        <f aca="false">Elbow_2Phase!BE6</f>
        <v>0.1808</v>
      </c>
      <c r="U6" s="24" t="n">
        <f aca="false">Elbow_2Phase!BF6</f>
        <v>0.2712</v>
      </c>
      <c r="V6" s="77" t="str">
        <f aca="false">Elbow_2Phase!BG6</f>
        <v>Bourgoyne (1989)</v>
      </c>
    </row>
    <row r="7" customFormat="false" ht="12.8" hidden="false" customHeight="false" outlineLevel="0" collapsed="false">
      <c r="A7" s="15" t="n">
        <v>5</v>
      </c>
      <c r="B7" s="20" t="str">
        <f aca="false">Elbow_2Phase!AM7</f>
        <v>Elbow</v>
      </c>
      <c r="C7" s="20" t="str">
        <f aca="false">Elbow_2Phase!AN7</f>
        <v>Gas-solid</v>
      </c>
      <c r="D7" s="20" t="str">
        <f aca="false">Elbow_2Phase!AO7</f>
        <v>H-V</v>
      </c>
      <c r="E7" s="48" t="n">
        <f aca="false">Elbow_2Phase!AP7</f>
        <v>90</v>
      </c>
      <c r="F7" s="48" t="n">
        <f aca="false">Elbow_2Phase!AQ7</f>
        <v>1.5</v>
      </c>
      <c r="G7" s="24" t="n">
        <f aca="false">Elbow_2Phase!AR7</f>
        <v>336</v>
      </c>
      <c r="H7" s="24" t="n">
        <f aca="false">Elbow_2Phase!AS7</f>
        <v>1E-006</v>
      </c>
      <c r="I7" s="24" t="n">
        <f aca="false">Elbow_2Phase!AT7</f>
        <v>250.730349778849</v>
      </c>
      <c r="J7" s="24" t="n">
        <f aca="false">Elbow_2Phase!AU7</f>
        <v>611928.333333333</v>
      </c>
      <c r="K7" s="24" t="n">
        <f aca="false">Elbow_2Phase!AV7</f>
        <v>16345.3123116537</v>
      </c>
      <c r="L7" s="24" t="n">
        <f aca="false">Elbow_2Phase!AW7</f>
        <v>8620.56630941965</v>
      </c>
      <c r="M7" s="24" t="n">
        <f aca="false">Elbow_2Phase!AX7</f>
        <v>6625.20833333333</v>
      </c>
      <c r="N7" s="24" t="n">
        <f aca="false">Elbow_2Phase!AY7</f>
        <v>0.0108267716535433</v>
      </c>
      <c r="O7" s="24" t="n">
        <f aca="false">Elbow_2Phase!AZ7</f>
        <v>0.000462264150943396</v>
      </c>
      <c r="P7" s="24" t="n">
        <f aca="false">Elbow_2Phase!BA7</f>
        <v>7.81514776504868</v>
      </c>
      <c r="Q7" s="24" t="n">
        <f aca="false">Elbow_2Phase!BB7</f>
        <v>0.000306527165610258</v>
      </c>
      <c r="R7" s="24" t="n">
        <f aca="false">Elbow_2Phase!BC7</f>
        <v>1</v>
      </c>
      <c r="S7" s="24" t="n">
        <f aca="false">Elbow_2Phase!BD7</f>
        <v>0.238</v>
      </c>
      <c r="T7" s="24" t="n">
        <f aca="false">Elbow_2Phase!BE7</f>
        <v>0.1904</v>
      </c>
      <c r="U7" s="24" t="n">
        <f aca="false">Elbow_2Phase!BF7</f>
        <v>0.2856</v>
      </c>
      <c r="V7" s="77" t="str">
        <f aca="false">Elbow_2Phase!BG7</f>
        <v>Bourgoyne (1989)</v>
      </c>
    </row>
    <row r="8" customFormat="false" ht="12.8" hidden="false" customHeight="false" outlineLevel="0" collapsed="false">
      <c r="A8" s="15" t="n">
        <v>6</v>
      </c>
      <c r="B8" s="20" t="str">
        <f aca="false">Elbow_2Phase!AM8</f>
        <v>Elbow</v>
      </c>
      <c r="C8" s="20" t="str">
        <f aca="false">Elbow_2Phase!AN8</f>
        <v>Gas-solid</v>
      </c>
      <c r="D8" s="20" t="str">
        <f aca="false">Elbow_2Phase!AO8</f>
        <v>H-V</v>
      </c>
      <c r="E8" s="48" t="n">
        <f aca="false">Elbow_2Phase!AP8</f>
        <v>90</v>
      </c>
      <c r="F8" s="48" t="n">
        <f aca="false">Elbow_2Phase!AQ8</f>
        <v>1.5</v>
      </c>
      <c r="G8" s="24" t="n">
        <f aca="false">Elbow_2Phase!AR8</f>
        <v>336</v>
      </c>
      <c r="H8" s="24" t="n">
        <f aca="false">Elbow_2Phase!AS8</f>
        <v>1E-006</v>
      </c>
      <c r="I8" s="24" t="n">
        <f aca="false">Elbow_2Phase!AT8</f>
        <v>250.730349778849</v>
      </c>
      <c r="J8" s="24" t="n">
        <f aca="false">Elbow_2Phase!AU8</f>
        <v>611928.333333333</v>
      </c>
      <c r="K8" s="24" t="n">
        <f aca="false">Elbow_2Phase!AV8</f>
        <v>16345.3123116537</v>
      </c>
      <c r="L8" s="24" t="n">
        <f aca="false">Elbow_2Phase!AW8</f>
        <v>8620.56630941965</v>
      </c>
      <c r="M8" s="24" t="n">
        <f aca="false">Elbow_2Phase!AX8</f>
        <v>6625.20833333333</v>
      </c>
      <c r="N8" s="24" t="n">
        <f aca="false">Elbow_2Phase!AY8</f>
        <v>0.0108267716535433</v>
      </c>
      <c r="O8" s="24" t="n">
        <f aca="false">Elbow_2Phase!AZ8</f>
        <v>0.000462264150943396</v>
      </c>
      <c r="P8" s="24" t="n">
        <f aca="false">Elbow_2Phase!BA8</f>
        <v>7.81514776504868</v>
      </c>
      <c r="Q8" s="24" t="n">
        <f aca="false">Elbow_2Phase!BB8</f>
        <v>0.00036781004997789</v>
      </c>
      <c r="R8" s="24" t="n">
        <f aca="false">Elbow_2Phase!BC8</f>
        <v>1</v>
      </c>
      <c r="S8" s="24" t="n">
        <f aca="false">Elbow_2Phase!BD8</f>
        <v>0.253</v>
      </c>
      <c r="T8" s="24" t="n">
        <f aca="false">Elbow_2Phase!BE8</f>
        <v>0.2024</v>
      </c>
      <c r="U8" s="24" t="n">
        <f aca="false">Elbow_2Phase!BF8</f>
        <v>0.3036</v>
      </c>
      <c r="V8" s="77" t="str">
        <f aca="false">Elbow_2Phase!BG8</f>
        <v>Bourgoyne (1989)</v>
      </c>
    </row>
    <row r="9" customFormat="false" ht="12.8" hidden="false" customHeight="false" outlineLevel="0" collapsed="false">
      <c r="A9" s="15" t="n">
        <v>7</v>
      </c>
      <c r="B9" s="20" t="str">
        <f aca="false">Elbow_2Phase!AM9</f>
        <v>Elbow</v>
      </c>
      <c r="C9" s="20" t="str">
        <f aca="false">Elbow_2Phase!AN9</f>
        <v>Gas-solid</v>
      </c>
      <c r="D9" s="20" t="str">
        <f aca="false">Elbow_2Phase!AO9</f>
        <v>H-V</v>
      </c>
      <c r="E9" s="48" t="n">
        <f aca="false">Elbow_2Phase!AP9</f>
        <v>90</v>
      </c>
      <c r="F9" s="48" t="n">
        <f aca="false">Elbow_2Phase!AQ9</f>
        <v>1.5</v>
      </c>
      <c r="G9" s="24" t="n">
        <f aca="false">Elbow_2Phase!AR9</f>
        <v>336</v>
      </c>
      <c r="H9" s="24" t="n">
        <f aca="false">Elbow_2Phase!AS9</f>
        <v>1E-006</v>
      </c>
      <c r="I9" s="24" t="n">
        <f aca="false">Elbow_2Phase!AT9</f>
        <v>239.397904591104</v>
      </c>
      <c r="J9" s="24" t="n">
        <f aca="false">Elbow_2Phase!AU9</f>
        <v>584270.555555556</v>
      </c>
      <c r="K9" s="24" t="n">
        <f aca="false">Elbow_2Phase!AV9</f>
        <v>16345.3123116537</v>
      </c>
      <c r="L9" s="24" t="n">
        <f aca="false">Elbow_2Phase!AW9</f>
        <v>8230.93619373967</v>
      </c>
      <c r="M9" s="24" t="n">
        <f aca="false">Elbow_2Phase!AX9</f>
        <v>6325.76388888889</v>
      </c>
      <c r="N9" s="24" t="n">
        <f aca="false">Elbow_2Phase!AY9</f>
        <v>0.0108267716535433</v>
      </c>
      <c r="O9" s="24" t="n">
        <f aca="false">Elbow_2Phase!AZ9</f>
        <v>0.000462264150943396</v>
      </c>
      <c r="P9" s="24" t="n">
        <f aca="false">Elbow_2Phase!BA9</f>
        <v>8.57255573443543</v>
      </c>
      <c r="Q9" s="24" t="n">
        <f aca="false">Elbow_2Phase!BB9</f>
        <v>0.000275516943439321</v>
      </c>
      <c r="R9" s="24" t="n">
        <f aca="false">Elbow_2Phase!BC9</f>
        <v>1</v>
      </c>
      <c r="S9" s="24" t="n">
        <f aca="false">Elbow_2Phase!BD9</f>
        <v>0.191</v>
      </c>
      <c r="T9" s="24" t="n">
        <f aca="false">Elbow_2Phase!BE9</f>
        <v>0.1528</v>
      </c>
      <c r="U9" s="24" t="n">
        <f aca="false">Elbow_2Phase!BF9</f>
        <v>0.2292</v>
      </c>
      <c r="V9" s="77" t="str">
        <f aca="false">Elbow_2Phase!BG9</f>
        <v>Bourgoyne (1989)</v>
      </c>
    </row>
    <row r="10" customFormat="false" ht="12.8" hidden="false" customHeight="false" outlineLevel="0" collapsed="false">
      <c r="A10" s="15" t="n">
        <v>8</v>
      </c>
      <c r="B10" s="20" t="str">
        <f aca="false">Elbow_2Phase!AM10</f>
        <v>Elbow</v>
      </c>
      <c r="C10" s="20" t="str">
        <f aca="false">Elbow_2Phase!AN10</f>
        <v>Gas-solid</v>
      </c>
      <c r="D10" s="20" t="str">
        <f aca="false">Elbow_2Phase!AO10</f>
        <v>H-V</v>
      </c>
      <c r="E10" s="48" t="n">
        <f aca="false">Elbow_2Phase!AP10</f>
        <v>90</v>
      </c>
      <c r="F10" s="48" t="n">
        <f aca="false">Elbow_2Phase!AQ10</f>
        <v>1.5</v>
      </c>
      <c r="G10" s="24" t="n">
        <f aca="false">Elbow_2Phase!AR10</f>
        <v>336</v>
      </c>
      <c r="H10" s="24" t="n">
        <f aca="false">Elbow_2Phase!AS10</f>
        <v>1E-006</v>
      </c>
      <c r="I10" s="24" t="n">
        <f aca="false">Elbow_2Phase!AT10</f>
        <v>236.564793294168</v>
      </c>
      <c r="J10" s="24" t="n">
        <f aca="false">Elbow_2Phase!AU10</f>
        <v>577356.111111111</v>
      </c>
      <c r="K10" s="24" t="n">
        <f aca="false">Elbow_2Phase!AV10</f>
        <v>16345.3123116537</v>
      </c>
      <c r="L10" s="24" t="n">
        <f aca="false">Elbow_2Phase!AW10</f>
        <v>8133.52866481968</v>
      </c>
      <c r="M10" s="24" t="n">
        <f aca="false">Elbow_2Phase!AX10</f>
        <v>6250.90277777778</v>
      </c>
      <c r="N10" s="24" t="n">
        <f aca="false">Elbow_2Phase!AY10</f>
        <v>0.0108267716535433</v>
      </c>
      <c r="O10" s="24" t="n">
        <f aca="false">Elbow_2Phase!AZ10</f>
        <v>0.000462264150943396</v>
      </c>
      <c r="P10" s="24" t="n">
        <f aca="false">Elbow_2Phase!BA10</f>
        <v>8.77911593571696</v>
      </c>
      <c r="Q10" s="24" t="n">
        <f aca="false">Elbow_2Phase!BB10</f>
        <v>0.000228026059076583</v>
      </c>
      <c r="R10" s="24" t="n">
        <f aca="false">Elbow_2Phase!BC10</f>
        <v>1</v>
      </c>
      <c r="S10" s="24" t="n">
        <f aca="false">Elbow_2Phase!BD10</f>
        <v>0.183</v>
      </c>
      <c r="T10" s="24" t="n">
        <f aca="false">Elbow_2Phase!BE10</f>
        <v>0.1464</v>
      </c>
      <c r="U10" s="24" t="n">
        <f aca="false">Elbow_2Phase!BF10</f>
        <v>0.2196</v>
      </c>
      <c r="V10" s="77" t="str">
        <f aca="false">Elbow_2Phase!BG10</f>
        <v>Bourgoyne (1989)</v>
      </c>
    </row>
    <row r="11" customFormat="false" ht="12.8" hidden="false" customHeight="false" outlineLevel="0" collapsed="false">
      <c r="A11" s="15" t="n">
        <v>9</v>
      </c>
      <c r="B11" s="20" t="str">
        <f aca="false">Elbow_2Phase!AM11</f>
        <v>Elbow</v>
      </c>
      <c r="C11" s="20" t="str">
        <f aca="false">Elbow_2Phase!AN11</f>
        <v>Gas-solid</v>
      </c>
      <c r="D11" s="20" t="str">
        <f aca="false">Elbow_2Phase!AO11</f>
        <v>H-V</v>
      </c>
      <c r="E11" s="48" t="n">
        <f aca="false">Elbow_2Phase!AP11</f>
        <v>90</v>
      </c>
      <c r="F11" s="48" t="n">
        <f aca="false">Elbow_2Phase!AQ11</f>
        <v>1.5</v>
      </c>
      <c r="G11" s="24" t="n">
        <f aca="false">Elbow_2Phase!AR11</f>
        <v>336</v>
      </c>
      <c r="H11" s="24" t="n">
        <f aca="false">Elbow_2Phase!AS11</f>
        <v>1E-006</v>
      </c>
      <c r="I11" s="24" t="n">
        <f aca="false">Elbow_2Phase!AT11</f>
        <v>157.237676979956</v>
      </c>
      <c r="J11" s="24" t="n">
        <f aca="false">Elbow_2Phase!AU11</f>
        <v>383751.666666667</v>
      </c>
      <c r="K11" s="24" t="n">
        <f aca="false">Elbow_2Phase!AV11</f>
        <v>16345.3123116537</v>
      </c>
      <c r="L11" s="24" t="n">
        <f aca="false">Elbow_2Phase!AW11</f>
        <v>5406.11785505978</v>
      </c>
      <c r="M11" s="24" t="n">
        <f aca="false">Elbow_2Phase!AX11</f>
        <v>4154.79166666667</v>
      </c>
      <c r="N11" s="24" t="n">
        <f aca="false">Elbow_2Phase!AY11</f>
        <v>0.0108267716535433</v>
      </c>
      <c r="O11" s="24" t="n">
        <f aca="false">Elbow_2Phase!AZ11</f>
        <v>0.000462264150943396</v>
      </c>
      <c r="P11" s="24" t="n">
        <f aca="false">Elbow_2Phase!BA11</f>
        <v>19.8718256903831</v>
      </c>
      <c r="Q11" s="24" t="n">
        <f aca="false">Elbow_2Phase!BB11</f>
        <v>0.000644091995245587</v>
      </c>
      <c r="R11" s="24" t="n">
        <f aca="false">Elbow_2Phase!BC11</f>
        <v>1</v>
      </c>
      <c r="S11" s="24" t="n">
        <f aca="false">Elbow_2Phase!BD11</f>
        <v>0.0581</v>
      </c>
      <c r="T11" s="24" t="n">
        <f aca="false">Elbow_2Phase!BE11</f>
        <v>0.04648</v>
      </c>
      <c r="U11" s="24" t="n">
        <f aca="false">Elbow_2Phase!BF11</f>
        <v>0.06972</v>
      </c>
      <c r="V11" s="77" t="str">
        <f aca="false">Elbow_2Phase!BG11</f>
        <v>Bourgoyne (1989)</v>
      </c>
    </row>
    <row r="12" customFormat="false" ht="12.8" hidden="false" customHeight="false" outlineLevel="0" collapsed="false">
      <c r="A12" s="15" t="n">
        <v>10</v>
      </c>
      <c r="B12" s="20" t="str">
        <f aca="false">Elbow_2Phase!AM12</f>
        <v>Elbow</v>
      </c>
      <c r="C12" s="20" t="str">
        <f aca="false">Elbow_2Phase!AN12</f>
        <v>Gas-solid</v>
      </c>
      <c r="D12" s="20" t="str">
        <f aca="false">Elbow_2Phase!AO12</f>
        <v>H-V</v>
      </c>
      <c r="E12" s="48" t="n">
        <f aca="false">Elbow_2Phase!AP12</f>
        <v>90</v>
      </c>
      <c r="F12" s="48" t="n">
        <f aca="false">Elbow_2Phase!AQ12</f>
        <v>1.5</v>
      </c>
      <c r="G12" s="24" t="n">
        <f aca="false">Elbow_2Phase!AR12</f>
        <v>336</v>
      </c>
      <c r="H12" s="24" t="n">
        <f aca="false">Elbow_2Phase!AS12</f>
        <v>1E-006</v>
      </c>
      <c r="I12" s="24" t="n">
        <f aca="false">Elbow_2Phase!AT12</f>
        <v>154.40456568302</v>
      </c>
      <c r="J12" s="24" t="n">
        <f aca="false">Elbow_2Phase!AU12</f>
        <v>376837.222222222</v>
      </c>
      <c r="K12" s="24" t="n">
        <f aca="false">Elbow_2Phase!AV12</f>
        <v>16345.3123116537</v>
      </c>
      <c r="L12" s="24" t="n">
        <f aca="false">Elbow_2Phase!AW12</f>
        <v>5308.71032613979</v>
      </c>
      <c r="M12" s="24" t="n">
        <f aca="false">Elbow_2Phase!AX12</f>
        <v>4079.93055555556</v>
      </c>
      <c r="N12" s="24" t="n">
        <f aca="false">Elbow_2Phase!AY12</f>
        <v>0.0108267716535433</v>
      </c>
      <c r="O12" s="24" t="n">
        <f aca="false">Elbow_2Phase!AZ12</f>
        <v>0.000462264150943396</v>
      </c>
      <c r="P12" s="24" t="n">
        <f aca="false">Elbow_2Phase!BA12</f>
        <v>20.6077572873672</v>
      </c>
      <c r="Q12" s="24" t="n">
        <f aca="false">Elbow_2Phase!BB12</f>
        <v>6.74393188258282E-005</v>
      </c>
      <c r="R12" s="24" t="n">
        <f aca="false">Elbow_2Phase!BC12</f>
        <v>1</v>
      </c>
      <c r="S12" s="24" t="n">
        <f aca="false">Elbow_2Phase!BD12</f>
        <v>0.0611</v>
      </c>
      <c r="T12" s="24" t="n">
        <f aca="false">Elbow_2Phase!BE12</f>
        <v>0.04888</v>
      </c>
      <c r="U12" s="24" t="n">
        <f aca="false">Elbow_2Phase!BF12</f>
        <v>0.07332</v>
      </c>
      <c r="V12" s="77" t="str">
        <f aca="false">Elbow_2Phase!BG12</f>
        <v>Bourgoyne (1989)</v>
      </c>
    </row>
    <row r="13" customFormat="false" ht="12.8" hidden="false" customHeight="false" outlineLevel="0" collapsed="false">
      <c r="A13" s="15" t="n">
        <v>11</v>
      </c>
      <c r="B13" s="20" t="str">
        <f aca="false">Elbow_2Phase!AM13</f>
        <v>Elbow</v>
      </c>
      <c r="C13" s="20" t="str">
        <f aca="false">Elbow_2Phase!AN13</f>
        <v>Gas-solid</v>
      </c>
      <c r="D13" s="20" t="str">
        <f aca="false">Elbow_2Phase!AO13</f>
        <v>H-V</v>
      </c>
      <c r="E13" s="48" t="n">
        <f aca="false">Elbow_2Phase!AP13</f>
        <v>90</v>
      </c>
      <c r="F13" s="48" t="n">
        <f aca="false">Elbow_2Phase!AQ13</f>
        <v>1.5</v>
      </c>
      <c r="G13" s="24" t="n">
        <f aca="false">Elbow_2Phase!AR13</f>
        <v>336</v>
      </c>
      <c r="H13" s="24" t="n">
        <f aca="false">Elbow_2Phase!AS13</f>
        <v>1E-006</v>
      </c>
      <c r="I13" s="24" t="n">
        <f aca="false">Elbow_2Phase!AT13</f>
        <v>152.988010034552</v>
      </c>
      <c r="J13" s="24" t="n">
        <f aca="false">Elbow_2Phase!AU13</f>
        <v>373380</v>
      </c>
      <c r="K13" s="24" t="n">
        <f aca="false">Elbow_2Phase!AV13</f>
        <v>16345.3123116537</v>
      </c>
      <c r="L13" s="24" t="n">
        <f aca="false">Elbow_2Phase!AW13</f>
        <v>5260.00656167979</v>
      </c>
      <c r="M13" s="24" t="n">
        <f aca="false">Elbow_2Phase!AX13</f>
        <v>4042.5</v>
      </c>
      <c r="N13" s="24" t="n">
        <f aca="false">Elbow_2Phase!AY13</f>
        <v>0.0108267716535433</v>
      </c>
      <c r="O13" s="24" t="n">
        <f aca="false">Elbow_2Phase!AZ13</f>
        <v>0.000462264150943396</v>
      </c>
      <c r="P13" s="24" t="n">
        <f aca="false">Elbow_2Phase!BA13</f>
        <v>20.9911492053507</v>
      </c>
      <c r="Q13" s="24" t="n">
        <f aca="false">Elbow_2Phase!BB13</f>
        <v>0.00016580344508113</v>
      </c>
      <c r="R13" s="24" t="n">
        <f aca="false">Elbow_2Phase!BC13</f>
        <v>1</v>
      </c>
      <c r="S13" s="24" t="n">
        <f aca="false">Elbow_2Phase!BD13</f>
        <v>0.0712</v>
      </c>
      <c r="T13" s="24" t="n">
        <f aca="false">Elbow_2Phase!BE13</f>
        <v>0.05696</v>
      </c>
      <c r="U13" s="24" t="n">
        <f aca="false">Elbow_2Phase!BF13</f>
        <v>0.08544</v>
      </c>
      <c r="V13" s="77" t="str">
        <f aca="false">Elbow_2Phase!BG13</f>
        <v>Bourgoyne (1989)</v>
      </c>
    </row>
    <row r="14" customFormat="false" ht="12.8" hidden="false" customHeight="false" outlineLevel="0" collapsed="false">
      <c r="A14" s="15" t="n">
        <v>12</v>
      </c>
      <c r="B14" s="20" t="str">
        <f aca="false">Elbow_2Phase!AM14</f>
        <v>Elbow</v>
      </c>
      <c r="C14" s="20" t="str">
        <f aca="false">Elbow_2Phase!AN14</f>
        <v>Gas-solid</v>
      </c>
      <c r="D14" s="20" t="str">
        <f aca="false">Elbow_2Phase!AO14</f>
        <v>H-V</v>
      </c>
      <c r="E14" s="48" t="n">
        <f aca="false">Elbow_2Phase!AP14</f>
        <v>90</v>
      </c>
      <c r="F14" s="48" t="n">
        <f aca="false">Elbow_2Phase!AQ14</f>
        <v>1.5</v>
      </c>
      <c r="G14" s="24" t="n">
        <f aca="false">Elbow_2Phase!AR14</f>
        <v>336</v>
      </c>
      <c r="H14" s="24" t="n">
        <f aca="false">Elbow_2Phase!AS14</f>
        <v>1E-006</v>
      </c>
      <c r="I14" s="24" t="n">
        <f aca="false">Elbow_2Phase!AT14</f>
        <v>152.988010034552</v>
      </c>
      <c r="J14" s="24" t="n">
        <f aca="false">Elbow_2Phase!AU14</f>
        <v>373380</v>
      </c>
      <c r="K14" s="24" t="n">
        <f aca="false">Elbow_2Phase!AV14</f>
        <v>16345.3123116537</v>
      </c>
      <c r="L14" s="24" t="n">
        <f aca="false">Elbow_2Phase!AW14</f>
        <v>5260.00656167979</v>
      </c>
      <c r="M14" s="24" t="n">
        <f aca="false">Elbow_2Phase!AX14</f>
        <v>4042.5</v>
      </c>
      <c r="N14" s="24" t="n">
        <f aca="false">Elbow_2Phase!AY14</f>
        <v>0.0108267716535433</v>
      </c>
      <c r="O14" s="24" t="n">
        <f aca="false">Elbow_2Phase!AZ14</f>
        <v>0.000462264150943396</v>
      </c>
      <c r="P14" s="24" t="n">
        <f aca="false">Elbow_2Phase!BA14</f>
        <v>20.9911492053507</v>
      </c>
      <c r="Q14" s="24" t="n">
        <f aca="false">Elbow_2Phase!BB14</f>
        <v>0.000358030053118911</v>
      </c>
      <c r="R14" s="24" t="n">
        <f aca="false">Elbow_2Phase!BC14</f>
        <v>1</v>
      </c>
      <c r="S14" s="24" t="n">
        <f aca="false">Elbow_2Phase!BD14</f>
        <v>0.0551</v>
      </c>
      <c r="T14" s="24" t="n">
        <f aca="false">Elbow_2Phase!BE14</f>
        <v>0.04408</v>
      </c>
      <c r="U14" s="24" t="n">
        <f aca="false">Elbow_2Phase!BF14</f>
        <v>0.06612</v>
      </c>
      <c r="V14" s="77" t="str">
        <f aca="false">Elbow_2Phase!BG14</f>
        <v>Bourgoyne (1989)</v>
      </c>
    </row>
    <row r="15" customFormat="false" ht="12.8" hidden="false" customHeight="false" outlineLevel="0" collapsed="false">
      <c r="A15" s="15" t="n">
        <v>13</v>
      </c>
      <c r="B15" s="20" t="str">
        <f aca="false">Elbow_2Phase!AM15</f>
        <v>Elbow</v>
      </c>
      <c r="C15" s="20" t="str">
        <f aca="false">Elbow_2Phase!AN15</f>
        <v>Gas-solid</v>
      </c>
      <c r="D15" s="20" t="str">
        <f aca="false">Elbow_2Phase!AO15</f>
        <v>H-V</v>
      </c>
      <c r="E15" s="48" t="n">
        <f aca="false">Elbow_2Phase!AP15</f>
        <v>90</v>
      </c>
      <c r="F15" s="48" t="n">
        <f aca="false">Elbow_2Phase!AQ15</f>
        <v>1.5</v>
      </c>
      <c r="G15" s="24" t="n">
        <f aca="false">Elbow_2Phase!AR15</f>
        <v>336</v>
      </c>
      <c r="H15" s="24" t="n">
        <f aca="false">Elbow_2Phase!AS15</f>
        <v>1E-006</v>
      </c>
      <c r="I15" s="24" t="n">
        <f aca="false">Elbow_2Phase!AT15</f>
        <v>152.988010034552</v>
      </c>
      <c r="J15" s="24" t="n">
        <f aca="false">Elbow_2Phase!AU15</f>
        <v>373380</v>
      </c>
      <c r="K15" s="24" t="n">
        <f aca="false">Elbow_2Phase!AV15</f>
        <v>16345.3123116537</v>
      </c>
      <c r="L15" s="24" t="n">
        <f aca="false">Elbow_2Phase!AW15</f>
        <v>5260.00656167979</v>
      </c>
      <c r="M15" s="24" t="n">
        <f aca="false">Elbow_2Phase!AX15</f>
        <v>4042.5</v>
      </c>
      <c r="N15" s="24" t="n">
        <f aca="false">Elbow_2Phase!AY15</f>
        <v>0.0108267716535433</v>
      </c>
      <c r="O15" s="24" t="n">
        <f aca="false">Elbow_2Phase!AZ15</f>
        <v>0.000462264150943396</v>
      </c>
      <c r="P15" s="24" t="n">
        <f aca="false">Elbow_2Phase!BA15</f>
        <v>20.9911492053507</v>
      </c>
      <c r="Q15" s="24" t="n">
        <f aca="false">Elbow_2Phase!BB15</f>
        <v>0.00029502804987777</v>
      </c>
      <c r="R15" s="24" t="n">
        <f aca="false">Elbow_2Phase!BC15</f>
        <v>1</v>
      </c>
      <c r="S15" s="24" t="n">
        <f aca="false">Elbow_2Phase!BD15</f>
        <v>0.0807</v>
      </c>
      <c r="T15" s="24" t="n">
        <f aca="false">Elbow_2Phase!BE15</f>
        <v>0.06456</v>
      </c>
      <c r="U15" s="24" t="n">
        <f aca="false">Elbow_2Phase!BF15</f>
        <v>0.09684</v>
      </c>
      <c r="V15" s="77" t="str">
        <f aca="false">Elbow_2Phase!BG15</f>
        <v>Bourgoyne (1989)</v>
      </c>
    </row>
    <row r="16" customFormat="false" ht="12.8" hidden="false" customHeight="false" outlineLevel="0" collapsed="false">
      <c r="A16" s="15" t="n">
        <v>14</v>
      </c>
      <c r="B16" s="20" t="str">
        <f aca="false">Elbow_2Phase!AM16</f>
        <v>Elbow</v>
      </c>
      <c r="C16" s="20" t="str">
        <f aca="false">Elbow_2Phase!AN16</f>
        <v>Gas-solid</v>
      </c>
      <c r="D16" s="20" t="str">
        <f aca="false">Elbow_2Phase!AO16</f>
        <v>H-V</v>
      </c>
      <c r="E16" s="48" t="n">
        <f aca="false">Elbow_2Phase!AP16</f>
        <v>90</v>
      </c>
      <c r="F16" s="48" t="n">
        <f aca="false">Elbow_2Phase!AQ16</f>
        <v>1.5</v>
      </c>
      <c r="G16" s="24" t="n">
        <f aca="false">Elbow_2Phase!AR16</f>
        <v>336</v>
      </c>
      <c r="H16" s="24" t="n">
        <f aca="false">Elbow_2Phase!AS16</f>
        <v>1E-006</v>
      </c>
      <c r="I16" s="24" t="n">
        <f aca="false">Elbow_2Phase!AT16</f>
        <v>152.988010034552</v>
      </c>
      <c r="J16" s="24" t="n">
        <f aca="false">Elbow_2Phase!AU16</f>
        <v>373380</v>
      </c>
      <c r="K16" s="24" t="n">
        <f aca="false">Elbow_2Phase!AV16</f>
        <v>16345.3123116537</v>
      </c>
      <c r="L16" s="24" t="n">
        <f aca="false">Elbow_2Phase!AW16</f>
        <v>5260.00656167979</v>
      </c>
      <c r="M16" s="24" t="n">
        <f aca="false">Elbow_2Phase!AX16</f>
        <v>4042.5</v>
      </c>
      <c r="N16" s="24" t="n">
        <f aca="false">Elbow_2Phase!AY16</f>
        <v>0.0108267716535433</v>
      </c>
      <c r="O16" s="24" t="n">
        <f aca="false">Elbow_2Phase!AZ16</f>
        <v>0.000462264150943396</v>
      </c>
      <c r="P16" s="24" t="n">
        <f aca="false">Elbow_2Phase!BA16</f>
        <v>20.9911492053507</v>
      </c>
      <c r="Q16" s="24" t="n">
        <f aca="false">Elbow_2Phase!BB16</f>
        <v>8.63342750602044E-005</v>
      </c>
      <c r="R16" s="24" t="n">
        <f aca="false">Elbow_2Phase!BC16</f>
        <v>1</v>
      </c>
      <c r="S16" s="24" t="n">
        <f aca="false">Elbow_2Phase!BD16</f>
        <v>0.066</v>
      </c>
      <c r="T16" s="24" t="n">
        <f aca="false">Elbow_2Phase!BE16</f>
        <v>0.0528</v>
      </c>
      <c r="U16" s="24" t="n">
        <f aca="false">Elbow_2Phase!BF16</f>
        <v>0.0792</v>
      </c>
      <c r="V16" s="77" t="str">
        <f aca="false">Elbow_2Phase!BG16</f>
        <v>Bourgoyne (1989)</v>
      </c>
    </row>
    <row r="17" customFormat="false" ht="12.8" hidden="false" customHeight="false" outlineLevel="0" collapsed="false">
      <c r="A17" s="15" t="n">
        <v>15</v>
      </c>
      <c r="B17" s="20" t="str">
        <f aca="false">Elbow_2Phase!AM17</f>
        <v>Elbow</v>
      </c>
      <c r="C17" s="20" t="str">
        <f aca="false">Elbow_2Phase!AN17</f>
        <v>Gas-solid</v>
      </c>
      <c r="D17" s="20" t="str">
        <f aca="false">Elbow_2Phase!AO17</f>
        <v>H-V</v>
      </c>
      <c r="E17" s="48" t="n">
        <f aca="false">Elbow_2Phase!AP17</f>
        <v>90</v>
      </c>
      <c r="F17" s="48" t="n">
        <f aca="false">Elbow_2Phase!AQ17</f>
        <v>1.5</v>
      </c>
      <c r="G17" s="24" t="n">
        <f aca="false">Elbow_2Phase!AR17</f>
        <v>336</v>
      </c>
      <c r="H17" s="24" t="n">
        <f aca="false">Elbow_2Phase!AS17</f>
        <v>1E-006</v>
      </c>
      <c r="I17" s="24" t="n">
        <f aca="false">Elbow_2Phase!AT17</f>
        <v>151.571454386084</v>
      </c>
      <c r="J17" s="24" t="n">
        <f aca="false">Elbow_2Phase!AU17</f>
        <v>369922.777777778</v>
      </c>
      <c r="K17" s="24" t="n">
        <f aca="false">Elbow_2Phase!AV17</f>
        <v>16345.3123116537</v>
      </c>
      <c r="L17" s="24" t="n">
        <f aca="false">Elbow_2Phase!AW17</f>
        <v>5211.30279721979</v>
      </c>
      <c r="M17" s="24" t="n">
        <f aca="false">Elbow_2Phase!AX17</f>
        <v>4005.06944444444</v>
      </c>
      <c r="N17" s="24" t="n">
        <f aca="false">Elbow_2Phase!AY17</f>
        <v>0.0108267716535433</v>
      </c>
      <c r="O17" s="24" t="n">
        <f aca="false">Elbow_2Phase!AZ17</f>
        <v>0.000462264150943396</v>
      </c>
      <c r="P17" s="24" t="n">
        <f aca="false">Elbow_2Phase!BA17</f>
        <v>21.3853405826893</v>
      </c>
      <c r="Q17" s="24" t="n">
        <f aca="false">Elbow_2Phase!BB17</f>
        <v>0.000562230633493652</v>
      </c>
      <c r="R17" s="24" t="n">
        <f aca="false">Elbow_2Phase!BC17</f>
        <v>1</v>
      </c>
      <c r="S17" s="24" t="n">
        <f aca="false">Elbow_2Phase!BD17</f>
        <v>0.0482</v>
      </c>
      <c r="T17" s="24" t="n">
        <f aca="false">Elbow_2Phase!BE17</f>
        <v>0.03856</v>
      </c>
      <c r="U17" s="24" t="n">
        <f aca="false">Elbow_2Phase!BF17</f>
        <v>0.05784</v>
      </c>
      <c r="V17" s="77" t="str">
        <f aca="false">Elbow_2Phase!BG17</f>
        <v>Bourgoyne (1989)</v>
      </c>
    </row>
    <row r="18" customFormat="false" ht="12.8" hidden="false" customHeight="false" outlineLevel="0" collapsed="false">
      <c r="A18" s="15" t="n">
        <v>16</v>
      </c>
      <c r="B18" s="20" t="str">
        <f aca="false">Elbow_2Phase!AM18</f>
        <v>Elbow</v>
      </c>
      <c r="C18" s="20" t="str">
        <f aca="false">Elbow_2Phase!AN18</f>
        <v>Gas-solid</v>
      </c>
      <c r="D18" s="20" t="str">
        <f aca="false">Elbow_2Phase!AO18</f>
        <v>H-V</v>
      </c>
      <c r="E18" s="48" t="n">
        <f aca="false">Elbow_2Phase!AP18</f>
        <v>90</v>
      </c>
      <c r="F18" s="48" t="n">
        <f aca="false">Elbow_2Phase!AQ18</f>
        <v>1.5</v>
      </c>
      <c r="G18" s="24" t="n">
        <f aca="false">Elbow_2Phase!AR18</f>
        <v>336</v>
      </c>
      <c r="H18" s="24" t="n">
        <f aca="false">Elbow_2Phase!AS18</f>
        <v>1E-006</v>
      </c>
      <c r="I18" s="24" t="n">
        <f aca="false">Elbow_2Phase!AT18</f>
        <v>151.571454386084</v>
      </c>
      <c r="J18" s="24" t="n">
        <f aca="false">Elbow_2Phase!AU18</f>
        <v>369922.777777778</v>
      </c>
      <c r="K18" s="24" t="n">
        <f aca="false">Elbow_2Phase!AV18</f>
        <v>16345.3123116537</v>
      </c>
      <c r="L18" s="24" t="n">
        <f aca="false">Elbow_2Phase!AW18</f>
        <v>5211.30279721979</v>
      </c>
      <c r="M18" s="24" t="n">
        <f aca="false">Elbow_2Phase!AX18</f>
        <v>4005.06944444444</v>
      </c>
      <c r="N18" s="24" t="n">
        <f aca="false">Elbow_2Phase!AY18</f>
        <v>0.0108267716535433</v>
      </c>
      <c r="O18" s="24" t="n">
        <f aca="false">Elbow_2Phase!AZ18</f>
        <v>0.000462264150943396</v>
      </c>
      <c r="P18" s="24" t="n">
        <f aca="false">Elbow_2Phase!BA18</f>
        <v>21.3853405826893</v>
      </c>
      <c r="Q18" s="24" t="n">
        <f aca="false">Elbow_2Phase!BB18</f>
        <v>0.00104561169619503</v>
      </c>
      <c r="R18" s="24" t="n">
        <f aca="false">Elbow_2Phase!BC18</f>
        <v>1</v>
      </c>
      <c r="S18" s="24" t="n">
        <f aca="false">Elbow_2Phase!BD18</f>
        <v>0.0593</v>
      </c>
      <c r="T18" s="24" t="n">
        <f aca="false">Elbow_2Phase!BE18</f>
        <v>0.04744</v>
      </c>
      <c r="U18" s="24" t="n">
        <f aca="false">Elbow_2Phase!BF18</f>
        <v>0.07116</v>
      </c>
      <c r="V18" s="77" t="str">
        <f aca="false">Elbow_2Phase!BG18</f>
        <v>Bourgoyne (1989)</v>
      </c>
    </row>
    <row r="19" customFormat="false" ht="12.8" hidden="false" customHeight="false" outlineLevel="0" collapsed="false">
      <c r="A19" s="15" t="n">
        <v>17</v>
      </c>
      <c r="B19" s="20" t="str">
        <f aca="false">Elbow_2Phase!AM19</f>
        <v>Elbow</v>
      </c>
      <c r="C19" s="20" t="str">
        <f aca="false">Elbow_2Phase!AN19</f>
        <v>Gas-solid</v>
      </c>
      <c r="D19" s="20" t="str">
        <f aca="false">Elbow_2Phase!AO19</f>
        <v>H-V</v>
      </c>
      <c r="E19" s="48" t="n">
        <f aca="false">Elbow_2Phase!AP19</f>
        <v>90</v>
      </c>
      <c r="F19" s="48" t="n">
        <f aca="false">Elbow_2Phase!AQ19</f>
        <v>1.5</v>
      </c>
      <c r="G19" s="24" t="n">
        <f aca="false">Elbow_2Phase!AR19</f>
        <v>336</v>
      </c>
      <c r="H19" s="24" t="n">
        <f aca="false">Elbow_2Phase!AS19</f>
        <v>1E-006</v>
      </c>
      <c r="I19" s="24" t="n">
        <f aca="false">Elbow_2Phase!AT19</f>
        <v>150.154898737616</v>
      </c>
      <c r="J19" s="24" t="n">
        <f aca="false">Elbow_2Phase!AU19</f>
        <v>366465.555555556</v>
      </c>
      <c r="K19" s="24" t="n">
        <f aca="false">Elbow_2Phase!AV19</f>
        <v>16345.3123116537</v>
      </c>
      <c r="L19" s="24" t="n">
        <f aca="false">Elbow_2Phase!AW19</f>
        <v>5162.59903275979</v>
      </c>
      <c r="M19" s="24" t="n">
        <f aca="false">Elbow_2Phase!AX19</f>
        <v>3967.63888888889</v>
      </c>
      <c r="N19" s="24" t="n">
        <f aca="false">Elbow_2Phase!AY19</f>
        <v>0.0108267716535433</v>
      </c>
      <c r="O19" s="24" t="n">
        <f aca="false">Elbow_2Phase!AZ19</f>
        <v>0.000462264150943396</v>
      </c>
      <c r="P19" s="24" t="n">
        <f aca="false">Elbow_2Phase!BA19</f>
        <v>21.7907408625143</v>
      </c>
      <c r="Q19" s="24" t="n">
        <f aca="false">Elbow_2Phase!BB19</f>
        <v>0.00111584326219619</v>
      </c>
      <c r="R19" s="24" t="n">
        <f aca="false">Elbow_2Phase!BC19</f>
        <v>1</v>
      </c>
      <c r="S19" s="24" t="n">
        <f aca="false">Elbow_2Phase!BD19</f>
        <v>0.0513</v>
      </c>
      <c r="T19" s="24" t="n">
        <f aca="false">Elbow_2Phase!BE19</f>
        <v>0.04104</v>
      </c>
      <c r="U19" s="24" t="n">
        <f aca="false">Elbow_2Phase!BF19</f>
        <v>0.06156</v>
      </c>
      <c r="V19" s="77" t="str">
        <f aca="false">Elbow_2Phase!BG19</f>
        <v>Bourgoyne (1989)</v>
      </c>
    </row>
    <row r="20" customFormat="false" ht="12.8" hidden="false" customHeight="false" outlineLevel="0" collapsed="false">
      <c r="A20" s="15" t="n">
        <v>18</v>
      </c>
      <c r="B20" s="20" t="str">
        <f aca="false">Elbow_2Phase!AM20</f>
        <v>Elbow</v>
      </c>
      <c r="C20" s="20" t="str">
        <f aca="false">Elbow_2Phase!AN20</f>
        <v>Gas-solid</v>
      </c>
      <c r="D20" s="20" t="str">
        <f aca="false">Elbow_2Phase!AO20</f>
        <v>H-V</v>
      </c>
      <c r="E20" s="48" t="n">
        <f aca="false">Elbow_2Phase!AP20</f>
        <v>90</v>
      </c>
      <c r="F20" s="48" t="n">
        <f aca="false">Elbow_2Phase!AQ20</f>
        <v>1.5</v>
      </c>
      <c r="G20" s="24" t="n">
        <f aca="false">Elbow_2Phase!AR20</f>
        <v>336</v>
      </c>
      <c r="H20" s="24" t="n">
        <f aca="false">Elbow_2Phase!AS20</f>
        <v>1E-006</v>
      </c>
      <c r="I20" s="24" t="n">
        <f aca="false">Elbow_2Phase!AT20</f>
        <v>147.32178744068</v>
      </c>
      <c r="J20" s="24" t="n">
        <f aca="false">Elbow_2Phase!AU20</f>
        <v>359551.111111111</v>
      </c>
      <c r="K20" s="24" t="n">
        <f aca="false">Elbow_2Phase!AV20</f>
        <v>16345.3123116537</v>
      </c>
      <c r="L20" s="24" t="n">
        <f aca="false">Elbow_2Phase!AW20</f>
        <v>5065.1915038398</v>
      </c>
      <c r="M20" s="24" t="n">
        <f aca="false">Elbow_2Phase!AX20</f>
        <v>3892.77777777778</v>
      </c>
      <c r="N20" s="24" t="n">
        <f aca="false">Elbow_2Phase!AY20</f>
        <v>0.0108267716535433</v>
      </c>
      <c r="O20" s="24" t="n">
        <f aca="false">Elbow_2Phase!AZ20</f>
        <v>0.000462264150943396</v>
      </c>
      <c r="P20" s="24" t="n">
        <f aca="false">Elbow_2Phase!BA20</f>
        <v>22.6369049862435</v>
      </c>
      <c r="Q20" s="24" t="n">
        <f aca="false">Elbow_2Phase!BB20</f>
        <v>0.000274130982925955</v>
      </c>
      <c r="R20" s="24" t="n">
        <f aca="false">Elbow_2Phase!BC20</f>
        <v>1</v>
      </c>
      <c r="S20" s="24" t="n">
        <f aca="false">Elbow_2Phase!BD20</f>
        <v>0.0646</v>
      </c>
      <c r="T20" s="24" t="n">
        <f aca="false">Elbow_2Phase!BE20</f>
        <v>0.05168</v>
      </c>
      <c r="U20" s="24" t="n">
        <f aca="false">Elbow_2Phase!BF20</f>
        <v>0.07752</v>
      </c>
      <c r="V20" s="77" t="str">
        <f aca="false">Elbow_2Phase!BG20</f>
        <v>Bourgoyne (1989)</v>
      </c>
    </row>
    <row r="21" customFormat="false" ht="12.8" hidden="false" customHeight="false" outlineLevel="0" collapsed="false">
      <c r="A21" s="15" t="n">
        <v>19</v>
      </c>
      <c r="B21" s="20" t="str">
        <f aca="false">Elbow_2Phase!AM21</f>
        <v>Elbow</v>
      </c>
      <c r="C21" s="20" t="str">
        <f aca="false">Elbow_2Phase!AN21</f>
        <v>Gas-solid</v>
      </c>
      <c r="D21" s="20" t="str">
        <f aca="false">Elbow_2Phase!AO21</f>
        <v>H-V</v>
      </c>
      <c r="E21" s="48" t="n">
        <f aca="false">Elbow_2Phase!AP21</f>
        <v>90</v>
      </c>
      <c r="F21" s="48" t="n">
        <f aca="false">Elbow_2Phase!AQ21</f>
        <v>1.5</v>
      </c>
      <c r="G21" s="24" t="n">
        <f aca="false">Elbow_2Phase!AR21</f>
        <v>336</v>
      </c>
      <c r="H21" s="24" t="n">
        <f aca="false">Elbow_2Phase!AS21</f>
        <v>1E-006</v>
      </c>
      <c r="I21" s="24" t="n">
        <f aca="false">Elbow_2Phase!AT21</f>
        <v>145.905231792212</v>
      </c>
      <c r="J21" s="24" t="n">
        <f aca="false">Elbow_2Phase!AU21</f>
        <v>356093.888888889</v>
      </c>
      <c r="K21" s="24" t="n">
        <f aca="false">Elbow_2Phase!AV21</f>
        <v>16345.3123116537</v>
      </c>
      <c r="L21" s="24" t="n">
        <f aca="false">Elbow_2Phase!AW21</f>
        <v>5016.4877393798</v>
      </c>
      <c r="M21" s="24" t="n">
        <f aca="false">Elbow_2Phase!AX21</f>
        <v>3855.34722222222</v>
      </c>
      <c r="N21" s="24" t="n">
        <f aca="false">Elbow_2Phase!AY21</f>
        <v>0.0108267716535433</v>
      </c>
      <c r="O21" s="24" t="n">
        <f aca="false">Elbow_2Phase!AZ21</f>
        <v>0.000462264150943396</v>
      </c>
      <c r="P21" s="24" t="n">
        <f aca="false">Elbow_2Phase!BA21</f>
        <v>23.078590284778</v>
      </c>
      <c r="Q21" s="24" t="n">
        <f aca="false">Elbow_2Phase!BB21</f>
        <v>0.000254768918107201</v>
      </c>
      <c r="R21" s="24" t="n">
        <f aca="false">Elbow_2Phase!BC21</f>
        <v>1</v>
      </c>
      <c r="S21" s="24" t="n">
        <f aca="false">Elbow_2Phase!BD21</f>
        <v>0.0376</v>
      </c>
      <c r="T21" s="24" t="n">
        <f aca="false">Elbow_2Phase!BE21</f>
        <v>0.03008</v>
      </c>
      <c r="U21" s="24" t="n">
        <f aca="false">Elbow_2Phase!BF21</f>
        <v>0.04512</v>
      </c>
      <c r="V21" s="77" t="str">
        <f aca="false">Elbow_2Phase!BG21</f>
        <v>Bourgoyne (1989)</v>
      </c>
    </row>
    <row r="22" customFormat="false" ht="12.8" hidden="false" customHeight="false" outlineLevel="0" collapsed="false">
      <c r="A22" s="15" t="n">
        <v>20</v>
      </c>
      <c r="B22" s="20" t="str">
        <f aca="false">Elbow_2Phase!AM22</f>
        <v>Elbow</v>
      </c>
      <c r="C22" s="20" t="str">
        <f aca="false">Elbow_2Phase!AN22</f>
        <v>Gas-solid</v>
      </c>
      <c r="D22" s="20" t="str">
        <f aca="false">Elbow_2Phase!AO22</f>
        <v>H-V</v>
      </c>
      <c r="E22" s="48" t="n">
        <f aca="false">Elbow_2Phase!AP22</f>
        <v>90</v>
      </c>
      <c r="F22" s="48" t="n">
        <f aca="false">Elbow_2Phase!AQ22</f>
        <v>1.5</v>
      </c>
      <c r="G22" s="24" t="n">
        <f aca="false">Elbow_2Phase!AR22</f>
        <v>336</v>
      </c>
      <c r="H22" s="24" t="n">
        <f aca="false">Elbow_2Phase!AS22</f>
        <v>1E-006</v>
      </c>
      <c r="I22" s="24" t="n">
        <f aca="false">Elbow_2Phase!AT22</f>
        <v>145.905231792212</v>
      </c>
      <c r="J22" s="24" t="n">
        <f aca="false">Elbow_2Phase!AU22</f>
        <v>356093.888888889</v>
      </c>
      <c r="K22" s="24" t="n">
        <f aca="false">Elbow_2Phase!AV22</f>
        <v>16345.3123116537</v>
      </c>
      <c r="L22" s="24" t="n">
        <f aca="false">Elbow_2Phase!AW22</f>
        <v>5016.4877393798</v>
      </c>
      <c r="M22" s="24" t="n">
        <f aca="false">Elbow_2Phase!AX22</f>
        <v>3855.34722222222</v>
      </c>
      <c r="N22" s="24" t="n">
        <f aca="false">Elbow_2Phase!AY22</f>
        <v>0.0108267716535433</v>
      </c>
      <c r="O22" s="24" t="n">
        <f aca="false">Elbow_2Phase!AZ22</f>
        <v>0.000462264150943396</v>
      </c>
      <c r="P22" s="24" t="n">
        <f aca="false">Elbow_2Phase!BA22</f>
        <v>23.078590284778</v>
      </c>
      <c r="Q22" s="24" t="n">
        <f aca="false">Elbow_2Phase!BB22</f>
        <v>0.00134898873741434</v>
      </c>
      <c r="R22" s="24" t="n">
        <f aca="false">Elbow_2Phase!BC22</f>
        <v>1</v>
      </c>
      <c r="S22" s="24" t="n">
        <f aca="false">Elbow_2Phase!BD22</f>
        <v>0.0397</v>
      </c>
      <c r="T22" s="24" t="n">
        <f aca="false">Elbow_2Phase!BE22</f>
        <v>0.03176</v>
      </c>
      <c r="U22" s="24" t="n">
        <f aca="false">Elbow_2Phase!BF22</f>
        <v>0.04764</v>
      </c>
      <c r="V22" s="77" t="str">
        <f aca="false">Elbow_2Phase!BG22</f>
        <v>Bourgoyne (1989)</v>
      </c>
    </row>
    <row r="23" customFormat="false" ht="12.8" hidden="false" customHeight="false" outlineLevel="0" collapsed="false">
      <c r="A23" s="15" t="n">
        <v>21</v>
      </c>
      <c r="B23" s="20" t="str">
        <f aca="false">Elbow_2Phase!AM23</f>
        <v>Elbow</v>
      </c>
      <c r="C23" s="20" t="str">
        <f aca="false">Elbow_2Phase!AN23</f>
        <v>Gas-solid</v>
      </c>
      <c r="D23" s="20" t="str">
        <f aca="false">Elbow_2Phase!AO23</f>
        <v>H-V</v>
      </c>
      <c r="E23" s="48" t="n">
        <f aca="false">Elbow_2Phase!AP23</f>
        <v>90</v>
      </c>
      <c r="F23" s="48" t="n">
        <f aca="false">Elbow_2Phase!AQ23</f>
        <v>1.5</v>
      </c>
      <c r="G23" s="24" t="n">
        <f aca="false">Elbow_2Phase!AR23</f>
        <v>336</v>
      </c>
      <c r="H23" s="24" t="n">
        <f aca="false">Elbow_2Phase!AS23</f>
        <v>1E-006</v>
      </c>
      <c r="I23" s="24" t="n">
        <f aca="false">Elbow_2Phase!AT23</f>
        <v>138.822453549871</v>
      </c>
      <c r="J23" s="24" t="n">
        <f aca="false">Elbow_2Phase!AU23</f>
        <v>338807.777777778</v>
      </c>
      <c r="K23" s="24" t="n">
        <f aca="false">Elbow_2Phase!AV23</f>
        <v>16345.3123116537</v>
      </c>
      <c r="L23" s="24" t="n">
        <f aca="false">Elbow_2Phase!AW23</f>
        <v>4772.96891707981</v>
      </c>
      <c r="M23" s="24" t="n">
        <f aca="false">Elbow_2Phase!AX23</f>
        <v>3668.19444444444</v>
      </c>
      <c r="N23" s="24" t="n">
        <f aca="false">Elbow_2Phase!AY23</f>
        <v>0.0108267716535433</v>
      </c>
      <c r="O23" s="24" t="n">
        <f aca="false">Elbow_2Phase!AZ23</f>
        <v>0.000462264150943396</v>
      </c>
      <c r="P23" s="24" t="n">
        <f aca="false">Elbow_2Phase!BA23</f>
        <v>25.4936239411922</v>
      </c>
      <c r="Q23" s="24" t="n">
        <f aca="false">Elbow_2Phase!BB23</f>
        <v>0.000227507771575305</v>
      </c>
      <c r="R23" s="24" t="n">
        <f aca="false">Elbow_2Phase!BC23</f>
        <v>1</v>
      </c>
      <c r="S23" s="24" t="n">
        <f aca="false">Elbow_2Phase!BD23</f>
        <v>0.0354</v>
      </c>
      <c r="T23" s="24" t="n">
        <f aca="false">Elbow_2Phase!BE23</f>
        <v>0.02832</v>
      </c>
      <c r="U23" s="24" t="n">
        <f aca="false">Elbow_2Phase!BF23</f>
        <v>0.04248</v>
      </c>
      <c r="V23" s="77" t="str">
        <f aca="false">Elbow_2Phase!BG23</f>
        <v>Bourgoyne (1989)</v>
      </c>
    </row>
    <row r="24" customFormat="false" ht="12.8" hidden="false" customHeight="false" outlineLevel="0" collapsed="false">
      <c r="A24" s="15" t="n">
        <v>22</v>
      </c>
      <c r="B24" s="20" t="str">
        <f aca="false">Elbow_2Phase!AM24</f>
        <v>Elbow</v>
      </c>
      <c r="C24" s="20" t="str">
        <f aca="false">Elbow_2Phase!AN24</f>
        <v>Gas-solid</v>
      </c>
      <c r="D24" s="20" t="str">
        <f aca="false">Elbow_2Phase!AO24</f>
        <v>H-V</v>
      </c>
      <c r="E24" s="48" t="n">
        <f aca="false">Elbow_2Phase!AP24</f>
        <v>90</v>
      </c>
      <c r="F24" s="48" t="n">
        <f aca="false">Elbow_2Phase!AQ24</f>
        <v>1.5</v>
      </c>
      <c r="G24" s="24" t="n">
        <f aca="false">Elbow_2Phase!AR24</f>
        <v>336</v>
      </c>
      <c r="H24" s="24" t="n">
        <f aca="false">Elbow_2Phase!AS24</f>
        <v>1E-006</v>
      </c>
      <c r="I24" s="24" t="n">
        <f aca="false">Elbow_2Phase!AT24</f>
        <v>138.822453549871</v>
      </c>
      <c r="J24" s="24" t="n">
        <f aca="false">Elbow_2Phase!AU24</f>
        <v>338807.777777778</v>
      </c>
      <c r="K24" s="24" t="n">
        <f aca="false">Elbow_2Phase!AV24</f>
        <v>16345.3123116537</v>
      </c>
      <c r="L24" s="24" t="n">
        <f aca="false">Elbow_2Phase!AW24</f>
        <v>4772.96891707981</v>
      </c>
      <c r="M24" s="24" t="n">
        <f aca="false">Elbow_2Phase!AX24</f>
        <v>3668.19444444444</v>
      </c>
      <c r="N24" s="24" t="n">
        <f aca="false">Elbow_2Phase!AY24</f>
        <v>0.0108267716535433</v>
      </c>
      <c r="O24" s="24" t="n">
        <f aca="false">Elbow_2Phase!AZ24</f>
        <v>0.000462264150943396</v>
      </c>
      <c r="P24" s="24" t="n">
        <f aca="false">Elbow_2Phase!BA24</f>
        <v>25.4936239411922</v>
      </c>
      <c r="Q24" s="24" t="n">
        <f aca="false">Elbow_2Phase!BB24</f>
        <v>0.000264744758226442</v>
      </c>
      <c r="R24" s="24" t="n">
        <f aca="false">Elbow_2Phase!BC24</f>
        <v>1</v>
      </c>
      <c r="S24" s="24" t="n">
        <f aca="false">Elbow_2Phase!BD24</f>
        <v>0.0355</v>
      </c>
      <c r="T24" s="24" t="n">
        <f aca="false">Elbow_2Phase!BE24</f>
        <v>0.0284</v>
      </c>
      <c r="U24" s="24" t="n">
        <f aca="false">Elbow_2Phase!BF24</f>
        <v>0.0426</v>
      </c>
      <c r="V24" s="77" t="str">
        <f aca="false">Elbow_2Phase!BG24</f>
        <v>Bourgoyne (1989)</v>
      </c>
    </row>
    <row r="25" customFormat="false" ht="12.8" hidden="false" customHeight="false" outlineLevel="0" collapsed="false">
      <c r="A25" s="15" t="n">
        <v>23</v>
      </c>
      <c r="B25" s="20" t="str">
        <f aca="false">Elbow_2Phase!AM25</f>
        <v>Elbow</v>
      </c>
      <c r="C25" s="20" t="str">
        <f aca="false">Elbow_2Phase!AN25</f>
        <v>Gas-solid</v>
      </c>
      <c r="D25" s="20" t="str">
        <f aca="false">Elbow_2Phase!AO25</f>
        <v>H-V</v>
      </c>
      <c r="E25" s="48" t="n">
        <f aca="false">Elbow_2Phase!AP25</f>
        <v>90</v>
      </c>
      <c r="F25" s="48" t="n">
        <f aca="false">Elbow_2Phase!AQ25</f>
        <v>1.5</v>
      </c>
      <c r="G25" s="24" t="n">
        <f aca="false">Elbow_2Phase!AR25</f>
        <v>336</v>
      </c>
      <c r="H25" s="24" t="n">
        <f aca="false">Elbow_2Phase!AS25</f>
        <v>1E-006</v>
      </c>
      <c r="I25" s="24" t="n">
        <f aca="false">Elbow_2Phase!AT25</f>
        <v>131.739675307531</v>
      </c>
      <c r="J25" s="24" t="n">
        <f aca="false">Elbow_2Phase!AU25</f>
        <v>321521.666666667</v>
      </c>
      <c r="K25" s="24" t="n">
        <f aca="false">Elbow_2Phase!AV25</f>
        <v>16345.3123116537</v>
      </c>
      <c r="L25" s="24" t="n">
        <f aca="false">Elbow_2Phase!AW25</f>
        <v>4529.45009477982</v>
      </c>
      <c r="M25" s="24" t="n">
        <f aca="false">Elbow_2Phase!AX25</f>
        <v>3481.04166666667</v>
      </c>
      <c r="N25" s="24" t="n">
        <f aca="false">Elbow_2Phase!AY25</f>
        <v>0.0108267716535433</v>
      </c>
      <c r="O25" s="24" t="n">
        <f aca="false">Elbow_2Phase!AZ25</f>
        <v>0.000462264150943396</v>
      </c>
      <c r="P25" s="24" t="n">
        <f aca="false">Elbow_2Phase!BA25</f>
        <v>28.3085633404105</v>
      </c>
      <c r="Q25" s="24" t="n">
        <f aca="false">Elbow_2Phase!BB25</f>
        <v>0.000261476758260997</v>
      </c>
      <c r="R25" s="24" t="n">
        <f aca="false">Elbow_2Phase!BC25</f>
        <v>1</v>
      </c>
      <c r="S25" s="24" t="n">
        <f aca="false">Elbow_2Phase!BD25</f>
        <v>0.0282</v>
      </c>
      <c r="T25" s="24" t="n">
        <f aca="false">Elbow_2Phase!BE25</f>
        <v>0.02256</v>
      </c>
      <c r="U25" s="24" t="n">
        <f aca="false">Elbow_2Phase!BF25</f>
        <v>0.03384</v>
      </c>
      <c r="V25" s="77" t="str">
        <f aca="false">Elbow_2Phase!BG25</f>
        <v>Bourgoyne (1989)</v>
      </c>
    </row>
    <row r="26" customFormat="false" ht="12.8" hidden="false" customHeight="false" outlineLevel="0" collapsed="false">
      <c r="A26" s="15" t="n">
        <v>24</v>
      </c>
      <c r="B26" s="20" t="str">
        <f aca="false">Elbow_2Phase!AM26</f>
        <v>Elbow</v>
      </c>
      <c r="C26" s="20" t="str">
        <f aca="false">Elbow_2Phase!AN26</f>
        <v>Gas-solid</v>
      </c>
      <c r="D26" s="20" t="str">
        <f aca="false">Elbow_2Phase!AO26</f>
        <v>H-V</v>
      </c>
      <c r="E26" s="48" t="n">
        <f aca="false">Elbow_2Phase!AP26</f>
        <v>90</v>
      </c>
      <c r="F26" s="48" t="n">
        <f aca="false">Elbow_2Phase!AQ26</f>
        <v>1.5</v>
      </c>
      <c r="G26" s="24" t="n">
        <f aca="false">Elbow_2Phase!AR26</f>
        <v>336</v>
      </c>
      <c r="H26" s="24" t="n">
        <f aca="false">Elbow_2Phase!AS26</f>
        <v>1E-006</v>
      </c>
      <c r="I26" s="24" t="n">
        <f aca="false">Elbow_2Phase!AT26</f>
        <v>101.992006689701</v>
      </c>
      <c r="J26" s="24" t="n">
        <f aca="false">Elbow_2Phase!AU26</f>
        <v>248920</v>
      </c>
      <c r="K26" s="24" t="n">
        <f aca="false">Elbow_2Phase!AV26</f>
        <v>16345.3123116537</v>
      </c>
      <c r="L26" s="24" t="n">
        <f aca="false">Elbow_2Phase!AW26</f>
        <v>3506.67104111986</v>
      </c>
      <c r="M26" s="24" t="n">
        <f aca="false">Elbow_2Phase!AX26</f>
        <v>2695</v>
      </c>
      <c r="N26" s="24" t="n">
        <f aca="false">Elbow_2Phase!AY26</f>
        <v>0.0108267716535433</v>
      </c>
      <c r="O26" s="24" t="n">
        <f aca="false">Elbow_2Phase!AZ26</f>
        <v>0.000462264150943396</v>
      </c>
      <c r="P26" s="24" t="n">
        <f aca="false">Elbow_2Phase!BA26</f>
        <v>47.230085712039</v>
      </c>
      <c r="Q26" s="24" t="n">
        <f aca="false">Elbow_2Phase!BB26</f>
        <v>0.000305528935228005</v>
      </c>
      <c r="R26" s="24" t="n">
        <f aca="false">Elbow_2Phase!BC26</f>
        <v>1</v>
      </c>
      <c r="S26" s="24" t="n">
        <f aca="false">Elbow_2Phase!BD26</f>
        <v>0.014</v>
      </c>
      <c r="T26" s="24" t="n">
        <f aca="false">Elbow_2Phase!BE26</f>
        <v>0.0112</v>
      </c>
      <c r="U26" s="24" t="n">
        <f aca="false">Elbow_2Phase!BF26</f>
        <v>0.0168</v>
      </c>
      <c r="V26" s="77" t="str">
        <f aca="false">Elbow_2Phase!BG26</f>
        <v>Bourgoyne (1989)</v>
      </c>
    </row>
    <row r="27" customFormat="false" ht="12.8" hidden="false" customHeight="false" outlineLevel="0" collapsed="false">
      <c r="A27" s="15" t="n">
        <v>25</v>
      </c>
      <c r="B27" s="20" t="str">
        <f aca="false">Elbow_2Phase!AM27</f>
        <v>Elbow</v>
      </c>
      <c r="C27" s="20" t="str">
        <f aca="false">Elbow_2Phase!AN27</f>
        <v>Gas-solid</v>
      </c>
      <c r="D27" s="20" t="str">
        <f aca="false">Elbow_2Phase!AO27</f>
        <v>H-V</v>
      </c>
      <c r="E27" s="48" t="n">
        <f aca="false">Elbow_2Phase!AP27</f>
        <v>90</v>
      </c>
      <c r="F27" s="48" t="n">
        <f aca="false">Elbow_2Phase!AQ27</f>
        <v>1.5</v>
      </c>
      <c r="G27" s="24" t="n">
        <f aca="false">Elbow_2Phase!AR27</f>
        <v>336</v>
      </c>
      <c r="H27" s="24" t="n">
        <f aca="false">Elbow_2Phase!AS27</f>
        <v>1E-006</v>
      </c>
      <c r="I27" s="24" t="n">
        <f aca="false">Elbow_2Phase!AT27</f>
        <v>66.5781154779994</v>
      </c>
      <c r="J27" s="24" t="n">
        <f aca="false">Elbow_2Phase!AU27</f>
        <v>162489.444444444</v>
      </c>
      <c r="K27" s="24" t="n">
        <f aca="false">Elbow_2Phase!AV27</f>
        <v>16345.3123116537</v>
      </c>
      <c r="L27" s="24" t="n">
        <f aca="false">Elbow_2Phase!AW27</f>
        <v>2289.07692961991</v>
      </c>
      <c r="M27" s="24" t="n">
        <f aca="false">Elbow_2Phase!AX27</f>
        <v>1759.23611111111</v>
      </c>
      <c r="N27" s="24" t="n">
        <f aca="false">Elbow_2Phase!AY27</f>
        <v>0.0108267716535433</v>
      </c>
      <c r="O27" s="24" t="n">
        <f aca="false">Elbow_2Phase!AZ27</f>
        <v>0.000462264150943396</v>
      </c>
      <c r="P27" s="24" t="n">
        <f aca="false">Elbow_2Phase!BA27</f>
        <v>110.837829031784</v>
      </c>
      <c r="Q27" s="24" t="n">
        <f aca="false">Elbow_2Phase!BB27</f>
        <v>0.000267613968143389</v>
      </c>
      <c r="R27" s="24" t="n">
        <f aca="false">Elbow_2Phase!BC27</f>
        <v>1</v>
      </c>
      <c r="S27" s="24" t="n">
        <f aca="false">Elbow_2Phase!BD27</f>
        <v>0.00492</v>
      </c>
      <c r="T27" s="24" t="n">
        <f aca="false">Elbow_2Phase!BE27</f>
        <v>0.003936</v>
      </c>
      <c r="U27" s="24" t="n">
        <f aca="false">Elbow_2Phase!BF27</f>
        <v>0.005904</v>
      </c>
      <c r="V27" s="77" t="str">
        <f aca="false">Elbow_2Phase!BG27</f>
        <v>Bourgoyne (1989)</v>
      </c>
    </row>
    <row r="28" customFormat="false" ht="12.8" hidden="false" customHeight="false" outlineLevel="0" collapsed="false">
      <c r="A28" s="15" t="n">
        <v>26</v>
      </c>
      <c r="B28" s="20" t="str">
        <f aca="false">Elbow_2Phase!AM28</f>
        <v>Elbow</v>
      </c>
      <c r="C28" s="20" t="str">
        <f aca="false">Elbow_2Phase!AN28</f>
        <v>Gas-solid</v>
      </c>
      <c r="D28" s="20" t="str">
        <f aca="false">Elbow_2Phase!AO28</f>
        <v>H-V</v>
      </c>
      <c r="E28" s="48" t="n">
        <f aca="false">Elbow_2Phase!AP28</f>
        <v>90</v>
      </c>
      <c r="F28" s="48" t="n">
        <f aca="false">Elbow_2Phase!AQ28</f>
        <v>1.5</v>
      </c>
      <c r="G28" s="24" t="n">
        <f aca="false">Elbow_2Phase!AR28</f>
        <v>336</v>
      </c>
      <c r="H28" s="24" t="n">
        <f aca="false">Elbow_2Phase!AS28</f>
        <v>1E-006</v>
      </c>
      <c r="I28" s="24" t="n">
        <f aca="false">Elbow_2Phase!AT28</f>
        <v>45.3297807509783</v>
      </c>
      <c r="J28" s="24" t="n">
        <f aca="false">Elbow_2Phase!AU28</f>
        <v>110631.111111111</v>
      </c>
      <c r="K28" s="24" t="n">
        <f aca="false">Elbow_2Phase!AV28</f>
        <v>16345.3123116537</v>
      </c>
      <c r="L28" s="24" t="n">
        <f aca="false">Elbow_2Phase!AW28</f>
        <v>1558.52046271994</v>
      </c>
      <c r="M28" s="24" t="n">
        <f aca="false">Elbow_2Phase!AX28</f>
        <v>1197.77777777778</v>
      </c>
      <c r="N28" s="24" t="n">
        <f aca="false">Elbow_2Phase!AY28</f>
        <v>0.0108267716535433</v>
      </c>
      <c r="O28" s="24" t="n">
        <f aca="false">Elbow_2Phase!AZ28</f>
        <v>0.000462264150943396</v>
      </c>
      <c r="P28" s="24" t="n">
        <f aca="false">Elbow_2Phase!BA28</f>
        <v>239.102308917197</v>
      </c>
      <c r="Q28" s="24" t="n">
        <f aca="false">Elbow_2Phase!BB28</f>
        <v>0.00026820413474553</v>
      </c>
      <c r="R28" s="24" t="n">
        <f aca="false">Elbow_2Phase!BC28</f>
        <v>1</v>
      </c>
      <c r="S28" s="24" t="n">
        <f aca="false">Elbow_2Phase!BD28</f>
        <v>0.00812</v>
      </c>
      <c r="T28" s="24" t="n">
        <f aca="false">Elbow_2Phase!BE28</f>
        <v>0.006496</v>
      </c>
      <c r="U28" s="24" t="n">
        <f aca="false">Elbow_2Phase!BF28</f>
        <v>0.009744</v>
      </c>
      <c r="V28" s="77" t="str">
        <f aca="false">Elbow_2Phase!BG28</f>
        <v>Bourgoyne (1989)</v>
      </c>
    </row>
    <row r="29" customFormat="false" ht="12.8" hidden="false" customHeight="false" outlineLevel="0" collapsed="false">
      <c r="A29" s="15" t="n">
        <v>27</v>
      </c>
      <c r="B29" s="20" t="str">
        <f aca="false">Elbow_2Phase!AM29</f>
        <v>Elbow</v>
      </c>
      <c r="C29" s="20" t="str">
        <f aca="false">Elbow_2Phase!AN29</f>
        <v>Gas-solid</v>
      </c>
      <c r="D29" s="20" t="str">
        <f aca="false">Elbow_2Phase!AO29</f>
        <v>H-H</v>
      </c>
      <c r="E29" s="48" t="n">
        <f aca="false">Elbow_2Phase!AP29</f>
        <v>90</v>
      </c>
      <c r="F29" s="48" t="n">
        <f aca="false">Elbow_2Phase!AQ29</f>
        <v>1.5</v>
      </c>
      <c r="G29" s="24" t="n">
        <f aca="false">Elbow_2Phase!AR29</f>
        <v>236.220472440945</v>
      </c>
      <c r="H29" s="24" t="n">
        <f aca="false">Elbow_2Phase!AS29</f>
        <v>1E-006</v>
      </c>
      <c r="I29" s="24" t="n">
        <f aca="false">Elbow_2Phase!AT29</f>
        <v>21.1660150391251</v>
      </c>
      <c r="J29" s="24" t="n">
        <f aca="false">Elbow_2Phase!AU29</f>
        <v>94900.75</v>
      </c>
      <c r="K29" s="24" t="n">
        <f aca="false">Elbow_2Phase!AV29</f>
        <v>331.572826757812</v>
      </c>
      <c r="L29" s="24" t="n">
        <f aca="false">Elbow_2Phase!AW29</f>
        <v>44.1956474190726</v>
      </c>
      <c r="M29" s="24" t="n">
        <f aca="false">Elbow_2Phase!AX29</f>
        <v>186.8125</v>
      </c>
      <c r="N29" s="24" t="n">
        <f aca="false">Elbow_2Phase!AY29</f>
        <v>0.00196850393700787</v>
      </c>
      <c r="O29" s="24" t="n">
        <f aca="false">Elbow_2Phase!AZ29</f>
        <v>0.000462264150943396</v>
      </c>
      <c r="P29" s="24" t="n">
        <f aca="false">Elbow_2Phase!BA29</f>
        <v>567.200983671585</v>
      </c>
      <c r="Q29" s="24" t="n">
        <f aca="false">Elbow_2Phase!BB29</f>
        <v>2.05737621840343E-006</v>
      </c>
      <c r="R29" s="24" t="n">
        <f aca="false">Elbow_2Phase!BC29</f>
        <v>1</v>
      </c>
      <c r="S29" s="24" t="n">
        <f aca="false">Elbow_2Phase!BD29</f>
        <v>0.000476</v>
      </c>
      <c r="T29" s="24" t="n">
        <f aca="false">Elbow_2Phase!BE29</f>
        <v>0.0003808</v>
      </c>
      <c r="U29" s="24" t="n">
        <f aca="false">Elbow_2Phase!BF29</f>
        <v>0.0005712</v>
      </c>
      <c r="V29" s="77" t="str">
        <f aca="false">Elbow_2Phase!BG29</f>
        <v>Kesana (2013)</v>
      </c>
    </row>
    <row r="30" customFormat="false" ht="12.8" hidden="false" customHeight="false" outlineLevel="0" collapsed="false">
      <c r="A30" s="15" t="n">
        <v>28</v>
      </c>
      <c r="B30" s="20" t="str">
        <f aca="false">Elbow_2Phase!AM30</f>
        <v>Elbow</v>
      </c>
      <c r="C30" s="20" t="str">
        <f aca="false">Elbow_2Phase!AN30</f>
        <v>Gas-solid</v>
      </c>
      <c r="D30" s="20" t="str">
        <f aca="false">Elbow_2Phase!AO30</f>
        <v>H-H</v>
      </c>
      <c r="E30" s="48" t="n">
        <f aca="false">Elbow_2Phase!AP30</f>
        <v>90</v>
      </c>
      <c r="F30" s="48" t="n">
        <f aca="false">Elbow_2Phase!AQ30</f>
        <v>1.5</v>
      </c>
      <c r="G30" s="24" t="n">
        <f aca="false">Elbow_2Phase!AR30</f>
        <v>236.220472440945</v>
      </c>
      <c r="H30" s="24" t="n">
        <f aca="false">Elbow_2Phase!AS30</f>
        <v>1E-006</v>
      </c>
      <c r="I30" s="24" t="n">
        <f aca="false">Elbow_2Phase!AT30</f>
        <v>33.4261111820063</v>
      </c>
      <c r="J30" s="24" t="n">
        <f aca="false">Elbow_2Phase!AU30</f>
        <v>149870.583333333</v>
      </c>
      <c r="K30" s="24" t="n">
        <f aca="false">Elbow_2Phase!AV30</f>
        <v>331.572826757812</v>
      </c>
      <c r="L30" s="24" t="n">
        <f aca="false">Elbow_2Phase!AW30</f>
        <v>69.7953120443278</v>
      </c>
      <c r="M30" s="24" t="n">
        <f aca="false">Elbow_2Phase!AX30</f>
        <v>295.020833333333</v>
      </c>
      <c r="N30" s="24" t="n">
        <f aca="false">Elbow_2Phase!AY30</f>
        <v>0.00196850393700787</v>
      </c>
      <c r="O30" s="24" t="n">
        <f aca="false">Elbow_2Phase!AZ30</f>
        <v>0.000462264150943396</v>
      </c>
      <c r="P30" s="24" t="n">
        <f aca="false">Elbow_2Phase!BA30</f>
        <v>227.427757596026</v>
      </c>
      <c r="Q30" s="24" t="n">
        <f aca="false">Elbow_2Phase!BB30</f>
        <v>3.32133747761761E-006</v>
      </c>
      <c r="R30" s="24" t="n">
        <f aca="false">Elbow_2Phase!BC30</f>
        <v>1</v>
      </c>
      <c r="S30" s="24" t="n">
        <f aca="false">Elbow_2Phase!BD30</f>
        <v>0.000683</v>
      </c>
      <c r="T30" s="24" t="n">
        <f aca="false">Elbow_2Phase!BE30</f>
        <v>0.0005464</v>
      </c>
      <c r="U30" s="24" t="n">
        <f aca="false">Elbow_2Phase!BF30</f>
        <v>0.0008196</v>
      </c>
      <c r="V30" s="77" t="str">
        <f aca="false">Elbow_2Phase!BG30</f>
        <v>Kesana (2013)</v>
      </c>
    </row>
    <row r="31" customFormat="false" ht="12.8" hidden="false" customHeight="false" outlineLevel="0" collapsed="false">
      <c r="A31" s="15" t="n">
        <v>29</v>
      </c>
      <c r="B31" s="20" t="str">
        <f aca="false">Elbow_2Phase!AM31</f>
        <v>Elbow</v>
      </c>
      <c r="C31" s="20" t="str">
        <f aca="false">Elbow_2Phase!AN31</f>
        <v>Gas-solid</v>
      </c>
      <c r="D31" s="20" t="str">
        <f aca="false">Elbow_2Phase!AO31</f>
        <v>H-H</v>
      </c>
      <c r="E31" s="48" t="n">
        <f aca="false">Elbow_2Phase!AP31</f>
        <v>90</v>
      </c>
      <c r="F31" s="48" t="n">
        <f aca="false">Elbow_2Phase!AQ31</f>
        <v>1.5</v>
      </c>
      <c r="G31" s="24" t="n">
        <f aca="false">Elbow_2Phase!AR31</f>
        <v>236.220472440945</v>
      </c>
      <c r="H31" s="24" t="n">
        <f aca="false">Elbow_2Phase!AS31</f>
        <v>1E-006</v>
      </c>
      <c r="I31" s="24" t="n">
        <f aca="false">Elbow_2Phase!AT31</f>
        <v>38.0525625566785</v>
      </c>
      <c r="J31" s="24" t="n">
        <f aca="false">Elbow_2Phase!AU31</f>
        <v>170613.916666667</v>
      </c>
      <c r="K31" s="24" t="n">
        <f aca="false">Elbow_2Phase!AV31</f>
        <v>331.572826757812</v>
      </c>
      <c r="L31" s="24" t="n">
        <f aca="false">Elbow_2Phase!AW31</f>
        <v>79.4555628463109</v>
      </c>
      <c r="M31" s="24" t="n">
        <f aca="false">Elbow_2Phase!AX31</f>
        <v>335.854166666667</v>
      </c>
      <c r="N31" s="24" t="n">
        <f aca="false">Elbow_2Phase!AY31</f>
        <v>0.00196850393700787</v>
      </c>
      <c r="O31" s="24" t="n">
        <f aca="false">Elbow_2Phase!AZ31</f>
        <v>0.000462264150943396</v>
      </c>
      <c r="P31" s="24" t="n">
        <f aca="false">Elbow_2Phase!BA31</f>
        <v>175.48797352369</v>
      </c>
      <c r="Q31" s="24" t="n">
        <f aca="false">Elbow_2Phase!BB31</f>
        <v>2.89237759195487E-006</v>
      </c>
      <c r="R31" s="24" t="n">
        <f aca="false">Elbow_2Phase!BC31</f>
        <v>1</v>
      </c>
      <c r="S31" s="24" t="n">
        <f aca="false">Elbow_2Phase!BD31</f>
        <v>0.0012</v>
      </c>
      <c r="T31" s="24" t="n">
        <f aca="false">Elbow_2Phase!BE31</f>
        <v>0.00096</v>
      </c>
      <c r="U31" s="24" t="n">
        <f aca="false">Elbow_2Phase!BF31</f>
        <v>0.00144</v>
      </c>
      <c r="V31" s="77" t="str">
        <f aca="false">Elbow_2Phase!BG31</f>
        <v>Kesana (2013)</v>
      </c>
    </row>
    <row r="32" customFormat="false" ht="12.8" hidden="false" customHeight="false" outlineLevel="0" collapsed="false">
      <c r="A32" s="15" t="n">
        <v>30</v>
      </c>
      <c r="B32" s="20" t="str">
        <f aca="false">Elbow_2Phase!AM32</f>
        <v>Elbow</v>
      </c>
      <c r="C32" s="20" t="str">
        <f aca="false">Elbow_2Phase!AN32</f>
        <v>Gas-solid</v>
      </c>
      <c r="D32" s="20" t="str">
        <f aca="false">Elbow_2Phase!AO32</f>
        <v>H-H</v>
      </c>
      <c r="E32" s="48" t="n">
        <f aca="false">Elbow_2Phase!AP32</f>
        <v>90</v>
      </c>
      <c r="F32" s="48" t="n">
        <f aca="false">Elbow_2Phase!AQ32</f>
        <v>1.5</v>
      </c>
      <c r="G32" s="24" t="n">
        <f aca="false">Elbow_2Phase!AR32</f>
        <v>236.220472440945</v>
      </c>
      <c r="H32" s="24" t="n">
        <f aca="false">Elbow_2Phase!AS32</f>
        <v>1E-006</v>
      </c>
      <c r="I32" s="24" t="n">
        <f aca="false">Elbow_2Phase!AT32</f>
        <v>38.7465302628793</v>
      </c>
      <c r="J32" s="24" t="n">
        <f aca="false">Elbow_2Phase!AU32</f>
        <v>173725.416666667</v>
      </c>
      <c r="K32" s="24" t="n">
        <f aca="false">Elbow_2Phase!AV32</f>
        <v>331.572826757812</v>
      </c>
      <c r="L32" s="24" t="n">
        <f aca="false">Elbow_2Phase!AW32</f>
        <v>80.9046004666083</v>
      </c>
      <c r="M32" s="24" t="n">
        <f aca="false">Elbow_2Phase!AX32</f>
        <v>341.979166666667</v>
      </c>
      <c r="N32" s="24" t="n">
        <f aca="false">Elbow_2Phase!AY32</f>
        <v>0.00196850393700787</v>
      </c>
      <c r="O32" s="24" t="n">
        <f aca="false">Elbow_2Phase!AZ32</f>
        <v>0.000462264150943396</v>
      </c>
      <c r="P32" s="24" t="n">
        <f aca="false">Elbow_2Phase!BA32</f>
        <v>169.258130917155</v>
      </c>
      <c r="Q32" s="24" t="n">
        <f aca="false">Elbow_2Phase!BB32</f>
        <v>2.79940633801605E-006</v>
      </c>
      <c r="R32" s="24" t="n">
        <f aca="false">Elbow_2Phase!BC32</f>
        <v>1</v>
      </c>
      <c r="S32" s="24" t="n">
        <f aca="false">Elbow_2Phase!BD32</f>
        <v>0.00176</v>
      </c>
      <c r="T32" s="24" t="n">
        <f aca="false">Elbow_2Phase!BE32</f>
        <v>0.001408</v>
      </c>
      <c r="U32" s="24" t="n">
        <f aca="false">Elbow_2Phase!BF32</f>
        <v>0.002112</v>
      </c>
      <c r="V32" s="77" t="str">
        <f aca="false">Elbow_2Phase!BG32</f>
        <v>Kesana (2013)</v>
      </c>
    </row>
    <row r="33" customFormat="false" ht="12.8" hidden="false" customHeight="false" outlineLevel="0" collapsed="false">
      <c r="A33" s="15" t="n">
        <v>31</v>
      </c>
      <c r="B33" s="20" t="str">
        <f aca="false">Elbow_2Phase!AM33</f>
        <v>Elbow</v>
      </c>
      <c r="C33" s="20" t="str">
        <f aca="false">Elbow_2Phase!AN33</f>
        <v>Gas-solid</v>
      </c>
      <c r="D33" s="20" t="str">
        <f aca="false">Elbow_2Phase!AO33</f>
        <v>V-H</v>
      </c>
      <c r="E33" s="48" t="n">
        <f aca="false">Elbow_2Phase!AP33</f>
        <v>90</v>
      </c>
      <c r="F33" s="48" t="n">
        <f aca="false">Elbow_2Phase!AQ33</f>
        <v>1.5</v>
      </c>
      <c r="G33" s="24" t="n">
        <f aca="false">Elbow_2Phase!AR33</f>
        <v>236.220472440945</v>
      </c>
      <c r="H33" s="24" t="n">
        <f aca="false">Elbow_2Phase!AS33</f>
        <v>1E-006</v>
      </c>
      <c r="I33" s="24" t="n">
        <f aca="false">Elbow_2Phase!AT33</f>
        <v>31.2285467790371</v>
      </c>
      <c r="J33" s="24" t="n">
        <f aca="false">Elbow_2Phase!AU33</f>
        <v>140017.5</v>
      </c>
      <c r="K33" s="24" t="n">
        <f aca="false">Elbow_2Phase!AV33</f>
        <v>2652.5826140625</v>
      </c>
      <c r="L33" s="24" t="n">
        <f aca="false">Elbow_2Phase!AW33</f>
        <v>260.826771653543</v>
      </c>
      <c r="M33" s="24" t="n">
        <f aca="false">Elbow_2Phase!AX33</f>
        <v>551.25</v>
      </c>
      <c r="N33" s="24" t="n">
        <f aca="false">Elbow_2Phase!AY33</f>
        <v>0.00393700787401575</v>
      </c>
      <c r="O33" s="24" t="n">
        <f aca="false">Elbow_2Phase!AZ33</f>
        <v>0.000462264150943396</v>
      </c>
      <c r="P33" s="24" t="n">
        <f aca="false">Elbow_2Phase!BA33</f>
        <v>260.562328424934</v>
      </c>
      <c r="Q33" s="24" t="n">
        <f aca="false">Elbow_2Phase!BB33</f>
        <v>9.08056386097609E-006</v>
      </c>
      <c r="R33" s="24" t="n">
        <f aca="false">Elbow_2Phase!BC33</f>
        <v>1</v>
      </c>
      <c r="S33" s="24" t="n">
        <f aca="false">Elbow_2Phase!BD33</f>
        <v>0.00139</v>
      </c>
      <c r="T33" s="24" t="n">
        <f aca="false">Elbow_2Phase!BE33</f>
        <v>0.001112</v>
      </c>
      <c r="U33" s="24" t="n">
        <f aca="false">Elbow_2Phase!BF33</f>
        <v>0.001668</v>
      </c>
      <c r="V33" s="77" t="str">
        <f aca="false">Elbow_2Phase!BG33</f>
        <v>Vieira (2016)</v>
      </c>
    </row>
    <row r="34" customFormat="false" ht="12.8" hidden="false" customHeight="false" outlineLevel="0" collapsed="false">
      <c r="A34" s="15" t="n">
        <v>32</v>
      </c>
      <c r="B34" s="20" t="str">
        <f aca="false">Elbow_2Phase!AM34</f>
        <v>Elbow</v>
      </c>
      <c r="C34" s="20" t="str">
        <f aca="false">Elbow_2Phase!AN34</f>
        <v>Gas-solid</v>
      </c>
      <c r="D34" s="20" t="str">
        <f aca="false">Elbow_2Phase!AO34</f>
        <v>V-H</v>
      </c>
      <c r="E34" s="48" t="n">
        <f aca="false">Elbow_2Phase!AP34</f>
        <v>90</v>
      </c>
      <c r="F34" s="48" t="n">
        <f aca="false">Elbow_2Phase!AQ34</f>
        <v>1.5</v>
      </c>
      <c r="G34" s="24" t="n">
        <f aca="false">Elbow_2Phase!AR34</f>
        <v>236.220472440945</v>
      </c>
      <c r="H34" s="24" t="n">
        <f aca="false">Elbow_2Phase!AS34</f>
        <v>1E-006</v>
      </c>
      <c r="I34" s="24" t="n">
        <f aca="false">Elbow_2Phase!AT34</f>
        <v>26.6020954043649</v>
      </c>
      <c r="J34" s="24" t="n">
        <f aca="false">Elbow_2Phase!AU34</f>
        <v>119274.166666667</v>
      </c>
      <c r="K34" s="24" t="n">
        <f aca="false">Elbow_2Phase!AV34</f>
        <v>2652.5826140625</v>
      </c>
      <c r="L34" s="24" t="n">
        <f aca="false">Elbow_2Phase!AW34</f>
        <v>222.185768445611</v>
      </c>
      <c r="M34" s="24" t="n">
        <f aca="false">Elbow_2Phase!AX34</f>
        <v>469.583333333333</v>
      </c>
      <c r="N34" s="24" t="n">
        <f aca="false">Elbow_2Phase!AY34</f>
        <v>0.00393700787401575</v>
      </c>
      <c r="O34" s="24" t="n">
        <f aca="false">Elbow_2Phase!AZ34</f>
        <v>0.000462264150943396</v>
      </c>
      <c r="P34" s="24" t="n">
        <f aca="false">Elbow_2Phase!BA34</f>
        <v>359.073605712244</v>
      </c>
      <c r="Q34" s="24" t="n">
        <f aca="false">Elbow_2Phase!BB34</f>
        <v>9.4522342422729E-006</v>
      </c>
      <c r="R34" s="24" t="n">
        <f aca="false">Elbow_2Phase!BC34</f>
        <v>1</v>
      </c>
      <c r="S34" s="24" t="n">
        <f aca="false">Elbow_2Phase!BD34</f>
        <v>0.000971</v>
      </c>
      <c r="T34" s="24" t="n">
        <f aca="false">Elbow_2Phase!BE34</f>
        <v>0.0007768</v>
      </c>
      <c r="U34" s="24" t="n">
        <f aca="false">Elbow_2Phase!BF34</f>
        <v>0.0011652</v>
      </c>
      <c r="V34" s="77" t="str">
        <f aca="false">Elbow_2Phase!BG34</f>
        <v>Vieira (2016)</v>
      </c>
    </row>
    <row r="35" customFormat="false" ht="12.8" hidden="false" customHeight="false" outlineLevel="0" collapsed="false">
      <c r="A35" s="15" t="n">
        <v>33</v>
      </c>
      <c r="B35" s="20" t="str">
        <f aca="false">Elbow_2Phase!AM35</f>
        <v>Elbow</v>
      </c>
      <c r="C35" s="20" t="str">
        <f aca="false">Elbow_2Phase!AN35</f>
        <v>Gas-solid</v>
      </c>
      <c r="D35" s="20" t="str">
        <f aca="false">Elbow_2Phase!AO35</f>
        <v>V-H</v>
      </c>
      <c r="E35" s="48" t="n">
        <f aca="false">Elbow_2Phase!AP35</f>
        <v>90</v>
      </c>
      <c r="F35" s="48" t="n">
        <f aca="false">Elbow_2Phase!AQ35</f>
        <v>1.5</v>
      </c>
      <c r="G35" s="24" t="n">
        <f aca="false">Elbow_2Phase!AR35</f>
        <v>236.220472440945</v>
      </c>
      <c r="H35" s="24" t="n">
        <f aca="false">Elbow_2Phase!AS35</f>
        <v>1E-006</v>
      </c>
      <c r="I35" s="24" t="n">
        <f aca="false">Elbow_2Phase!AT35</f>
        <v>17.3491926550206</v>
      </c>
      <c r="J35" s="24" t="n">
        <f aca="false">Elbow_2Phase!AU35</f>
        <v>77787.5</v>
      </c>
      <c r="K35" s="24" t="n">
        <f aca="false">Elbow_2Phase!AV35</f>
        <v>2652.5826140625</v>
      </c>
      <c r="L35" s="24" t="n">
        <f aca="false">Elbow_2Phase!AW35</f>
        <v>144.903762029746</v>
      </c>
      <c r="M35" s="24" t="n">
        <f aca="false">Elbow_2Phase!AX35</f>
        <v>306.25</v>
      </c>
      <c r="N35" s="24" t="n">
        <f aca="false">Elbow_2Phase!AY35</f>
        <v>0.00393700787401575</v>
      </c>
      <c r="O35" s="24" t="n">
        <f aca="false">Elbow_2Phase!AZ35</f>
        <v>0.000462264150943396</v>
      </c>
      <c r="P35" s="24" t="n">
        <f aca="false">Elbow_2Phase!BA35</f>
        <v>844.221944096788</v>
      </c>
      <c r="Q35" s="24" t="n">
        <f aca="false">Elbow_2Phase!BB35</f>
        <v>2.88585962379419E-005</v>
      </c>
      <c r="R35" s="24" t="n">
        <f aca="false">Elbow_2Phase!BC35</f>
        <v>1</v>
      </c>
      <c r="S35" s="24" t="n">
        <f aca="false">Elbow_2Phase!BD35</f>
        <v>0.000355</v>
      </c>
      <c r="T35" s="24" t="n">
        <f aca="false">Elbow_2Phase!BE35</f>
        <v>0.000284</v>
      </c>
      <c r="U35" s="24" t="n">
        <f aca="false">Elbow_2Phase!BF35</f>
        <v>0.000426</v>
      </c>
      <c r="V35" s="77" t="str">
        <f aca="false">Elbow_2Phase!BG35</f>
        <v>Vieira (2016)</v>
      </c>
    </row>
    <row r="36" customFormat="false" ht="12.8" hidden="false" customHeight="false" outlineLevel="0" collapsed="false">
      <c r="A36" s="15" t="n">
        <v>34</v>
      </c>
      <c r="B36" s="20" t="str">
        <f aca="false">Elbow_2Phase!AM36</f>
        <v>Elbow</v>
      </c>
      <c r="C36" s="20" t="str">
        <f aca="false">Elbow_2Phase!AN36</f>
        <v>Gas-solid</v>
      </c>
      <c r="D36" s="20" t="str">
        <f aca="false">Elbow_2Phase!AO36</f>
        <v>V-H</v>
      </c>
      <c r="E36" s="48" t="n">
        <f aca="false">Elbow_2Phase!AP36</f>
        <v>90</v>
      </c>
      <c r="F36" s="48" t="n">
        <f aca="false">Elbow_2Phase!AQ36</f>
        <v>1.5</v>
      </c>
      <c r="G36" s="24" t="n">
        <f aca="false">Elbow_2Phase!AR36</f>
        <v>236.220472440945</v>
      </c>
      <c r="H36" s="24" t="n">
        <f aca="false">Elbow_2Phase!AS36</f>
        <v>1E-006</v>
      </c>
      <c r="I36" s="24" t="n">
        <f aca="false">Elbow_2Phase!AT36</f>
        <v>17.3491926550206</v>
      </c>
      <c r="J36" s="24" t="n">
        <f aca="false">Elbow_2Phase!AU36</f>
        <v>77787.5</v>
      </c>
      <c r="K36" s="24" t="n">
        <f aca="false">Elbow_2Phase!AV36</f>
        <v>2652.5826140625</v>
      </c>
      <c r="L36" s="24" t="n">
        <f aca="false">Elbow_2Phase!AW36</f>
        <v>144.903762029746</v>
      </c>
      <c r="M36" s="24" t="n">
        <f aca="false">Elbow_2Phase!AX36</f>
        <v>306.25</v>
      </c>
      <c r="N36" s="24" t="n">
        <f aca="false">Elbow_2Phase!AY36</f>
        <v>0.00393700787401575</v>
      </c>
      <c r="O36" s="24" t="n">
        <f aca="false">Elbow_2Phase!AZ36</f>
        <v>0.000462264150943396</v>
      </c>
      <c r="P36" s="24" t="n">
        <f aca="false">Elbow_2Phase!BA36</f>
        <v>844.221944096788</v>
      </c>
      <c r="Q36" s="24" t="n">
        <f aca="false">Elbow_2Phase!BB36</f>
        <v>6.57633107746346E-006</v>
      </c>
      <c r="R36" s="24" t="n">
        <f aca="false">Elbow_2Phase!BC36</f>
        <v>1</v>
      </c>
      <c r="S36" s="24" t="n">
        <f aca="false">Elbow_2Phase!BD36</f>
        <v>0.000393</v>
      </c>
      <c r="T36" s="24" t="n">
        <f aca="false">Elbow_2Phase!BE36</f>
        <v>0.0003144</v>
      </c>
      <c r="U36" s="24" t="n">
        <f aca="false">Elbow_2Phase!BF36</f>
        <v>0.0004716</v>
      </c>
      <c r="V36" s="77" t="str">
        <f aca="false">Elbow_2Phase!BG36</f>
        <v>Vieira (2016)</v>
      </c>
    </row>
    <row r="37" customFormat="false" ht="12.8" hidden="false" customHeight="false" outlineLevel="0" collapsed="false">
      <c r="A37" s="15" t="n">
        <v>35</v>
      </c>
      <c r="B37" s="20" t="str">
        <f aca="false">Elbow_2Phase!AM37</f>
        <v>Elbow</v>
      </c>
      <c r="C37" s="20" t="str">
        <f aca="false">Elbow_2Phase!AN37</f>
        <v>Gas-solid</v>
      </c>
      <c r="D37" s="20" t="str">
        <f aca="false">Elbow_2Phase!AO37</f>
        <v>V-H</v>
      </c>
      <c r="E37" s="48" t="n">
        <f aca="false">Elbow_2Phase!AP37</f>
        <v>90</v>
      </c>
      <c r="F37" s="48" t="n">
        <f aca="false">Elbow_2Phase!AQ37</f>
        <v>1.5</v>
      </c>
      <c r="G37" s="24" t="n">
        <f aca="false">Elbow_2Phase!AR37</f>
        <v>236.220472440945</v>
      </c>
      <c r="H37" s="24" t="n">
        <f aca="false">Elbow_2Phase!AS37</f>
        <v>1E-006</v>
      </c>
      <c r="I37" s="24" t="n">
        <f aca="false">Elbow_2Phase!AT37</f>
        <v>17.3491926550206</v>
      </c>
      <c r="J37" s="24" t="n">
        <f aca="false">Elbow_2Phase!AU37</f>
        <v>77787.5</v>
      </c>
      <c r="K37" s="24" t="n">
        <f aca="false">Elbow_2Phase!AV37</f>
        <v>2652.5826140625</v>
      </c>
      <c r="L37" s="24" t="n">
        <f aca="false">Elbow_2Phase!AW37</f>
        <v>144.903762029746</v>
      </c>
      <c r="M37" s="24" t="n">
        <f aca="false">Elbow_2Phase!AX37</f>
        <v>306.25</v>
      </c>
      <c r="N37" s="24" t="n">
        <f aca="false">Elbow_2Phase!AY37</f>
        <v>0.00393700787401575</v>
      </c>
      <c r="O37" s="24" t="n">
        <f aca="false">Elbow_2Phase!AZ37</f>
        <v>0.000462264150943396</v>
      </c>
      <c r="P37" s="24" t="n">
        <f aca="false">Elbow_2Phase!BA37</f>
        <v>844.221944096788</v>
      </c>
      <c r="Q37" s="24" t="n">
        <f aca="false">Elbow_2Phase!BB37</f>
        <v>1.22587222516791E-005</v>
      </c>
      <c r="R37" s="24" t="n">
        <f aca="false">Elbow_2Phase!BC37</f>
        <v>1</v>
      </c>
      <c r="S37" s="24" t="n">
        <f aca="false">Elbow_2Phase!BD37</f>
        <v>0.000276</v>
      </c>
      <c r="T37" s="24" t="n">
        <f aca="false">Elbow_2Phase!BE37</f>
        <v>0.0002208</v>
      </c>
      <c r="U37" s="24" t="n">
        <f aca="false">Elbow_2Phase!BF37</f>
        <v>0.0003312</v>
      </c>
      <c r="V37" s="77" t="str">
        <f aca="false">Elbow_2Phase!BG37</f>
        <v>Vieira (2016)</v>
      </c>
    </row>
    <row r="38" customFormat="false" ht="12.8" hidden="false" customHeight="false" outlineLevel="0" collapsed="false">
      <c r="A38" s="15" t="n">
        <v>36</v>
      </c>
      <c r="B38" s="20" t="str">
        <f aca="false">Elbow_2Phase!AM38</f>
        <v>Elbow</v>
      </c>
      <c r="C38" s="20" t="str">
        <f aca="false">Elbow_2Phase!AN38</f>
        <v>Gas-solid</v>
      </c>
      <c r="D38" s="20" t="str">
        <f aca="false">Elbow_2Phase!AO38</f>
        <v>V-H</v>
      </c>
      <c r="E38" s="48" t="n">
        <f aca="false">Elbow_2Phase!AP38</f>
        <v>90</v>
      </c>
      <c r="F38" s="48" t="n">
        <f aca="false">Elbow_2Phase!AQ38</f>
        <v>1.5</v>
      </c>
      <c r="G38" s="24" t="n">
        <f aca="false">Elbow_2Phase!AR38</f>
        <v>236.220472440945</v>
      </c>
      <c r="H38" s="24" t="n">
        <f aca="false">Elbow_2Phase!AS38</f>
        <v>1E-006</v>
      </c>
      <c r="I38" s="24" t="n">
        <f aca="false">Elbow_2Phase!AT38</f>
        <v>17.3491926550206</v>
      </c>
      <c r="J38" s="24" t="n">
        <f aca="false">Elbow_2Phase!AU38</f>
        <v>77787.5</v>
      </c>
      <c r="K38" s="24" t="n">
        <f aca="false">Elbow_2Phase!AV38</f>
        <v>2652.5826140625</v>
      </c>
      <c r="L38" s="24" t="n">
        <f aca="false">Elbow_2Phase!AW38</f>
        <v>144.903762029746</v>
      </c>
      <c r="M38" s="24" t="n">
        <f aca="false">Elbow_2Phase!AX38</f>
        <v>306.25</v>
      </c>
      <c r="N38" s="24" t="n">
        <f aca="false">Elbow_2Phase!AY38</f>
        <v>0.00393700787401575</v>
      </c>
      <c r="O38" s="24" t="n">
        <f aca="false">Elbow_2Phase!AZ38</f>
        <v>0.000462264150943396</v>
      </c>
      <c r="P38" s="24" t="n">
        <f aca="false">Elbow_2Phase!BA38</f>
        <v>844.221944096788</v>
      </c>
      <c r="Q38" s="24" t="n">
        <f aca="false">Elbow_2Phase!BB38</f>
        <v>9.832540661798E-006</v>
      </c>
      <c r="R38" s="24" t="n">
        <f aca="false">Elbow_2Phase!BC38</f>
        <v>1</v>
      </c>
      <c r="S38" s="24" t="n">
        <f aca="false">Elbow_2Phase!BD38</f>
        <v>0.000394</v>
      </c>
      <c r="T38" s="24" t="n">
        <f aca="false">Elbow_2Phase!BE38</f>
        <v>0.0003152</v>
      </c>
      <c r="U38" s="24" t="n">
        <f aca="false">Elbow_2Phase!BF38</f>
        <v>0.0004728</v>
      </c>
      <c r="V38" s="77" t="str">
        <f aca="false">Elbow_2Phase!BG38</f>
        <v>Vieira (2016)</v>
      </c>
    </row>
    <row r="39" customFormat="false" ht="12.8" hidden="false" customHeight="false" outlineLevel="0" collapsed="false">
      <c r="A39" s="15" t="n">
        <v>37</v>
      </c>
      <c r="B39" s="20" t="str">
        <f aca="false">Elbow_2Phase!AM39</f>
        <v>Elbow</v>
      </c>
      <c r="C39" s="20" t="str">
        <f aca="false">Elbow_2Phase!AN39</f>
        <v>Gas-solid</v>
      </c>
      <c r="D39" s="20" t="str">
        <f aca="false">Elbow_2Phase!AO39</f>
        <v>V-H</v>
      </c>
      <c r="E39" s="48" t="n">
        <f aca="false">Elbow_2Phase!AP39</f>
        <v>90</v>
      </c>
      <c r="F39" s="48" t="n">
        <f aca="false">Elbow_2Phase!AQ39</f>
        <v>1.5</v>
      </c>
      <c r="G39" s="24" t="n">
        <f aca="false">Elbow_2Phase!AR39</f>
        <v>236.220472440945</v>
      </c>
      <c r="H39" s="24" t="n">
        <f aca="false">Elbow_2Phase!AS39</f>
        <v>1E-006</v>
      </c>
      <c r="I39" s="24" t="n">
        <f aca="false">Elbow_2Phase!AT39</f>
        <v>12.7227412803484</v>
      </c>
      <c r="J39" s="24" t="n">
        <f aca="false">Elbow_2Phase!AU39</f>
        <v>57044.1666666667</v>
      </c>
      <c r="K39" s="24" t="n">
        <f aca="false">Elbow_2Phase!AV39</f>
        <v>2652.5826140625</v>
      </c>
      <c r="L39" s="24" t="n">
        <f aca="false">Elbow_2Phase!AW39</f>
        <v>106.262758821814</v>
      </c>
      <c r="M39" s="24" t="n">
        <f aca="false">Elbow_2Phase!AX39</f>
        <v>224.583333333333</v>
      </c>
      <c r="N39" s="24" t="n">
        <f aca="false">Elbow_2Phase!AY39</f>
        <v>0.00393700787401575</v>
      </c>
      <c r="O39" s="24" t="n">
        <f aca="false">Elbow_2Phase!AZ39</f>
        <v>0.000462264150943396</v>
      </c>
      <c r="P39" s="24" t="n">
        <f aca="false">Elbow_2Phase!BA39</f>
        <v>1569.83419356841</v>
      </c>
      <c r="Q39" s="24" t="n">
        <f aca="false">Elbow_2Phase!BB39</f>
        <v>2.50743378000308E-005</v>
      </c>
      <c r="R39" s="24" t="n">
        <f aca="false">Elbow_2Phase!BC39</f>
        <v>1</v>
      </c>
      <c r="S39" s="24" t="n">
        <f aca="false">Elbow_2Phase!BD39</f>
        <v>0.000161</v>
      </c>
      <c r="T39" s="24" t="n">
        <f aca="false">Elbow_2Phase!BE39</f>
        <v>0.0001288</v>
      </c>
      <c r="U39" s="24" t="n">
        <f aca="false">Elbow_2Phase!BF39</f>
        <v>0.0001932</v>
      </c>
      <c r="V39" s="77" t="str">
        <f aca="false">Elbow_2Phase!BG39</f>
        <v>Vieira (2016)</v>
      </c>
    </row>
    <row r="40" customFormat="false" ht="12.8" hidden="false" customHeight="false" outlineLevel="0" collapsed="false">
      <c r="A40" s="15" t="n">
        <v>38</v>
      </c>
      <c r="B40" s="20" t="str">
        <f aca="false">Elbow_2Phase!AM40</f>
        <v>Elbow</v>
      </c>
      <c r="C40" s="20" t="str">
        <f aca="false">Elbow_2Phase!AN40</f>
        <v>Gas-solid</v>
      </c>
      <c r="D40" s="20" t="str">
        <f aca="false">Elbow_2Phase!AO40</f>
        <v>V-H</v>
      </c>
      <c r="E40" s="48" t="n">
        <f aca="false">Elbow_2Phase!AP40</f>
        <v>90</v>
      </c>
      <c r="F40" s="48" t="n">
        <f aca="false">Elbow_2Phase!AQ40</f>
        <v>1.5</v>
      </c>
      <c r="G40" s="24" t="n">
        <f aca="false">Elbow_2Phase!AR40</f>
        <v>236.220472440945</v>
      </c>
      <c r="H40" s="24" t="n">
        <f aca="false">Elbow_2Phase!AS40</f>
        <v>1E-006</v>
      </c>
      <c r="I40" s="24" t="n">
        <f aca="false">Elbow_2Phase!AT40</f>
        <v>31.2285467790371</v>
      </c>
      <c r="J40" s="24" t="n">
        <f aca="false">Elbow_2Phase!AU40</f>
        <v>140017.5</v>
      </c>
      <c r="K40" s="24" t="n">
        <f aca="false">Elbow_2Phase!AV40</f>
        <v>331.572826757812</v>
      </c>
      <c r="L40" s="24" t="n">
        <f aca="false">Elbow_2Phase!AW40</f>
        <v>65.2066929133858</v>
      </c>
      <c r="M40" s="24" t="n">
        <f aca="false">Elbow_2Phase!AX40</f>
        <v>275.625</v>
      </c>
      <c r="N40" s="24" t="n">
        <f aca="false">Elbow_2Phase!AY40</f>
        <v>0.00196850393700787</v>
      </c>
      <c r="O40" s="24" t="n">
        <f aca="false">Elbow_2Phase!AZ40</f>
        <v>0.000462264150943396</v>
      </c>
      <c r="P40" s="24" t="n">
        <f aca="false">Elbow_2Phase!BA40</f>
        <v>260.562328424934</v>
      </c>
      <c r="Q40" s="24" t="n">
        <f aca="false">Elbow_2Phase!BB40</f>
        <v>7.3070291912435E-006</v>
      </c>
      <c r="R40" s="24" t="n">
        <f aca="false">Elbow_2Phase!BC40</f>
        <v>1</v>
      </c>
      <c r="S40" s="24" t="n">
        <f aca="false">Elbow_2Phase!BD40</f>
        <v>0.000719</v>
      </c>
      <c r="T40" s="24" t="n">
        <f aca="false">Elbow_2Phase!BE40</f>
        <v>0.0005752</v>
      </c>
      <c r="U40" s="24" t="n">
        <f aca="false">Elbow_2Phase!BF40</f>
        <v>0.0008628</v>
      </c>
      <c r="V40" s="77" t="str">
        <f aca="false">Elbow_2Phase!BG40</f>
        <v>Vieira (2016)</v>
      </c>
    </row>
    <row r="41" customFormat="false" ht="12.8" hidden="false" customHeight="false" outlineLevel="0" collapsed="false">
      <c r="A41" s="15" t="n">
        <v>39</v>
      </c>
      <c r="B41" s="20" t="str">
        <f aca="false">Elbow_2Phase!AM41</f>
        <v>Elbow</v>
      </c>
      <c r="C41" s="20" t="str">
        <f aca="false">Elbow_2Phase!AN41</f>
        <v>Gas-solid</v>
      </c>
      <c r="D41" s="20" t="str">
        <f aca="false">Elbow_2Phase!AO41</f>
        <v>V-H</v>
      </c>
      <c r="E41" s="48" t="n">
        <f aca="false">Elbow_2Phase!AP41</f>
        <v>90</v>
      </c>
      <c r="F41" s="48" t="n">
        <f aca="false">Elbow_2Phase!AQ41</f>
        <v>1.5</v>
      </c>
      <c r="G41" s="24" t="n">
        <f aca="false">Elbow_2Phase!AR41</f>
        <v>236.220472440945</v>
      </c>
      <c r="H41" s="24" t="n">
        <f aca="false">Elbow_2Phase!AS41</f>
        <v>1E-006</v>
      </c>
      <c r="I41" s="24" t="n">
        <f aca="false">Elbow_2Phase!AT41</f>
        <v>26.6020954043649</v>
      </c>
      <c r="J41" s="24" t="n">
        <f aca="false">Elbow_2Phase!AU41</f>
        <v>119274.166666667</v>
      </c>
      <c r="K41" s="24" t="n">
        <f aca="false">Elbow_2Phase!AV41</f>
        <v>331.572826757812</v>
      </c>
      <c r="L41" s="24" t="n">
        <f aca="false">Elbow_2Phase!AW41</f>
        <v>55.5464421114027</v>
      </c>
      <c r="M41" s="24" t="n">
        <f aca="false">Elbow_2Phase!AX41</f>
        <v>234.791666666667</v>
      </c>
      <c r="N41" s="24" t="n">
        <f aca="false">Elbow_2Phase!AY41</f>
        <v>0.00196850393700787</v>
      </c>
      <c r="O41" s="24" t="n">
        <f aca="false">Elbow_2Phase!AZ41</f>
        <v>0.000462264150943396</v>
      </c>
      <c r="P41" s="24" t="n">
        <f aca="false">Elbow_2Phase!BA41</f>
        <v>359.073605712244</v>
      </c>
      <c r="Q41" s="24" t="n">
        <f aca="false">Elbow_2Phase!BB41</f>
        <v>1.07014148268535E-005</v>
      </c>
      <c r="R41" s="24" t="n">
        <f aca="false">Elbow_2Phase!BC41</f>
        <v>1</v>
      </c>
      <c r="S41" s="24" t="n">
        <f aca="false">Elbow_2Phase!BD41</f>
        <v>0.000386</v>
      </c>
      <c r="T41" s="24" t="n">
        <f aca="false">Elbow_2Phase!BE41</f>
        <v>0.0003088</v>
      </c>
      <c r="U41" s="24" t="n">
        <f aca="false">Elbow_2Phase!BF41</f>
        <v>0.0004632</v>
      </c>
      <c r="V41" s="77" t="str">
        <f aca="false">Elbow_2Phase!BG41</f>
        <v>Vieira (2016)</v>
      </c>
    </row>
    <row r="42" customFormat="false" ht="12.8" hidden="false" customHeight="false" outlineLevel="0" collapsed="false">
      <c r="A42" s="15" t="n">
        <v>40</v>
      </c>
      <c r="B42" s="20" t="str">
        <f aca="false">Elbow_2Phase!AM42</f>
        <v>Elbow</v>
      </c>
      <c r="C42" s="20" t="str">
        <f aca="false">Elbow_2Phase!AN42</f>
        <v>Gas-solid</v>
      </c>
      <c r="D42" s="20" t="str">
        <f aca="false">Elbow_2Phase!AO42</f>
        <v>V-H</v>
      </c>
      <c r="E42" s="48" t="n">
        <f aca="false">Elbow_2Phase!AP42</f>
        <v>90</v>
      </c>
      <c r="F42" s="48" t="n">
        <f aca="false">Elbow_2Phase!AQ42</f>
        <v>1.5</v>
      </c>
      <c r="G42" s="24" t="n">
        <f aca="false">Elbow_2Phase!AR42</f>
        <v>236.220472440945</v>
      </c>
      <c r="H42" s="24" t="n">
        <f aca="false">Elbow_2Phase!AS42</f>
        <v>1E-006</v>
      </c>
      <c r="I42" s="24" t="n">
        <f aca="false">Elbow_2Phase!AT42</f>
        <v>17.3491926550206</v>
      </c>
      <c r="J42" s="24" t="n">
        <f aca="false">Elbow_2Phase!AU42</f>
        <v>77787.5</v>
      </c>
      <c r="K42" s="24" t="n">
        <f aca="false">Elbow_2Phase!AV42</f>
        <v>331.572826757812</v>
      </c>
      <c r="L42" s="24" t="n">
        <f aca="false">Elbow_2Phase!AW42</f>
        <v>36.2259405074366</v>
      </c>
      <c r="M42" s="24" t="n">
        <f aca="false">Elbow_2Phase!AX42</f>
        <v>153.125</v>
      </c>
      <c r="N42" s="24" t="n">
        <f aca="false">Elbow_2Phase!AY42</f>
        <v>0.00196850393700787</v>
      </c>
      <c r="O42" s="24" t="n">
        <f aca="false">Elbow_2Phase!AZ42</f>
        <v>0.000462264150943396</v>
      </c>
      <c r="P42" s="24" t="n">
        <f aca="false">Elbow_2Phase!BA42</f>
        <v>844.221944096788</v>
      </c>
      <c r="Q42" s="24" t="n">
        <f aca="false">Elbow_2Phase!BB42</f>
        <v>1.51318168036181E-005</v>
      </c>
      <c r="R42" s="24" t="n">
        <f aca="false">Elbow_2Phase!BC42</f>
        <v>1</v>
      </c>
      <c r="S42" s="24" t="n">
        <f aca="false">Elbow_2Phase!BD42</f>
        <v>0.000153</v>
      </c>
      <c r="T42" s="24" t="n">
        <f aca="false">Elbow_2Phase!BE42</f>
        <v>0.0001224</v>
      </c>
      <c r="U42" s="24" t="n">
        <f aca="false">Elbow_2Phase!BF42</f>
        <v>0.0001836</v>
      </c>
      <c r="V42" s="77" t="str">
        <f aca="false">Elbow_2Phase!BG42</f>
        <v>Vieira (2016)</v>
      </c>
    </row>
    <row r="43" customFormat="false" ht="12.8" hidden="false" customHeight="false" outlineLevel="0" collapsed="false">
      <c r="A43" s="15" t="n">
        <v>41</v>
      </c>
      <c r="B43" s="20" t="str">
        <f aca="false">Elbow_2Phase!AM43</f>
        <v>Elbow</v>
      </c>
      <c r="C43" s="20" t="str">
        <f aca="false">Elbow_2Phase!AN43</f>
        <v>Gas-solid</v>
      </c>
      <c r="D43" s="20" t="str">
        <f aca="false">Elbow_2Phase!AO43</f>
        <v>V-H</v>
      </c>
      <c r="E43" s="48" t="n">
        <f aca="false">Elbow_2Phase!AP43</f>
        <v>90</v>
      </c>
      <c r="F43" s="48" t="n">
        <f aca="false">Elbow_2Phase!AQ43</f>
        <v>1.5</v>
      </c>
      <c r="G43" s="24" t="n">
        <f aca="false">Elbow_2Phase!AR43</f>
        <v>236.220472440945</v>
      </c>
      <c r="H43" s="24" t="n">
        <f aca="false">Elbow_2Phase!AS43</f>
        <v>1E-006</v>
      </c>
      <c r="I43" s="24" t="n">
        <f aca="false">Elbow_2Phase!AT43</f>
        <v>12.7227412803484</v>
      </c>
      <c r="J43" s="24" t="n">
        <f aca="false">Elbow_2Phase!AU43</f>
        <v>57044.1666666667</v>
      </c>
      <c r="K43" s="24" t="n">
        <f aca="false">Elbow_2Phase!AV43</f>
        <v>331.572826757812</v>
      </c>
      <c r="L43" s="24" t="n">
        <f aca="false">Elbow_2Phase!AW43</f>
        <v>26.5656897054535</v>
      </c>
      <c r="M43" s="24" t="n">
        <f aca="false">Elbow_2Phase!AX43</f>
        <v>112.291666666667</v>
      </c>
      <c r="N43" s="24" t="n">
        <f aca="false">Elbow_2Phase!AY43</f>
        <v>0.00196850393700787</v>
      </c>
      <c r="O43" s="24" t="n">
        <f aca="false">Elbow_2Phase!AZ43</f>
        <v>0.000462264150943396</v>
      </c>
      <c r="P43" s="24" t="n">
        <f aca="false">Elbow_2Phase!BA43</f>
        <v>1569.83419356841</v>
      </c>
      <c r="Q43" s="24" t="n">
        <f aca="false">Elbow_2Phase!BB43</f>
        <v>2.21142383826523E-005</v>
      </c>
      <c r="R43" s="24" t="n">
        <f aca="false">Elbow_2Phase!BC43</f>
        <v>1</v>
      </c>
      <c r="S43" s="24" t="n">
        <f aca="false">Elbow_2Phase!BD43</f>
        <v>7.05E-005</v>
      </c>
      <c r="T43" s="24" t="n">
        <f aca="false">Elbow_2Phase!BE43</f>
        <v>5.64E-005</v>
      </c>
      <c r="U43" s="24" t="n">
        <f aca="false">Elbow_2Phase!BF43</f>
        <v>8.46E-005</v>
      </c>
      <c r="V43" s="77" t="str">
        <f aca="false">Elbow_2Phase!BG43</f>
        <v>Vieira (2016)</v>
      </c>
    </row>
    <row r="44" customFormat="false" ht="12.8" hidden="false" customHeight="false" outlineLevel="0" collapsed="false">
      <c r="A44" s="15" t="n">
        <v>42</v>
      </c>
      <c r="B44" s="20" t="str">
        <f aca="false">Elbow_2Phase!AM44</f>
        <v>Elbow</v>
      </c>
      <c r="C44" s="20" t="str">
        <f aca="false">Elbow_2Phase!AN44</f>
        <v>Gas-solid</v>
      </c>
      <c r="D44" s="20" t="str">
        <f aca="false">Elbow_2Phase!AO44</f>
        <v>V-H</v>
      </c>
      <c r="E44" s="48" t="n">
        <f aca="false">Elbow_2Phase!AP44</f>
        <v>90</v>
      </c>
      <c r="F44" s="48" t="n">
        <f aca="false">Elbow_2Phase!AQ44</f>
        <v>1.5</v>
      </c>
      <c r="G44" s="24" t="n">
        <f aca="false">Elbow_2Phase!AR44</f>
        <v>236.220472440945</v>
      </c>
      <c r="H44" s="24" t="n">
        <f aca="false">Elbow_2Phase!AS44</f>
        <v>1E-006</v>
      </c>
      <c r="I44" s="24" t="n">
        <f aca="false">Elbow_2Phase!AT44</f>
        <v>31.2285467790371</v>
      </c>
      <c r="J44" s="24" t="n">
        <f aca="false">Elbow_2Phase!AU44</f>
        <v>140017.5</v>
      </c>
      <c r="K44" s="24" t="n">
        <f aca="false">Elbow_2Phase!AV44</f>
        <v>2652.5826140625</v>
      </c>
      <c r="L44" s="24" t="n">
        <f aca="false">Elbow_2Phase!AW44</f>
        <v>260.826771653543</v>
      </c>
      <c r="M44" s="24" t="n">
        <f aca="false">Elbow_2Phase!AX44</f>
        <v>551.25</v>
      </c>
      <c r="N44" s="24" t="n">
        <f aca="false">Elbow_2Phase!AY44</f>
        <v>0.00393700787401575</v>
      </c>
      <c r="O44" s="24" t="n">
        <f aca="false">Elbow_2Phase!AZ44</f>
        <v>0.000462264150943396</v>
      </c>
      <c r="P44" s="24" t="n">
        <f aca="false">Elbow_2Phase!BA44</f>
        <v>380.407507778781</v>
      </c>
      <c r="Q44" s="24" t="n">
        <f aca="false">Elbow_2Phase!BB44</f>
        <v>1.63165201201391E-005</v>
      </c>
      <c r="R44" s="24" t="n">
        <f aca="false">Elbow_2Phase!BC44</f>
        <v>1</v>
      </c>
      <c r="S44" s="24" t="n">
        <f aca="false">Elbow_2Phase!BD44</f>
        <v>0.00085</v>
      </c>
      <c r="T44" s="24" t="n">
        <f aca="false">Elbow_2Phase!BE44</f>
        <v>0.00068</v>
      </c>
      <c r="U44" s="24" t="n">
        <f aca="false">Elbow_2Phase!BF44</f>
        <v>0.00102</v>
      </c>
      <c r="V44" s="77" t="str">
        <f aca="false">Elbow_2Phase!BG44</f>
        <v>Viera (2014)</v>
      </c>
    </row>
    <row r="45" customFormat="false" ht="12.8" hidden="false" customHeight="false" outlineLevel="0" collapsed="false">
      <c r="A45" s="15" t="n">
        <v>43</v>
      </c>
      <c r="B45" s="20" t="str">
        <f aca="false">Elbow_2Phase!AM45</f>
        <v>Elbow</v>
      </c>
      <c r="C45" s="20" t="str">
        <f aca="false">Elbow_2Phase!AN45</f>
        <v>Gas-solid</v>
      </c>
      <c r="D45" s="20" t="str">
        <f aca="false">Elbow_2Phase!AO45</f>
        <v>V-H</v>
      </c>
      <c r="E45" s="48" t="n">
        <f aca="false">Elbow_2Phase!AP45</f>
        <v>90</v>
      </c>
      <c r="F45" s="48" t="n">
        <f aca="false">Elbow_2Phase!AQ45</f>
        <v>1.5</v>
      </c>
      <c r="G45" s="24" t="n">
        <f aca="false">Elbow_2Phase!AR45</f>
        <v>236.220472440945</v>
      </c>
      <c r="H45" s="24" t="n">
        <f aca="false">Elbow_2Phase!AS45</f>
        <v>1E-006</v>
      </c>
      <c r="I45" s="24" t="n">
        <f aca="false">Elbow_2Phase!AT45</f>
        <v>26.6020954043649</v>
      </c>
      <c r="J45" s="24" t="n">
        <f aca="false">Elbow_2Phase!AU45</f>
        <v>119274.166666667</v>
      </c>
      <c r="K45" s="24" t="n">
        <f aca="false">Elbow_2Phase!AV45</f>
        <v>2652.5826140625</v>
      </c>
      <c r="L45" s="24" t="n">
        <f aca="false">Elbow_2Phase!AW45</f>
        <v>222.185768445611</v>
      </c>
      <c r="M45" s="24" t="n">
        <f aca="false">Elbow_2Phase!AX45</f>
        <v>469.583333333333</v>
      </c>
      <c r="N45" s="24" t="n">
        <f aca="false">Elbow_2Phase!AY45</f>
        <v>0.00393700787401575</v>
      </c>
      <c r="O45" s="24" t="n">
        <f aca="false">Elbow_2Phase!AZ45</f>
        <v>0.000462264150943396</v>
      </c>
      <c r="P45" s="24" t="n">
        <f aca="false">Elbow_2Phase!BA45</f>
        <v>524.228871778321</v>
      </c>
      <c r="Q45" s="24" t="n">
        <f aca="false">Elbow_2Phase!BB45</f>
        <v>9.07747945831565E-006</v>
      </c>
      <c r="R45" s="24" t="n">
        <f aca="false">Elbow_2Phase!BC45</f>
        <v>1</v>
      </c>
      <c r="S45" s="24" t="n">
        <f aca="false">Elbow_2Phase!BD45</f>
        <v>0.000576</v>
      </c>
      <c r="T45" s="24" t="n">
        <f aca="false">Elbow_2Phase!BE45</f>
        <v>0.0004608</v>
      </c>
      <c r="U45" s="24" t="n">
        <f aca="false">Elbow_2Phase!BF45</f>
        <v>0.0006912</v>
      </c>
      <c r="V45" s="77" t="str">
        <f aca="false">Elbow_2Phase!BG45</f>
        <v>Viera (2014)</v>
      </c>
    </row>
    <row r="46" customFormat="false" ht="12.8" hidden="false" customHeight="false" outlineLevel="0" collapsed="false">
      <c r="A46" s="15" t="n">
        <v>44</v>
      </c>
      <c r="B46" s="20" t="str">
        <f aca="false">Elbow_2Phase!AM46</f>
        <v>Elbow</v>
      </c>
      <c r="C46" s="20" t="str">
        <f aca="false">Elbow_2Phase!AN46</f>
        <v>Gas-solid</v>
      </c>
      <c r="D46" s="20" t="str">
        <f aca="false">Elbow_2Phase!AO46</f>
        <v>V-H</v>
      </c>
      <c r="E46" s="48" t="n">
        <f aca="false">Elbow_2Phase!AP46</f>
        <v>90</v>
      </c>
      <c r="F46" s="48" t="n">
        <f aca="false">Elbow_2Phase!AQ46</f>
        <v>1.5</v>
      </c>
      <c r="G46" s="24" t="n">
        <f aca="false">Elbow_2Phase!AR46</f>
        <v>236.220472440945</v>
      </c>
      <c r="H46" s="24" t="n">
        <f aca="false">Elbow_2Phase!AS46</f>
        <v>1E-006</v>
      </c>
      <c r="I46" s="24" t="n">
        <f aca="false">Elbow_2Phase!AT46</f>
        <v>17.3491926550206</v>
      </c>
      <c r="J46" s="24" t="n">
        <f aca="false">Elbow_2Phase!AU46</f>
        <v>77787.5</v>
      </c>
      <c r="K46" s="24" t="n">
        <f aca="false">Elbow_2Phase!AV46</f>
        <v>2652.5826140625</v>
      </c>
      <c r="L46" s="24" t="n">
        <f aca="false">Elbow_2Phase!AW46</f>
        <v>144.903762029746</v>
      </c>
      <c r="M46" s="24" t="n">
        <f aca="false">Elbow_2Phase!AX46</f>
        <v>306.25</v>
      </c>
      <c r="N46" s="24" t="n">
        <f aca="false">Elbow_2Phase!AY46</f>
        <v>0.00393700787401575</v>
      </c>
      <c r="O46" s="24" t="n">
        <f aca="false">Elbow_2Phase!AZ46</f>
        <v>0.000462264150943396</v>
      </c>
      <c r="P46" s="24" t="n">
        <f aca="false">Elbow_2Phase!BA46</f>
        <v>1232.52032520325</v>
      </c>
      <c r="Q46" s="24" t="n">
        <f aca="false">Elbow_2Phase!BB46</f>
        <v>2.43256084266872E-005</v>
      </c>
      <c r="R46" s="24" t="n">
        <f aca="false">Elbow_2Phase!BC46</f>
        <v>1</v>
      </c>
      <c r="S46" s="24" t="n">
        <f aca="false">Elbow_2Phase!BD46</f>
        <v>0.000227</v>
      </c>
      <c r="T46" s="24" t="n">
        <f aca="false">Elbow_2Phase!BE46</f>
        <v>0.0001816</v>
      </c>
      <c r="U46" s="24" t="n">
        <f aca="false">Elbow_2Phase!BF46</f>
        <v>0.0002724</v>
      </c>
      <c r="V46" s="77" t="str">
        <f aca="false">Elbow_2Phase!BG46</f>
        <v>Viera (2014)</v>
      </c>
    </row>
    <row r="47" customFormat="false" ht="12.8" hidden="false" customHeight="false" outlineLevel="0" collapsed="false">
      <c r="A47" s="15" t="n">
        <v>45</v>
      </c>
      <c r="B47" s="20" t="str">
        <f aca="false">Elbow_2Phase!AM47</f>
        <v>Elbow</v>
      </c>
      <c r="C47" s="20" t="str">
        <f aca="false">Elbow_2Phase!AN47</f>
        <v>Gas-solid</v>
      </c>
      <c r="D47" s="20" t="str">
        <f aca="false">Elbow_2Phase!AO47</f>
        <v>V-H</v>
      </c>
      <c r="E47" s="48" t="n">
        <f aca="false">Elbow_2Phase!AP47</f>
        <v>90</v>
      </c>
      <c r="F47" s="48" t="n">
        <f aca="false">Elbow_2Phase!AQ47</f>
        <v>1.5</v>
      </c>
      <c r="G47" s="24" t="n">
        <f aca="false">Elbow_2Phase!AR47</f>
        <v>236.220472440945</v>
      </c>
      <c r="H47" s="24" t="n">
        <f aca="false">Elbow_2Phase!AS47</f>
        <v>1E-006</v>
      </c>
      <c r="I47" s="24" t="n">
        <f aca="false">Elbow_2Phase!AT47</f>
        <v>12.7227412803484</v>
      </c>
      <c r="J47" s="24" t="n">
        <f aca="false">Elbow_2Phase!AU47</f>
        <v>57044.1666666667</v>
      </c>
      <c r="K47" s="24" t="n">
        <f aca="false">Elbow_2Phase!AV47</f>
        <v>2652.5826140625</v>
      </c>
      <c r="L47" s="24" t="n">
        <f aca="false">Elbow_2Phase!AW47</f>
        <v>106.262758821814</v>
      </c>
      <c r="M47" s="24" t="n">
        <f aca="false">Elbow_2Phase!AX47</f>
        <v>224.583333333333</v>
      </c>
      <c r="N47" s="24" t="n">
        <f aca="false">Elbow_2Phase!AY47</f>
        <v>0.00393700787401575</v>
      </c>
      <c r="O47" s="24" t="n">
        <f aca="false">Elbow_2Phase!AZ47</f>
        <v>0.000462264150943396</v>
      </c>
      <c r="P47" s="24" t="n">
        <f aca="false">Elbow_2Phase!BA47</f>
        <v>2291.87663777464</v>
      </c>
      <c r="Q47" s="24" t="n">
        <f aca="false">Elbow_2Phase!BB47</f>
        <v>2.79473587106943E-005</v>
      </c>
      <c r="R47" s="24" t="n">
        <f aca="false">Elbow_2Phase!BC47</f>
        <v>1</v>
      </c>
      <c r="S47" s="24" t="n">
        <f aca="false">Elbow_2Phase!BD47</f>
        <v>6.79E-005</v>
      </c>
      <c r="T47" s="24" t="n">
        <f aca="false">Elbow_2Phase!BE47</f>
        <v>5.432E-005</v>
      </c>
      <c r="U47" s="24" t="n">
        <f aca="false">Elbow_2Phase!BF47</f>
        <v>8.148E-005</v>
      </c>
      <c r="V47" s="77" t="str">
        <f aca="false">Elbow_2Phase!BG47</f>
        <v>Viera (2014)</v>
      </c>
    </row>
    <row r="48" customFormat="false" ht="12.8" hidden="false" customHeight="false" outlineLevel="0" collapsed="false">
      <c r="A48" s="15" t="n">
        <v>46</v>
      </c>
      <c r="B48" s="20" t="str">
        <f aca="false">Elbow_2Phase!AM48</f>
        <v>Elbow</v>
      </c>
      <c r="C48" s="20" t="str">
        <f aca="false">Elbow_2Phase!AN48</f>
        <v>Gas-solid</v>
      </c>
      <c r="D48" s="20" t="str">
        <f aca="false">Elbow_2Phase!AO48</f>
        <v>V-H</v>
      </c>
      <c r="E48" s="48" t="n">
        <f aca="false">Elbow_2Phase!AP48</f>
        <v>90</v>
      </c>
      <c r="F48" s="48" t="n">
        <f aca="false">Elbow_2Phase!AQ48</f>
        <v>1.5</v>
      </c>
      <c r="G48" s="24" t="n">
        <f aca="false">Elbow_2Phase!AR48</f>
        <v>236.220472440945</v>
      </c>
      <c r="H48" s="24" t="n">
        <f aca="false">Elbow_2Phase!AS48</f>
        <v>1E-006</v>
      </c>
      <c r="I48" s="24" t="n">
        <f aca="false">Elbow_2Phase!AT48</f>
        <v>31.2285467790371</v>
      </c>
      <c r="J48" s="24" t="n">
        <f aca="false">Elbow_2Phase!AU48</f>
        <v>140017.5</v>
      </c>
      <c r="K48" s="24" t="n">
        <f aca="false">Elbow_2Phase!AV48</f>
        <v>331.572826757812</v>
      </c>
      <c r="L48" s="24" t="n">
        <f aca="false">Elbow_2Phase!AW48</f>
        <v>65.2066929133858</v>
      </c>
      <c r="M48" s="24" t="n">
        <f aca="false">Elbow_2Phase!AX48</f>
        <v>275.625</v>
      </c>
      <c r="N48" s="24" t="n">
        <f aca="false">Elbow_2Phase!AY48</f>
        <v>0.00196850393700787</v>
      </c>
      <c r="O48" s="24" t="n">
        <f aca="false">Elbow_2Phase!AZ48</f>
        <v>0.000462264150943396</v>
      </c>
      <c r="P48" s="24" t="n">
        <f aca="false">Elbow_2Phase!BA48</f>
        <v>380.407507778781</v>
      </c>
      <c r="Q48" s="24" t="n">
        <f aca="false">Elbow_2Phase!BB48</f>
        <v>1.07831512254541E-005</v>
      </c>
      <c r="R48" s="24" t="n">
        <f aca="false">Elbow_2Phase!BC48</f>
        <v>1</v>
      </c>
      <c r="S48" s="24" t="n">
        <f aca="false">Elbow_2Phase!BD48</f>
        <v>0.000327</v>
      </c>
      <c r="T48" s="24" t="n">
        <f aca="false">Elbow_2Phase!BE48</f>
        <v>0.0002616</v>
      </c>
      <c r="U48" s="24" t="n">
        <f aca="false">Elbow_2Phase!BF48</f>
        <v>0.0003924</v>
      </c>
      <c r="V48" s="77" t="str">
        <f aca="false">Elbow_2Phase!BG48</f>
        <v>Viera (2014)</v>
      </c>
    </row>
    <row r="49" customFormat="false" ht="12.8" hidden="false" customHeight="false" outlineLevel="0" collapsed="false">
      <c r="A49" s="15" t="n">
        <v>47</v>
      </c>
      <c r="B49" s="20" t="str">
        <f aca="false">Elbow_2Phase!AM49</f>
        <v>Elbow</v>
      </c>
      <c r="C49" s="20" t="str">
        <f aca="false">Elbow_2Phase!AN49</f>
        <v>Gas-solid</v>
      </c>
      <c r="D49" s="20" t="str">
        <f aca="false">Elbow_2Phase!AO49</f>
        <v>V-H</v>
      </c>
      <c r="E49" s="48" t="n">
        <f aca="false">Elbow_2Phase!AP49</f>
        <v>90</v>
      </c>
      <c r="F49" s="48" t="n">
        <f aca="false">Elbow_2Phase!AQ49</f>
        <v>1.5</v>
      </c>
      <c r="G49" s="24" t="n">
        <f aca="false">Elbow_2Phase!AR49</f>
        <v>236.220472440945</v>
      </c>
      <c r="H49" s="24" t="n">
        <f aca="false">Elbow_2Phase!AS49</f>
        <v>1E-006</v>
      </c>
      <c r="I49" s="24" t="n">
        <f aca="false">Elbow_2Phase!AT49</f>
        <v>26.6020954043649</v>
      </c>
      <c r="J49" s="24" t="n">
        <f aca="false">Elbow_2Phase!AU49</f>
        <v>119274.166666667</v>
      </c>
      <c r="K49" s="24" t="n">
        <f aca="false">Elbow_2Phase!AV49</f>
        <v>331.572826757812</v>
      </c>
      <c r="L49" s="24" t="n">
        <f aca="false">Elbow_2Phase!AW49</f>
        <v>55.5464421114027</v>
      </c>
      <c r="M49" s="24" t="n">
        <f aca="false">Elbow_2Phase!AX49</f>
        <v>234.791666666667</v>
      </c>
      <c r="N49" s="24" t="n">
        <f aca="false">Elbow_2Phase!AY49</f>
        <v>0.00196850393700787</v>
      </c>
      <c r="O49" s="24" t="n">
        <f aca="false">Elbow_2Phase!AZ49</f>
        <v>0.000462264150943396</v>
      </c>
      <c r="P49" s="24" t="n">
        <f aca="false">Elbow_2Phase!BA49</f>
        <v>524.228871778321</v>
      </c>
      <c r="Q49" s="24" t="n">
        <f aca="false">Elbow_2Phase!BB49</f>
        <v>1.24919015555337E-005</v>
      </c>
      <c r="R49" s="24" t="n">
        <f aca="false">Elbow_2Phase!BC49</f>
        <v>1</v>
      </c>
      <c r="S49" s="24" t="n">
        <f aca="false">Elbow_2Phase!BD49</f>
        <v>0.000192</v>
      </c>
      <c r="T49" s="24" t="n">
        <f aca="false">Elbow_2Phase!BE49</f>
        <v>0.0001536</v>
      </c>
      <c r="U49" s="24" t="n">
        <f aca="false">Elbow_2Phase!BF49</f>
        <v>0.0002304</v>
      </c>
      <c r="V49" s="77" t="str">
        <f aca="false">Elbow_2Phase!BG49</f>
        <v>Viera (2014)</v>
      </c>
    </row>
    <row r="50" customFormat="false" ht="12.8" hidden="false" customHeight="false" outlineLevel="0" collapsed="false">
      <c r="A50" s="15" t="n">
        <v>48</v>
      </c>
      <c r="B50" s="20" t="str">
        <f aca="false">Elbow_2Phase!AM50</f>
        <v>Elbow</v>
      </c>
      <c r="C50" s="20" t="str">
        <f aca="false">Elbow_2Phase!AN50</f>
        <v>Gas-solid</v>
      </c>
      <c r="D50" s="20" t="str">
        <f aca="false">Elbow_2Phase!AO50</f>
        <v>V-H</v>
      </c>
      <c r="E50" s="48" t="n">
        <f aca="false">Elbow_2Phase!AP50</f>
        <v>90</v>
      </c>
      <c r="F50" s="48" t="n">
        <f aca="false">Elbow_2Phase!AQ50</f>
        <v>1.5</v>
      </c>
      <c r="G50" s="24" t="n">
        <f aca="false">Elbow_2Phase!AR50</f>
        <v>236.220472440945</v>
      </c>
      <c r="H50" s="24" t="n">
        <f aca="false">Elbow_2Phase!AS50</f>
        <v>1E-006</v>
      </c>
      <c r="I50" s="24" t="n">
        <f aca="false">Elbow_2Phase!AT50</f>
        <v>17.3491926550206</v>
      </c>
      <c r="J50" s="24" t="n">
        <f aca="false">Elbow_2Phase!AU50</f>
        <v>77787.5</v>
      </c>
      <c r="K50" s="24" t="n">
        <f aca="false">Elbow_2Phase!AV50</f>
        <v>331.572826757812</v>
      </c>
      <c r="L50" s="24" t="n">
        <f aca="false">Elbow_2Phase!AW50</f>
        <v>36.2259405074366</v>
      </c>
      <c r="M50" s="24" t="n">
        <f aca="false">Elbow_2Phase!AX50</f>
        <v>153.125</v>
      </c>
      <c r="N50" s="24" t="n">
        <f aca="false">Elbow_2Phase!AY50</f>
        <v>0.00196850393700787</v>
      </c>
      <c r="O50" s="24" t="n">
        <f aca="false">Elbow_2Phase!AZ50</f>
        <v>0.000462264150943396</v>
      </c>
      <c r="P50" s="24" t="n">
        <f aca="false">Elbow_2Phase!BA50</f>
        <v>1232.52032520325</v>
      </c>
      <c r="Q50" s="24" t="n">
        <f aca="false">Elbow_2Phase!BB50</f>
        <v>1.23864156934505E-005</v>
      </c>
      <c r="R50" s="24" t="n">
        <f aca="false">Elbow_2Phase!BC50</f>
        <v>1</v>
      </c>
      <c r="S50" s="24" t="n">
        <f aca="false">Elbow_2Phase!BD50</f>
        <v>8.21E-005</v>
      </c>
      <c r="T50" s="24" t="n">
        <f aca="false">Elbow_2Phase!BE50</f>
        <v>6.568E-005</v>
      </c>
      <c r="U50" s="24" t="n">
        <f aca="false">Elbow_2Phase!BF50</f>
        <v>9.852E-005</v>
      </c>
      <c r="V50" s="77" t="str">
        <f aca="false">Elbow_2Phase!BG50</f>
        <v>Viera (2014)</v>
      </c>
    </row>
    <row r="51" customFormat="false" ht="12.8" hidden="false" customHeight="false" outlineLevel="0" collapsed="false">
      <c r="A51" s="15" t="n">
        <v>49</v>
      </c>
      <c r="B51" s="20" t="str">
        <f aca="false">Elbow_2Phase!AM51</f>
        <v>Elbow</v>
      </c>
      <c r="C51" s="20" t="str">
        <f aca="false">Elbow_2Phase!AN51</f>
        <v>Gas-solid</v>
      </c>
      <c r="D51" s="20" t="str">
        <f aca="false">Elbow_2Phase!AO51</f>
        <v>H-H</v>
      </c>
      <c r="E51" s="48" t="n">
        <f aca="false">Elbow_2Phase!AP51</f>
        <v>90</v>
      </c>
      <c r="F51" s="48" t="n">
        <f aca="false">Elbow_2Phase!AQ51</f>
        <v>1.5</v>
      </c>
      <c r="G51" s="24" t="n">
        <f aca="false">Elbow_2Phase!AR51</f>
        <v>236.220472440945</v>
      </c>
      <c r="H51" s="24" t="n">
        <f aca="false">Elbow_2Phase!AS51</f>
        <v>1E-006</v>
      </c>
      <c r="I51" s="24" t="n">
        <f aca="false">Elbow_2Phase!AT51</f>
        <v>31.2285467790371</v>
      </c>
      <c r="J51" s="24" t="n">
        <f aca="false">Elbow_2Phase!AU51</f>
        <v>140017.5</v>
      </c>
      <c r="K51" s="24" t="n">
        <f aca="false">Elbow_2Phase!AV51</f>
        <v>2652.5826140625</v>
      </c>
      <c r="L51" s="24" t="n">
        <f aca="false">Elbow_2Phase!AW51</f>
        <v>260.826771653543</v>
      </c>
      <c r="M51" s="24" t="n">
        <f aca="false">Elbow_2Phase!AX51</f>
        <v>551.25</v>
      </c>
      <c r="N51" s="24" t="n">
        <f aca="false">Elbow_2Phase!AY51</f>
        <v>0.00393700787401575</v>
      </c>
      <c r="O51" s="24" t="n">
        <f aca="false">Elbow_2Phase!AZ51</f>
        <v>0.000462264150943396</v>
      </c>
      <c r="P51" s="24" t="n">
        <f aca="false">Elbow_2Phase!BA51</f>
        <v>380.407507778781</v>
      </c>
      <c r="Q51" s="24" t="n">
        <f aca="false">Elbow_2Phase!BB51</f>
        <v>1.03575049278655E-005</v>
      </c>
      <c r="R51" s="24" t="n">
        <f aca="false">Elbow_2Phase!BC51</f>
        <v>1</v>
      </c>
      <c r="S51" s="24" t="n">
        <f aca="false">Elbow_2Phase!BD51</f>
        <v>0.00067</v>
      </c>
      <c r="T51" s="24" t="n">
        <f aca="false">Elbow_2Phase!BE51</f>
        <v>0.000536</v>
      </c>
      <c r="U51" s="24" t="n">
        <f aca="false">Elbow_2Phase!BF51</f>
        <v>0.000804</v>
      </c>
      <c r="V51" s="77" t="str">
        <f aca="false">Elbow_2Phase!BG51</f>
        <v>Vieira (2014)</v>
      </c>
    </row>
    <row r="52" customFormat="false" ht="12.8" hidden="false" customHeight="false" outlineLevel="0" collapsed="false">
      <c r="A52" s="15" t="n">
        <v>50</v>
      </c>
      <c r="B52" s="20" t="str">
        <f aca="false">Elbow_2Phase!AM52</f>
        <v>Elbow</v>
      </c>
      <c r="C52" s="20" t="str">
        <f aca="false">Elbow_2Phase!AN52</f>
        <v>Gas-solid</v>
      </c>
      <c r="D52" s="20" t="str">
        <f aca="false">Elbow_2Phase!AO52</f>
        <v>H-H</v>
      </c>
      <c r="E52" s="48" t="n">
        <f aca="false">Elbow_2Phase!AP52</f>
        <v>90</v>
      </c>
      <c r="F52" s="48" t="n">
        <f aca="false">Elbow_2Phase!AQ52</f>
        <v>1.5</v>
      </c>
      <c r="G52" s="24" t="n">
        <f aca="false">Elbow_2Phase!AR52</f>
        <v>236.220472440945</v>
      </c>
      <c r="H52" s="24" t="n">
        <f aca="false">Elbow_2Phase!AS52</f>
        <v>1E-006</v>
      </c>
      <c r="I52" s="24" t="n">
        <f aca="false">Elbow_2Phase!AT52</f>
        <v>17.3491926550206</v>
      </c>
      <c r="J52" s="24" t="n">
        <f aca="false">Elbow_2Phase!AU52</f>
        <v>77787.5</v>
      </c>
      <c r="K52" s="24" t="n">
        <f aca="false">Elbow_2Phase!AV52</f>
        <v>2652.5826140625</v>
      </c>
      <c r="L52" s="24" t="n">
        <f aca="false">Elbow_2Phase!AW52</f>
        <v>144.903762029746</v>
      </c>
      <c r="M52" s="24" t="n">
        <f aca="false">Elbow_2Phase!AX52</f>
        <v>306.25</v>
      </c>
      <c r="N52" s="24" t="n">
        <f aca="false">Elbow_2Phase!AY52</f>
        <v>0.00393700787401575</v>
      </c>
      <c r="O52" s="24" t="n">
        <f aca="false">Elbow_2Phase!AZ52</f>
        <v>0.000462264150943396</v>
      </c>
      <c r="P52" s="24" t="n">
        <f aca="false">Elbow_2Phase!BA52</f>
        <v>1232.52032520325</v>
      </c>
      <c r="Q52" s="24" t="n">
        <f aca="false">Elbow_2Phase!BB52</f>
        <v>1.04710106426526E-005</v>
      </c>
      <c r="R52" s="24" t="n">
        <f aca="false">Elbow_2Phase!BC52</f>
        <v>1</v>
      </c>
      <c r="S52" s="24" t="n">
        <f aca="false">Elbow_2Phase!BD52</f>
        <v>0.00034</v>
      </c>
      <c r="T52" s="24" t="n">
        <f aca="false">Elbow_2Phase!BE52</f>
        <v>0.000272</v>
      </c>
      <c r="U52" s="24" t="n">
        <f aca="false">Elbow_2Phase!BF52</f>
        <v>0.000408</v>
      </c>
      <c r="V52" s="77" t="str">
        <f aca="false">Elbow_2Phase!BG52</f>
        <v>Vieira (2014)</v>
      </c>
    </row>
    <row r="53" customFormat="false" ht="12.8" hidden="false" customHeight="false" outlineLevel="0" collapsed="false">
      <c r="A53" s="15" t="n">
        <v>51</v>
      </c>
      <c r="B53" s="20" t="str">
        <f aca="false">Elbow_2Phase!AM53</f>
        <v>Elbow</v>
      </c>
      <c r="C53" s="20" t="str">
        <f aca="false">Elbow_2Phase!AN53</f>
        <v>Gas-solid</v>
      </c>
      <c r="D53" s="20" t="str">
        <f aca="false">Elbow_2Phase!AO53</f>
        <v>V-H</v>
      </c>
      <c r="E53" s="48" t="n">
        <f aca="false">Elbow_2Phase!AP53</f>
        <v>90</v>
      </c>
      <c r="F53" s="48" t="n">
        <f aca="false">Elbow_2Phase!AQ53</f>
        <v>1.5</v>
      </c>
      <c r="G53" s="24" t="n">
        <f aca="false">Elbow_2Phase!AR53</f>
        <v>177.165354330709</v>
      </c>
      <c r="H53" s="24" t="n">
        <f aca="false">Elbow_2Phase!AS53</f>
        <v>1E-006</v>
      </c>
      <c r="I53" s="24" t="n">
        <f aca="false">Elbow_2Phase!AT53</f>
        <v>15.0248415743982</v>
      </c>
      <c r="J53" s="24" t="n">
        <f aca="false">Elbow_2Phase!AU53</f>
        <v>103716.666666667</v>
      </c>
      <c r="K53" s="24" t="n">
        <f aca="false">Elbow_2Phase!AV53</f>
        <v>331.572826757812</v>
      </c>
      <c r="L53" s="24" t="n">
        <f aca="false">Elbow_2Phase!AW53</f>
        <v>27.1694553805774</v>
      </c>
      <c r="M53" s="24" t="n">
        <f aca="false">Elbow_2Phase!AX53</f>
        <v>153.125</v>
      </c>
      <c r="N53" s="24" t="n">
        <f aca="false">Elbow_2Phase!AY53</f>
        <v>0.00147637795275591</v>
      </c>
      <c r="O53" s="24" t="n">
        <f aca="false">Elbow_2Phase!AZ53</f>
        <v>0.000462264150943396</v>
      </c>
      <c r="P53" s="24" t="n">
        <f aca="false">Elbow_2Phase!BA53</f>
        <v>1232.52032520325</v>
      </c>
      <c r="Q53" s="24" t="n">
        <f aca="false">Elbow_2Phase!BB53</f>
        <v>1.72390097766238E-006</v>
      </c>
      <c r="R53" s="24" t="n">
        <f aca="false">Elbow_2Phase!BC53</f>
        <v>1</v>
      </c>
      <c r="S53" s="24" t="n">
        <f aca="false">Elbow_2Phase!BD53</f>
        <v>4.93E-005</v>
      </c>
      <c r="T53" s="24" t="n">
        <f aca="false">Elbow_2Phase!BE53</f>
        <v>3.944E-005</v>
      </c>
      <c r="U53" s="24" t="n">
        <f aca="false">Elbow_2Phase!BF53</f>
        <v>5.916E-005</v>
      </c>
      <c r="V53" s="77" t="str">
        <f aca="false">Elbow_2Phase!BG53</f>
        <v>Fan (2010)</v>
      </c>
    </row>
    <row r="54" customFormat="false" ht="12.8" hidden="false" customHeight="false" outlineLevel="0" collapsed="false">
      <c r="A54" s="15" t="n">
        <v>52</v>
      </c>
      <c r="B54" s="20" t="str">
        <f aca="false">Elbow_2Phase!AM54</f>
        <v>Elbow</v>
      </c>
      <c r="C54" s="20" t="str">
        <f aca="false">Elbow_2Phase!AN54</f>
        <v>Gas-solid</v>
      </c>
      <c r="D54" s="20" t="str">
        <f aca="false">Elbow_2Phase!AO54</f>
        <v>V-H</v>
      </c>
      <c r="E54" s="48" t="n">
        <f aca="false">Elbow_2Phase!AP54</f>
        <v>90</v>
      </c>
      <c r="F54" s="48" t="n">
        <f aca="false">Elbow_2Phase!AQ54</f>
        <v>1.5</v>
      </c>
      <c r="G54" s="24" t="n">
        <f aca="false">Elbow_2Phase!AR54</f>
        <v>177.165354330709</v>
      </c>
      <c r="H54" s="24" t="n">
        <f aca="false">Elbow_2Phase!AS54</f>
        <v>1E-006</v>
      </c>
      <c r="I54" s="24" t="n">
        <f aca="false">Elbow_2Phase!AT54</f>
        <v>15.0248415743982</v>
      </c>
      <c r="J54" s="24" t="n">
        <f aca="false">Elbow_2Phase!AU54</f>
        <v>103716.666666667</v>
      </c>
      <c r="K54" s="24" t="n">
        <f aca="false">Elbow_2Phase!AV54</f>
        <v>331.572826757812</v>
      </c>
      <c r="L54" s="24" t="n">
        <f aca="false">Elbow_2Phase!AW54</f>
        <v>27.1694553805774</v>
      </c>
      <c r="M54" s="24" t="n">
        <f aca="false">Elbow_2Phase!AX54</f>
        <v>153.125</v>
      </c>
      <c r="N54" s="24" t="n">
        <f aca="false">Elbow_2Phase!AY54</f>
        <v>0.00147637795275591</v>
      </c>
      <c r="O54" s="24" t="n">
        <f aca="false">Elbow_2Phase!AZ54</f>
        <v>0.000462264150943396</v>
      </c>
      <c r="P54" s="24" t="n">
        <f aca="false">Elbow_2Phase!BA54</f>
        <v>1232.52032520325</v>
      </c>
      <c r="Q54" s="24" t="n">
        <f aca="false">Elbow_2Phase!BB54</f>
        <v>1.72390097766238E-006</v>
      </c>
      <c r="R54" s="24" t="n">
        <f aca="false">Elbow_2Phase!BC54</f>
        <v>1</v>
      </c>
      <c r="S54" s="24" t="n">
        <f aca="false">Elbow_2Phase!BD54</f>
        <v>5.36E-005</v>
      </c>
      <c r="T54" s="24" t="n">
        <f aca="false">Elbow_2Phase!BE54</f>
        <v>4.288E-005</v>
      </c>
      <c r="U54" s="24" t="n">
        <f aca="false">Elbow_2Phase!BF54</f>
        <v>6.432E-005</v>
      </c>
      <c r="V54" s="77" t="str">
        <f aca="false">Elbow_2Phase!BG54</f>
        <v>Fan (2010)</v>
      </c>
    </row>
    <row r="55" customFormat="false" ht="12.8" hidden="false" customHeight="false" outlineLevel="0" collapsed="false">
      <c r="A55" s="15" t="n">
        <v>53</v>
      </c>
      <c r="B55" s="20" t="str">
        <f aca="false">Elbow_2Phase!AM55</f>
        <v>Elbow</v>
      </c>
      <c r="C55" s="20" t="str">
        <f aca="false">Elbow_2Phase!AN55</f>
        <v>Gas-solid</v>
      </c>
      <c r="D55" s="20" t="str">
        <f aca="false">Elbow_2Phase!AO55</f>
        <v>V-H</v>
      </c>
      <c r="E55" s="48" t="n">
        <f aca="false">Elbow_2Phase!AP55</f>
        <v>90</v>
      </c>
      <c r="F55" s="48" t="n">
        <f aca="false">Elbow_2Phase!AQ55</f>
        <v>1.5</v>
      </c>
      <c r="G55" s="24" t="n">
        <f aca="false">Elbow_2Phase!AR55</f>
        <v>177.165354330709</v>
      </c>
      <c r="H55" s="24" t="n">
        <f aca="false">Elbow_2Phase!AS55</f>
        <v>1E-006</v>
      </c>
      <c r="I55" s="24" t="n">
        <f aca="false">Elbow_2Phase!AT55</f>
        <v>15.0248415743982</v>
      </c>
      <c r="J55" s="24" t="n">
        <f aca="false">Elbow_2Phase!AU55</f>
        <v>103716.666666667</v>
      </c>
      <c r="K55" s="24" t="n">
        <f aca="false">Elbow_2Phase!AV55</f>
        <v>2652.5826140625</v>
      </c>
      <c r="L55" s="24" t="n">
        <f aca="false">Elbow_2Phase!AW55</f>
        <v>108.67782152231</v>
      </c>
      <c r="M55" s="24" t="n">
        <f aca="false">Elbow_2Phase!AX55</f>
        <v>306.25</v>
      </c>
      <c r="N55" s="24" t="n">
        <f aca="false">Elbow_2Phase!AY55</f>
        <v>0.00295275590551181</v>
      </c>
      <c r="O55" s="24" t="n">
        <f aca="false">Elbow_2Phase!AZ55</f>
        <v>0.000462264150943396</v>
      </c>
      <c r="P55" s="24" t="n">
        <f aca="false">Elbow_2Phase!BA55</f>
        <v>1232.52032520325</v>
      </c>
      <c r="Q55" s="24" t="n">
        <f aca="false">Elbow_2Phase!BB55</f>
        <v>1.29292629046601E-006</v>
      </c>
      <c r="R55" s="24" t="n">
        <f aca="false">Elbow_2Phase!BC55</f>
        <v>1</v>
      </c>
      <c r="S55" s="24" t="n">
        <f aca="false">Elbow_2Phase!BD55</f>
        <v>0.000232</v>
      </c>
      <c r="T55" s="24" t="n">
        <f aca="false">Elbow_2Phase!BE55</f>
        <v>0.0001856</v>
      </c>
      <c r="U55" s="24" t="n">
        <f aca="false">Elbow_2Phase!BF55</f>
        <v>0.0002784</v>
      </c>
      <c r="V55" s="77" t="str">
        <f aca="false">Elbow_2Phase!BG55</f>
        <v>Fan (2010)</v>
      </c>
    </row>
    <row r="56" customFormat="false" ht="12.8" hidden="false" customHeight="false" outlineLevel="0" collapsed="false">
      <c r="A56" s="15" t="n">
        <v>54</v>
      </c>
      <c r="B56" s="20" t="str">
        <f aca="false">Elbow_2Phase!AM56</f>
        <v>Elbow</v>
      </c>
      <c r="C56" s="20" t="str">
        <f aca="false">Elbow_2Phase!AN56</f>
        <v>Gas-solid</v>
      </c>
      <c r="D56" s="20" t="str">
        <f aca="false">Elbow_2Phase!AO56</f>
        <v>V-H</v>
      </c>
      <c r="E56" s="48" t="n">
        <f aca="false">Elbow_2Phase!AP56</f>
        <v>90</v>
      </c>
      <c r="F56" s="48" t="n">
        <f aca="false">Elbow_2Phase!AQ56</f>
        <v>1.5</v>
      </c>
      <c r="G56" s="24" t="n">
        <f aca="false">Elbow_2Phase!AR56</f>
        <v>177.165354330709</v>
      </c>
      <c r="H56" s="24" t="n">
        <f aca="false">Elbow_2Phase!AS56</f>
        <v>1E-006</v>
      </c>
      <c r="I56" s="24" t="n">
        <f aca="false">Elbow_2Phase!AT56</f>
        <v>23.0380904140773</v>
      </c>
      <c r="J56" s="24" t="n">
        <f aca="false">Elbow_2Phase!AU56</f>
        <v>159032.222222222</v>
      </c>
      <c r="K56" s="24" t="n">
        <f aca="false">Elbow_2Phase!AV56</f>
        <v>2652.5826140625</v>
      </c>
      <c r="L56" s="24" t="n">
        <f aca="false">Elbow_2Phase!AW56</f>
        <v>166.639326334208</v>
      </c>
      <c r="M56" s="24" t="n">
        <f aca="false">Elbow_2Phase!AX56</f>
        <v>469.583333333333</v>
      </c>
      <c r="N56" s="24" t="n">
        <f aca="false">Elbow_2Phase!AY56</f>
        <v>0.00295275590551181</v>
      </c>
      <c r="O56" s="24" t="n">
        <f aca="false">Elbow_2Phase!AZ56</f>
        <v>0.000462264150943396</v>
      </c>
      <c r="P56" s="24" t="n">
        <f aca="false">Elbow_2Phase!BA56</f>
        <v>524.228871778321</v>
      </c>
      <c r="Q56" s="24" t="n">
        <f aca="false">Elbow_2Phase!BB56</f>
        <v>8.19790608276679E-007</v>
      </c>
      <c r="R56" s="24" t="n">
        <f aca="false">Elbow_2Phase!BC56</f>
        <v>1</v>
      </c>
      <c r="S56" s="24" t="n">
        <f aca="false">Elbow_2Phase!BD56</f>
        <v>0.000546</v>
      </c>
      <c r="T56" s="24" t="n">
        <f aca="false">Elbow_2Phase!BE56</f>
        <v>0.0004368</v>
      </c>
      <c r="U56" s="24" t="n">
        <f aca="false">Elbow_2Phase!BF56</f>
        <v>0.0006552</v>
      </c>
      <c r="V56" s="77" t="str">
        <f aca="false">Elbow_2Phase!BG56</f>
        <v>Fan (2010)</v>
      </c>
    </row>
    <row r="57" customFormat="false" ht="12.8" hidden="false" customHeight="false" outlineLevel="0" collapsed="false">
      <c r="A57" s="15" t="n">
        <v>55</v>
      </c>
      <c r="B57" s="20" t="str">
        <f aca="false">Elbow_2Phase!AM57</f>
        <v>Elbow</v>
      </c>
      <c r="C57" s="20" t="str">
        <f aca="false">Elbow_2Phase!AN57</f>
        <v>Gas-solid</v>
      </c>
      <c r="D57" s="20" t="str">
        <f aca="false">Elbow_2Phase!AO57</f>
        <v>H-H</v>
      </c>
      <c r="E57" s="48" t="n">
        <f aca="false">Elbow_2Phase!AP57</f>
        <v>90</v>
      </c>
      <c r="F57" s="48" t="n">
        <f aca="false">Elbow_2Phase!AQ57</f>
        <v>1.5</v>
      </c>
      <c r="G57" s="24" t="n">
        <f aca="false">Elbow_2Phase!AR57</f>
        <v>177.165354330709</v>
      </c>
      <c r="H57" s="24" t="n">
        <f aca="false">Elbow_2Phase!AS57</f>
        <v>1E-006</v>
      </c>
      <c r="I57" s="24" t="n">
        <f aca="false">Elbow_2Phase!AT57</f>
        <v>15.0248415743982</v>
      </c>
      <c r="J57" s="24" t="n">
        <f aca="false">Elbow_2Phase!AU57</f>
        <v>103716.666666667</v>
      </c>
      <c r="K57" s="24" t="n">
        <f aca="false">Elbow_2Phase!AV57</f>
        <v>331.572826757812</v>
      </c>
      <c r="L57" s="24" t="n">
        <f aca="false">Elbow_2Phase!AW57</f>
        <v>27.1694553805774</v>
      </c>
      <c r="M57" s="24" t="n">
        <f aca="false">Elbow_2Phase!AX57</f>
        <v>153.125</v>
      </c>
      <c r="N57" s="24" t="n">
        <f aca="false">Elbow_2Phase!AY57</f>
        <v>0.00147637795275591</v>
      </c>
      <c r="O57" s="24" t="n">
        <f aca="false">Elbow_2Phase!AZ57</f>
        <v>0.000462264150943396</v>
      </c>
      <c r="P57" s="24" t="n">
        <f aca="false">Elbow_2Phase!BA57</f>
        <v>1232.52032520325</v>
      </c>
      <c r="Q57" s="24" t="n">
        <f aca="false">Elbow_2Phase!BB57</f>
        <v>1.93938818195603E-006</v>
      </c>
      <c r="R57" s="24" t="n">
        <f aca="false">Elbow_2Phase!BC57</f>
        <v>1</v>
      </c>
      <c r="S57" s="24" t="n">
        <f aca="false">Elbow_2Phase!BD57</f>
        <v>0.000143</v>
      </c>
      <c r="T57" s="24" t="n">
        <f aca="false">Elbow_2Phase!BE57</f>
        <v>0.0001144</v>
      </c>
      <c r="U57" s="24" t="n">
        <f aca="false">Elbow_2Phase!BF57</f>
        <v>0.0001716</v>
      </c>
      <c r="V57" s="77" t="str">
        <f aca="false">Elbow_2Phase!BG57</f>
        <v>Fan (2010)</v>
      </c>
    </row>
    <row r="58" customFormat="false" ht="12.8" hidden="false" customHeight="false" outlineLevel="0" collapsed="false">
      <c r="A58" s="15" t="n">
        <v>56</v>
      </c>
      <c r="B58" s="20" t="str">
        <f aca="false">Elbow_2Phase!AM58</f>
        <v>Elbow</v>
      </c>
      <c r="C58" s="20" t="str">
        <f aca="false">Elbow_2Phase!AN58</f>
        <v>Gas-solid</v>
      </c>
      <c r="D58" s="20" t="str">
        <f aca="false">Elbow_2Phase!AO58</f>
        <v>H-H</v>
      </c>
      <c r="E58" s="48" t="n">
        <f aca="false">Elbow_2Phase!AP58</f>
        <v>90</v>
      </c>
      <c r="F58" s="48" t="n">
        <f aca="false">Elbow_2Phase!AQ58</f>
        <v>1.5</v>
      </c>
      <c r="G58" s="24" t="n">
        <f aca="false">Elbow_2Phase!AR58</f>
        <v>177.165354330709</v>
      </c>
      <c r="H58" s="24" t="n">
        <f aca="false">Elbow_2Phase!AS58</f>
        <v>1E-006</v>
      </c>
      <c r="I58" s="24" t="n">
        <f aca="false">Elbow_2Phase!AT58</f>
        <v>23.0380904140773</v>
      </c>
      <c r="J58" s="24" t="n">
        <f aca="false">Elbow_2Phase!AU58</f>
        <v>159032.222222222</v>
      </c>
      <c r="K58" s="24" t="n">
        <f aca="false">Elbow_2Phase!AV58</f>
        <v>331.572826757812</v>
      </c>
      <c r="L58" s="24" t="n">
        <f aca="false">Elbow_2Phase!AW58</f>
        <v>41.659831583552</v>
      </c>
      <c r="M58" s="24" t="n">
        <f aca="false">Elbow_2Phase!AX58</f>
        <v>234.791666666667</v>
      </c>
      <c r="N58" s="24" t="n">
        <f aca="false">Elbow_2Phase!AY58</f>
        <v>0.00147637795275591</v>
      </c>
      <c r="O58" s="24" t="n">
        <f aca="false">Elbow_2Phase!AZ58</f>
        <v>0.000462264150943396</v>
      </c>
      <c r="P58" s="24" t="n">
        <f aca="false">Elbow_2Phase!BA58</f>
        <v>524.228871778321</v>
      </c>
      <c r="Q58" s="24" t="n">
        <f aca="false">Elbow_2Phase!BB58</f>
        <v>1.21797413303324E-006</v>
      </c>
      <c r="R58" s="24" t="n">
        <f aca="false">Elbow_2Phase!BC58</f>
        <v>1</v>
      </c>
      <c r="S58" s="24" t="n">
        <f aca="false">Elbow_2Phase!BD58</f>
        <v>0.000226</v>
      </c>
      <c r="T58" s="24" t="n">
        <f aca="false">Elbow_2Phase!BE58</f>
        <v>0.0001808</v>
      </c>
      <c r="U58" s="24" t="n">
        <f aca="false">Elbow_2Phase!BF58</f>
        <v>0.0002712</v>
      </c>
      <c r="V58" s="77" t="str">
        <f aca="false">Elbow_2Phase!BG58</f>
        <v>Fan (2010)</v>
      </c>
    </row>
    <row r="59" customFormat="false" ht="12.8" hidden="false" customHeight="false" outlineLevel="0" collapsed="false">
      <c r="A59" s="15" t="n">
        <v>57</v>
      </c>
      <c r="B59" s="20" t="str">
        <f aca="false">Elbow_2Phase!AM59</f>
        <v>Elbow</v>
      </c>
      <c r="C59" s="20" t="str">
        <f aca="false">Elbow_2Phase!AN59</f>
        <v>Gas-solid</v>
      </c>
      <c r="D59" s="20" t="str">
        <f aca="false">Elbow_2Phase!AO59</f>
        <v>H-H</v>
      </c>
      <c r="E59" s="48" t="n">
        <f aca="false">Elbow_2Phase!AP59</f>
        <v>90</v>
      </c>
      <c r="F59" s="48" t="n">
        <f aca="false">Elbow_2Phase!AQ59</f>
        <v>1.5</v>
      </c>
      <c r="G59" s="24" t="n">
        <f aca="false">Elbow_2Phase!AR59</f>
        <v>177.165354330709</v>
      </c>
      <c r="H59" s="24" t="n">
        <f aca="false">Elbow_2Phase!AS59</f>
        <v>1E-006</v>
      </c>
      <c r="I59" s="24" t="n">
        <f aca="false">Elbow_2Phase!AT59</f>
        <v>15.0248415743982</v>
      </c>
      <c r="J59" s="24" t="n">
        <f aca="false">Elbow_2Phase!AU59</f>
        <v>103716.666666667</v>
      </c>
      <c r="K59" s="24" t="n">
        <f aca="false">Elbow_2Phase!AV59</f>
        <v>2652.5826140625</v>
      </c>
      <c r="L59" s="24" t="n">
        <f aca="false">Elbow_2Phase!AW59</f>
        <v>108.67782152231</v>
      </c>
      <c r="M59" s="24" t="n">
        <f aca="false">Elbow_2Phase!AX59</f>
        <v>306.25</v>
      </c>
      <c r="N59" s="24" t="n">
        <f aca="false">Elbow_2Phase!AY59</f>
        <v>0.00295275590551181</v>
      </c>
      <c r="O59" s="24" t="n">
        <f aca="false">Elbow_2Phase!AZ59</f>
        <v>0.000462264150943396</v>
      </c>
      <c r="P59" s="24" t="n">
        <f aca="false">Elbow_2Phase!BA59</f>
        <v>1232.52032520325</v>
      </c>
      <c r="Q59" s="24" t="n">
        <f aca="false">Elbow_2Phase!BB59</f>
        <v>1.58024278987236E-006</v>
      </c>
      <c r="R59" s="24" t="n">
        <f aca="false">Elbow_2Phase!BC59</f>
        <v>1</v>
      </c>
      <c r="S59" s="24" t="n">
        <f aca="false">Elbow_2Phase!BD59</f>
        <v>0.000263</v>
      </c>
      <c r="T59" s="24" t="n">
        <f aca="false">Elbow_2Phase!BE59</f>
        <v>0.0002104</v>
      </c>
      <c r="U59" s="24" t="n">
        <f aca="false">Elbow_2Phase!BF59</f>
        <v>0.0003156</v>
      </c>
      <c r="V59" s="77" t="str">
        <f aca="false">Elbow_2Phase!BG59</f>
        <v>Fan (2010)</v>
      </c>
    </row>
    <row r="60" customFormat="false" ht="12.8" hidden="false" customHeight="false" outlineLevel="0" collapsed="false">
      <c r="A60" s="15" t="n">
        <v>58</v>
      </c>
      <c r="B60" s="20" t="str">
        <f aca="false">Elbow_2Phase!AM60</f>
        <v>Elbow</v>
      </c>
      <c r="C60" s="20" t="str">
        <f aca="false">Elbow_2Phase!AN60</f>
        <v>Gas-solid</v>
      </c>
      <c r="D60" s="20" t="str">
        <f aca="false">Elbow_2Phase!AO60</f>
        <v>H-H</v>
      </c>
      <c r="E60" s="48" t="n">
        <f aca="false">Elbow_2Phase!AP60</f>
        <v>90</v>
      </c>
      <c r="F60" s="48" t="n">
        <f aca="false">Elbow_2Phase!AQ60</f>
        <v>1.5</v>
      </c>
      <c r="G60" s="24" t="n">
        <f aca="false">Elbow_2Phase!AR60</f>
        <v>177.165354330709</v>
      </c>
      <c r="H60" s="24" t="n">
        <f aca="false">Elbow_2Phase!AS60</f>
        <v>1E-006</v>
      </c>
      <c r="I60" s="24" t="n">
        <f aca="false">Elbow_2Phase!AT60</f>
        <v>23.0380904140773</v>
      </c>
      <c r="J60" s="24" t="n">
        <f aca="false">Elbow_2Phase!AU60</f>
        <v>159032.222222222</v>
      </c>
      <c r="K60" s="24" t="n">
        <f aca="false">Elbow_2Phase!AV60</f>
        <v>2652.5826140625</v>
      </c>
      <c r="L60" s="24" t="n">
        <f aca="false">Elbow_2Phase!AW60</f>
        <v>166.639326334208</v>
      </c>
      <c r="M60" s="24" t="n">
        <f aca="false">Elbow_2Phase!AX60</f>
        <v>469.583333333333</v>
      </c>
      <c r="N60" s="24" t="n">
        <f aca="false">Elbow_2Phase!AY60</f>
        <v>0.00295275590551181</v>
      </c>
      <c r="O60" s="24" t="n">
        <f aca="false">Elbow_2Phase!AZ60</f>
        <v>0.000462264150943396</v>
      </c>
      <c r="P60" s="24" t="n">
        <f aca="false">Elbow_2Phase!BA60</f>
        <v>524.228871778321</v>
      </c>
      <c r="Q60" s="24" t="n">
        <f aca="false">Elbow_2Phase!BB60</f>
        <v>1.12428392044213E-006</v>
      </c>
      <c r="R60" s="24" t="n">
        <f aca="false">Elbow_2Phase!BC60</f>
        <v>1</v>
      </c>
      <c r="S60" s="24" t="n">
        <f aca="false">Elbow_2Phase!BD60</f>
        <v>0.000334</v>
      </c>
      <c r="T60" s="24" t="n">
        <f aca="false">Elbow_2Phase!BE60</f>
        <v>0.0002672</v>
      </c>
      <c r="U60" s="24" t="n">
        <f aca="false">Elbow_2Phase!BF60</f>
        <v>0.0004008</v>
      </c>
      <c r="V60" s="77" t="str">
        <f aca="false">Elbow_2Phase!BG60</f>
        <v>Fan (2010)</v>
      </c>
    </row>
    <row r="61" customFormat="false" ht="12.8" hidden="false" customHeight="false" outlineLevel="0" collapsed="false">
      <c r="A61" s="15" t="n">
        <v>59</v>
      </c>
      <c r="B61" s="20" t="str">
        <f aca="false">Elbow_2Phase!AM61</f>
        <v>Elbow</v>
      </c>
      <c r="C61" s="20" t="str">
        <f aca="false">Elbow_2Phase!AN61</f>
        <v>Gas-solid</v>
      </c>
      <c r="D61" s="20" t="str">
        <f aca="false">Elbow_2Phase!AO61</f>
        <v>V-H</v>
      </c>
      <c r="E61" s="48" t="n">
        <f aca="false">Elbow_2Phase!AP61</f>
        <v>90</v>
      </c>
      <c r="F61" s="48" t="n">
        <f aca="false">Elbow_2Phase!AQ61</f>
        <v>1.5</v>
      </c>
      <c r="G61" s="24" t="n">
        <f aca="false">Elbow_2Phase!AR61</f>
        <v>177.165354330709</v>
      </c>
      <c r="H61" s="24" t="n">
        <f aca="false">Elbow_2Phase!AS61</f>
        <v>1E-006</v>
      </c>
      <c r="I61" s="24" t="n">
        <f aca="false">Elbow_2Phase!AT61</f>
        <v>15.0248415743982</v>
      </c>
      <c r="J61" s="24" t="n">
        <f aca="false">Elbow_2Phase!AU61</f>
        <v>103716.666666667</v>
      </c>
      <c r="K61" s="24" t="n">
        <f aca="false">Elbow_2Phase!AV61</f>
        <v>2652.5826140625</v>
      </c>
      <c r="L61" s="24" t="n">
        <f aca="false">Elbow_2Phase!AW61</f>
        <v>108.67782152231</v>
      </c>
      <c r="M61" s="24" t="n">
        <f aca="false">Elbow_2Phase!AX61</f>
        <v>306.25</v>
      </c>
      <c r="N61" s="24" t="n">
        <f aca="false">Elbow_2Phase!AY61</f>
        <v>0.00295275590551181</v>
      </c>
      <c r="O61" s="24" t="n">
        <f aca="false">Elbow_2Phase!AZ61</f>
        <v>0.000462264150943396</v>
      </c>
      <c r="P61" s="24" t="n">
        <f aca="false">Elbow_2Phase!BA61</f>
        <v>859.278131634819</v>
      </c>
      <c r="Q61" s="24" t="n">
        <f aca="false">Elbow_2Phase!BB61</f>
        <v>0.00199</v>
      </c>
      <c r="R61" s="24" t="n">
        <f aca="false">Elbow_2Phase!BC61</f>
        <v>1</v>
      </c>
      <c r="S61" s="24" t="n">
        <f aca="false">Elbow_2Phase!BD61</f>
        <v>0.000259</v>
      </c>
      <c r="T61" s="24" t="n">
        <f aca="false">Elbow_2Phase!BE61</f>
        <v>0.0002072</v>
      </c>
      <c r="U61" s="24" t="n">
        <f aca="false">Elbow_2Phase!BF61</f>
        <v>0.0003108</v>
      </c>
      <c r="V61" s="77" t="str">
        <f aca="false">Elbow_2Phase!BG61</f>
        <v>Asgharpour 2020</v>
      </c>
    </row>
    <row r="62" customFormat="false" ht="12.8" hidden="false" customHeight="false" outlineLevel="0" collapsed="false">
      <c r="A62" s="15" t="n">
        <v>60</v>
      </c>
      <c r="B62" s="20" t="str">
        <f aca="false">Elbow_2Phase!AM62</f>
        <v>Elbow</v>
      </c>
      <c r="C62" s="20" t="str">
        <f aca="false">Elbow_2Phase!AN62</f>
        <v>Gas-solid</v>
      </c>
      <c r="D62" s="20" t="str">
        <f aca="false">Elbow_2Phase!AO62</f>
        <v>V-H</v>
      </c>
      <c r="E62" s="48" t="n">
        <f aca="false">Elbow_2Phase!AP62</f>
        <v>90</v>
      </c>
      <c r="F62" s="48" t="n">
        <f aca="false">Elbow_2Phase!AQ62</f>
        <v>1.5</v>
      </c>
      <c r="G62" s="24" t="n">
        <f aca="false">Elbow_2Phase!AR62</f>
        <v>177.165354330709</v>
      </c>
      <c r="H62" s="24" t="n">
        <f aca="false">Elbow_2Phase!AS62</f>
        <v>1E-006</v>
      </c>
      <c r="I62" s="24" t="n">
        <f aca="false">Elbow_2Phase!AT62</f>
        <v>23.0380904140773</v>
      </c>
      <c r="J62" s="24" t="n">
        <f aca="false">Elbow_2Phase!AU62</f>
        <v>159032.222222222</v>
      </c>
      <c r="K62" s="24" t="n">
        <f aca="false">Elbow_2Phase!AV62</f>
        <v>2652.5826140625</v>
      </c>
      <c r="L62" s="24" t="n">
        <f aca="false">Elbow_2Phase!AW62</f>
        <v>166.639326334208</v>
      </c>
      <c r="M62" s="24" t="n">
        <f aca="false">Elbow_2Phase!AX62</f>
        <v>469.583333333333</v>
      </c>
      <c r="N62" s="24" t="n">
        <f aca="false">Elbow_2Phase!AY62</f>
        <v>0.00295275590551181</v>
      </c>
      <c r="O62" s="24" t="n">
        <f aca="false">Elbow_2Phase!AZ62</f>
        <v>0.000462264150943396</v>
      </c>
      <c r="P62" s="24" t="n">
        <f aca="false">Elbow_2Phase!BA62</f>
        <v>365.477466196284</v>
      </c>
      <c r="Q62" s="24" t="n">
        <f aca="false">Elbow_2Phase!BB62</f>
        <v>0.000823</v>
      </c>
      <c r="R62" s="24" t="n">
        <f aca="false">Elbow_2Phase!BC62</f>
        <v>1</v>
      </c>
      <c r="S62" s="24" t="n">
        <f aca="false">Elbow_2Phase!BD62</f>
        <v>0.00077</v>
      </c>
      <c r="T62" s="24" t="n">
        <f aca="false">Elbow_2Phase!BE62</f>
        <v>0.000616</v>
      </c>
      <c r="U62" s="24" t="n">
        <f aca="false">Elbow_2Phase!BF62</f>
        <v>0.000924</v>
      </c>
      <c r="V62" s="77" t="str">
        <f aca="false">Elbow_2Phase!BG62</f>
        <v>Asgharpour 2020</v>
      </c>
    </row>
    <row r="63" customFormat="false" ht="12.8" hidden="false" customHeight="false" outlineLevel="0" collapsed="false">
      <c r="A63" s="15" t="n">
        <v>61</v>
      </c>
      <c r="B63" s="20" t="str">
        <f aca="false">Elbow_2Phase!AM63</f>
        <v>Elbow</v>
      </c>
      <c r="C63" s="20" t="str">
        <f aca="false">Elbow_2Phase!AN63</f>
        <v>Gas-solid</v>
      </c>
      <c r="D63" s="20" t="str">
        <f aca="false">Elbow_2Phase!AO63</f>
        <v>V-H</v>
      </c>
      <c r="E63" s="48" t="n">
        <f aca="false">Elbow_2Phase!AP63</f>
        <v>90</v>
      </c>
      <c r="F63" s="48" t="n">
        <f aca="false">Elbow_2Phase!AQ63</f>
        <v>1.5</v>
      </c>
      <c r="G63" s="24" t="n">
        <f aca="false">Elbow_2Phase!AR63</f>
        <v>177.165354330709</v>
      </c>
      <c r="H63" s="24" t="n">
        <f aca="false">Elbow_2Phase!AS63</f>
        <v>1E-006</v>
      </c>
      <c r="I63" s="24" t="n">
        <f aca="false">Elbow_2Phase!AT63</f>
        <v>31.0513392537563</v>
      </c>
      <c r="J63" s="24" t="n">
        <f aca="false">Elbow_2Phase!AU63</f>
        <v>214347.777777778</v>
      </c>
      <c r="K63" s="24" t="n">
        <f aca="false">Elbow_2Phase!AV63</f>
        <v>2652.5826140625</v>
      </c>
      <c r="L63" s="24" t="n">
        <f aca="false">Elbow_2Phase!AW63</f>
        <v>224.600831146107</v>
      </c>
      <c r="M63" s="24" t="n">
        <f aca="false">Elbow_2Phase!AX63</f>
        <v>632.916666666667</v>
      </c>
      <c r="N63" s="24" t="n">
        <f aca="false">Elbow_2Phase!AY63</f>
        <v>0.00295275590551181</v>
      </c>
      <c r="O63" s="24" t="n">
        <f aca="false">Elbow_2Phase!AZ63</f>
        <v>0.000462264150943396</v>
      </c>
      <c r="P63" s="24" t="n">
        <f aca="false">Elbow_2Phase!BA63</f>
        <v>201.18374570014</v>
      </c>
      <c r="Q63" s="24" t="n">
        <f aca="false">Elbow_2Phase!BB63</f>
        <v>0.000288</v>
      </c>
      <c r="R63" s="24" t="n">
        <f aca="false">Elbow_2Phase!BC63</f>
        <v>1</v>
      </c>
      <c r="S63" s="24" t="n">
        <f aca="false">Elbow_2Phase!BD63</f>
        <v>0.00148</v>
      </c>
      <c r="T63" s="24" t="n">
        <f aca="false">Elbow_2Phase!BE63</f>
        <v>0.001184</v>
      </c>
      <c r="U63" s="24" t="n">
        <f aca="false">Elbow_2Phase!BF63</f>
        <v>0.001776</v>
      </c>
      <c r="V63" s="77" t="str">
        <f aca="false">Elbow_2Phase!BG63</f>
        <v>Asgharpour 2020</v>
      </c>
    </row>
    <row r="64" customFormat="false" ht="12.8" hidden="false" customHeight="false" outlineLevel="0" collapsed="false">
      <c r="A64" s="15" t="n">
        <v>62</v>
      </c>
      <c r="B64" s="20" t="str">
        <f aca="false">Elbow_2Phase!AM64</f>
        <v>Elbow</v>
      </c>
      <c r="C64" s="20" t="str">
        <f aca="false">Elbow_2Phase!AN64</f>
        <v>Gas-solid</v>
      </c>
      <c r="D64" s="20" t="str">
        <f aca="false">Elbow_2Phase!AO64</f>
        <v>V-H</v>
      </c>
      <c r="E64" s="48" t="n">
        <f aca="false">Elbow_2Phase!AP64</f>
        <v>90</v>
      </c>
      <c r="F64" s="48" t="n">
        <f aca="false">Elbow_2Phase!AQ64</f>
        <v>1.5</v>
      </c>
      <c r="G64" s="24" t="n">
        <f aca="false">Elbow_2Phase!AR64</f>
        <v>177.165354330709</v>
      </c>
      <c r="H64" s="24" t="n">
        <f aca="false">Elbow_2Phase!AS64</f>
        <v>1E-006</v>
      </c>
      <c r="I64" s="24" t="n">
        <f aca="false">Elbow_2Phase!AT64</f>
        <v>37.0612758835156</v>
      </c>
      <c r="J64" s="24" t="n">
        <f aca="false">Elbow_2Phase!AU64</f>
        <v>255834.444444444</v>
      </c>
      <c r="K64" s="24" t="n">
        <f aca="false">Elbow_2Phase!AV64</f>
        <v>2652.5826140625</v>
      </c>
      <c r="L64" s="24" t="n">
        <f aca="false">Elbow_2Phase!AW64</f>
        <v>268.071959755031</v>
      </c>
      <c r="M64" s="24" t="n">
        <f aca="false">Elbow_2Phase!AX64</f>
        <v>755.416666666667</v>
      </c>
      <c r="N64" s="24" t="n">
        <f aca="false">Elbow_2Phase!AY64</f>
        <v>0.00295275590551181</v>
      </c>
      <c r="O64" s="24" t="n">
        <f aca="false">Elbow_2Phase!AZ64</f>
        <v>0.000462264150943396</v>
      </c>
      <c r="P64" s="24" t="n">
        <f aca="false">Elbow_2Phase!BA64</f>
        <v>141.225405126249</v>
      </c>
      <c r="Q64" s="24" t="n">
        <f aca="false">Elbow_2Phase!BB64</f>
        <v>0.000217</v>
      </c>
      <c r="R64" s="24" t="n">
        <f aca="false">Elbow_2Phase!BC64</f>
        <v>1</v>
      </c>
      <c r="S64" s="24" t="n">
        <f aca="false">Elbow_2Phase!BD64</f>
        <v>0.00302</v>
      </c>
      <c r="T64" s="24" t="n">
        <f aca="false">Elbow_2Phase!BE64</f>
        <v>0.002416</v>
      </c>
      <c r="U64" s="24" t="n">
        <f aca="false">Elbow_2Phase!BF64</f>
        <v>0.003624</v>
      </c>
      <c r="V64" s="77" t="str">
        <f aca="false">Elbow_2Phase!BG64</f>
        <v>Asgharpour 2020</v>
      </c>
    </row>
    <row r="65" customFormat="false" ht="12.8" hidden="false" customHeight="false" outlineLevel="0" collapsed="false">
      <c r="A65" s="15" t="n">
        <v>63</v>
      </c>
      <c r="B65" s="20" t="str">
        <f aca="false">Elbow_2Phase!AM65</f>
        <v>Elbow</v>
      </c>
      <c r="C65" s="20" t="str">
        <f aca="false">Elbow_2Phase!AN65</f>
        <v>Gas-solid</v>
      </c>
      <c r="D65" s="20" t="str">
        <f aca="false">Elbow_2Phase!AO65</f>
        <v>V-H</v>
      </c>
      <c r="E65" s="48" t="n">
        <f aca="false">Elbow_2Phase!AP65</f>
        <v>90</v>
      </c>
      <c r="F65" s="48" t="n">
        <f aca="false">Elbow_2Phase!AQ65</f>
        <v>1.5</v>
      </c>
      <c r="G65" s="24" t="n">
        <f aca="false">Elbow_2Phase!AR65</f>
        <v>177.165354330709</v>
      </c>
      <c r="H65" s="24" t="n">
        <f aca="false">Elbow_2Phase!AS65</f>
        <v>1E-006</v>
      </c>
      <c r="I65" s="24" t="n">
        <f aca="false">Elbow_2Phase!AT65</f>
        <v>15.0248415743982</v>
      </c>
      <c r="J65" s="24" t="n">
        <f aca="false">Elbow_2Phase!AU65</f>
        <v>103716.666666667</v>
      </c>
      <c r="K65" s="24" t="n">
        <f aca="false">Elbow_2Phase!AV65</f>
        <v>41.4466033447266</v>
      </c>
      <c r="L65" s="24" t="n">
        <f aca="false">Elbow_2Phase!AW65</f>
        <v>6.79236384514436</v>
      </c>
      <c r="M65" s="24" t="n">
        <f aca="false">Elbow_2Phase!AX65</f>
        <v>76.5625</v>
      </c>
      <c r="N65" s="24" t="n">
        <f aca="false">Elbow_2Phase!AY65</f>
        <v>0.000738188976377953</v>
      </c>
      <c r="O65" s="24" t="n">
        <f aca="false">Elbow_2Phase!AZ65</f>
        <v>0.000462264150943396</v>
      </c>
      <c r="P65" s="24" t="n">
        <f aca="false">Elbow_2Phase!BA65</f>
        <v>859.278131634819</v>
      </c>
      <c r="Q65" s="24" t="n">
        <f aca="false">Elbow_2Phase!BB65</f>
        <v>0.00207</v>
      </c>
      <c r="R65" s="24" t="n">
        <f aca="false">Elbow_2Phase!BC65</f>
        <v>1</v>
      </c>
      <c r="S65" s="24" t="n">
        <f aca="false">Elbow_2Phase!BD65</f>
        <v>0.000333</v>
      </c>
      <c r="T65" s="24" t="n">
        <f aca="false">Elbow_2Phase!BE65</f>
        <v>0.0002664</v>
      </c>
      <c r="U65" s="24" t="n">
        <f aca="false">Elbow_2Phase!BF65</f>
        <v>0.0003996</v>
      </c>
      <c r="V65" s="77" t="str">
        <f aca="false">Elbow_2Phase!BG65</f>
        <v>Asgharpour 2020</v>
      </c>
    </row>
    <row r="66" customFormat="false" ht="12.8" hidden="false" customHeight="false" outlineLevel="0" collapsed="false">
      <c r="A66" s="15" t="n">
        <v>64</v>
      </c>
      <c r="B66" s="20" t="str">
        <f aca="false">Elbow_2Phase!AM66</f>
        <v>Elbow</v>
      </c>
      <c r="C66" s="20" t="str">
        <f aca="false">Elbow_2Phase!AN66</f>
        <v>Gas-solid</v>
      </c>
      <c r="D66" s="20" t="str">
        <f aca="false">Elbow_2Phase!AO66</f>
        <v>V-H</v>
      </c>
      <c r="E66" s="48" t="n">
        <f aca="false">Elbow_2Phase!AP66</f>
        <v>90</v>
      </c>
      <c r="F66" s="48" t="n">
        <f aca="false">Elbow_2Phase!AQ66</f>
        <v>1.5</v>
      </c>
      <c r="G66" s="24" t="n">
        <f aca="false">Elbow_2Phase!AR66</f>
        <v>177.165354330709</v>
      </c>
      <c r="H66" s="24" t="n">
        <f aca="false">Elbow_2Phase!AS66</f>
        <v>1E-006</v>
      </c>
      <c r="I66" s="24" t="n">
        <f aca="false">Elbow_2Phase!AT66</f>
        <v>23.0380904140773</v>
      </c>
      <c r="J66" s="24" t="n">
        <f aca="false">Elbow_2Phase!AU66</f>
        <v>159032.222222222</v>
      </c>
      <c r="K66" s="24" t="n">
        <f aca="false">Elbow_2Phase!AV66</f>
        <v>41.4466033447266</v>
      </c>
      <c r="L66" s="24" t="n">
        <f aca="false">Elbow_2Phase!AW66</f>
        <v>10.414957895888</v>
      </c>
      <c r="M66" s="24" t="n">
        <f aca="false">Elbow_2Phase!AX66</f>
        <v>117.395833333333</v>
      </c>
      <c r="N66" s="24" t="n">
        <f aca="false">Elbow_2Phase!AY66</f>
        <v>0.000738188976377953</v>
      </c>
      <c r="O66" s="24" t="n">
        <f aca="false">Elbow_2Phase!AZ66</f>
        <v>0.000462264150943396</v>
      </c>
      <c r="P66" s="24" t="n">
        <f aca="false">Elbow_2Phase!BA66</f>
        <v>365.477466196284</v>
      </c>
      <c r="Q66" s="24" t="n">
        <f aca="false">Elbow_2Phase!BB66</f>
        <v>0.00135</v>
      </c>
      <c r="R66" s="24" t="n">
        <f aca="false">Elbow_2Phase!BC66</f>
        <v>1</v>
      </c>
      <c r="S66" s="24" t="n">
        <f aca="false">Elbow_2Phase!BD66</f>
        <v>0.000295</v>
      </c>
      <c r="T66" s="24" t="n">
        <f aca="false">Elbow_2Phase!BE66</f>
        <v>0.000236</v>
      </c>
      <c r="U66" s="24" t="n">
        <f aca="false">Elbow_2Phase!BF66</f>
        <v>0.000354</v>
      </c>
      <c r="V66" s="77" t="str">
        <f aca="false">Elbow_2Phase!BG66</f>
        <v>Asgharpour 2020</v>
      </c>
    </row>
    <row r="67" customFormat="false" ht="12.8" hidden="false" customHeight="false" outlineLevel="0" collapsed="false">
      <c r="A67" s="15" t="n">
        <v>65</v>
      </c>
      <c r="B67" s="20" t="str">
        <f aca="false">Elbow_2Phase!AM67</f>
        <v>Elbow</v>
      </c>
      <c r="C67" s="20" t="str">
        <f aca="false">Elbow_2Phase!AN67</f>
        <v>Gas-solid</v>
      </c>
      <c r="D67" s="20" t="str">
        <f aca="false">Elbow_2Phase!AO67</f>
        <v>V-H</v>
      </c>
      <c r="E67" s="48" t="n">
        <f aca="false">Elbow_2Phase!AP67</f>
        <v>90</v>
      </c>
      <c r="F67" s="48" t="n">
        <f aca="false">Elbow_2Phase!AQ67</f>
        <v>1.5</v>
      </c>
      <c r="G67" s="24" t="n">
        <f aca="false">Elbow_2Phase!AR67</f>
        <v>177.165354330709</v>
      </c>
      <c r="H67" s="24" t="n">
        <f aca="false">Elbow_2Phase!AS67</f>
        <v>1E-006</v>
      </c>
      <c r="I67" s="24" t="n">
        <f aca="false">Elbow_2Phase!AT67</f>
        <v>31.0513392537563</v>
      </c>
      <c r="J67" s="24" t="n">
        <f aca="false">Elbow_2Phase!AU67</f>
        <v>214347.777777778</v>
      </c>
      <c r="K67" s="24" t="n">
        <f aca="false">Elbow_2Phase!AV67</f>
        <v>41.4466033447266</v>
      </c>
      <c r="L67" s="24" t="n">
        <f aca="false">Elbow_2Phase!AW67</f>
        <v>14.0375519466317</v>
      </c>
      <c r="M67" s="24" t="n">
        <f aca="false">Elbow_2Phase!AX67</f>
        <v>158.229166666667</v>
      </c>
      <c r="N67" s="24" t="n">
        <f aca="false">Elbow_2Phase!AY67</f>
        <v>0.000738188976377953</v>
      </c>
      <c r="O67" s="24" t="n">
        <f aca="false">Elbow_2Phase!AZ67</f>
        <v>0.000462264150943396</v>
      </c>
      <c r="P67" s="24" t="n">
        <f aca="false">Elbow_2Phase!BA67</f>
        <v>201.18374570014</v>
      </c>
      <c r="Q67" s="24" t="n">
        <f aca="false">Elbow_2Phase!BB67</f>
        <v>0.000522</v>
      </c>
      <c r="R67" s="24" t="n">
        <f aca="false">Elbow_2Phase!BC67</f>
        <v>1</v>
      </c>
      <c r="S67" s="24" t="n">
        <f aca="false">Elbow_2Phase!BD67</f>
        <v>0.00114</v>
      </c>
      <c r="T67" s="24" t="n">
        <f aca="false">Elbow_2Phase!BE67</f>
        <v>0.000912</v>
      </c>
      <c r="U67" s="24" t="n">
        <f aca="false">Elbow_2Phase!BF67</f>
        <v>0.001368</v>
      </c>
      <c r="V67" s="77" t="str">
        <f aca="false">Elbow_2Phase!BG67</f>
        <v>Asgharpour 2020</v>
      </c>
    </row>
    <row r="68" customFormat="false" ht="12.8" hidden="false" customHeight="false" outlineLevel="0" collapsed="false">
      <c r="A68" s="15" t="n">
        <v>66</v>
      </c>
      <c r="B68" s="20" t="str">
        <f aca="false">Elbow_2Phase!AM68</f>
        <v>Elbow</v>
      </c>
      <c r="C68" s="20" t="str">
        <f aca="false">Elbow_2Phase!AN68</f>
        <v>Gas-solid</v>
      </c>
      <c r="D68" s="20" t="str">
        <f aca="false">Elbow_2Phase!AO68</f>
        <v>V-H</v>
      </c>
      <c r="E68" s="48" t="n">
        <f aca="false">Elbow_2Phase!AP68</f>
        <v>90</v>
      </c>
      <c r="F68" s="48" t="n">
        <f aca="false">Elbow_2Phase!AQ68</f>
        <v>1.5</v>
      </c>
      <c r="G68" s="24" t="n">
        <f aca="false">Elbow_2Phase!AR68</f>
        <v>177.165354330709</v>
      </c>
      <c r="H68" s="24" t="n">
        <f aca="false">Elbow_2Phase!AS68</f>
        <v>1E-006</v>
      </c>
      <c r="I68" s="24" t="n">
        <f aca="false">Elbow_2Phase!AT68</f>
        <v>37.0612758835156</v>
      </c>
      <c r="J68" s="24" t="n">
        <f aca="false">Elbow_2Phase!AU68</f>
        <v>255834.444444444</v>
      </c>
      <c r="K68" s="24" t="n">
        <f aca="false">Elbow_2Phase!AV68</f>
        <v>41.4466033447266</v>
      </c>
      <c r="L68" s="24" t="n">
        <f aca="false">Elbow_2Phase!AW68</f>
        <v>16.7544974846894</v>
      </c>
      <c r="M68" s="24" t="n">
        <f aca="false">Elbow_2Phase!AX68</f>
        <v>188.854166666667</v>
      </c>
      <c r="N68" s="24" t="n">
        <f aca="false">Elbow_2Phase!AY68</f>
        <v>0.000738188976377953</v>
      </c>
      <c r="O68" s="24" t="n">
        <f aca="false">Elbow_2Phase!AZ68</f>
        <v>0.000462264150943396</v>
      </c>
      <c r="P68" s="24" t="n">
        <f aca="false">Elbow_2Phase!BA68</f>
        <v>141.225405126249</v>
      </c>
      <c r="Q68" s="24" t="n">
        <f aca="false">Elbow_2Phase!BB68</f>
        <v>0.000118</v>
      </c>
      <c r="R68" s="24" t="n">
        <f aca="false">Elbow_2Phase!BC68</f>
        <v>1</v>
      </c>
      <c r="S68" s="24" t="n">
        <f aca="false">Elbow_2Phase!BD68</f>
        <v>0.00283</v>
      </c>
      <c r="T68" s="24" t="n">
        <f aca="false">Elbow_2Phase!BE68</f>
        <v>0.002264</v>
      </c>
      <c r="U68" s="24" t="n">
        <f aca="false">Elbow_2Phase!BF68</f>
        <v>0.003396</v>
      </c>
      <c r="V68" s="77" t="str">
        <f aca="false">Elbow_2Phase!BG68</f>
        <v>Asgharpour 2020</v>
      </c>
    </row>
    <row r="69" customFormat="false" ht="12.8" hidden="false" customHeight="false" outlineLevel="0" collapsed="false">
      <c r="A69" s="15" t="n">
        <v>67</v>
      </c>
      <c r="B69" s="20" t="str">
        <f aca="false">DI_2Phase!AI3</f>
        <v>DI</v>
      </c>
      <c r="C69" s="20" t="str">
        <f aca="false">DI_2Phase!AJ3</f>
        <v>Gas-solid</v>
      </c>
      <c r="D69" s="20" t="str">
        <f aca="false">DI_2Phase!AK3</f>
        <v>H-V</v>
      </c>
      <c r="E69" s="48" t="n">
        <f aca="false">DI_2Phase!AL3</f>
        <v>90</v>
      </c>
      <c r="F69" s="78" t="n">
        <f aca="false">DI_2Phase!AM3</f>
        <v>1E-006</v>
      </c>
      <c r="G69" s="24" t="n">
        <f aca="false">DI_2Phase!AN3*0+MAX($G$3:$G$68)</f>
        <v>336</v>
      </c>
      <c r="H69" s="24" t="n">
        <f aca="false">DI_2Phase!AO3</f>
        <v>1.81428571428571</v>
      </c>
      <c r="I69" s="24" t="n">
        <f aca="false">DI_2Phase!AP3</f>
        <v>116.390173518329</v>
      </c>
      <c r="J69" s="24" t="n">
        <f aca="false">DI_2Phase!AQ3</f>
        <v>14529.8611111111</v>
      </c>
      <c r="K69" s="24" t="n">
        <f aca="false">DI_2Phase!AR3</f>
        <v>2652.5826140625</v>
      </c>
      <c r="L69" s="24" t="n">
        <f aca="false">DI_2Phase!AS3</f>
        <v>3207.34126984127</v>
      </c>
      <c r="M69" s="24" t="n">
        <f aca="false">DI_2Phase!AT3</f>
        <v>622.708333333333</v>
      </c>
      <c r="N69" s="24" t="n">
        <f aca="false">DI_2Phase!AU3</f>
        <v>0.0428571428571429</v>
      </c>
      <c r="O69" s="24" t="n">
        <f aca="false">DI_2Phase!AV3</f>
        <v>0.000462264150943396</v>
      </c>
      <c r="P69" s="24" t="n">
        <f aca="false">DI_2Phase!AW3</f>
        <v>298.110264091085</v>
      </c>
      <c r="Q69" s="24" t="n">
        <f aca="false">DI_2Phase!AX3</f>
        <v>8.46520337514632E-005</v>
      </c>
      <c r="R69" s="24" t="n">
        <f aca="false">DI_2Phase!AY3</f>
        <v>1</v>
      </c>
      <c r="S69" s="24" t="n">
        <f aca="false">DI_2Phase!AZ3</f>
        <v>0.00223</v>
      </c>
      <c r="T69" s="24" t="n">
        <f aca="false">DI_2Phase!BA3</f>
        <v>0.001784</v>
      </c>
      <c r="U69" s="24" t="n">
        <f aca="false">DI_2Phase!BB3</f>
        <v>0.002676</v>
      </c>
      <c r="V69" s="77" t="str">
        <f aca="false">DI_2Phase!BC3</f>
        <v>Vieira 2017</v>
      </c>
    </row>
    <row r="70" customFormat="false" ht="12.8" hidden="false" customHeight="false" outlineLevel="0" collapsed="false">
      <c r="A70" s="15" t="n">
        <v>68</v>
      </c>
      <c r="B70" s="20" t="str">
        <f aca="false">DI_2Phase!AI4</f>
        <v>DI</v>
      </c>
      <c r="C70" s="20" t="str">
        <f aca="false">DI_2Phase!AJ4</f>
        <v>Gas-solid</v>
      </c>
      <c r="D70" s="20" t="str">
        <f aca="false">DI_2Phase!AK4</f>
        <v>H-V</v>
      </c>
      <c r="E70" s="48" t="n">
        <f aca="false">DI_2Phase!AL4</f>
        <v>90</v>
      </c>
      <c r="F70" s="78" t="n">
        <f aca="false">DI_2Phase!AM4</f>
        <v>1E-006</v>
      </c>
      <c r="G70" s="24" t="n">
        <f aca="false">DI_2Phase!AN4*0+MAX($G$3:$G$68)</f>
        <v>336</v>
      </c>
      <c r="H70" s="24" t="n">
        <f aca="false">DI_2Phase!AO4</f>
        <v>1.81428571428571</v>
      </c>
      <c r="I70" s="24" t="n">
        <f aca="false">DI_2Phase!AP4</f>
        <v>116.390173518329</v>
      </c>
      <c r="J70" s="24" t="n">
        <f aca="false">DI_2Phase!AQ4</f>
        <v>14529.8611111111</v>
      </c>
      <c r="K70" s="24" t="n">
        <f aca="false">DI_2Phase!AR4</f>
        <v>2652.5826140625</v>
      </c>
      <c r="L70" s="24" t="n">
        <f aca="false">DI_2Phase!AS4</f>
        <v>3207.34126984127</v>
      </c>
      <c r="M70" s="24" t="n">
        <f aca="false">DI_2Phase!AT4</f>
        <v>622.708333333333</v>
      </c>
      <c r="N70" s="24" t="n">
        <f aca="false">DI_2Phase!AU4</f>
        <v>0.0428571428571429</v>
      </c>
      <c r="O70" s="24" t="n">
        <f aca="false">DI_2Phase!AV4</f>
        <v>0.000462264150943396</v>
      </c>
      <c r="P70" s="24" t="n">
        <f aca="false">DI_2Phase!AW4</f>
        <v>298.110264091085</v>
      </c>
      <c r="Q70" s="24" t="n">
        <f aca="false">DI_2Phase!AX4</f>
        <v>8.94735536039863E-005</v>
      </c>
      <c r="R70" s="24" t="n">
        <f aca="false">DI_2Phase!AY4</f>
        <v>1</v>
      </c>
      <c r="S70" s="24" t="n">
        <f aca="false">DI_2Phase!AZ4</f>
        <v>0.00223</v>
      </c>
      <c r="T70" s="24" t="n">
        <f aca="false">DI_2Phase!BA4</f>
        <v>0.001784</v>
      </c>
      <c r="U70" s="24" t="n">
        <f aca="false">DI_2Phase!BB4</f>
        <v>0.002676</v>
      </c>
      <c r="V70" s="77" t="str">
        <f aca="false">DI_2Phase!BC4</f>
        <v>Vieira 2017</v>
      </c>
    </row>
    <row r="71" customFormat="false" ht="12.8" hidden="false" customHeight="false" outlineLevel="0" collapsed="false">
      <c r="A71" s="15" t="n">
        <v>69</v>
      </c>
      <c r="B71" s="20" t="str">
        <f aca="false">DI_2Phase!AI5</f>
        <v>DI</v>
      </c>
      <c r="C71" s="20" t="str">
        <f aca="false">DI_2Phase!AJ5</f>
        <v>Gas-solid</v>
      </c>
      <c r="D71" s="20" t="str">
        <f aca="false">DI_2Phase!AK5</f>
        <v>H-V</v>
      </c>
      <c r="E71" s="48" t="n">
        <f aca="false">DI_2Phase!AL5</f>
        <v>90</v>
      </c>
      <c r="F71" s="78" t="n">
        <f aca="false">DI_2Phase!AM5</f>
        <v>1E-006</v>
      </c>
      <c r="G71" s="24" t="n">
        <f aca="false">DI_2Phase!AN5*0+MAX($G$3:$G$68)</f>
        <v>336</v>
      </c>
      <c r="H71" s="24" t="n">
        <f aca="false">DI_2Phase!AO5</f>
        <v>1.81428571428571</v>
      </c>
      <c r="I71" s="24" t="n">
        <f aca="false">DI_2Phase!AP5</f>
        <v>116.390173518329</v>
      </c>
      <c r="J71" s="24" t="n">
        <f aca="false">DI_2Phase!AQ5</f>
        <v>14529.8611111111</v>
      </c>
      <c r="K71" s="24" t="n">
        <f aca="false">DI_2Phase!AR5</f>
        <v>2652.5826140625</v>
      </c>
      <c r="L71" s="24" t="n">
        <f aca="false">DI_2Phase!AS5</f>
        <v>3207.34126984127</v>
      </c>
      <c r="M71" s="24" t="n">
        <f aca="false">DI_2Phase!AT5</f>
        <v>622.708333333333</v>
      </c>
      <c r="N71" s="24" t="n">
        <f aca="false">DI_2Phase!AU5</f>
        <v>0.0428571428571429</v>
      </c>
      <c r="O71" s="24" t="n">
        <f aca="false">DI_2Phase!AV5</f>
        <v>0.000462264150943396</v>
      </c>
      <c r="P71" s="24" t="n">
        <f aca="false">DI_2Phase!AW5</f>
        <v>298.110264091085</v>
      </c>
      <c r="Q71" s="24" t="n">
        <f aca="false">DI_2Phase!AX5</f>
        <v>8.03661992912481E-005</v>
      </c>
      <c r="R71" s="24" t="n">
        <f aca="false">DI_2Phase!AY5</f>
        <v>1</v>
      </c>
      <c r="S71" s="24" t="n">
        <f aca="false">DI_2Phase!AZ5</f>
        <v>0.00357</v>
      </c>
      <c r="T71" s="24" t="n">
        <f aca="false">DI_2Phase!BA5</f>
        <v>0.002856</v>
      </c>
      <c r="U71" s="24" t="n">
        <f aca="false">DI_2Phase!BB5</f>
        <v>0.004284</v>
      </c>
      <c r="V71" s="77" t="str">
        <f aca="false">DI_2Phase!BC5</f>
        <v>Vieira 2017</v>
      </c>
    </row>
    <row r="72" customFormat="false" ht="12.8" hidden="false" customHeight="false" outlineLevel="0" collapsed="false">
      <c r="A72" s="15" t="n">
        <v>70</v>
      </c>
      <c r="B72" s="20" t="str">
        <f aca="false">DI_2Phase!AI6</f>
        <v>DI</v>
      </c>
      <c r="C72" s="20" t="str">
        <f aca="false">DI_2Phase!AJ6</f>
        <v>Gas-solid</v>
      </c>
      <c r="D72" s="20" t="str">
        <f aca="false">DI_2Phase!AK6</f>
        <v>H-V</v>
      </c>
      <c r="E72" s="48" t="n">
        <f aca="false">DI_2Phase!AL6</f>
        <v>90</v>
      </c>
      <c r="F72" s="78" t="n">
        <f aca="false">DI_2Phase!AM6</f>
        <v>1E-006</v>
      </c>
      <c r="G72" s="24" t="n">
        <f aca="false">DI_2Phase!AN6*0+MAX($G$3:$G$68)</f>
        <v>336</v>
      </c>
      <c r="H72" s="24" t="n">
        <f aca="false">DI_2Phase!AO6</f>
        <v>1.81428571428571</v>
      </c>
      <c r="I72" s="24" t="n">
        <f aca="false">DI_2Phase!AP6</f>
        <v>116.390173518329</v>
      </c>
      <c r="J72" s="24" t="n">
        <f aca="false">DI_2Phase!AQ6</f>
        <v>14529.8611111111</v>
      </c>
      <c r="K72" s="24" t="n">
        <f aca="false">DI_2Phase!AR6</f>
        <v>2652.5826140625</v>
      </c>
      <c r="L72" s="24" t="n">
        <f aca="false">DI_2Phase!AS6</f>
        <v>3207.34126984127</v>
      </c>
      <c r="M72" s="24" t="n">
        <f aca="false">DI_2Phase!AT6</f>
        <v>622.708333333333</v>
      </c>
      <c r="N72" s="24" t="n">
        <f aca="false">DI_2Phase!AU6</f>
        <v>0.0428571428571429</v>
      </c>
      <c r="O72" s="24" t="n">
        <f aca="false">DI_2Phase!AV6</f>
        <v>0.000462264150943396</v>
      </c>
      <c r="P72" s="24" t="n">
        <f aca="false">DI_2Phase!AW6</f>
        <v>298.110264091085</v>
      </c>
      <c r="Q72" s="24" t="n">
        <f aca="false">DI_2Phase!AX6</f>
        <v>8.03661992912481E-005</v>
      </c>
      <c r="R72" s="24" t="n">
        <f aca="false">DI_2Phase!AY6</f>
        <v>1</v>
      </c>
      <c r="S72" s="24" t="n">
        <f aca="false">DI_2Phase!AZ6</f>
        <v>0.00268</v>
      </c>
      <c r="T72" s="24" t="n">
        <f aca="false">DI_2Phase!BA6</f>
        <v>0.002144</v>
      </c>
      <c r="U72" s="24" t="n">
        <f aca="false">DI_2Phase!BB6</f>
        <v>0.003216</v>
      </c>
      <c r="V72" s="77" t="str">
        <f aca="false">DI_2Phase!BC6</f>
        <v>Vieira 2017</v>
      </c>
    </row>
    <row r="73" customFormat="false" ht="12.8" hidden="false" customHeight="false" outlineLevel="0" collapsed="false">
      <c r="A73" s="15" t="n">
        <v>71</v>
      </c>
      <c r="B73" s="20" t="str">
        <f aca="false">DI_2Phase!AI7</f>
        <v>DI</v>
      </c>
      <c r="C73" s="20" t="str">
        <f aca="false">DI_2Phase!AJ7</f>
        <v>Gas-solid</v>
      </c>
      <c r="D73" s="20" t="str">
        <f aca="false">DI_2Phase!AK7</f>
        <v>H-V</v>
      </c>
      <c r="E73" s="48" t="n">
        <f aca="false">DI_2Phase!AL7</f>
        <v>90</v>
      </c>
      <c r="F73" s="78" t="n">
        <f aca="false">DI_2Phase!AM7</f>
        <v>1E-006</v>
      </c>
      <c r="G73" s="24" t="n">
        <f aca="false">DI_2Phase!AN7*0+MAX($G$3:$G$68)</f>
        <v>336</v>
      </c>
      <c r="H73" s="24" t="n">
        <f aca="false">DI_2Phase!AO7</f>
        <v>1.81428571428571</v>
      </c>
      <c r="I73" s="24" t="n">
        <f aca="false">DI_2Phase!AP7</f>
        <v>116.390173518329</v>
      </c>
      <c r="J73" s="24" t="n">
        <f aca="false">DI_2Phase!AQ7</f>
        <v>14529.8611111111</v>
      </c>
      <c r="K73" s="24" t="n">
        <f aca="false">DI_2Phase!AR7</f>
        <v>2652.5826140625</v>
      </c>
      <c r="L73" s="24" t="n">
        <f aca="false">DI_2Phase!AS7</f>
        <v>3207.34126984127</v>
      </c>
      <c r="M73" s="24" t="n">
        <f aca="false">DI_2Phase!AT7</f>
        <v>622.708333333333</v>
      </c>
      <c r="N73" s="24" t="n">
        <f aca="false">DI_2Phase!AU7</f>
        <v>0.0428571428571429</v>
      </c>
      <c r="O73" s="24" t="n">
        <f aca="false">DI_2Phase!AV7</f>
        <v>0.000462264150943396</v>
      </c>
      <c r="P73" s="24" t="n">
        <f aca="false">DI_2Phase!AW7</f>
        <v>298.110264091085</v>
      </c>
      <c r="Q73" s="24" t="n">
        <f aca="false">DI_2Phase!AX7</f>
        <v>8.25091211138288E-005</v>
      </c>
      <c r="R73" s="24" t="n">
        <f aca="false">DI_2Phase!AY7</f>
        <v>1</v>
      </c>
      <c r="S73" s="24" t="n">
        <f aca="false">DI_2Phase!AZ7</f>
        <v>0.00257</v>
      </c>
      <c r="T73" s="24" t="n">
        <f aca="false">DI_2Phase!BA7</f>
        <v>0.002056</v>
      </c>
      <c r="U73" s="24" t="n">
        <f aca="false">DI_2Phase!BB7</f>
        <v>0.003084</v>
      </c>
      <c r="V73" s="77" t="str">
        <f aca="false">DI_2Phase!BC7</f>
        <v>Vieira 2017</v>
      </c>
    </row>
    <row r="74" customFormat="false" ht="12.8" hidden="false" customHeight="false" outlineLevel="0" collapsed="false">
      <c r="A74" s="15" t="n">
        <v>72</v>
      </c>
      <c r="B74" s="20" t="str">
        <f aca="false">DI_2Phase!AI8</f>
        <v>DI</v>
      </c>
      <c r="C74" s="20" t="str">
        <f aca="false">DI_2Phase!AJ8</f>
        <v>Gas-solid</v>
      </c>
      <c r="D74" s="20" t="str">
        <f aca="false">DI_2Phase!AK8</f>
        <v>H-V</v>
      </c>
      <c r="E74" s="48" t="n">
        <f aca="false">DI_2Phase!AL8</f>
        <v>90</v>
      </c>
      <c r="F74" s="78" t="n">
        <f aca="false">DI_2Phase!AM8</f>
        <v>1E-006</v>
      </c>
      <c r="G74" s="24" t="n">
        <f aca="false">DI_2Phase!AN8*0+MAX($G$3:$G$68)</f>
        <v>336</v>
      </c>
      <c r="H74" s="24" t="n">
        <f aca="false">DI_2Phase!AO8</f>
        <v>1.81428571428571</v>
      </c>
      <c r="I74" s="24" t="n">
        <f aca="false">DI_2Phase!AP8</f>
        <v>116.390173518329</v>
      </c>
      <c r="J74" s="24" t="n">
        <f aca="false">DI_2Phase!AQ8</f>
        <v>14529.8611111111</v>
      </c>
      <c r="K74" s="24" t="n">
        <f aca="false">DI_2Phase!AR8</f>
        <v>2652.5826140625</v>
      </c>
      <c r="L74" s="24" t="n">
        <f aca="false">DI_2Phase!AS8</f>
        <v>3207.34126984127</v>
      </c>
      <c r="M74" s="24" t="n">
        <f aca="false">DI_2Phase!AT8</f>
        <v>622.708333333333</v>
      </c>
      <c r="N74" s="24" t="n">
        <f aca="false">DI_2Phase!AU8</f>
        <v>0.0428571428571429</v>
      </c>
      <c r="O74" s="24" t="n">
        <f aca="false">DI_2Phase!AV8</f>
        <v>0.000462264150943396</v>
      </c>
      <c r="P74" s="24" t="n">
        <f aca="false">DI_2Phase!AW8</f>
        <v>298.110264091085</v>
      </c>
      <c r="Q74" s="24" t="n">
        <f aca="false">DI_2Phase!AX8</f>
        <v>8.25091211138288E-005</v>
      </c>
      <c r="R74" s="24" t="n">
        <f aca="false">DI_2Phase!AY8</f>
        <v>1</v>
      </c>
      <c r="S74" s="24" t="n">
        <f aca="false">DI_2Phase!AZ8</f>
        <v>0.0029</v>
      </c>
      <c r="T74" s="24" t="n">
        <f aca="false">DI_2Phase!BA8</f>
        <v>0.00232</v>
      </c>
      <c r="U74" s="24" t="n">
        <f aca="false">DI_2Phase!BB8</f>
        <v>0.00348</v>
      </c>
      <c r="V74" s="77" t="str">
        <f aca="false">DI_2Phase!BC8</f>
        <v>Vieira 2017</v>
      </c>
    </row>
    <row r="75" customFormat="false" ht="12.8" hidden="false" customHeight="false" outlineLevel="0" collapsed="false">
      <c r="A75" s="15" t="n">
        <v>73</v>
      </c>
      <c r="B75" s="20" t="str">
        <f aca="false">DI_2Phase!AI9</f>
        <v>DI</v>
      </c>
      <c r="C75" s="20" t="str">
        <f aca="false">DI_2Phase!AJ9</f>
        <v>Gas-solid</v>
      </c>
      <c r="D75" s="20" t="str">
        <f aca="false">DI_2Phase!AK9</f>
        <v>H-V</v>
      </c>
      <c r="E75" s="48" t="n">
        <f aca="false">DI_2Phase!AL9</f>
        <v>90</v>
      </c>
      <c r="F75" s="78" t="n">
        <f aca="false">DI_2Phase!AM9</f>
        <v>1E-006</v>
      </c>
      <c r="G75" s="24" t="n">
        <f aca="false">DI_2Phase!AN9*0+MAX($G$3:$G$68)</f>
        <v>336</v>
      </c>
      <c r="H75" s="24" t="n">
        <f aca="false">DI_2Phase!AO9</f>
        <v>1.81428571428571</v>
      </c>
      <c r="I75" s="24" t="n">
        <f aca="false">DI_2Phase!AP9</f>
        <v>116.390173518329</v>
      </c>
      <c r="J75" s="24" t="n">
        <f aca="false">DI_2Phase!AQ9</f>
        <v>14529.8611111111</v>
      </c>
      <c r="K75" s="24" t="n">
        <f aca="false">DI_2Phase!AR9</f>
        <v>2652.5826140625</v>
      </c>
      <c r="L75" s="24" t="n">
        <f aca="false">DI_2Phase!AS9</f>
        <v>3207.34126984127</v>
      </c>
      <c r="M75" s="24" t="n">
        <f aca="false">DI_2Phase!AT9</f>
        <v>622.708333333333</v>
      </c>
      <c r="N75" s="24" t="n">
        <f aca="false">DI_2Phase!AU9</f>
        <v>0.0428571428571429</v>
      </c>
      <c r="O75" s="24" t="n">
        <f aca="false">DI_2Phase!AV9</f>
        <v>0.000462264150943396</v>
      </c>
      <c r="P75" s="24" t="n">
        <f aca="false">DI_2Phase!AW9</f>
        <v>298.110264091085</v>
      </c>
      <c r="Q75" s="24" t="n">
        <f aca="false">DI_2Phase!AX9</f>
        <v>8.25091211138288E-005</v>
      </c>
      <c r="R75" s="24" t="n">
        <f aca="false">DI_2Phase!AY9</f>
        <v>1</v>
      </c>
      <c r="S75" s="24" t="n">
        <f aca="false">DI_2Phase!AZ9</f>
        <v>0.00234</v>
      </c>
      <c r="T75" s="24" t="n">
        <f aca="false">DI_2Phase!BA9</f>
        <v>0.001872</v>
      </c>
      <c r="U75" s="24" t="n">
        <f aca="false">DI_2Phase!BB9</f>
        <v>0.002808</v>
      </c>
      <c r="V75" s="77" t="str">
        <f aca="false">DI_2Phase!BC9</f>
        <v>Vieira 2017</v>
      </c>
    </row>
    <row r="76" customFormat="false" ht="12.8" hidden="false" customHeight="false" outlineLevel="0" collapsed="false">
      <c r="A76" s="15" t="n">
        <v>74</v>
      </c>
      <c r="B76" s="20" t="str">
        <f aca="false">DI_2Phase!AI10</f>
        <v>DI</v>
      </c>
      <c r="C76" s="20" t="str">
        <f aca="false">DI_2Phase!AJ10</f>
        <v>Gas-solid</v>
      </c>
      <c r="D76" s="20" t="str">
        <f aca="false">DI_2Phase!AK10</f>
        <v>H-V</v>
      </c>
      <c r="E76" s="48" t="n">
        <f aca="false">DI_2Phase!AL10</f>
        <v>90</v>
      </c>
      <c r="F76" s="78" t="n">
        <f aca="false">DI_2Phase!AM10</f>
        <v>1E-006</v>
      </c>
      <c r="G76" s="24" t="n">
        <f aca="false">DI_2Phase!AN10*0+MAX($G$3:$G$68)</f>
        <v>336</v>
      </c>
      <c r="H76" s="24" t="n">
        <f aca="false">DI_2Phase!AO10</f>
        <v>1.81428571428571</v>
      </c>
      <c r="I76" s="24" t="n">
        <f aca="false">DI_2Phase!AP10</f>
        <v>116.390173518329</v>
      </c>
      <c r="J76" s="24" t="n">
        <f aca="false">DI_2Phase!AQ10</f>
        <v>14529.8611111111</v>
      </c>
      <c r="K76" s="24" t="n">
        <f aca="false">DI_2Phase!AR10</f>
        <v>2652.5826140625</v>
      </c>
      <c r="L76" s="24" t="n">
        <f aca="false">DI_2Phase!AS10</f>
        <v>3207.34126984127</v>
      </c>
      <c r="M76" s="24" t="n">
        <f aca="false">DI_2Phase!AT10</f>
        <v>622.708333333333</v>
      </c>
      <c r="N76" s="24" t="n">
        <f aca="false">DI_2Phase!AU10</f>
        <v>0.0428571428571429</v>
      </c>
      <c r="O76" s="24" t="n">
        <f aca="false">DI_2Phase!AV10</f>
        <v>0.000462264150943396</v>
      </c>
      <c r="P76" s="24" t="n">
        <f aca="false">DI_2Phase!AW10</f>
        <v>298.110264091085</v>
      </c>
      <c r="Q76" s="24" t="n">
        <f aca="false">DI_2Phase!AX10</f>
        <v>8.46520337514632E-005</v>
      </c>
      <c r="R76" s="24" t="n">
        <f aca="false">DI_2Phase!AY10</f>
        <v>1</v>
      </c>
      <c r="S76" s="24" t="n">
        <f aca="false">DI_2Phase!AZ10</f>
        <v>0.0029</v>
      </c>
      <c r="T76" s="24" t="n">
        <f aca="false">DI_2Phase!BA10</f>
        <v>0.00232</v>
      </c>
      <c r="U76" s="24" t="n">
        <f aca="false">DI_2Phase!BB10</f>
        <v>0.00348</v>
      </c>
      <c r="V76" s="77" t="str">
        <f aca="false">DI_2Phase!BC10</f>
        <v>Vieira 2017</v>
      </c>
    </row>
    <row r="77" customFormat="false" ht="12.8" hidden="false" customHeight="false" outlineLevel="0" collapsed="false">
      <c r="A77" s="15" t="n">
        <v>75</v>
      </c>
      <c r="B77" s="20" t="str">
        <f aca="false">DI_2Phase!AI11</f>
        <v>DI</v>
      </c>
      <c r="C77" s="20" t="str">
        <f aca="false">DI_2Phase!AJ11</f>
        <v>Gas-solid</v>
      </c>
      <c r="D77" s="20" t="str">
        <f aca="false">DI_2Phase!AK11</f>
        <v>H-V</v>
      </c>
      <c r="E77" s="48" t="n">
        <f aca="false">DI_2Phase!AL11</f>
        <v>90</v>
      </c>
      <c r="F77" s="78" t="n">
        <f aca="false">DI_2Phase!AM11</f>
        <v>1E-006</v>
      </c>
      <c r="G77" s="24" t="n">
        <f aca="false">DI_2Phase!AN11*0+MAX($G$3:$G$68)</f>
        <v>336</v>
      </c>
      <c r="H77" s="24" t="n">
        <f aca="false">DI_2Phase!AO11</f>
        <v>1.81428571428571</v>
      </c>
      <c r="I77" s="24" t="n">
        <f aca="false">DI_2Phase!AP11</f>
        <v>116.390173518329</v>
      </c>
      <c r="J77" s="24" t="n">
        <f aca="false">DI_2Phase!AQ11</f>
        <v>14529.8611111111</v>
      </c>
      <c r="K77" s="24" t="n">
        <f aca="false">DI_2Phase!AR11</f>
        <v>2652.5826140625</v>
      </c>
      <c r="L77" s="24" t="n">
        <f aca="false">DI_2Phase!AS11</f>
        <v>3207.34126984127</v>
      </c>
      <c r="M77" s="24" t="n">
        <f aca="false">DI_2Phase!AT11</f>
        <v>622.708333333333</v>
      </c>
      <c r="N77" s="24" t="n">
        <f aca="false">DI_2Phase!AU11</f>
        <v>0.0428571428571429</v>
      </c>
      <c r="O77" s="24" t="n">
        <f aca="false">DI_2Phase!AV11</f>
        <v>0.000462264150943396</v>
      </c>
      <c r="P77" s="24" t="n">
        <f aca="false">DI_2Phase!AW11</f>
        <v>298.110264091085</v>
      </c>
      <c r="Q77" s="24" t="n">
        <f aca="false">DI_2Phase!AX11</f>
        <v>8.46520337514632E-005</v>
      </c>
      <c r="R77" s="24" t="n">
        <f aca="false">DI_2Phase!AY11</f>
        <v>1</v>
      </c>
      <c r="S77" s="24" t="n">
        <f aca="false">DI_2Phase!AZ11</f>
        <v>0.00245</v>
      </c>
      <c r="T77" s="24" t="n">
        <f aca="false">DI_2Phase!BA11</f>
        <v>0.00196</v>
      </c>
      <c r="U77" s="24" t="n">
        <f aca="false">DI_2Phase!BB11</f>
        <v>0.00294</v>
      </c>
      <c r="V77" s="77" t="str">
        <f aca="false">DI_2Phase!BC11</f>
        <v>Vieira 2017</v>
      </c>
    </row>
    <row r="78" customFormat="false" ht="12.8" hidden="false" customHeight="false" outlineLevel="0" collapsed="false">
      <c r="A78" s="15" t="n">
        <v>76</v>
      </c>
      <c r="B78" s="20" t="str">
        <f aca="false">DI_2Phase!AI12</f>
        <v>DI</v>
      </c>
      <c r="C78" s="20" t="str">
        <f aca="false">DI_2Phase!AJ12</f>
        <v>Gas-solid</v>
      </c>
      <c r="D78" s="20" t="str">
        <f aca="false">DI_2Phase!AK12</f>
        <v>H-V</v>
      </c>
      <c r="E78" s="48" t="n">
        <f aca="false">DI_2Phase!AL12</f>
        <v>90</v>
      </c>
      <c r="F78" s="78" t="n">
        <f aca="false">DI_2Phase!AM12</f>
        <v>1E-006</v>
      </c>
      <c r="G78" s="24" t="n">
        <f aca="false">DI_2Phase!AN12*0+MAX($G$3:$G$68)</f>
        <v>336</v>
      </c>
      <c r="H78" s="24" t="n">
        <f aca="false">DI_2Phase!AO12</f>
        <v>1.81428571428571</v>
      </c>
      <c r="I78" s="24" t="n">
        <f aca="false">DI_2Phase!AP12</f>
        <v>116.390173518329</v>
      </c>
      <c r="J78" s="24" t="n">
        <f aca="false">DI_2Phase!AQ12</f>
        <v>14529.8611111111</v>
      </c>
      <c r="K78" s="24" t="n">
        <f aca="false">DI_2Phase!AR12</f>
        <v>2652.5826140625</v>
      </c>
      <c r="L78" s="24" t="n">
        <f aca="false">DI_2Phase!AS12</f>
        <v>3207.34126984127</v>
      </c>
      <c r="M78" s="24" t="n">
        <f aca="false">DI_2Phase!AT12</f>
        <v>622.708333333333</v>
      </c>
      <c r="N78" s="24" t="n">
        <f aca="false">DI_2Phase!AU12</f>
        <v>0.0428571428571429</v>
      </c>
      <c r="O78" s="24" t="n">
        <f aca="false">DI_2Phase!AV12</f>
        <v>0.000462264150943396</v>
      </c>
      <c r="P78" s="24" t="n">
        <f aca="false">DI_2Phase!AW12</f>
        <v>298.110264091085</v>
      </c>
      <c r="Q78" s="24" t="n">
        <f aca="false">DI_2Phase!AX12</f>
        <v>8.46520337514632E-005</v>
      </c>
      <c r="R78" s="24" t="n">
        <f aca="false">DI_2Phase!AY12</f>
        <v>1</v>
      </c>
      <c r="S78" s="24" t="n">
        <f aca="false">DI_2Phase!AZ12</f>
        <v>0.00283</v>
      </c>
      <c r="T78" s="24" t="n">
        <f aca="false">DI_2Phase!BA12</f>
        <v>0.002264</v>
      </c>
      <c r="U78" s="24" t="n">
        <f aca="false">DI_2Phase!BB12</f>
        <v>0.003396</v>
      </c>
      <c r="V78" s="77" t="str">
        <f aca="false">DI_2Phase!BC12</f>
        <v>Vieira 2017</v>
      </c>
    </row>
    <row r="79" customFormat="false" ht="12.8" hidden="false" customHeight="false" outlineLevel="0" collapsed="false">
      <c r="A79" s="15" t="n">
        <v>77</v>
      </c>
      <c r="B79" s="20" t="str">
        <f aca="false">DI_2Phase!AI13</f>
        <v>DI</v>
      </c>
      <c r="C79" s="20" t="str">
        <f aca="false">DI_2Phase!AJ13</f>
        <v>Gas-solid</v>
      </c>
      <c r="D79" s="20" t="str">
        <f aca="false">DI_2Phase!AK13</f>
        <v>H-V</v>
      </c>
      <c r="E79" s="48" t="n">
        <f aca="false">DI_2Phase!AL13</f>
        <v>90</v>
      </c>
      <c r="F79" s="78" t="n">
        <f aca="false">DI_2Phase!AM13</f>
        <v>1E-006</v>
      </c>
      <c r="G79" s="24" t="n">
        <f aca="false">DI_2Phase!AN13*0+MAX($G$3:$G$68)</f>
        <v>336</v>
      </c>
      <c r="H79" s="24" t="n">
        <f aca="false">DI_2Phase!AO13</f>
        <v>1.81428571428571</v>
      </c>
      <c r="I79" s="24" t="n">
        <f aca="false">DI_2Phase!AP13</f>
        <v>116.390173518329</v>
      </c>
      <c r="J79" s="24" t="n">
        <f aca="false">DI_2Phase!AQ13</f>
        <v>14529.8611111111</v>
      </c>
      <c r="K79" s="24" t="n">
        <f aca="false">DI_2Phase!AR13</f>
        <v>331.572826757812</v>
      </c>
      <c r="L79" s="24" t="n">
        <f aca="false">DI_2Phase!AS13</f>
        <v>801.835317460317</v>
      </c>
      <c r="M79" s="24" t="n">
        <f aca="false">DI_2Phase!AT13</f>
        <v>311.354166666667</v>
      </c>
      <c r="N79" s="24" t="n">
        <f aca="false">DI_2Phase!AU13</f>
        <v>0.0214285714285714</v>
      </c>
      <c r="O79" s="24" t="n">
        <f aca="false">DI_2Phase!AV13</f>
        <v>0.000462264150943396</v>
      </c>
      <c r="P79" s="24" t="n">
        <f aca="false">DI_2Phase!AW13</f>
        <v>298.110264091085</v>
      </c>
      <c r="Q79" s="24" t="n">
        <f aca="false">DI_2Phase!AX13</f>
        <v>0.000153220388857435</v>
      </c>
      <c r="R79" s="24" t="n">
        <f aca="false">DI_2Phase!AY13</f>
        <v>1</v>
      </c>
      <c r="S79" s="24" t="n">
        <f aca="false">DI_2Phase!AZ13</f>
        <v>0.000223</v>
      </c>
      <c r="T79" s="24" t="n">
        <f aca="false">DI_2Phase!BA13</f>
        <v>0.0001784</v>
      </c>
      <c r="U79" s="24" t="n">
        <f aca="false">DI_2Phase!BB13</f>
        <v>0.0002676</v>
      </c>
      <c r="V79" s="77" t="str">
        <f aca="false">DI_2Phase!BC13</f>
        <v>Vieira 2017</v>
      </c>
    </row>
    <row r="80" customFormat="false" ht="12.8" hidden="false" customHeight="false" outlineLevel="0" collapsed="false">
      <c r="A80" s="15" t="n">
        <v>78</v>
      </c>
      <c r="B80" s="20" t="str">
        <f aca="false">DI_2Phase!AI14</f>
        <v>DI</v>
      </c>
      <c r="C80" s="20" t="str">
        <f aca="false">DI_2Phase!AJ14</f>
        <v>Gas-solid</v>
      </c>
      <c r="D80" s="20" t="str">
        <f aca="false">DI_2Phase!AK14</f>
        <v>H-V</v>
      </c>
      <c r="E80" s="48" t="n">
        <f aca="false">DI_2Phase!AL14</f>
        <v>90</v>
      </c>
      <c r="F80" s="78" t="n">
        <f aca="false">DI_2Phase!AM14</f>
        <v>1E-006</v>
      </c>
      <c r="G80" s="24" t="n">
        <f aca="false">DI_2Phase!AN14*0+MAX($G$3:$G$68)</f>
        <v>336</v>
      </c>
      <c r="H80" s="24" t="n">
        <f aca="false">DI_2Phase!AO14</f>
        <v>1.81428571428571</v>
      </c>
      <c r="I80" s="24" t="n">
        <f aca="false">DI_2Phase!AP14</f>
        <v>116.390173518329</v>
      </c>
      <c r="J80" s="24" t="n">
        <f aca="false">DI_2Phase!AQ14</f>
        <v>14529.8611111111</v>
      </c>
      <c r="K80" s="24" t="n">
        <f aca="false">DI_2Phase!AR14</f>
        <v>331.572826757812</v>
      </c>
      <c r="L80" s="24" t="n">
        <f aca="false">DI_2Phase!AS14</f>
        <v>801.835317460317</v>
      </c>
      <c r="M80" s="24" t="n">
        <f aca="false">DI_2Phase!AT14</f>
        <v>311.354166666667</v>
      </c>
      <c r="N80" s="24" t="n">
        <f aca="false">DI_2Phase!AU14</f>
        <v>0.0214285714285714</v>
      </c>
      <c r="O80" s="24" t="n">
        <f aca="false">DI_2Phase!AV14</f>
        <v>0.000462264150943396</v>
      </c>
      <c r="P80" s="24" t="n">
        <f aca="false">DI_2Phase!AW14</f>
        <v>298.110264091085</v>
      </c>
      <c r="Q80" s="24" t="n">
        <f aca="false">DI_2Phase!AX14</f>
        <v>0.000153220388857435</v>
      </c>
      <c r="R80" s="24" t="n">
        <f aca="false">DI_2Phase!AY14</f>
        <v>1</v>
      </c>
      <c r="S80" s="24" t="n">
        <f aca="false">DI_2Phase!AZ14</f>
        <v>0.000335</v>
      </c>
      <c r="T80" s="24" t="n">
        <f aca="false">DI_2Phase!BA14</f>
        <v>0.000268</v>
      </c>
      <c r="U80" s="24" t="n">
        <f aca="false">DI_2Phase!BB14</f>
        <v>0.000402</v>
      </c>
      <c r="V80" s="77" t="str">
        <f aca="false">DI_2Phase!BC14</f>
        <v>Vieira 2017</v>
      </c>
    </row>
    <row r="81" customFormat="false" ht="12.8" hidden="false" customHeight="false" outlineLevel="0" collapsed="false">
      <c r="A81" s="15" t="n">
        <v>79</v>
      </c>
      <c r="B81" s="20" t="str">
        <f aca="false">DI_2Phase!AI15</f>
        <v>DI</v>
      </c>
      <c r="C81" s="20" t="str">
        <f aca="false">DI_2Phase!AJ15</f>
        <v>Gas-solid</v>
      </c>
      <c r="D81" s="20" t="str">
        <f aca="false">DI_2Phase!AK15</f>
        <v>H-V</v>
      </c>
      <c r="E81" s="48" t="n">
        <f aca="false">DI_2Phase!AL15</f>
        <v>90</v>
      </c>
      <c r="F81" s="78" t="n">
        <f aca="false">DI_2Phase!AM15</f>
        <v>1E-006</v>
      </c>
      <c r="G81" s="24" t="n">
        <f aca="false">DI_2Phase!AN15*0+MAX($G$3:$G$68)</f>
        <v>336</v>
      </c>
      <c r="H81" s="24" t="n">
        <f aca="false">DI_2Phase!AO15</f>
        <v>1.81428571428571</v>
      </c>
      <c r="I81" s="24" t="n">
        <f aca="false">DI_2Phase!AP15</f>
        <v>116.390173518329</v>
      </c>
      <c r="J81" s="24" t="n">
        <f aca="false">DI_2Phase!AQ15</f>
        <v>14529.8611111111</v>
      </c>
      <c r="K81" s="24" t="n">
        <f aca="false">DI_2Phase!AR15</f>
        <v>331.572826757812</v>
      </c>
      <c r="L81" s="24" t="n">
        <f aca="false">DI_2Phase!AS15</f>
        <v>801.835317460317</v>
      </c>
      <c r="M81" s="24" t="n">
        <f aca="false">DI_2Phase!AT15</f>
        <v>311.354166666667</v>
      </c>
      <c r="N81" s="24" t="n">
        <f aca="false">DI_2Phase!AU15</f>
        <v>0.0214285714285714</v>
      </c>
      <c r="O81" s="24" t="n">
        <f aca="false">DI_2Phase!AV15</f>
        <v>0.000462264150943396</v>
      </c>
      <c r="P81" s="24" t="n">
        <f aca="false">DI_2Phase!AW15</f>
        <v>298.110264091085</v>
      </c>
      <c r="Q81" s="24" t="n">
        <f aca="false">DI_2Phase!AX15</f>
        <v>0.000153220388857435</v>
      </c>
      <c r="R81" s="24" t="n">
        <f aca="false">DI_2Phase!AY15</f>
        <v>1</v>
      </c>
      <c r="S81" s="24" t="n">
        <f aca="false">DI_2Phase!AZ15</f>
        <v>0.000781</v>
      </c>
      <c r="T81" s="24" t="n">
        <f aca="false">DI_2Phase!BA15</f>
        <v>0.0006248</v>
      </c>
      <c r="U81" s="24" t="n">
        <f aca="false">DI_2Phase!BB15</f>
        <v>0.0009372</v>
      </c>
      <c r="V81" s="77" t="str">
        <f aca="false">DI_2Phase!BC15</f>
        <v>Vieira 2017</v>
      </c>
    </row>
    <row r="82" customFormat="false" ht="12.8" hidden="false" customHeight="false" outlineLevel="0" collapsed="false">
      <c r="A82" s="15" t="n">
        <v>80</v>
      </c>
      <c r="B82" s="20" t="str">
        <f aca="false">DI_2Phase!AI16</f>
        <v>DI</v>
      </c>
      <c r="C82" s="20" t="str">
        <f aca="false">DI_2Phase!AJ16</f>
        <v>Gas-solid</v>
      </c>
      <c r="D82" s="20" t="str">
        <f aca="false">DI_2Phase!AK16</f>
        <v>H-V</v>
      </c>
      <c r="E82" s="48" t="n">
        <f aca="false">DI_2Phase!AL16</f>
        <v>90</v>
      </c>
      <c r="F82" s="78" t="n">
        <f aca="false">DI_2Phase!AM16</f>
        <v>1E-006</v>
      </c>
      <c r="G82" s="24" t="n">
        <f aca="false">DI_2Phase!AN16*0+MAX($G$3:$G$68)</f>
        <v>336</v>
      </c>
      <c r="H82" s="24" t="n">
        <f aca="false">DI_2Phase!AO16</f>
        <v>1.81428571428571</v>
      </c>
      <c r="I82" s="24" t="n">
        <f aca="false">DI_2Phase!AP16</f>
        <v>116.390173518329</v>
      </c>
      <c r="J82" s="24" t="n">
        <f aca="false">DI_2Phase!AQ16</f>
        <v>14529.8611111111</v>
      </c>
      <c r="K82" s="24" t="n">
        <f aca="false">DI_2Phase!AR16</f>
        <v>331.572826757812</v>
      </c>
      <c r="L82" s="24" t="n">
        <f aca="false">DI_2Phase!AS16</f>
        <v>801.835317460317</v>
      </c>
      <c r="M82" s="24" t="n">
        <f aca="false">DI_2Phase!AT16</f>
        <v>311.354166666667</v>
      </c>
      <c r="N82" s="24" t="n">
        <f aca="false">DI_2Phase!AU16</f>
        <v>0.0214285714285714</v>
      </c>
      <c r="O82" s="24" t="n">
        <f aca="false">DI_2Phase!AV16</f>
        <v>0.000462264150943396</v>
      </c>
      <c r="P82" s="24" t="n">
        <f aca="false">DI_2Phase!AW16</f>
        <v>298.110264091085</v>
      </c>
      <c r="Q82" s="24" t="n">
        <f aca="false">DI_2Phase!AX16</f>
        <v>0.000153220388857435</v>
      </c>
      <c r="R82" s="24" t="n">
        <f aca="false">DI_2Phase!AY16</f>
        <v>1</v>
      </c>
      <c r="S82" s="24" t="n">
        <f aca="false">DI_2Phase!AZ16</f>
        <v>0.000558</v>
      </c>
      <c r="T82" s="24" t="n">
        <f aca="false">DI_2Phase!BA16</f>
        <v>0.0004464</v>
      </c>
      <c r="U82" s="24" t="n">
        <f aca="false">DI_2Phase!BB16</f>
        <v>0.0006696</v>
      </c>
      <c r="V82" s="77" t="str">
        <f aca="false">DI_2Phase!BC16</f>
        <v>Vieira 2017</v>
      </c>
    </row>
    <row r="83" customFormat="false" ht="12.8" hidden="false" customHeight="false" outlineLevel="0" collapsed="false">
      <c r="A83" s="15" t="n">
        <v>81</v>
      </c>
      <c r="B83" s="20" t="str">
        <f aca="false">DI_2Phase!AI17</f>
        <v>DI</v>
      </c>
      <c r="C83" s="20" t="str">
        <f aca="false">DI_2Phase!AJ17</f>
        <v>Gas-solid</v>
      </c>
      <c r="D83" s="20" t="str">
        <f aca="false">DI_2Phase!AK17</f>
        <v>H-V</v>
      </c>
      <c r="E83" s="48" t="n">
        <f aca="false">DI_2Phase!AL17</f>
        <v>90</v>
      </c>
      <c r="F83" s="78" t="n">
        <f aca="false">DI_2Phase!AM17</f>
        <v>1E-006</v>
      </c>
      <c r="G83" s="24" t="n">
        <f aca="false">DI_2Phase!AN17*0+MAX($G$3:$G$68)</f>
        <v>336</v>
      </c>
      <c r="H83" s="24" t="n">
        <f aca="false">DI_2Phase!AO17</f>
        <v>1.81428571428571</v>
      </c>
      <c r="I83" s="24" t="n">
        <f aca="false">DI_2Phase!AP17</f>
        <v>116.390173518329</v>
      </c>
      <c r="J83" s="24" t="n">
        <f aca="false">DI_2Phase!AQ17</f>
        <v>14529.8611111111</v>
      </c>
      <c r="K83" s="24" t="n">
        <f aca="false">DI_2Phase!AR17</f>
        <v>331.572826757812</v>
      </c>
      <c r="L83" s="24" t="n">
        <f aca="false">DI_2Phase!AS17</f>
        <v>801.835317460317</v>
      </c>
      <c r="M83" s="24" t="n">
        <f aca="false">DI_2Phase!AT17</f>
        <v>311.354166666667</v>
      </c>
      <c r="N83" s="24" t="n">
        <f aca="false">DI_2Phase!AU17</f>
        <v>0.0214285714285714</v>
      </c>
      <c r="O83" s="24" t="n">
        <f aca="false">DI_2Phase!AV17</f>
        <v>0.000462264150943396</v>
      </c>
      <c r="P83" s="24" t="n">
        <f aca="false">DI_2Phase!AW17</f>
        <v>298.110264091085</v>
      </c>
      <c r="Q83" s="24" t="n">
        <f aca="false">DI_2Phase!AX17</f>
        <v>0.000153220388857435</v>
      </c>
      <c r="R83" s="24" t="n">
        <f aca="false">DI_2Phase!AY17</f>
        <v>1</v>
      </c>
      <c r="S83" s="24" t="n">
        <f aca="false">DI_2Phase!AZ17</f>
        <v>0.000736</v>
      </c>
      <c r="T83" s="24" t="n">
        <f aca="false">DI_2Phase!BA17</f>
        <v>0.0005888</v>
      </c>
      <c r="U83" s="24" t="n">
        <f aca="false">DI_2Phase!BB17</f>
        <v>0.0008832</v>
      </c>
      <c r="V83" s="77" t="str">
        <f aca="false">DI_2Phase!BC17</f>
        <v>Vieira 2017</v>
      </c>
    </row>
    <row r="84" customFormat="false" ht="12.8" hidden="false" customHeight="false" outlineLevel="0" collapsed="false">
      <c r="A84" s="15" t="n">
        <v>82</v>
      </c>
      <c r="B84" s="20" t="str">
        <f aca="false">DI_2Phase!AI18</f>
        <v>DI</v>
      </c>
      <c r="C84" s="20" t="str">
        <f aca="false">DI_2Phase!AJ18</f>
        <v>Gas-solid</v>
      </c>
      <c r="D84" s="20" t="str">
        <f aca="false">DI_2Phase!AK18</f>
        <v>H-V</v>
      </c>
      <c r="E84" s="48" t="n">
        <f aca="false">DI_2Phase!AL18</f>
        <v>90</v>
      </c>
      <c r="F84" s="78" t="n">
        <f aca="false">DI_2Phase!AM18</f>
        <v>1E-006</v>
      </c>
      <c r="G84" s="24" t="n">
        <f aca="false">DI_2Phase!AN18*0+MAX($G$3:$G$68)</f>
        <v>336</v>
      </c>
      <c r="H84" s="24" t="n">
        <f aca="false">DI_2Phase!AO18</f>
        <v>1.81428571428571</v>
      </c>
      <c r="I84" s="24" t="n">
        <f aca="false">DI_2Phase!AP18</f>
        <v>116.390173518329</v>
      </c>
      <c r="J84" s="24" t="n">
        <f aca="false">DI_2Phase!AQ18</f>
        <v>14529.8611111111</v>
      </c>
      <c r="K84" s="24" t="n">
        <f aca="false">DI_2Phase!AR18</f>
        <v>331.572826757812</v>
      </c>
      <c r="L84" s="24" t="n">
        <f aca="false">DI_2Phase!AS18</f>
        <v>801.835317460317</v>
      </c>
      <c r="M84" s="24" t="n">
        <f aca="false">DI_2Phase!AT18</f>
        <v>311.354166666667</v>
      </c>
      <c r="N84" s="24" t="n">
        <f aca="false">DI_2Phase!AU18</f>
        <v>0.0214285714285714</v>
      </c>
      <c r="O84" s="24" t="n">
        <f aca="false">DI_2Phase!AV18</f>
        <v>0.000462264150943396</v>
      </c>
      <c r="P84" s="24" t="n">
        <f aca="false">DI_2Phase!AW18</f>
        <v>298.110264091085</v>
      </c>
      <c r="Q84" s="24" t="n">
        <f aca="false">DI_2Phase!AX18</f>
        <v>0.000148935142173322</v>
      </c>
      <c r="R84" s="24" t="n">
        <f aca="false">DI_2Phase!AY18</f>
        <v>1</v>
      </c>
      <c r="S84" s="24" t="n">
        <f aca="false">DI_2Phase!AZ18</f>
        <v>0.000669</v>
      </c>
      <c r="T84" s="24" t="n">
        <f aca="false">DI_2Phase!BA18</f>
        <v>0.0005352</v>
      </c>
      <c r="U84" s="24" t="n">
        <f aca="false">DI_2Phase!BB18</f>
        <v>0.0008028</v>
      </c>
      <c r="V84" s="77" t="str">
        <f aca="false">DI_2Phase!BC18</f>
        <v>Vieira 2017</v>
      </c>
    </row>
    <row r="85" customFormat="false" ht="12.8" hidden="false" customHeight="false" outlineLevel="0" collapsed="false">
      <c r="A85" s="15" t="n">
        <v>83</v>
      </c>
      <c r="B85" s="20" t="str">
        <f aca="false">DI_2Phase!AI19</f>
        <v>DI</v>
      </c>
      <c r="C85" s="20" t="str">
        <f aca="false">DI_2Phase!AJ19</f>
        <v>Gas-solid</v>
      </c>
      <c r="D85" s="20" t="str">
        <f aca="false">DI_2Phase!AK19</f>
        <v>H-V</v>
      </c>
      <c r="E85" s="48" t="n">
        <f aca="false">DI_2Phase!AL19</f>
        <v>90</v>
      </c>
      <c r="F85" s="78" t="n">
        <f aca="false">DI_2Phase!AM19</f>
        <v>1E-006</v>
      </c>
      <c r="G85" s="24" t="n">
        <f aca="false">DI_2Phase!AN19*0+MAX($G$3:$G$68)</f>
        <v>336</v>
      </c>
      <c r="H85" s="24" t="n">
        <f aca="false">DI_2Phase!AO19</f>
        <v>1.81428571428571</v>
      </c>
      <c r="I85" s="24" t="n">
        <f aca="false">DI_2Phase!AP19</f>
        <v>116.390173518329</v>
      </c>
      <c r="J85" s="24" t="n">
        <f aca="false">DI_2Phase!AQ19</f>
        <v>14529.8611111111</v>
      </c>
      <c r="K85" s="24" t="n">
        <f aca="false">DI_2Phase!AR19</f>
        <v>331.572826757812</v>
      </c>
      <c r="L85" s="24" t="n">
        <f aca="false">DI_2Phase!AS19</f>
        <v>801.835317460317</v>
      </c>
      <c r="M85" s="24" t="n">
        <f aca="false">DI_2Phase!AT19</f>
        <v>311.354166666667</v>
      </c>
      <c r="N85" s="24" t="n">
        <f aca="false">DI_2Phase!AU19</f>
        <v>0.0214285714285714</v>
      </c>
      <c r="O85" s="24" t="n">
        <f aca="false">DI_2Phase!AV19</f>
        <v>0.000462264150943396</v>
      </c>
      <c r="P85" s="24" t="n">
        <f aca="false">DI_2Phase!AW19</f>
        <v>298.110264091085</v>
      </c>
      <c r="Q85" s="24" t="n">
        <f aca="false">DI_2Phase!AX19</f>
        <v>7.8759001896656E-005</v>
      </c>
      <c r="R85" s="24" t="n">
        <f aca="false">DI_2Phase!AY19</f>
        <v>1</v>
      </c>
      <c r="S85" s="24" t="n">
        <f aca="false">DI_2Phase!AZ19</f>
        <v>0.000469</v>
      </c>
      <c r="T85" s="24" t="n">
        <f aca="false">DI_2Phase!BA19</f>
        <v>0.0003752</v>
      </c>
      <c r="U85" s="24" t="n">
        <f aca="false">DI_2Phase!BB19</f>
        <v>0.0005628</v>
      </c>
      <c r="V85" s="77" t="str">
        <f aca="false">DI_2Phase!BC19</f>
        <v>Vieira 2017</v>
      </c>
    </row>
    <row r="86" customFormat="false" ht="12.8" hidden="false" customHeight="false" outlineLevel="0" collapsed="false">
      <c r="A86" s="15" t="n">
        <v>84</v>
      </c>
      <c r="B86" s="20" t="str">
        <f aca="false">DI_2Phase!AI20</f>
        <v>DI</v>
      </c>
      <c r="C86" s="20" t="str">
        <f aca="false">DI_2Phase!AJ20</f>
        <v>Gas-solid</v>
      </c>
      <c r="D86" s="20" t="str">
        <f aca="false">DI_2Phase!AK20</f>
        <v>H-V</v>
      </c>
      <c r="E86" s="48" t="n">
        <f aca="false">DI_2Phase!AL20</f>
        <v>90</v>
      </c>
      <c r="F86" s="78" t="n">
        <f aca="false">DI_2Phase!AM20</f>
        <v>1E-006</v>
      </c>
      <c r="G86" s="24" t="n">
        <f aca="false">DI_2Phase!AN20*0+MAX($G$3:$G$68)</f>
        <v>336</v>
      </c>
      <c r="H86" s="24" t="n">
        <f aca="false">DI_2Phase!AO20</f>
        <v>1.81428571428571</v>
      </c>
      <c r="I86" s="24" t="n">
        <f aca="false">DI_2Phase!AP20</f>
        <v>116.390173518329</v>
      </c>
      <c r="J86" s="24" t="n">
        <f aca="false">DI_2Phase!AQ20</f>
        <v>14529.8611111111</v>
      </c>
      <c r="K86" s="24" t="n">
        <f aca="false">DI_2Phase!AR20</f>
        <v>331.572826757812</v>
      </c>
      <c r="L86" s="24" t="n">
        <f aca="false">DI_2Phase!AS20</f>
        <v>801.835317460317</v>
      </c>
      <c r="M86" s="24" t="n">
        <f aca="false">DI_2Phase!AT20</f>
        <v>311.354166666667</v>
      </c>
      <c r="N86" s="24" t="n">
        <f aca="false">DI_2Phase!AU20</f>
        <v>0.0214285714285714</v>
      </c>
      <c r="O86" s="24" t="n">
        <f aca="false">DI_2Phase!AV20</f>
        <v>0.000462264150943396</v>
      </c>
      <c r="P86" s="24" t="n">
        <f aca="false">DI_2Phase!AW20</f>
        <v>298.110264091085</v>
      </c>
      <c r="Q86" s="24" t="n">
        <f aca="false">DI_2Phase!AX20</f>
        <v>0.000144649858756746</v>
      </c>
      <c r="R86" s="24" t="n">
        <f aca="false">DI_2Phase!AY20</f>
        <v>1</v>
      </c>
      <c r="S86" s="24" t="n">
        <f aca="false">DI_2Phase!AZ20</f>
        <v>0.00087</v>
      </c>
      <c r="T86" s="24" t="n">
        <f aca="false">DI_2Phase!BA20</f>
        <v>0.000696</v>
      </c>
      <c r="U86" s="24" t="n">
        <f aca="false">DI_2Phase!BB20</f>
        <v>0.001044</v>
      </c>
      <c r="V86" s="77" t="str">
        <f aca="false">DI_2Phase!BC20</f>
        <v>Vieira 2017</v>
      </c>
    </row>
    <row r="87" customFormat="false" ht="12.8" hidden="false" customHeight="false" outlineLevel="0" collapsed="false">
      <c r="A87" s="15" t="n">
        <v>85</v>
      </c>
      <c r="B87" s="20" t="str">
        <f aca="false">DI_2Phase!AI21</f>
        <v>DI</v>
      </c>
      <c r="C87" s="20" t="str">
        <f aca="false">DI_2Phase!AJ21</f>
        <v>Gas-solid</v>
      </c>
      <c r="D87" s="20" t="str">
        <f aca="false">DI_2Phase!AK21</f>
        <v>H-V</v>
      </c>
      <c r="E87" s="48" t="n">
        <f aca="false">DI_2Phase!AL21</f>
        <v>90</v>
      </c>
      <c r="F87" s="78" t="n">
        <f aca="false">DI_2Phase!AM21</f>
        <v>1E-006</v>
      </c>
      <c r="G87" s="24" t="n">
        <f aca="false">DI_2Phase!AN21*0+MAX($G$3:$G$68)</f>
        <v>336</v>
      </c>
      <c r="H87" s="24" t="n">
        <f aca="false">DI_2Phase!AO21</f>
        <v>1.81428571428571</v>
      </c>
      <c r="I87" s="24" t="n">
        <f aca="false">DI_2Phase!AP21</f>
        <v>116.390173518329</v>
      </c>
      <c r="J87" s="24" t="n">
        <f aca="false">DI_2Phase!AQ21</f>
        <v>14529.8611111111</v>
      </c>
      <c r="K87" s="24" t="n">
        <f aca="false">DI_2Phase!AR21</f>
        <v>331.572826757812</v>
      </c>
      <c r="L87" s="24" t="n">
        <f aca="false">DI_2Phase!AS21</f>
        <v>801.835317460317</v>
      </c>
      <c r="M87" s="24" t="n">
        <f aca="false">DI_2Phase!AT21</f>
        <v>311.354166666667</v>
      </c>
      <c r="N87" s="24" t="n">
        <f aca="false">DI_2Phase!AU21</f>
        <v>0.0214285714285714</v>
      </c>
      <c r="O87" s="24" t="n">
        <f aca="false">DI_2Phase!AV21</f>
        <v>0.000462264150943396</v>
      </c>
      <c r="P87" s="24" t="n">
        <f aca="false">DI_2Phase!AW21</f>
        <v>298.110264091085</v>
      </c>
      <c r="Q87" s="24" t="n">
        <f aca="false">DI_2Phase!AX21</f>
        <v>0.000150006457288001</v>
      </c>
      <c r="R87" s="24" t="n">
        <f aca="false">DI_2Phase!AY21</f>
        <v>1</v>
      </c>
      <c r="S87" s="24" t="n">
        <f aca="false">DI_2Phase!AZ21</f>
        <v>0.000622</v>
      </c>
      <c r="T87" s="24" t="n">
        <f aca="false">DI_2Phase!BA21</f>
        <v>0.0004976</v>
      </c>
      <c r="U87" s="24" t="n">
        <f aca="false">DI_2Phase!BB21</f>
        <v>0.0007464</v>
      </c>
      <c r="V87" s="77" t="str">
        <f aca="false">DI_2Phase!BC21</f>
        <v>Vieira 2017</v>
      </c>
    </row>
    <row r="88" customFormat="false" ht="12.8" hidden="false" customHeight="false" outlineLevel="0" collapsed="false">
      <c r="A88" s="15" t="n">
        <v>86</v>
      </c>
      <c r="B88" s="20" t="str">
        <f aca="false">DI_2Phase!AI22</f>
        <v>DI</v>
      </c>
      <c r="C88" s="20" t="str">
        <f aca="false">DI_2Phase!AJ22</f>
        <v>Gas-solid</v>
      </c>
      <c r="D88" s="20" t="str">
        <f aca="false">DI_2Phase!AK22</f>
        <v>H-V</v>
      </c>
      <c r="E88" s="48" t="n">
        <f aca="false">DI_2Phase!AL22</f>
        <v>90</v>
      </c>
      <c r="F88" s="78" t="n">
        <f aca="false">DI_2Phase!AM22</f>
        <v>1E-006</v>
      </c>
      <c r="G88" s="24" t="n">
        <f aca="false">DI_2Phase!AN22*0+MAX($G$3:$G$68)</f>
        <v>336</v>
      </c>
      <c r="H88" s="24" t="n">
        <f aca="false">DI_2Phase!AO22</f>
        <v>1.81428571428571</v>
      </c>
      <c r="I88" s="24" t="n">
        <f aca="false">DI_2Phase!AP22</f>
        <v>116.390173518329</v>
      </c>
      <c r="J88" s="24" t="n">
        <f aca="false">DI_2Phase!AQ22</f>
        <v>14529.8611111111</v>
      </c>
      <c r="K88" s="24" t="n">
        <f aca="false">DI_2Phase!AR22</f>
        <v>331.572826757812</v>
      </c>
      <c r="L88" s="24" t="n">
        <f aca="false">DI_2Phase!AS22</f>
        <v>801.835317460317</v>
      </c>
      <c r="M88" s="24" t="n">
        <f aca="false">DI_2Phase!AT22</f>
        <v>311.354166666667</v>
      </c>
      <c r="N88" s="24" t="n">
        <f aca="false">DI_2Phase!AU22</f>
        <v>0.0214285714285714</v>
      </c>
      <c r="O88" s="24" t="n">
        <f aca="false">DI_2Phase!AV22</f>
        <v>0.000462264150943396</v>
      </c>
      <c r="P88" s="24" t="n">
        <f aca="false">DI_2Phase!AW22</f>
        <v>298.110264091085</v>
      </c>
      <c r="Q88" s="24" t="n">
        <f aca="false">DI_2Phase!AX22</f>
        <v>0.000150006457288001</v>
      </c>
      <c r="R88" s="24" t="n">
        <f aca="false">DI_2Phase!AY22</f>
        <v>1</v>
      </c>
      <c r="S88" s="24" t="n">
        <f aca="false">DI_2Phase!AZ22</f>
        <v>0.000622</v>
      </c>
      <c r="T88" s="24" t="n">
        <f aca="false">DI_2Phase!BA22</f>
        <v>0.0004976</v>
      </c>
      <c r="U88" s="24" t="n">
        <f aca="false">DI_2Phase!BB22</f>
        <v>0.0007464</v>
      </c>
      <c r="V88" s="77" t="str">
        <f aca="false">DI_2Phase!BC22</f>
        <v>Vieira 2017</v>
      </c>
    </row>
    <row r="89" customFormat="false" ht="12.8" hidden="false" customHeight="false" outlineLevel="0" collapsed="false">
      <c r="A89" s="15" t="n">
        <v>87</v>
      </c>
      <c r="B89" s="20" t="str">
        <f aca="false">DI_2Phase!AI23</f>
        <v>DI</v>
      </c>
      <c r="C89" s="20" t="str">
        <f aca="false">DI_2Phase!AJ23</f>
        <v>Gas-solid</v>
      </c>
      <c r="D89" s="20" t="str">
        <f aca="false">DI_2Phase!AK23</f>
        <v>H-V</v>
      </c>
      <c r="E89" s="48" t="n">
        <f aca="false">DI_2Phase!AL23</f>
        <v>90</v>
      </c>
      <c r="F89" s="78" t="n">
        <f aca="false">DI_2Phase!AM23</f>
        <v>1E-006</v>
      </c>
      <c r="G89" s="24" t="n">
        <f aca="false">DI_2Phase!AN23*0+MAX($G$3:$G$68)</f>
        <v>336</v>
      </c>
      <c r="H89" s="24" t="n">
        <f aca="false">DI_2Phase!AO23</f>
        <v>1.81428571428571</v>
      </c>
      <c r="I89" s="24" t="n">
        <f aca="false">DI_2Phase!AP23</f>
        <v>116.390173518329</v>
      </c>
      <c r="J89" s="24" t="n">
        <f aca="false">DI_2Phase!AQ23</f>
        <v>14529.8611111111</v>
      </c>
      <c r="K89" s="24" t="n">
        <f aca="false">DI_2Phase!AR23</f>
        <v>331.572826757812</v>
      </c>
      <c r="L89" s="24" t="n">
        <f aca="false">DI_2Phase!AS23</f>
        <v>801.835317460317</v>
      </c>
      <c r="M89" s="24" t="n">
        <f aca="false">DI_2Phase!AT23</f>
        <v>311.354166666667</v>
      </c>
      <c r="N89" s="24" t="n">
        <f aca="false">DI_2Phase!AU23</f>
        <v>0.0214285714285714</v>
      </c>
      <c r="O89" s="24" t="n">
        <f aca="false">DI_2Phase!AV23</f>
        <v>0.000462264150943396</v>
      </c>
      <c r="P89" s="24" t="n">
        <f aca="false">DI_2Phase!AW23</f>
        <v>298.110264091085</v>
      </c>
      <c r="Q89" s="24" t="n">
        <f aca="false">DI_2Phase!AX23</f>
        <v>0.000123222890670373</v>
      </c>
      <c r="R89" s="24" t="n">
        <f aca="false">DI_2Phase!AY23</f>
        <v>1</v>
      </c>
      <c r="S89" s="24" t="n">
        <f aca="false">DI_2Phase!AZ23</f>
        <v>0.000478</v>
      </c>
      <c r="T89" s="24" t="n">
        <f aca="false">DI_2Phase!BA23</f>
        <v>0.0003824</v>
      </c>
      <c r="U89" s="24" t="n">
        <f aca="false">DI_2Phase!BB23</f>
        <v>0.0005736</v>
      </c>
      <c r="V89" s="77" t="str">
        <f aca="false">DI_2Phase!BC23</f>
        <v>Vieira 2017</v>
      </c>
    </row>
    <row r="90" customFormat="false" ht="12.8" hidden="false" customHeight="false" outlineLevel="0" collapsed="false">
      <c r="A90" s="15" t="n">
        <v>88</v>
      </c>
      <c r="B90" s="20" t="str">
        <f aca="false">DI_2Phase!AI24</f>
        <v>DI</v>
      </c>
      <c r="C90" s="20" t="str">
        <f aca="false">DI_2Phase!AJ24</f>
        <v>Liquid-Solid</v>
      </c>
      <c r="D90" s="20" t="str">
        <f aca="false">DI_2Phase!AK24</f>
        <v>V-H</v>
      </c>
      <c r="E90" s="48" t="n">
        <f aca="false">DI_2Phase!AL24</f>
        <v>90</v>
      </c>
      <c r="F90" s="78" t="n">
        <f aca="false">DI_2Phase!AM24</f>
        <v>1E-006</v>
      </c>
      <c r="G90" s="24" t="n">
        <f aca="false">DI_2Phase!AN24*0+MAX($G$3:$G$68)</f>
        <v>336</v>
      </c>
      <c r="H90" s="24" t="n">
        <f aca="false">DI_2Phase!AO24</f>
        <v>3</v>
      </c>
      <c r="I90" s="24" t="n">
        <f aca="false">DI_2Phase!AP24</f>
        <v>119.728285652644</v>
      </c>
      <c r="J90" s="24" t="n">
        <f aca="false">DI_2Phase!AQ24</f>
        <v>1920</v>
      </c>
      <c r="K90" s="24" t="n">
        <f aca="false">DI_2Phase!AR24</f>
        <v>0.0049663125</v>
      </c>
      <c r="L90" s="24" t="n">
        <f aca="false">DI_2Phase!AS24</f>
        <v>0.146484375</v>
      </c>
      <c r="M90" s="24" t="n">
        <f aca="false">DI_2Phase!AT24</f>
        <v>45</v>
      </c>
      <c r="N90" s="24" t="n">
        <f aca="false">DI_2Phase!AU24</f>
        <v>0.0234375</v>
      </c>
      <c r="O90" s="24" t="n">
        <f aca="false">DI_2Phase!AV24</f>
        <v>0.4</v>
      </c>
      <c r="P90" s="24" t="n">
        <f aca="false">DI_2Phase!AW24</f>
        <v>132.001836547291</v>
      </c>
      <c r="Q90" s="24" t="n">
        <f aca="false">DI_2Phase!AX24</f>
        <v>0.0340030911901082</v>
      </c>
      <c r="R90" s="24" t="n">
        <f aca="false">DI_2Phase!AY24</f>
        <v>1</v>
      </c>
      <c r="S90" s="24" t="n">
        <f aca="false">DI_2Phase!AZ24</f>
        <v>0.0288091822094691</v>
      </c>
      <c r="T90" s="24" t="n">
        <f aca="false">DI_2Phase!BA24</f>
        <v>0.0230473457675753</v>
      </c>
      <c r="U90" s="24" t="n">
        <f aca="false">DI_2Phase!BB24</f>
        <v>0.0345710186513629</v>
      </c>
      <c r="V90" s="77" t="str">
        <f aca="false">DI_2Phase!BC24</f>
        <v>https://www.sciencedirect.com/science/article/pii/S0043164815003749</v>
      </c>
    </row>
    <row r="91" customFormat="false" ht="12.8" hidden="false" customHeight="false" outlineLevel="0" collapsed="false">
      <c r="A91" s="15" t="n">
        <v>89</v>
      </c>
      <c r="B91" s="20" t="str">
        <f aca="false">DI_2Phase!AI25</f>
        <v>DI</v>
      </c>
      <c r="C91" s="20" t="str">
        <f aca="false">DI_2Phase!AJ25</f>
        <v>Liquid-Solid</v>
      </c>
      <c r="D91" s="20" t="str">
        <f aca="false">DI_2Phase!AK25</f>
        <v>V-H</v>
      </c>
      <c r="E91" s="48" t="n">
        <f aca="false">DI_2Phase!AL25</f>
        <v>90</v>
      </c>
      <c r="F91" s="78" t="n">
        <f aca="false">DI_2Phase!AM25</f>
        <v>1E-006</v>
      </c>
      <c r="G91" s="24" t="n">
        <f aca="false">DI_2Phase!AN25*0+MAX($G$3:$G$68)</f>
        <v>336</v>
      </c>
      <c r="H91" s="24" t="n">
        <f aca="false">DI_2Phase!AO25</f>
        <v>3</v>
      </c>
      <c r="I91" s="24" t="n">
        <f aca="false">DI_2Phase!AP25</f>
        <v>119.728285652644</v>
      </c>
      <c r="J91" s="24" t="n">
        <f aca="false">DI_2Phase!AQ25</f>
        <v>1920</v>
      </c>
      <c r="K91" s="24" t="n">
        <f aca="false">DI_2Phase!AR25</f>
        <v>0.0049663125</v>
      </c>
      <c r="L91" s="24" t="n">
        <f aca="false">DI_2Phase!AS25</f>
        <v>0.146484375</v>
      </c>
      <c r="M91" s="24" t="n">
        <f aca="false">DI_2Phase!AT25</f>
        <v>45</v>
      </c>
      <c r="N91" s="24" t="n">
        <f aca="false">DI_2Phase!AU25</f>
        <v>0.0234375</v>
      </c>
      <c r="O91" s="24" t="n">
        <f aca="false">DI_2Phase!AV25</f>
        <v>0.4</v>
      </c>
      <c r="P91" s="24" t="n">
        <f aca="false">DI_2Phase!AW25</f>
        <v>132.001836547291</v>
      </c>
      <c r="Q91" s="24" t="n">
        <f aca="false">DI_2Phase!AX25</f>
        <v>0.0340030911901082</v>
      </c>
      <c r="R91" s="24" t="n">
        <f aca="false">DI_2Phase!AY25</f>
        <v>1</v>
      </c>
      <c r="S91" s="24" t="n">
        <f aca="false">DI_2Phase!AZ25</f>
        <v>0.0216183963269339</v>
      </c>
      <c r="T91" s="24" t="n">
        <f aca="false">DI_2Phase!BA25</f>
        <v>0.0172947170615471</v>
      </c>
      <c r="U91" s="24" t="n">
        <f aca="false">DI_2Phase!BB25</f>
        <v>0.0259420755923207</v>
      </c>
      <c r="V91" s="77" t="str">
        <f aca="false">DI_2Phase!BC25</f>
        <v>https://www.sciencedirect.com/science/article/pii/S0043164815003749</v>
      </c>
    </row>
    <row r="92" customFormat="false" ht="12.8" hidden="false" customHeight="false" outlineLevel="0" collapsed="false">
      <c r="A92" s="15" t="n">
        <v>90</v>
      </c>
      <c r="B92" s="20" t="str">
        <f aca="false">DI_2Phase!AI26</f>
        <v>DI</v>
      </c>
      <c r="C92" s="20" t="str">
        <f aca="false">DI_2Phase!AJ26</f>
        <v>Liquid-Solid</v>
      </c>
      <c r="D92" s="20" t="str">
        <f aca="false">DI_2Phase!AK26</f>
        <v>V-H</v>
      </c>
      <c r="E92" s="48" t="n">
        <f aca="false">DI_2Phase!AL26</f>
        <v>90</v>
      </c>
      <c r="F92" s="78" t="n">
        <f aca="false">DI_2Phase!AM26</f>
        <v>1E-006</v>
      </c>
      <c r="G92" s="24" t="n">
        <f aca="false">DI_2Phase!AN26*0+MAX($G$3:$G$68)</f>
        <v>336</v>
      </c>
      <c r="H92" s="24" t="n">
        <f aca="false">DI_2Phase!AO26</f>
        <v>3</v>
      </c>
      <c r="I92" s="24" t="n">
        <f aca="false">DI_2Phase!AP26</f>
        <v>119.728285652644</v>
      </c>
      <c r="J92" s="24" t="n">
        <f aca="false">DI_2Phase!AQ26</f>
        <v>1920</v>
      </c>
      <c r="K92" s="24" t="n">
        <f aca="false">DI_2Phase!AR26</f>
        <v>0.0049663125</v>
      </c>
      <c r="L92" s="24" t="n">
        <f aca="false">DI_2Phase!AS26</f>
        <v>0.146484375</v>
      </c>
      <c r="M92" s="24" t="n">
        <f aca="false">DI_2Phase!AT26</f>
        <v>45</v>
      </c>
      <c r="N92" s="24" t="n">
        <f aca="false">DI_2Phase!AU26</f>
        <v>0.0234375</v>
      </c>
      <c r="O92" s="24" t="n">
        <f aca="false">DI_2Phase!AV26</f>
        <v>0.4</v>
      </c>
      <c r="P92" s="24" t="n">
        <f aca="false">DI_2Phase!AW26</f>
        <v>132.001836547291</v>
      </c>
      <c r="Q92" s="24" t="n">
        <f aca="false">DI_2Phase!AX26</f>
        <v>0.0340030911901082</v>
      </c>
      <c r="R92" s="24" t="n">
        <f aca="false">DI_2Phase!AY26</f>
        <v>1</v>
      </c>
      <c r="S92" s="24" t="n">
        <f aca="false">DI_2Phase!AZ26</f>
        <v>0.0177983645092445</v>
      </c>
      <c r="T92" s="24" t="n">
        <f aca="false">DI_2Phase!BA26</f>
        <v>0.0142386916073956</v>
      </c>
      <c r="U92" s="24" t="n">
        <f aca="false">DI_2Phase!BB26</f>
        <v>0.0213580374110934</v>
      </c>
      <c r="V92" s="77" t="str">
        <f aca="false">DI_2Phase!BC26</f>
        <v>https://www.sciencedirect.com/science/article/pii/S0043164815003749</v>
      </c>
    </row>
    <row r="93" customFormat="false" ht="12.8" hidden="false" customHeight="false" outlineLevel="0" collapsed="false">
      <c r="A93" s="15" t="n">
        <v>91</v>
      </c>
      <c r="B93" s="20" t="str">
        <f aca="false">DI_2Phase!AI27</f>
        <v>DI</v>
      </c>
      <c r="C93" s="20" t="str">
        <f aca="false">DI_2Phase!AJ27</f>
        <v>Liquid-Solid</v>
      </c>
      <c r="D93" s="20" t="str">
        <f aca="false">DI_2Phase!AK27</f>
        <v>V-H</v>
      </c>
      <c r="E93" s="48" t="n">
        <f aca="false">DI_2Phase!AL27</f>
        <v>90</v>
      </c>
      <c r="F93" s="78" t="n">
        <f aca="false">DI_2Phase!AM27</f>
        <v>1E-006</v>
      </c>
      <c r="G93" s="24" t="n">
        <f aca="false">DI_2Phase!AN27*0+MAX($G$3:$G$68)</f>
        <v>336</v>
      </c>
      <c r="H93" s="24" t="n">
        <f aca="false">DI_2Phase!AO27</f>
        <v>3</v>
      </c>
      <c r="I93" s="24" t="n">
        <f aca="false">DI_2Phase!AP27</f>
        <v>119.728285652644</v>
      </c>
      <c r="J93" s="24" t="n">
        <f aca="false">DI_2Phase!AQ27</f>
        <v>1920</v>
      </c>
      <c r="K93" s="24" t="n">
        <f aca="false">DI_2Phase!AR27</f>
        <v>0.0049663125</v>
      </c>
      <c r="L93" s="24" t="n">
        <f aca="false">DI_2Phase!AS27</f>
        <v>0.146484375</v>
      </c>
      <c r="M93" s="24" t="n">
        <f aca="false">DI_2Phase!AT27</f>
        <v>45</v>
      </c>
      <c r="N93" s="24" t="n">
        <f aca="false">DI_2Phase!AU27</f>
        <v>0.0234375</v>
      </c>
      <c r="O93" s="24" t="n">
        <f aca="false">DI_2Phase!AV27</f>
        <v>0.4</v>
      </c>
      <c r="P93" s="24" t="n">
        <f aca="false">DI_2Phase!AW27</f>
        <v>132.001836547291</v>
      </c>
      <c r="Q93" s="24" t="n">
        <f aca="false">DI_2Phase!AX27</f>
        <v>0.0340030911901082</v>
      </c>
      <c r="R93" s="24" t="n">
        <f aca="false">DI_2Phase!AY27</f>
        <v>1</v>
      </c>
      <c r="S93" s="24" t="n">
        <f aca="false">DI_2Phase!AZ27</f>
        <v>0.017098602856947</v>
      </c>
      <c r="T93" s="24" t="n">
        <f aca="false">DI_2Phase!BA27</f>
        <v>0.0136788822855576</v>
      </c>
      <c r="U93" s="24" t="n">
        <f aca="false">DI_2Phase!BB27</f>
        <v>0.0205183234283364</v>
      </c>
      <c r="V93" s="77" t="str">
        <f aca="false">DI_2Phase!BC27</f>
        <v>https://www.sciencedirect.com/science/article/pii/S0043164815003749</v>
      </c>
    </row>
    <row r="94" customFormat="false" ht="12.8" hidden="false" customHeight="false" outlineLevel="0" collapsed="false">
      <c r="A94" s="15" t="n">
        <v>92</v>
      </c>
      <c r="B94" s="20" t="str">
        <f aca="false">DI_2Phase!AI28</f>
        <v>DI</v>
      </c>
      <c r="C94" s="20" t="str">
        <f aca="false">DI_2Phase!AJ28</f>
        <v>Liquid-Solid</v>
      </c>
      <c r="D94" s="20" t="str">
        <f aca="false">DI_2Phase!AK28</f>
        <v>V-H</v>
      </c>
      <c r="E94" s="48" t="n">
        <f aca="false">DI_2Phase!AL28</f>
        <v>90</v>
      </c>
      <c r="F94" s="78" t="n">
        <f aca="false">DI_2Phase!AM28</f>
        <v>1E-006</v>
      </c>
      <c r="G94" s="24" t="n">
        <f aca="false">DI_2Phase!AN28*0+MAX($G$3:$G$68)</f>
        <v>336</v>
      </c>
      <c r="H94" s="24" t="n">
        <f aca="false">DI_2Phase!AO28</f>
        <v>3</v>
      </c>
      <c r="I94" s="24" t="n">
        <f aca="false">DI_2Phase!AP28</f>
        <v>119.728285652644</v>
      </c>
      <c r="J94" s="24" t="n">
        <f aca="false">DI_2Phase!AQ28</f>
        <v>1920</v>
      </c>
      <c r="K94" s="24" t="n">
        <f aca="false">DI_2Phase!AR28</f>
        <v>0.0049663125</v>
      </c>
      <c r="L94" s="24" t="n">
        <f aca="false">DI_2Phase!AS28</f>
        <v>0.146484375</v>
      </c>
      <c r="M94" s="24" t="n">
        <f aca="false">DI_2Phase!AT28</f>
        <v>45</v>
      </c>
      <c r="N94" s="24" t="n">
        <f aca="false">DI_2Phase!AU28</f>
        <v>0.0234375</v>
      </c>
      <c r="O94" s="24" t="n">
        <f aca="false">DI_2Phase!AV28</f>
        <v>0.4</v>
      </c>
      <c r="P94" s="24" t="n">
        <f aca="false">DI_2Phase!AW28</f>
        <v>132.001836547291</v>
      </c>
      <c r="Q94" s="24" t="n">
        <f aca="false">DI_2Phase!AX28</f>
        <v>0.0340030911901082</v>
      </c>
      <c r="R94" s="24" t="n">
        <f aca="false">DI_2Phase!AY28</f>
        <v>1</v>
      </c>
      <c r="S94" s="24" t="n">
        <f aca="false">DI_2Phase!AZ28</f>
        <v>0.0162434926922445</v>
      </c>
      <c r="T94" s="24" t="n">
        <f aca="false">DI_2Phase!BA28</f>
        <v>0.0129947941537956</v>
      </c>
      <c r="U94" s="24" t="n">
        <f aca="false">DI_2Phase!BB28</f>
        <v>0.0194921912306934</v>
      </c>
      <c r="V94" s="77" t="str">
        <f aca="false">DI_2Phase!BC28</f>
        <v>https://www.sciencedirect.com/science/article/pii/S0043164815003749</v>
      </c>
    </row>
    <row r="95" customFormat="false" ht="12.8" hidden="false" customHeight="false" outlineLevel="0" collapsed="false">
      <c r="A95" s="15" t="n">
        <v>93</v>
      </c>
      <c r="B95" s="20" t="str">
        <f aca="false">DI_2Phase!AI29</f>
        <v>DI</v>
      </c>
      <c r="C95" s="20" t="str">
        <f aca="false">DI_2Phase!AJ29</f>
        <v>Liquid-Solid</v>
      </c>
      <c r="D95" s="20" t="str">
        <f aca="false">DI_2Phase!AK29</f>
        <v>V-H</v>
      </c>
      <c r="E95" s="48" t="n">
        <f aca="false">DI_2Phase!AL29</f>
        <v>90</v>
      </c>
      <c r="F95" s="78" t="n">
        <f aca="false">DI_2Phase!AM29</f>
        <v>1E-006</v>
      </c>
      <c r="G95" s="24" t="n">
        <f aca="false">DI_2Phase!AN29*0+MAX($G$3:$G$68)</f>
        <v>336</v>
      </c>
      <c r="H95" s="24" t="n">
        <f aca="false">DI_2Phase!AO29</f>
        <v>3</v>
      </c>
      <c r="I95" s="24" t="n">
        <f aca="false">DI_2Phase!AP29</f>
        <v>119.728285652644</v>
      </c>
      <c r="J95" s="24" t="n">
        <f aca="false">DI_2Phase!AQ29</f>
        <v>1920</v>
      </c>
      <c r="K95" s="24" t="n">
        <f aca="false">DI_2Phase!AR29</f>
        <v>0.0049663125</v>
      </c>
      <c r="L95" s="24" t="n">
        <f aca="false">DI_2Phase!AS29</f>
        <v>0.146484375</v>
      </c>
      <c r="M95" s="24" t="n">
        <f aca="false">DI_2Phase!AT29</f>
        <v>45</v>
      </c>
      <c r="N95" s="24" t="n">
        <f aca="false">DI_2Phase!AU29</f>
        <v>0.0234375</v>
      </c>
      <c r="O95" s="24" t="n">
        <f aca="false">DI_2Phase!AV29</f>
        <v>0.4</v>
      </c>
      <c r="P95" s="24" t="n">
        <f aca="false">DI_2Phase!AW29</f>
        <v>132.001836547291</v>
      </c>
      <c r="Q95" s="24" t="n">
        <f aca="false">DI_2Phase!AX29</f>
        <v>0.0340030911901082</v>
      </c>
      <c r="R95" s="24" t="n">
        <f aca="false">DI_2Phase!AY29</f>
        <v>1</v>
      </c>
      <c r="S95" s="24" t="n">
        <f aca="false">DI_2Phase!AZ29</f>
        <v>0.0181643833837322</v>
      </c>
      <c r="T95" s="24" t="n">
        <f aca="false">DI_2Phase!BA29</f>
        <v>0.0145315067069858</v>
      </c>
      <c r="U95" s="24" t="n">
        <f aca="false">DI_2Phase!BB29</f>
        <v>0.0217972600604786</v>
      </c>
      <c r="V95" s="77" t="str">
        <f aca="false">DI_2Phase!BC29</f>
        <v>https://www.sciencedirect.com/science/article/pii/S0043164815003749</v>
      </c>
    </row>
    <row r="96" customFormat="false" ht="12.8" hidden="false" customHeight="false" outlineLevel="0" collapsed="false">
      <c r="A96" s="15" t="n">
        <v>94</v>
      </c>
      <c r="B96" s="20" t="str">
        <f aca="false">DI_2Phase!AI30</f>
        <v>DI</v>
      </c>
      <c r="C96" s="20" t="str">
        <f aca="false">DI_2Phase!AJ30</f>
        <v>Liquid-Solid</v>
      </c>
      <c r="D96" s="20" t="str">
        <f aca="false">DI_2Phase!AK30</f>
        <v>V-H</v>
      </c>
      <c r="E96" s="48" t="n">
        <f aca="false">DI_2Phase!AL30</f>
        <v>90</v>
      </c>
      <c r="F96" s="78" t="n">
        <f aca="false">DI_2Phase!AM30</f>
        <v>1E-006</v>
      </c>
      <c r="G96" s="24" t="n">
        <f aca="false">DI_2Phase!AN30*0+MAX($G$3:$G$68)</f>
        <v>336</v>
      </c>
      <c r="H96" s="24" t="n">
        <f aca="false">DI_2Phase!AO30</f>
        <v>3</v>
      </c>
      <c r="I96" s="24" t="n">
        <f aca="false">DI_2Phase!AP30</f>
        <v>119.728285652644</v>
      </c>
      <c r="J96" s="24" t="n">
        <f aca="false">DI_2Phase!AQ30</f>
        <v>1920</v>
      </c>
      <c r="K96" s="24" t="n">
        <f aca="false">DI_2Phase!AR30</f>
        <v>0.0049663125</v>
      </c>
      <c r="L96" s="24" t="n">
        <f aca="false">DI_2Phase!AS30</f>
        <v>0.146484375</v>
      </c>
      <c r="M96" s="24" t="n">
        <f aca="false">DI_2Phase!AT30</f>
        <v>45</v>
      </c>
      <c r="N96" s="24" t="n">
        <f aca="false">DI_2Phase!AU30</f>
        <v>0.0234375</v>
      </c>
      <c r="O96" s="24" t="n">
        <f aca="false">DI_2Phase!AV30</f>
        <v>0.4</v>
      </c>
      <c r="P96" s="24" t="n">
        <f aca="false">DI_2Phase!AW30</f>
        <v>132.001836547291</v>
      </c>
      <c r="Q96" s="24" t="n">
        <f aca="false">DI_2Phase!AX30</f>
        <v>0.0340030911901082</v>
      </c>
      <c r="R96" s="24" t="n">
        <f aca="false">DI_2Phase!AY30</f>
        <v>1</v>
      </c>
      <c r="S96" s="24" t="n">
        <f aca="false">DI_2Phase!AZ30</f>
        <v>0.0164254259152173</v>
      </c>
      <c r="T96" s="24" t="n">
        <f aca="false">DI_2Phase!BA30</f>
        <v>0.0131403407321738</v>
      </c>
      <c r="U96" s="24" t="n">
        <f aca="false">DI_2Phase!BB30</f>
        <v>0.0197105110982608</v>
      </c>
      <c r="V96" s="77" t="str">
        <f aca="false">DI_2Phase!BC30</f>
        <v>https://www.sciencedirect.com/science/article/pii/S0043164815003749</v>
      </c>
    </row>
    <row r="97" customFormat="false" ht="12.8" hidden="false" customHeight="false" outlineLevel="0" collapsed="false">
      <c r="A97" s="15" t="n">
        <v>95</v>
      </c>
      <c r="B97" s="20" t="str">
        <f aca="false">DI_2Phase!AI31</f>
        <v>DI</v>
      </c>
      <c r="C97" s="20" t="str">
        <f aca="false">DI_2Phase!AJ31</f>
        <v>Liquid-Solid</v>
      </c>
      <c r="D97" s="20" t="str">
        <f aca="false">DI_2Phase!AK31</f>
        <v>V-H</v>
      </c>
      <c r="E97" s="48" t="n">
        <f aca="false">DI_2Phase!AL31</f>
        <v>90</v>
      </c>
      <c r="F97" s="78" t="n">
        <f aca="false">DI_2Phase!AM31</f>
        <v>1E-006</v>
      </c>
      <c r="G97" s="24" t="n">
        <f aca="false">DI_2Phase!AN31*0+MAX($G$3:$G$68)</f>
        <v>336</v>
      </c>
      <c r="H97" s="24" t="n">
        <f aca="false">DI_2Phase!AO31</f>
        <v>3</v>
      </c>
      <c r="I97" s="24" t="n">
        <f aca="false">DI_2Phase!AP31</f>
        <v>119.728285652644</v>
      </c>
      <c r="J97" s="24" t="n">
        <f aca="false">DI_2Phase!AQ31</f>
        <v>1920</v>
      </c>
      <c r="K97" s="24" t="n">
        <f aca="false">DI_2Phase!AR31</f>
        <v>0.0049663125</v>
      </c>
      <c r="L97" s="24" t="n">
        <f aca="false">DI_2Phase!AS31</f>
        <v>0.146484375</v>
      </c>
      <c r="M97" s="24" t="n">
        <f aca="false">DI_2Phase!AT31</f>
        <v>45</v>
      </c>
      <c r="N97" s="24" t="n">
        <f aca="false">DI_2Phase!AU31</f>
        <v>0.0234375</v>
      </c>
      <c r="O97" s="24" t="n">
        <f aca="false">DI_2Phase!AV31</f>
        <v>0.4</v>
      </c>
      <c r="P97" s="24" t="n">
        <f aca="false">DI_2Phase!AW31</f>
        <v>132.001836547291</v>
      </c>
      <c r="Q97" s="24" t="n">
        <f aca="false">DI_2Phase!AX31</f>
        <v>0.0340030911901082</v>
      </c>
      <c r="R97" s="24" t="n">
        <f aca="false">DI_2Phase!AY31</f>
        <v>1</v>
      </c>
      <c r="S97" s="24" t="n">
        <f aca="false">DI_2Phase!AZ31</f>
        <v>0.0166314554943886</v>
      </c>
      <c r="T97" s="24" t="n">
        <f aca="false">DI_2Phase!BA31</f>
        <v>0.0133051643955109</v>
      </c>
      <c r="U97" s="24" t="n">
        <f aca="false">DI_2Phase!BB31</f>
        <v>0.0199577465932663</v>
      </c>
      <c r="V97" s="77" t="str">
        <f aca="false">DI_2Phase!BC31</f>
        <v>https://www.sciencedirect.com/science/article/pii/S0043164815003749</v>
      </c>
    </row>
    <row r="98" customFormat="false" ht="12.8" hidden="false" customHeight="false" outlineLevel="0" collapsed="false">
      <c r="A98" s="15" t="n">
        <v>96</v>
      </c>
      <c r="B98" s="20" t="str">
        <f aca="false">DI_2Phase!AI32</f>
        <v>DI</v>
      </c>
      <c r="C98" s="20" t="str">
        <f aca="false">DI_2Phase!AJ32</f>
        <v>Liquid-Solid</v>
      </c>
      <c r="D98" s="20" t="str">
        <f aca="false">DI_2Phase!AK32</f>
        <v>V-H</v>
      </c>
      <c r="E98" s="48" t="n">
        <f aca="false">DI_2Phase!AL32</f>
        <v>90</v>
      </c>
      <c r="F98" s="78" t="n">
        <f aca="false">DI_2Phase!AM32</f>
        <v>1E-006</v>
      </c>
      <c r="G98" s="24" t="n">
        <f aca="false">DI_2Phase!AN32*0+MAX($G$3:$G$68)</f>
        <v>336</v>
      </c>
      <c r="H98" s="24" t="n">
        <f aca="false">DI_2Phase!AO32</f>
        <v>3</v>
      </c>
      <c r="I98" s="24" t="n">
        <f aca="false">DI_2Phase!AP32</f>
        <v>119.728285652644</v>
      </c>
      <c r="J98" s="24" t="n">
        <f aca="false">DI_2Phase!AQ32</f>
        <v>1920</v>
      </c>
      <c r="K98" s="24" t="n">
        <f aca="false">DI_2Phase!AR32</f>
        <v>0.0049663125</v>
      </c>
      <c r="L98" s="24" t="n">
        <f aca="false">DI_2Phase!AS32</f>
        <v>0.146484375</v>
      </c>
      <c r="M98" s="24" t="n">
        <f aca="false">DI_2Phase!AT32</f>
        <v>45</v>
      </c>
      <c r="N98" s="24" t="n">
        <f aca="false">DI_2Phase!AU32</f>
        <v>0.0234375</v>
      </c>
      <c r="O98" s="24" t="n">
        <f aca="false">DI_2Phase!AV32</f>
        <v>0.4</v>
      </c>
      <c r="P98" s="24" t="n">
        <f aca="false">DI_2Phase!AW32</f>
        <v>132.001836547291</v>
      </c>
      <c r="Q98" s="24" t="n">
        <f aca="false">DI_2Phase!AX32</f>
        <v>0.0605035700864337</v>
      </c>
      <c r="R98" s="24" t="n">
        <f aca="false">DI_2Phase!AY32</f>
        <v>1</v>
      </c>
      <c r="S98" s="24" t="n">
        <f aca="false">DI_2Phase!AZ32</f>
        <v>0.02606959002667</v>
      </c>
      <c r="T98" s="24" t="n">
        <f aca="false">DI_2Phase!BA32</f>
        <v>0.020855672021336</v>
      </c>
      <c r="U98" s="24" t="n">
        <f aca="false">DI_2Phase!BB32</f>
        <v>0.031283508032004</v>
      </c>
      <c r="V98" s="77" t="str">
        <f aca="false">DI_2Phase!BC32</f>
        <v>https://www.sciencedirect.com/science/article/pii/S0043164815003749</v>
      </c>
    </row>
    <row r="99" customFormat="false" ht="12.8" hidden="false" customHeight="false" outlineLevel="0" collapsed="false">
      <c r="A99" s="15" t="n">
        <v>97</v>
      </c>
      <c r="B99" s="20" t="str">
        <f aca="false">DI_2Phase!AI33</f>
        <v>DI</v>
      </c>
      <c r="C99" s="20" t="str">
        <f aca="false">DI_2Phase!AJ33</f>
        <v>Liquid-Solid</v>
      </c>
      <c r="D99" s="20" t="str">
        <f aca="false">DI_2Phase!AK33</f>
        <v>V-H</v>
      </c>
      <c r="E99" s="48" t="n">
        <f aca="false">DI_2Phase!AL33</f>
        <v>90</v>
      </c>
      <c r="F99" s="78" t="n">
        <f aca="false">DI_2Phase!AM33</f>
        <v>1E-006</v>
      </c>
      <c r="G99" s="24" t="n">
        <f aca="false">DI_2Phase!AN33*0+MAX($G$3:$G$68)</f>
        <v>336</v>
      </c>
      <c r="H99" s="24" t="n">
        <f aca="false">DI_2Phase!AO33</f>
        <v>3</v>
      </c>
      <c r="I99" s="24" t="n">
        <f aca="false">DI_2Phase!AP33</f>
        <v>119.728285652644</v>
      </c>
      <c r="J99" s="24" t="n">
        <f aca="false">DI_2Phase!AQ33</f>
        <v>1920</v>
      </c>
      <c r="K99" s="24" t="n">
        <f aca="false">DI_2Phase!AR33</f>
        <v>0.0049663125</v>
      </c>
      <c r="L99" s="24" t="n">
        <f aca="false">DI_2Phase!AS33</f>
        <v>0.146484375</v>
      </c>
      <c r="M99" s="24" t="n">
        <f aca="false">DI_2Phase!AT33</f>
        <v>45</v>
      </c>
      <c r="N99" s="24" t="n">
        <f aca="false">DI_2Phase!AU33</f>
        <v>0.0234375</v>
      </c>
      <c r="O99" s="24" t="n">
        <f aca="false">DI_2Phase!AV33</f>
        <v>0.4</v>
      </c>
      <c r="P99" s="24" t="n">
        <f aca="false">DI_2Phase!AW33</f>
        <v>132.001836547291</v>
      </c>
      <c r="Q99" s="24" t="n">
        <f aca="false">DI_2Phase!AX33</f>
        <v>0.0605035700864337</v>
      </c>
      <c r="R99" s="24" t="n">
        <f aca="false">DI_2Phase!AY33</f>
        <v>1</v>
      </c>
      <c r="S99" s="24" t="n">
        <f aca="false">DI_2Phase!AZ33</f>
        <v>0.0191716482509293</v>
      </c>
      <c r="T99" s="24" t="n">
        <f aca="false">DI_2Phase!BA33</f>
        <v>0.0153373186007434</v>
      </c>
      <c r="U99" s="24" t="n">
        <f aca="false">DI_2Phase!BB33</f>
        <v>0.0230059779011152</v>
      </c>
      <c r="V99" s="77" t="str">
        <f aca="false">DI_2Phase!BC33</f>
        <v>https://www.sciencedirect.com/science/article/pii/S0043164815003749</v>
      </c>
    </row>
    <row r="100" customFormat="false" ht="12.8" hidden="false" customHeight="false" outlineLevel="0" collapsed="false">
      <c r="A100" s="15" t="n">
        <v>98</v>
      </c>
      <c r="B100" s="20" t="str">
        <f aca="false">DI_2Phase!AI34</f>
        <v>DI</v>
      </c>
      <c r="C100" s="20" t="str">
        <f aca="false">DI_2Phase!AJ34</f>
        <v>Liquid-Solid</v>
      </c>
      <c r="D100" s="20" t="str">
        <f aca="false">DI_2Phase!AK34</f>
        <v>V-H</v>
      </c>
      <c r="E100" s="48" t="n">
        <f aca="false">DI_2Phase!AL34</f>
        <v>90</v>
      </c>
      <c r="F100" s="78" t="n">
        <f aca="false">DI_2Phase!AM34</f>
        <v>1E-006</v>
      </c>
      <c r="G100" s="24" t="n">
        <f aca="false">DI_2Phase!AN34*0+MAX($G$3:$G$68)</f>
        <v>336</v>
      </c>
      <c r="H100" s="24" t="n">
        <f aca="false">DI_2Phase!AO34</f>
        <v>3</v>
      </c>
      <c r="I100" s="24" t="n">
        <f aca="false">DI_2Phase!AP34</f>
        <v>119.728285652644</v>
      </c>
      <c r="J100" s="24" t="n">
        <f aca="false">DI_2Phase!AQ34</f>
        <v>1920</v>
      </c>
      <c r="K100" s="24" t="n">
        <f aca="false">DI_2Phase!AR34</f>
        <v>0.0049663125</v>
      </c>
      <c r="L100" s="24" t="n">
        <f aca="false">DI_2Phase!AS34</f>
        <v>0.146484375</v>
      </c>
      <c r="M100" s="24" t="n">
        <f aca="false">DI_2Phase!AT34</f>
        <v>45</v>
      </c>
      <c r="N100" s="24" t="n">
        <f aca="false">DI_2Phase!AU34</f>
        <v>0.0234375</v>
      </c>
      <c r="O100" s="24" t="n">
        <f aca="false">DI_2Phase!AV34</f>
        <v>0.4</v>
      </c>
      <c r="P100" s="24" t="n">
        <f aca="false">DI_2Phase!AW34</f>
        <v>132.001836547291</v>
      </c>
      <c r="Q100" s="24" t="n">
        <f aca="false">DI_2Phase!AX34</f>
        <v>0.0605035700864337</v>
      </c>
      <c r="R100" s="24" t="n">
        <f aca="false">DI_2Phase!AY34</f>
        <v>1</v>
      </c>
      <c r="S100" s="24" t="n">
        <f aca="false">DI_2Phase!AZ34</f>
        <v>0.0156688157448252</v>
      </c>
      <c r="T100" s="24" t="n">
        <f aca="false">DI_2Phase!BA34</f>
        <v>0.0125350525958602</v>
      </c>
      <c r="U100" s="24" t="n">
        <f aca="false">DI_2Phase!BB34</f>
        <v>0.0188025788937902</v>
      </c>
      <c r="V100" s="77" t="str">
        <f aca="false">DI_2Phase!BC34</f>
        <v>https://www.sciencedirect.com/science/article/pii/S0043164815003749</v>
      </c>
    </row>
    <row r="101" customFormat="false" ht="12.8" hidden="false" customHeight="false" outlineLevel="0" collapsed="false">
      <c r="A101" s="15" t="n">
        <v>99</v>
      </c>
      <c r="B101" s="20" t="str">
        <f aca="false">DI_2Phase!AI35</f>
        <v>DI</v>
      </c>
      <c r="C101" s="20" t="str">
        <f aca="false">DI_2Phase!AJ35</f>
        <v>Liquid-Solid</v>
      </c>
      <c r="D101" s="20" t="str">
        <f aca="false">DI_2Phase!AK35</f>
        <v>V-H</v>
      </c>
      <c r="E101" s="48" t="n">
        <f aca="false">DI_2Phase!AL35</f>
        <v>90</v>
      </c>
      <c r="F101" s="78" t="n">
        <f aca="false">DI_2Phase!AM35</f>
        <v>1E-006</v>
      </c>
      <c r="G101" s="24" t="n">
        <f aca="false">DI_2Phase!AN35*0+MAX($G$3:$G$68)</f>
        <v>336</v>
      </c>
      <c r="H101" s="24" t="n">
        <f aca="false">DI_2Phase!AO35</f>
        <v>3</v>
      </c>
      <c r="I101" s="24" t="n">
        <f aca="false">DI_2Phase!AP35</f>
        <v>119.728285652644</v>
      </c>
      <c r="J101" s="24" t="n">
        <f aca="false">DI_2Phase!AQ35</f>
        <v>1920</v>
      </c>
      <c r="K101" s="24" t="n">
        <f aca="false">DI_2Phase!AR35</f>
        <v>0.0049663125</v>
      </c>
      <c r="L101" s="24" t="n">
        <f aca="false">DI_2Phase!AS35</f>
        <v>0.146484375</v>
      </c>
      <c r="M101" s="24" t="n">
        <f aca="false">DI_2Phase!AT35</f>
        <v>45</v>
      </c>
      <c r="N101" s="24" t="n">
        <f aca="false">DI_2Phase!AU35</f>
        <v>0.0234375</v>
      </c>
      <c r="O101" s="24" t="n">
        <f aca="false">DI_2Phase!AV35</f>
        <v>0.4</v>
      </c>
      <c r="P101" s="24" t="n">
        <f aca="false">DI_2Phase!AW35</f>
        <v>132.001836547291</v>
      </c>
      <c r="Q101" s="24" t="n">
        <f aca="false">DI_2Phase!AX35</f>
        <v>0.0605035700864337</v>
      </c>
      <c r="R101" s="24" t="n">
        <f aca="false">DI_2Phase!AY35</f>
        <v>1</v>
      </c>
      <c r="S101" s="24" t="n">
        <f aca="false">DI_2Phase!AZ35</f>
        <v>0.0138279043494634</v>
      </c>
      <c r="T101" s="24" t="n">
        <f aca="false">DI_2Phase!BA35</f>
        <v>0.0110623234795707</v>
      </c>
      <c r="U101" s="24" t="n">
        <f aca="false">DI_2Phase!BB35</f>
        <v>0.0165934852193561</v>
      </c>
      <c r="V101" s="77" t="str">
        <f aca="false">DI_2Phase!BC35</f>
        <v>https://www.sciencedirect.com/science/article/pii/S0043164815003749</v>
      </c>
    </row>
    <row r="102" customFormat="false" ht="12.8" hidden="false" customHeight="false" outlineLevel="0" collapsed="false">
      <c r="A102" s="15" t="n">
        <v>100</v>
      </c>
      <c r="B102" s="20" t="str">
        <f aca="false">DI_2Phase!AI36</f>
        <v>DI</v>
      </c>
      <c r="C102" s="20" t="str">
        <f aca="false">DI_2Phase!AJ36</f>
        <v>Liquid-Solid</v>
      </c>
      <c r="D102" s="20" t="str">
        <f aca="false">DI_2Phase!AK36</f>
        <v>V-H</v>
      </c>
      <c r="E102" s="48" t="n">
        <f aca="false">DI_2Phase!AL36</f>
        <v>90</v>
      </c>
      <c r="F102" s="78" t="n">
        <f aca="false">DI_2Phase!AM36</f>
        <v>1E-006</v>
      </c>
      <c r="G102" s="24" t="n">
        <f aca="false">DI_2Phase!AN36*0+MAX($G$3:$G$68)</f>
        <v>336</v>
      </c>
      <c r="H102" s="24" t="n">
        <f aca="false">DI_2Phase!AO36</f>
        <v>3</v>
      </c>
      <c r="I102" s="24" t="n">
        <f aca="false">DI_2Phase!AP36</f>
        <v>119.728285652644</v>
      </c>
      <c r="J102" s="24" t="n">
        <f aca="false">DI_2Phase!AQ36</f>
        <v>1920</v>
      </c>
      <c r="K102" s="24" t="n">
        <f aca="false">DI_2Phase!AR36</f>
        <v>0.0049663125</v>
      </c>
      <c r="L102" s="24" t="n">
        <f aca="false">DI_2Phase!AS36</f>
        <v>0.146484375</v>
      </c>
      <c r="M102" s="24" t="n">
        <f aca="false">DI_2Phase!AT36</f>
        <v>45</v>
      </c>
      <c r="N102" s="24" t="n">
        <f aca="false">DI_2Phase!AU36</f>
        <v>0.0234375</v>
      </c>
      <c r="O102" s="24" t="n">
        <f aca="false">DI_2Phase!AV36</f>
        <v>0.4</v>
      </c>
      <c r="P102" s="24" t="n">
        <f aca="false">DI_2Phase!AW36</f>
        <v>132.001836547291</v>
      </c>
      <c r="Q102" s="24" t="n">
        <f aca="false">DI_2Phase!AX36</f>
        <v>0.0605035700864337</v>
      </c>
      <c r="R102" s="24" t="n">
        <f aca="false">DI_2Phase!AY36</f>
        <v>1</v>
      </c>
      <c r="S102" s="24" t="n">
        <f aca="false">DI_2Phase!AZ36</f>
        <v>0.0129045142905854</v>
      </c>
      <c r="T102" s="24" t="n">
        <f aca="false">DI_2Phase!BA36</f>
        <v>0.0103236114324683</v>
      </c>
      <c r="U102" s="24" t="n">
        <f aca="false">DI_2Phase!BB36</f>
        <v>0.0154854171487025</v>
      </c>
      <c r="V102" s="77" t="str">
        <f aca="false">DI_2Phase!BC36</f>
        <v>https://www.sciencedirect.com/science/article/pii/S0043164815003749</v>
      </c>
    </row>
    <row r="103" customFormat="false" ht="12.8" hidden="false" customHeight="false" outlineLevel="0" collapsed="false">
      <c r="A103" s="15" t="n">
        <v>101</v>
      </c>
      <c r="B103" s="20" t="str">
        <f aca="false">DI_2Phase!AI37</f>
        <v>DI</v>
      </c>
      <c r="C103" s="20" t="str">
        <f aca="false">DI_2Phase!AJ37</f>
        <v>Liquid-Solid</v>
      </c>
      <c r="D103" s="20" t="str">
        <f aca="false">DI_2Phase!AK37</f>
        <v>V-H</v>
      </c>
      <c r="E103" s="48" t="n">
        <f aca="false">DI_2Phase!AL37</f>
        <v>90</v>
      </c>
      <c r="F103" s="78" t="n">
        <f aca="false">DI_2Phase!AM37</f>
        <v>1E-006</v>
      </c>
      <c r="G103" s="24" t="n">
        <f aca="false">DI_2Phase!AN37*0+MAX($G$3:$G$68)</f>
        <v>336</v>
      </c>
      <c r="H103" s="24" t="n">
        <f aca="false">DI_2Phase!AO37</f>
        <v>3</v>
      </c>
      <c r="I103" s="24" t="n">
        <f aca="false">DI_2Phase!AP37</f>
        <v>119.728285652644</v>
      </c>
      <c r="J103" s="24" t="n">
        <f aca="false">DI_2Phase!AQ37</f>
        <v>1920</v>
      </c>
      <c r="K103" s="24" t="n">
        <f aca="false">DI_2Phase!AR37</f>
        <v>0.0049663125</v>
      </c>
      <c r="L103" s="24" t="n">
        <f aca="false">DI_2Phase!AS37</f>
        <v>0.146484375</v>
      </c>
      <c r="M103" s="24" t="n">
        <f aca="false">DI_2Phase!AT37</f>
        <v>45</v>
      </c>
      <c r="N103" s="24" t="n">
        <f aca="false">DI_2Phase!AU37</f>
        <v>0.0234375</v>
      </c>
      <c r="O103" s="24" t="n">
        <f aca="false">DI_2Phase!AV37</f>
        <v>0.4</v>
      </c>
      <c r="P103" s="24" t="n">
        <f aca="false">DI_2Phase!AW37</f>
        <v>132.001836547291</v>
      </c>
      <c r="Q103" s="24" t="n">
        <f aca="false">DI_2Phase!AX37</f>
        <v>0.0605035700864337</v>
      </c>
      <c r="R103" s="24" t="n">
        <f aca="false">DI_2Phase!AY37</f>
        <v>1</v>
      </c>
      <c r="S103" s="24" t="n">
        <f aca="false">DI_2Phase!AZ37</f>
        <v>0.0128020890711386</v>
      </c>
      <c r="T103" s="24" t="n">
        <f aca="false">DI_2Phase!BA37</f>
        <v>0.0102416712569109</v>
      </c>
      <c r="U103" s="24" t="n">
        <f aca="false">DI_2Phase!BB37</f>
        <v>0.0153625068853663</v>
      </c>
      <c r="V103" s="77" t="str">
        <f aca="false">DI_2Phase!BC37</f>
        <v>https://www.sciencedirect.com/science/article/pii/S0043164815003749</v>
      </c>
    </row>
    <row r="104" customFormat="false" ht="12.8" hidden="false" customHeight="false" outlineLevel="0" collapsed="false">
      <c r="A104" s="15" t="n">
        <v>102</v>
      </c>
      <c r="B104" s="20" t="str">
        <f aca="false">DI_2Phase!AI38</f>
        <v>DI</v>
      </c>
      <c r="C104" s="20" t="str">
        <f aca="false">DI_2Phase!AJ38</f>
        <v>Liquid-Solid</v>
      </c>
      <c r="D104" s="20" t="str">
        <f aca="false">DI_2Phase!AK38</f>
        <v>V-H</v>
      </c>
      <c r="E104" s="48" t="n">
        <f aca="false">DI_2Phase!AL38</f>
        <v>90</v>
      </c>
      <c r="F104" s="78" t="n">
        <f aca="false">DI_2Phase!AM38</f>
        <v>1E-006</v>
      </c>
      <c r="G104" s="24" t="n">
        <f aca="false">DI_2Phase!AN38*0+MAX($G$3:$G$68)</f>
        <v>336</v>
      </c>
      <c r="H104" s="24" t="n">
        <f aca="false">DI_2Phase!AO38</f>
        <v>3</v>
      </c>
      <c r="I104" s="24" t="n">
        <f aca="false">DI_2Phase!AP38</f>
        <v>119.728285652644</v>
      </c>
      <c r="J104" s="24" t="n">
        <f aca="false">DI_2Phase!AQ38</f>
        <v>1920</v>
      </c>
      <c r="K104" s="24" t="n">
        <f aca="false">DI_2Phase!AR38</f>
        <v>0.0049663125</v>
      </c>
      <c r="L104" s="24" t="n">
        <f aca="false">DI_2Phase!AS38</f>
        <v>0.146484375</v>
      </c>
      <c r="M104" s="24" t="n">
        <f aca="false">DI_2Phase!AT38</f>
        <v>45</v>
      </c>
      <c r="N104" s="24" t="n">
        <f aca="false">DI_2Phase!AU38</f>
        <v>0.0234375</v>
      </c>
      <c r="O104" s="24" t="n">
        <f aca="false">DI_2Phase!AV38</f>
        <v>0.4</v>
      </c>
      <c r="P104" s="24" t="n">
        <f aca="false">DI_2Phase!AW38</f>
        <v>132.001836547291</v>
      </c>
      <c r="Q104" s="24" t="n">
        <f aca="false">DI_2Phase!AX38</f>
        <v>0.0605035700864337</v>
      </c>
      <c r="R104" s="24" t="n">
        <f aca="false">DI_2Phase!AY38</f>
        <v>1</v>
      </c>
      <c r="S104" s="24" t="n">
        <f aca="false">DI_2Phase!AZ38</f>
        <v>0.0130133345739391</v>
      </c>
      <c r="T104" s="24" t="n">
        <f aca="false">DI_2Phase!BA38</f>
        <v>0.0104106676591513</v>
      </c>
      <c r="U104" s="24" t="n">
        <f aca="false">DI_2Phase!BB38</f>
        <v>0.0156160014887269</v>
      </c>
      <c r="V104" s="77" t="str">
        <f aca="false">DI_2Phase!BC38</f>
        <v>https://www.sciencedirect.com/science/article/pii/S0043164815003749</v>
      </c>
    </row>
    <row r="105" customFormat="false" ht="12.8" hidden="false" customHeight="false" outlineLevel="0" collapsed="false">
      <c r="A105" s="15" t="n">
        <v>103</v>
      </c>
      <c r="B105" s="20" t="str">
        <f aca="false">DI_2Phase!AI39</f>
        <v>DI</v>
      </c>
      <c r="C105" s="20" t="str">
        <f aca="false">DI_2Phase!AJ39</f>
        <v>Liquid-Solid</v>
      </c>
      <c r="D105" s="20" t="str">
        <f aca="false">DI_2Phase!AK39</f>
        <v>V-H</v>
      </c>
      <c r="E105" s="48" t="n">
        <f aca="false">DI_2Phase!AL39</f>
        <v>90</v>
      </c>
      <c r="F105" s="78" t="n">
        <f aca="false">DI_2Phase!AM39</f>
        <v>1E-006</v>
      </c>
      <c r="G105" s="24" t="n">
        <f aca="false">DI_2Phase!AN39*0+MAX($G$3:$G$68)</f>
        <v>336</v>
      </c>
      <c r="H105" s="24" t="n">
        <f aca="false">DI_2Phase!AO39</f>
        <v>3</v>
      </c>
      <c r="I105" s="24" t="n">
        <f aca="false">DI_2Phase!AP39</f>
        <v>119.728285652644</v>
      </c>
      <c r="J105" s="24" t="n">
        <f aca="false">DI_2Phase!AQ39</f>
        <v>1920</v>
      </c>
      <c r="K105" s="24" t="n">
        <f aca="false">DI_2Phase!AR39</f>
        <v>0.0049663125</v>
      </c>
      <c r="L105" s="24" t="n">
        <f aca="false">DI_2Phase!AS39</f>
        <v>0.146484375</v>
      </c>
      <c r="M105" s="24" t="n">
        <f aca="false">DI_2Phase!AT39</f>
        <v>45</v>
      </c>
      <c r="N105" s="24" t="n">
        <f aca="false">DI_2Phase!AU39</f>
        <v>0.0234375</v>
      </c>
      <c r="O105" s="24" t="n">
        <f aca="false">DI_2Phase!AV39</f>
        <v>0.4</v>
      </c>
      <c r="P105" s="24" t="n">
        <f aca="false">DI_2Phase!AW39</f>
        <v>132.001836547291</v>
      </c>
      <c r="Q105" s="24" t="n">
        <f aca="false">DI_2Phase!AX39</f>
        <v>0.0605035700864337</v>
      </c>
      <c r="R105" s="24" t="n">
        <f aca="false">DI_2Phase!AY39</f>
        <v>1</v>
      </c>
      <c r="S105" s="24" t="n">
        <f aca="false">DI_2Phase!AZ39</f>
        <v>0.0132607207508709</v>
      </c>
      <c r="T105" s="24" t="n">
        <f aca="false">DI_2Phase!BA39</f>
        <v>0.0106085766006967</v>
      </c>
      <c r="U105" s="24" t="n">
        <f aca="false">DI_2Phase!BB39</f>
        <v>0.0159128649010451</v>
      </c>
      <c r="V105" s="77" t="str">
        <f aca="false">DI_2Phase!BC39</f>
        <v>https://www.sciencedirect.com/science/article/pii/S0043164815003749</v>
      </c>
    </row>
    <row r="106" customFormat="false" ht="12.8" hidden="false" customHeight="false" outlineLevel="0" collapsed="false">
      <c r="A106" s="15" t="n">
        <v>104</v>
      </c>
      <c r="B106" s="20" t="str">
        <f aca="false">DI_2Phase!AI40</f>
        <v>DI</v>
      </c>
      <c r="C106" s="20" t="str">
        <f aca="false">DI_2Phase!AJ40</f>
        <v>Liquid-Solid</v>
      </c>
      <c r="D106" s="20" t="str">
        <f aca="false">DI_2Phase!AK40</f>
        <v>V-H</v>
      </c>
      <c r="E106" s="48" t="n">
        <f aca="false">DI_2Phase!AL40</f>
        <v>90</v>
      </c>
      <c r="F106" s="78" t="n">
        <f aca="false">DI_2Phase!AM40</f>
        <v>1E-006</v>
      </c>
      <c r="G106" s="24" t="n">
        <f aca="false">DI_2Phase!AN40*0+MAX($G$3:$G$68)</f>
        <v>336</v>
      </c>
      <c r="H106" s="24" t="n">
        <f aca="false">DI_2Phase!AO40</f>
        <v>3</v>
      </c>
      <c r="I106" s="24" t="n">
        <f aca="false">DI_2Phase!AP40</f>
        <v>119.728285652644</v>
      </c>
      <c r="J106" s="24" t="n">
        <f aca="false">DI_2Phase!AQ40</f>
        <v>1920</v>
      </c>
      <c r="K106" s="24" t="n">
        <f aca="false">DI_2Phase!AR40</f>
        <v>0.0049663125</v>
      </c>
      <c r="L106" s="24" t="n">
        <f aca="false">DI_2Phase!AS40</f>
        <v>0.146484375</v>
      </c>
      <c r="M106" s="24" t="n">
        <f aca="false">DI_2Phase!AT40</f>
        <v>45</v>
      </c>
      <c r="N106" s="24" t="n">
        <f aca="false">DI_2Phase!AU40</f>
        <v>0.0234375</v>
      </c>
      <c r="O106" s="24" t="n">
        <f aca="false">DI_2Phase!AV40</f>
        <v>0.4</v>
      </c>
      <c r="P106" s="24" t="n">
        <f aca="false">DI_2Phase!AW40</f>
        <v>132.001836547291</v>
      </c>
      <c r="Q106" s="24" t="n">
        <f aca="false">DI_2Phase!AX40</f>
        <v>0.0605035700864337</v>
      </c>
      <c r="R106" s="24" t="n">
        <f aca="false">DI_2Phase!AY40</f>
        <v>1</v>
      </c>
      <c r="S106" s="24" t="n">
        <f aca="false">DI_2Phase!AZ40</f>
        <v>0.0136543924677363</v>
      </c>
      <c r="T106" s="24" t="n">
        <f aca="false">DI_2Phase!BA40</f>
        <v>0.010923513974189</v>
      </c>
      <c r="U106" s="24" t="n">
        <f aca="false">DI_2Phase!BB40</f>
        <v>0.0163852709612836</v>
      </c>
      <c r="V106" s="77" t="str">
        <f aca="false">DI_2Phase!BC40</f>
        <v>https://www.sciencedirect.com/science/article/pii/S0043164815003749</v>
      </c>
    </row>
    <row r="107" customFormat="false" ht="12.8" hidden="false" customHeight="false" outlineLevel="0" collapsed="false">
      <c r="A107" s="15" t="n">
        <v>105</v>
      </c>
      <c r="B107" s="20" t="str">
        <f aca="false">DI_2Phase!AI41</f>
        <v>DI</v>
      </c>
      <c r="C107" s="20" t="str">
        <f aca="false">DI_2Phase!AJ41</f>
        <v>Liquid-Solid</v>
      </c>
      <c r="D107" s="20" t="str">
        <f aca="false">DI_2Phase!AK41</f>
        <v>V-H</v>
      </c>
      <c r="E107" s="48" t="n">
        <f aca="false">DI_2Phase!AL41</f>
        <v>90</v>
      </c>
      <c r="F107" s="78" t="n">
        <f aca="false">DI_2Phase!AM41</f>
        <v>1E-006</v>
      </c>
      <c r="G107" s="24" t="n">
        <f aca="false">DI_2Phase!AN41*0+MAX($G$3:$G$68)</f>
        <v>336</v>
      </c>
      <c r="H107" s="24" t="n">
        <f aca="false">DI_2Phase!AO41</f>
        <v>3</v>
      </c>
      <c r="I107" s="24" t="n">
        <f aca="false">DI_2Phase!AP41</f>
        <v>119.728285652644</v>
      </c>
      <c r="J107" s="24" t="n">
        <f aca="false">DI_2Phase!AQ41</f>
        <v>1920</v>
      </c>
      <c r="K107" s="24" t="n">
        <f aca="false">DI_2Phase!AR41</f>
        <v>0.0049663125</v>
      </c>
      <c r="L107" s="24" t="n">
        <f aca="false">DI_2Phase!AS41</f>
        <v>0.146484375</v>
      </c>
      <c r="M107" s="24" t="n">
        <f aca="false">DI_2Phase!AT41</f>
        <v>45</v>
      </c>
      <c r="N107" s="24" t="n">
        <f aca="false">DI_2Phase!AU41</f>
        <v>0.0234375</v>
      </c>
      <c r="O107" s="24" t="n">
        <f aca="false">DI_2Phase!AV41</f>
        <v>0.4</v>
      </c>
      <c r="P107" s="24" t="n">
        <f aca="false">DI_2Phase!AW41</f>
        <v>132.001836547291</v>
      </c>
      <c r="Q107" s="24" t="n">
        <f aca="false">DI_2Phase!AX41</f>
        <v>0.0822320117474302</v>
      </c>
      <c r="R107" s="24" t="n">
        <f aca="false">DI_2Phase!AY41</f>
        <v>1</v>
      </c>
      <c r="S107" s="24" t="n">
        <f aca="false">DI_2Phase!AZ41</f>
        <v>0.017325978018276</v>
      </c>
      <c r="T107" s="24" t="n">
        <f aca="false">DI_2Phase!BA41</f>
        <v>0.0138607824146208</v>
      </c>
      <c r="U107" s="24" t="n">
        <f aca="false">DI_2Phase!BB41</f>
        <v>0.0207911736219312</v>
      </c>
      <c r="V107" s="77" t="str">
        <f aca="false">DI_2Phase!BC41</f>
        <v>https://www.sciencedirect.com/science/article/pii/S0043164815003749</v>
      </c>
    </row>
    <row r="108" customFormat="false" ht="12.8" hidden="false" customHeight="false" outlineLevel="0" collapsed="false">
      <c r="A108" s="15" t="n">
        <v>106</v>
      </c>
      <c r="B108" s="20" t="str">
        <f aca="false">DI_2Phase!AI42</f>
        <v>DI</v>
      </c>
      <c r="C108" s="20" t="str">
        <f aca="false">DI_2Phase!AJ42</f>
        <v>Liquid-Solid</v>
      </c>
      <c r="D108" s="20" t="str">
        <f aca="false">DI_2Phase!AK42</f>
        <v>V-H</v>
      </c>
      <c r="E108" s="48" t="n">
        <f aca="false">DI_2Phase!AL42</f>
        <v>90</v>
      </c>
      <c r="F108" s="78" t="n">
        <f aca="false">DI_2Phase!AM42</f>
        <v>1E-006</v>
      </c>
      <c r="G108" s="24" t="n">
        <f aca="false">DI_2Phase!AN42*0+MAX($G$3:$G$68)</f>
        <v>336</v>
      </c>
      <c r="H108" s="24" t="n">
        <f aca="false">DI_2Phase!AO42</f>
        <v>3</v>
      </c>
      <c r="I108" s="24" t="n">
        <f aca="false">DI_2Phase!AP42</f>
        <v>119.728285652644</v>
      </c>
      <c r="J108" s="24" t="n">
        <f aca="false">DI_2Phase!AQ42</f>
        <v>1920</v>
      </c>
      <c r="K108" s="24" t="n">
        <f aca="false">DI_2Phase!AR42</f>
        <v>0.0049663125</v>
      </c>
      <c r="L108" s="24" t="n">
        <f aca="false">DI_2Phase!AS42</f>
        <v>0.146484375</v>
      </c>
      <c r="M108" s="24" t="n">
        <f aca="false">DI_2Phase!AT42</f>
        <v>45</v>
      </c>
      <c r="N108" s="24" t="n">
        <f aca="false">DI_2Phase!AU42</f>
        <v>0.0234375</v>
      </c>
      <c r="O108" s="24" t="n">
        <f aca="false">DI_2Phase!AV42</f>
        <v>0.4</v>
      </c>
      <c r="P108" s="24" t="n">
        <f aca="false">DI_2Phase!AW42</f>
        <v>132.001836547291</v>
      </c>
      <c r="Q108" s="24" t="n">
        <f aca="false">DI_2Phase!AX42</f>
        <v>0.0822320117474302</v>
      </c>
      <c r="R108" s="24" t="n">
        <f aca="false">DI_2Phase!AY42</f>
        <v>1</v>
      </c>
      <c r="S108" s="24" t="n">
        <f aca="false">DI_2Phase!AZ42</f>
        <v>0.0130830343232974</v>
      </c>
      <c r="T108" s="24" t="n">
        <f aca="false">DI_2Phase!BA42</f>
        <v>0.0104664274586379</v>
      </c>
      <c r="U108" s="24" t="n">
        <f aca="false">DI_2Phase!BB42</f>
        <v>0.0156996411879569</v>
      </c>
      <c r="V108" s="77" t="str">
        <f aca="false">DI_2Phase!BC42</f>
        <v>https://www.sciencedirect.com/science/article/pii/S0043164815003749</v>
      </c>
    </row>
    <row r="109" customFormat="false" ht="12.8" hidden="false" customHeight="false" outlineLevel="0" collapsed="false">
      <c r="A109" s="15" t="n">
        <v>107</v>
      </c>
      <c r="B109" s="20" t="str">
        <f aca="false">DI_2Phase!AI43</f>
        <v>DI</v>
      </c>
      <c r="C109" s="20" t="str">
        <f aca="false">DI_2Phase!AJ43</f>
        <v>Liquid-Solid</v>
      </c>
      <c r="D109" s="20" t="str">
        <f aca="false">DI_2Phase!AK43</f>
        <v>V-H</v>
      </c>
      <c r="E109" s="48" t="n">
        <f aca="false">DI_2Phase!AL43</f>
        <v>90</v>
      </c>
      <c r="F109" s="78" t="n">
        <f aca="false">DI_2Phase!AM43</f>
        <v>1E-006</v>
      </c>
      <c r="G109" s="24" t="n">
        <f aca="false">DI_2Phase!AN43*0+MAX($G$3:$G$68)</f>
        <v>336</v>
      </c>
      <c r="H109" s="24" t="n">
        <f aca="false">DI_2Phase!AO43</f>
        <v>3</v>
      </c>
      <c r="I109" s="24" t="n">
        <f aca="false">DI_2Phase!AP43</f>
        <v>119.728285652644</v>
      </c>
      <c r="J109" s="24" t="n">
        <f aca="false">DI_2Phase!AQ43</f>
        <v>1920</v>
      </c>
      <c r="K109" s="24" t="n">
        <f aca="false">DI_2Phase!AR43</f>
        <v>0.0049663125</v>
      </c>
      <c r="L109" s="24" t="n">
        <f aca="false">DI_2Phase!AS43</f>
        <v>0.146484375</v>
      </c>
      <c r="M109" s="24" t="n">
        <f aca="false">DI_2Phase!AT43</f>
        <v>45</v>
      </c>
      <c r="N109" s="24" t="n">
        <f aca="false">DI_2Phase!AU43</f>
        <v>0.0234375</v>
      </c>
      <c r="O109" s="24" t="n">
        <f aca="false">DI_2Phase!AV43</f>
        <v>0.4</v>
      </c>
      <c r="P109" s="24" t="n">
        <f aca="false">DI_2Phase!AW43</f>
        <v>132.001836547291</v>
      </c>
      <c r="Q109" s="24" t="n">
        <f aca="false">DI_2Phase!AX43</f>
        <v>0.0822320117474302</v>
      </c>
      <c r="R109" s="24" t="n">
        <f aca="false">DI_2Phase!AY43</f>
        <v>1</v>
      </c>
      <c r="S109" s="24" t="n">
        <f aca="false">DI_2Phase!AZ43</f>
        <v>0.010847661489815</v>
      </c>
      <c r="T109" s="24" t="n">
        <f aca="false">DI_2Phase!BA43</f>
        <v>0.008678129191852</v>
      </c>
      <c r="U109" s="24" t="n">
        <f aca="false">DI_2Phase!BB43</f>
        <v>0.013017193787778</v>
      </c>
      <c r="V109" s="77" t="str">
        <f aca="false">DI_2Phase!BC43</f>
        <v>https://www.sciencedirect.com/science/article/pii/S0043164815003749</v>
      </c>
    </row>
    <row r="110" customFormat="false" ht="12.8" hidden="false" customHeight="false" outlineLevel="0" collapsed="false">
      <c r="A110" s="15" t="n">
        <v>108</v>
      </c>
      <c r="B110" s="20" t="str">
        <f aca="false">DI_2Phase!AI44</f>
        <v>DI</v>
      </c>
      <c r="C110" s="20" t="str">
        <f aca="false">DI_2Phase!AJ44</f>
        <v>Liquid-Solid</v>
      </c>
      <c r="D110" s="20" t="str">
        <f aca="false">DI_2Phase!AK44</f>
        <v>V-H</v>
      </c>
      <c r="E110" s="48" t="n">
        <f aca="false">DI_2Phase!AL44</f>
        <v>90</v>
      </c>
      <c r="F110" s="78" t="n">
        <f aca="false">DI_2Phase!AM44</f>
        <v>1E-006</v>
      </c>
      <c r="G110" s="24" t="n">
        <f aca="false">DI_2Phase!AN44*0+MAX($G$3:$G$68)</f>
        <v>336</v>
      </c>
      <c r="H110" s="24" t="n">
        <f aca="false">DI_2Phase!AO44</f>
        <v>3</v>
      </c>
      <c r="I110" s="24" t="n">
        <f aca="false">DI_2Phase!AP44</f>
        <v>119.728285652644</v>
      </c>
      <c r="J110" s="24" t="n">
        <f aca="false">DI_2Phase!AQ44</f>
        <v>1920</v>
      </c>
      <c r="K110" s="24" t="n">
        <f aca="false">DI_2Phase!AR44</f>
        <v>0.0049663125</v>
      </c>
      <c r="L110" s="24" t="n">
        <f aca="false">DI_2Phase!AS44</f>
        <v>0.146484375</v>
      </c>
      <c r="M110" s="24" t="n">
        <f aca="false">DI_2Phase!AT44</f>
        <v>45</v>
      </c>
      <c r="N110" s="24" t="n">
        <f aca="false">DI_2Phase!AU44</f>
        <v>0.0234375</v>
      </c>
      <c r="O110" s="24" t="n">
        <f aca="false">DI_2Phase!AV44</f>
        <v>0.4</v>
      </c>
      <c r="P110" s="24" t="n">
        <f aca="false">DI_2Phase!AW44</f>
        <v>132.001836547291</v>
      </c>
      <c r="Q110" s="24" t="n">
        <f aca="false">DI_2Phase!AX44</f>
        <v>0.0822320117474302</v>
      </c>
      <c r="R110" s="24" t="n">
        <f aca="false">DI_2Phase!AY44</f>
        <v>1</v>
      </c>
      <c r="S110" s="24" t="n">
        <f aca="false">DI_2Phase!AZ44</f>
        <v>0.00988700385814703</v>
      </c>
      <c r="T110" s="24" t="n">
        <f aca="false">DI_2Phase!BA44</f>
        <v>0.00790960308651762</v>
      </c>
      <c r="U110" s="24" t="n">
        <f aca="false">DI_2Phase!BB44</f>
        <v>0.0118644046297764</v>
      </c>
      <c r="V110" s="77" t="str">
        <f aca="false">DI_2Phase!BC44</f>
        <v>https://www.sciencedirect.com/science/article/pii/S0043164815003749</v>
      </c>
    </row>
    <row r="111" customFormat="false" ht="12.8" hidden="false" customHeight="false" outlineLevel="0" collapsed="false">
      <c r="A111" s="15" t="n">
        <v>109</v>
      </c>
      <c r="B111" s="20" t="str">
        <f aca="false">DI_2Phase!AI45</f>
        <v>DI</v>
      </c>
      <c r="C111" s="20" t="str">
        <f aca="false">DI_2Phase!AJ45</f>
        <v>Liquid-Solid</v>
      </c>
      <c r="D111" s="20" t="str">
        <f aca="false">DI_2Phase!AK45</f>
        <v>V-H</v>
      </c>
      <c r="E111" s="48" t="n">
        <f aca="false">DI_2Phase!AL45</f>
        <v>90</v>
      </c>
      <c r="F111" s="78" t="n">
        <f aca="false">DI_2Phase!AM45</f>
        <v>1E-006</v>
      </c>
      <c r="G111" s="24" t="n">
        <f aca="false">DI_2Phase!AN45*0+MAX($G$3:$G$68)</f>
        <v>336</v>
      </c>
      <c r="H111" s="24" t="n">
        <f aca="false">DI_2Phase!AO45</f>
        <v>3</v>
      </c>
      <c r="I111" s="24" t="n">
        <f aca="false">DI_2Phase!AP45</f>
        <v>119.728285652644</v>
      </c>
      <c r="J111" s="24" t="n">
        <f aca="false">DI_2Phase!AQ45</f>
        <v>1920</v>
      </c>
      <c r="K111" s="24" t="n">
        <f aca="false">DI_2Phase!AR45</f>
        <v>0.0049663125</v>
      </c>
      <c r="L111" s="24" t="n">
        <f aca="false">DI_2Phase!AS45</f>
        <v>0.146484375</v>
      </c>
      <c r="M111" s="24" t="n">
        <f aca="false">DI_2Phase!AT45</f>
        <v>45</v>
      </c>
      <c r="N111" s="24" t="n">
        <f aca="false">DI_2Phase!AU45</f>
        <v>0.0234375</v>
      </c>
      <c r="O111" s="24" t="n">
        <f aca="false">DI_2Phase!AV45</f>
        <v>0.4</v>
      </c>
      <c r="P111" s="24" t="n">
        <f aca="false">DI_2Phase!AW45</f>
        <v>132.001836547291</v>
      </c>
      <c r="Q111" s="24" t="n">
        <f aca="false">DI_2Phase!AX45</f>
        <v>0.0822320117474302</v>
      </c>
      <c r="R111" s="24" t="n">
        <f aca="false">DI_2Phase!AY45</f>
        <v>1</v>
      </c>
      <c r="S111" s="24" t="n">
        <f aca="false">DI_2Phase!AZ45</f>
        <v>0.00951761795116681</v>
      </c>
      <c r="T111" s="24" t="n">
        <f aca="false">DI_2Phase!BA45</f>
        <v>0.00761409436093345</v>
      </c>
      <c r="U111" s="24" t="n">
        <f aca="false">DI_2Phase!BB45</f>
        <v>0.0114211415414002</v>
      </c>
      <c r="V111" s="77" t="str">
        <f aca="false">DI_2Phase!BC45</f>
        <v>https://www.sciencedirect.com/science/article/pii/S0043164815003749</v>
      </c>
    </row>
    <row r="112" customFormat="false" ht="12.8" hidden="false" customHeight="false" outlineLevel="0" collapsed="false">
      <c r="A112" s="15" t="n">
        <v>110</v>
      </c>
      <c r="B112" s="20" t="str">
        <f aca="false">DI_2Phase!AI46</f>
        <v>DI</v>
      </c>
      <c r="C112" s="20" t="str">
        <f aca="false">DI_2Phase!AJ46</f>
        <v>Liquid-Solid</v>
      </c>
      <c r="D112" s="20" t="str">
        <f aca="false">DI_2Phase!AK46</f>
        <v>V-H</v>
      </c>
      <c r="E112" s="48" t="n">
        <f aca="false">DI_2Phase!AL46</f>
        <v>90</v>
      </c>
      <c r="F112" s="78" t="n">
        <f aca="false">DI_2Phase!AM46</f>
        <v>1E-006</v>
      </c>
      <c r="G112" s="24" t="n">
        <f aca="false">DI_2Phase!AN46*0+MAX($G$3:$G$68)</f>
        <v>336</v>
      </c>
      <c r="H112" s="24" t="n">
        <f aca="false">DI_2Phase!AO46</f>
        <v>3</v>
      </c>
      <c r="I112" s="24" t="n">
        <f aca="false">DI_2Phase!AP46</f>
        <v>119.728285652644</v>
      </c>
      <c r="J112" s="24" t="n">
        <f aca="false">DI_2Phase!AQ46</f>
        <v>1920</v>
      </c>
      <c r="K112" s="24" t="n">
        <f aca="false">DI_2Phase!AR46</f>
        <v>0.0049663125</v>
      </c>
      <c r="L112" s="24" t="n">
        <f aca="false">DI_2Phase!AS46</f>
        <v>0.146484375</v>
      </c>
      <c r="M112" s="24" t="n">
        <f aca="false">DI_2Phase!AT46</f>
        <v>45</v>
      </c>
      <c r="N112" s="24" t="n">
        <f aca="false">DI_2Phase!AU46</f>
        <v>0.0234375</v>
      </c>
      <c r="O112" s="24" t="n">
        <f aca="false">DI_2Phase!AV46</f>
        <v>0.4</v>
      </c>
      <c r="P112" s="24" t="n">
        <f aca="false">DI_2Phase!AW46</f>
        <v>132.001836547291</v>
      </c>
      <c r="Q112" s="24" t="n">
        <f aca="false">DI_2Phase!AX46</f>
        <v>0.0822320117474302</v>
      </c>
      <c r="R112" s="24" t="n">
        <f aca="false">DI_2Phase!AY46</f>
        <v>1</v>
      </c>
      <c r="S112" s="24" t="n">
        <f aca="false">DI_2Phase!AZ46</f>
        <v>0.00974836386131074</v>
      </c>
      <c r="T112" s="24" t="n">
        <f aca="false">DI_2Phase!BA46</f>
        <v>0.00779869108904859</v>
      </c>
      <c r="U112" s="24" t="n">
        <f aca="false">DI_2Phase!BB46</f>
        <v>0.0116980366335729</v>
      </c>
      <c r="V112" s="77" t="str">
        <f aca="false">DI_2Phase!BC46</f>
        <v>https://www.sciencedirect.com/science/article/pii/S0043164815003749</v>
      </c>
    </row>
    <row r="113" customFormat="false" ht="12.8" hidden="false" customHeight="false" outlineLevel="0" collapsed="false">
      <c r="A113" s="15" t="n">
        <v>111</v>
      </c>
      <c r="B113" s="20" t="str">
        <f aca="false">DI_2Phase!AI47</f>
        <v>DI</v>
      </c>
      <c r="C113" s="20" t="str">
        <f aca="false">DI_2Phase!AJ47</f>
        <v>Liquid-Solid</v>
      </c>
      <c r="D113" s="20" t="str">
        <f aca="false">DI_2Phase!AK47</f>
        <v>V-H</v>
      </c>
      <c r="E113" s="48" t="n">
        <f aca="false">DI_2Phase!AL47</f>
        <v>90</v>
      </c>
      <c r="F113" s="78" t="n">
        <f aca="false">DI_2Phase!AM47</f>
        <v>1E-006</v>
      </c>
      <c r="G113" s="24" t="n">
        <f aca="false">DI_2Phase!AN47*0+MAX($G$3:$G$68)</f>
        <v>336</v>
      </c>
      <c r="H113" s="24" t="n">
        <f aca="false">DI_2Phase!AO47</f>
        <v>3</v>
      </c>
      <c r="I113" s="24" t="n">
        <f aca="false">DI_2Phase!AP47</f>
        <v>119.728285652644</v>
      </c>
      <c r="J113" s="24" t="n">
        <f aca="false">DI_2Phase!AQ47</f>
        <v>1920</v>
      </c>
      <c r="K113" s="24" t="n">
        <f aca="false">DI_2Phase!AR47</f>
        <v>0.0049663125</v>
      </c>
      <c r="L113" s="24" t="n">
        <f aca="false">DI_2Phase!AS47</f>
        <v>0.146484375</v>
      </c>
      <c r="M113" s="24" t="n">
        <f aca="false">DI_2Phase!AT47</f>
        <v>45</v>
      </c>
      <c r="N113" s="24" t="n">
        <f aca="false">DI_2Phase!AU47</f>
        <v>0.0234375</v>
      </c>
      <c r="O113" s="24" t="n">
        <f aca="false">DI_2Phase!AV47</f>
        <v>0.4</v>
      </c>
      <c r="P113" s="24" t="n">
        <f aca="false">DI_2Phase!AW47</f>
        <v>132.001836547291</v>
      </c>
      <c r="Q113" s="24" t="n">
        <f aca="false">DI_2Phase!AX47</f>
        <v>0.0822320117474302</v>
      </c>
      <c r="R113" s="24" t="n">
        <f aca="false">DI_2Phase!AY47</f>
        <v>1</v>
      </c>
      <c r="S113" s="24" t="n">
        <f aca="false">DI_2Phase!AZ47</f>
        <v>0.00940854794333271</v>
      </c>
      <c r="T113" s="24" t="n">
        <f aca="false">DI_2Phase!BA47</f>
        <v>0.00752683835466617</v>
      </c>
      <c r="U113" s="24" t="n">
        <f aca="false">DI_2Phase!BB47</f>
        <v>0.0112902575319993</v>
      </c>
      <c r="V113" s="77" t="str">
        <f aca="false">DI_2Phase!BC47</f>
        <v>https://www.sciencedirect.com/science/article/pii/S0043164815003749</v>
      </c>
    </row>
    <row r="114" customFormat="false" ht="12.8" hidden="false" customHeight="false" outlineLevel="0" collapsed="false">
      <c r="A114" s="15" t="n">
        <v>112</v>
      </c>
      <c r="B114" s="20" t="str">
        <f aca="false">DI_2Phase!AI48</f>
        <v>DI</v>
      </c>
      <c r="C114" s="20" t="str">
        <f aca="false">DI_2Phase!AJ48</f>
        <v>Liquid-Solid</v>
      </c>
      <c r="D114" s="20" t="str">
        <f aca="false">DI_2Phase!AK48</f>
        <v>V-H</v>
      </c>
      <c r="E114" s="48" t="n">
        <f aca="false">DI_2Phase!AL48</f>
        <v>90</v>
      </c>
      <c r="F114" s="78" t="n">
        <f aca="false">DI_2Phase!AM48</f>
        <v>1E-006</v>
      </c>
      <c r="G114" s="24" t="n">
        <f aca="false">DI_2Phase!AN48*0+MAX($G$3:$G$68)</f>
        <v>336</v>
      </c>
      <c r="H114" s="24" t="n">
        <f aca="false">DI_2Phase!AO48</f>
        <v>3</v>
      </c>
      <c r="I114" s="24" t="n">
        <f aca="false">DI_2Phase!AP48</f>
        <v>119.728285652644</v>
      </c>
      <c r="J114" s="24" t="n">
        <f aca="false">DI_2Phase!AQ48</f>
        <v>1920</v>
      </c>
      <c r="K114" s="24" t="n">
        <f aca="false">DI_2Phase!AR48</f>
        <v>0.0049663125</v>
      </c>
      <c r="L114" s="24" t="n">
        <f aca="false">DI_2Phase!AS48</f>
        <v>0.146484375</v>
      </c>
      <c r="M114" s="24" t="n">
        <f aca="false">DI_2Phase!AT48</f>
        <v>45</v>
      </c>
      <c r="N114" s="24" t="n">
        <f aca="false">DI_2Phase!AU48</f>
        <v>0.0234375</v>
      </c>
      <c r="O114" s="24" t="n">
        <f aca="false">DI_2Phase!AV48</f>
        <v>0.4</v>
      </c>
      <c r="P114" s="24" t="n">
        <f aca="false">DI_2Phase!AW48</f>
        <v>132.001836547291</v>
      </c>
      <c r="Q114" s="24" t="n">
        <f aca="false">DI_2Phase!AX48</f>
        <v>0.0822320117474302</v>
      </c>
      <c r="R114" s="24" t="n">
        <f aca="false">DI_2Phase!AY48</f>
        <v>1</v>
      </c>
      <c r="S114" s="24" t="n">
        <f aca="false">DI_2Phase!AZ48</f>
        <v>0.0102331707025053</v>
      </c>
      <c r="T114" s="24" t="n">
        <f aca="false">DI_2Phase!BA48</f>
        <v>0.00818653656200424</v>
      </c>
      <c r="U114" s="24" t="n">
        <f aca="false">DI_2Phase!BB48</f>
        <v>0.0122798048430064</v>
      </c>
      <c r="V114" s="77" t="str">
        <f aca="false">DI_2Phase!BC48</f>
        <v>https://www.sciencedirect.com/science/article/pii/S0043164815003749</v>
      </c>
    </row>
    <row r="115" customFormat="false" ht="12.8" hidden="false" customHeight="false" outlineLevel="0" collapsed="false">
      <c r="A115" s="15" t="n">
        <v>113</v>
      </c>
      <c r="B115" s="20" t="str">
        <f aca="false">DI_2Phase!AI49</f>
        <v>DI</v>
      </c>
      <c r="C115" s="20" t="str">
        <f aca="false">DI_2Phase!AJ49</f>
        <v>Liquid-Solid</v>
      </c>
      <c r="D115" s="20" t="str">
        <f aca="false">DI_2Phase!AK49</f>
        <v>V-H</v>
      </c>
      <c r="E115" s="48" t="n">
        <f aca="false">DI_2Phase!AL49</f>
        <v>90</v>
      </c>
      <c r="F115" s="78" t="n">
        <f aca="false">DI_2Phase!AM49</f>
        <v>1E-006</v>
      </c>
      <c r="G115" s="24" t="n">
        <f aca="false">DI_2Phase!AN49*0+MAX($G$3:$G$68)</f>
        <v>336</v>
      </c>
      <c r="H115" s="24" t="n">
        <f aca="false">DI_2Phase!AO49</f>
        <v>5.2</v>
      </c>
      <c r="I115" s="24" t="n">
        <f aca="false">DI_2Phase!AP49</f>
        <v>119.728285652644</v>
      </c>
      <c r="J115" s="24" t="n">
        <f aca="false">DI_2Phase!AQ49</f>
        <v>1920</v>
      </c>
      <c r="K115" s="24" t="n">
        <f aca="false">DI_2Phase!AR49</f>
        <v>0.0049663125</v>
      </c>
      <c r="L115" s="24" t="n">
        <f aca="false">DI_2Phase!AS49</f>
        <v>0.146484375</v>
      </c>
      <c r="M115" s="24" t="n">
        <f aca="false">DI_2Phase!AT49</f>
        <v>45</v>
      </c>
      <c r="N115" s="24" t="n">
        <f aca="false">DI_2Phase!AU49</f>
        <v>0.0234375</v>
      </c>
      <c r="O115" s="24" t="n">
        <f aca="false">DI_2Phase!AV49</f>
        <v>0.4</v>
      </c>
      <c r="P115" s="24" t="n">
        <f aca="false">DI_2Phase!AW49</f>
        <v>132.001836547291</v>
      </c>
      <c r="Q115" s="24" t="n">
        <f aca="false">DI_2Phase!AX49</f>
        <v>0.0340030911901082</v>
      </c>
      <c r="R115" s="24" t="n">
        <f aca="false">DI_2Phase!AY49</f>
        <v>1</v>
      </c>
      <c r="S115" s="24" t="n">
        <f aca="false">DI_2Phase!AZ49</f>
        <v>0.0142666853898783</v>
      </c>
      <c r="T115" s="24" t="n">
        <f aca="false">DI_2Phase!BA49</f>
        <v>0.0114133483119026</v>
      </c>
      <c r="U115" s="24" t="n">
        <f aca="false">DI_2Phase!BB49</f>
        <v>0.017120022467854</v>
      </c>
      <c r="V115" s="77" t="str">
        <f aca="false">DI_2Phase!BC49</f>
        <v>https://www.sciencedirect.com/science/article/pii/S0043164815003749</v>
      </c>
    </row>
    <row r="116" customFormat="false" ht="12.8" hidden="false" customHeight="false" outlineLevel="0" collapsed="false">
      <c r="A116" s="15" t="n">
        <v>114</v>
      </c>
      <c r="B116" s="20" t="str">
        <f aca="false">DI_2Phase!AI50</f>
        <v>DI</v>
      </c>
      <c r="C116" s="20" t="str">
        <f aca="false">DI_2Phase!AJ50</f>
        <v>Liquid-Solid</v>
      </c>
      <c r="D116" s="20" t="str">
        <f aca="false">DI_2Phase!AK50</f>
        <v>V-H</v>
      </c>
      <c r="E116" s="48" t="n">
        <f aca="false">DI_2Phase!AL50</f>
        <v>90</v>
      </c>
      <c r="F116" s="78" t="n">
        <f aca="false">DI_2Phase!AM50</f>
        <v>1E-006</v>
      </c>
      <c r="G116" s="24" t="n">
        <f aca="false">DI_2Phase!AN50*0+MAX($G$3:$G$68)</f>
        <v>336</v>
      </c>
      <c r="H116" s="24" t="n">
        <f aca="false">DI_2Phase!AO50</f>
        <v>5.2</v>
      </c>
      <c r="I116" s="24" t="n">
        <f aca="false">DI_2Phase!AP50</f>
        <v>119.728285652644</v>
      </c>
      <c r="J116" s="24" t="n">
        <f aca="false">DI_2Phase!AQ50</f>
        <v>1920</v>
      </c>
      <c r="K116" s="24" t="n">
        <f aca="false">DI_2Phase!AR50</f>
        <v>0.0049663125</v>
      </c>
      <c r="L116" s="24" t="n">
        <f aca="false">DI_2Phase!AS50</f>
        <v>0.146484375</v>
      </c>
      <c r="M116" s="24" t="n">
        <f aca="false">DI_2Phase!AT50</f>
        <v>45</v>
      </c>
      <c r="N116" s="24" t="n">
        <f aca="false">DI_2Phase!AU50</f>
        <v>0.0234375</v>
      </c>
      <c r="O116" s="24" t="n">
        <f aca="false">DI_2Phase!AV50</f>
        <v>0.4</v>
      </c>
      <c r="P116" s="24" t="n">
        <f aca="false">DI_2Phase!AW50</f>
        <v>132.001836547291</v>
      </c>
      <c r="Q116" s="24" t="n">
        <f aca="false">DI_2Phase!AX50</f>
        <v>0.0340030911901082</v>
      </c>
      <c r="R116" s="24" t="n">
        <f aca="false">DI_2Phase!AY50</f>
        <v>1</v>
      </c>
      <c r="S116" s="24" t="n">
        <f aca="false">DI_2Phase!AZ50</f>
        <v>0.0121547302478914</v>
      </c>
      <c r="T116" s="24" t="n">
        <f aca="false">DI_2Phase!BA50</f>
        <v>0.00972378419831312</v>
      </c>
      <c r="U116" s="24" t="n">
        <f aca="false">DI_2Phase!BB50</f>
        <v>0.0145856762974697</v>
      </c>
      <c r="V116" s="77" t="str">
        <f aca="false">DI_2Phase!BC50</f>
        <v>https://www.sciencedirect.com/science/article/pii/S0043164815003749</v>
      </c>
    </row>
    <row r="117" customFormat="false" ht="12.8" hidden="false" customHeight="false" outlineLevel="0" collapsed="false">
      <c r="A117" s="15" t="n">
        <v>115</v>
      </c>
      <c r="B117" s="20" t="str">
        <f aca="false">DI_2Phase!AI51</f>
        <v>DI</v>
      </c>
      <c r="C117" s="20" t="str">
        <f aca="false">DI_2Phase!AJ51</f>
        <v>Liquid-Solid</v>
      </c>
      <c r="D117" s="20" t="str">
        <f aca="false">DI_2Phase!AK51</f>
        <v>V-H</v>
      </c>
      <c r="E117" s="48" t="n">
        <f aca="false">DI_2Phase!AL51</f>
        <v>90</v>
      </c>
      <c r="F117" s="78" t="n">
        <f aca="false">DI_2Phase!AM51</f>
        <v>1E-006</v>
      </c>
      <c r="G117" s="24" t="n">
        <f aca="false">DI_2Phase!AN51*0+MAX($G$3:$G$68)</f>
        <v>336</v>
      </c>
      <c r="H117" s="24" t="n">
        <f aca="false">DI_2Phase!AO51</f>
        <v>5.2</v>
      </c>
      <c r="I117" s="24" t="n">
        <f aca="false">DI_2Phase!AP51</f>
        <v>119.728285652644</v>
      </c>
      <c r="J117" s="24" t="n">
        <f aca="false">DI_2Phase!AQ51</f>
        <v>1920</v>
      </c>
      <c r="K117" s="24" t="n">
        <f aca="false">DI_2Phase!AR51</f>
        <v>0.0049663125</v>
      </c>
      <c r="L117" s="24" t="n">
        <f aca="false">DI_2Phase!AS51</f>
        <v>0.146484375</v>
      </c>
      <c r="M117" s="24" t="n">
        <f aca="false">DI_2Phase!AT51</f>
        <v>45</v>
      </c>
      <c r="N117" s="24" t="n">
        <f aca="false">DI_2Phase!AU51</f>
        <v>0.0234375</v>
      </c>
      <c r="O117" s="24" t="n">
        <f aca="false">DI_2Phase!AV51</f>
        <v>0.4</v>
      </c>
      <c r="P117" s="24" t="n">
        <f aca="false">DI_2Phase!AW51</f>
        <v>132.001836547291</v>
      </c>
      <c r="Q117" s="24" t="n">
        <f aca="false">DI_2Phase!AX51</f>
        <v>0.0340030911901082</v>
      </c>
      <c r="R117" s="24" t="n">
        <f aca="false">DI_2Phase!AY51</f>
        <v>1</v>
      </c>
      <c r="S117" s="24" t="n">
        <f aca="false">DI_2Phase!AZ51</f>
        <v>0.0119190279090198</v>
      </c>
      <c r="T117" s="24" t="n">
        <f aca="false">DI_2Phase!BA51</f>
        <v>0.00953522232721584</v>
      </c>
      <c r="U117" s="24" t="n">
        <f aca="false">DI_2Phase!BB51</f>
        <v>0.0143028334908238</v>
      </c>
      <c r="V117" s="77" t="str">
        <f aca="false">DI_2Phase!BC51</f>
        <v>https://www.sciencedirect.com/science/article/pii/S0043164815003749</v>
      </c>
    </row>
    <row r="118" customFormat="false" ht="12.8" hidden="false" customHeight="false" outlineLevel="0" collapsed="false">
      <c r="A118" s="15" t="n">
        <v>116</v>
      </c>
      <c r="B118" s="20" t="str">
        <f aca="false">DI_2Phase!AI52</f>
        <v>DI</v>
      </c>
      <c r="C118" s="20" t="str">
        <f aca="false">DI_2Phase!AJ52</f>
        <v>Liquid-Solid</v>
      </c>
      <c r="D118" s="20" t="str">
        <f aca="false">DI_2Phase!AK52</f>
        <v>V-H</v>
      </c>
      <c r="E118" s="48" t="n">
        <f aca="false">DI_2Phase!AL52</f>
        <v>90</v>
      </c>
      <c r="F118" s="78" t="n">
        <f aca="false">DI_2Phase!AM52</f>
        <v>1E-006</v>
      </c>
      <c r="G118" s="24" t="n">
        <f aca="false">DI_2Phase!AN52*0+MAX($G$3:$G$68)</f>
        <v>336</v>
      </c>
      <c r="H118" s="24" t="n">
        <f aca="false">DI_2Phase!AO52</f>
        <v>5.2</v>
      </c>
      <c r="I118" s="24" t="n">
        <f aca="false">DI_2Phase!AP52</f>
        <v>119.728285652644</v>
      </c>
      <c r="J118" s="24" t="n">
        <f aca="false">DI_2Phase!AQ52</f>
        <v>1920</v>
      </c>
      <c r="K118" s="24" t="n">
        <f aca="false">DI_2Phase!AR52</f>
        <v>0.0049663125</v>
      </c>
      <c r="L118" s="24" t="n">
        <f aca="false">DI_2Phase!AS52</f>
        <v>0.146484375</v>
      </c>
      <c r="M118" s="24" t="n">
        <f aca="false">DI_2Phase!AT52</f>
        <v>45</v>
      </c>
      <c r="N118" s="24" t="n">
        <f aca="false">DI_2Phase!AU52</f>
        <v>0.0234375</v>
      </c>
      <c r="O118" s="24" t="n">
        <f aca="false">DI_2Phase!AV52</f>
        <v>0.4</v>
      </c>
      <c r="P118" s="24" t="n">
        <f aca="false">DI_2Phase!AW52</f>
        <v>132.001836547291</v>
      </c>
      <c r="Q118" s="24" t="n">
        <f aca="false">DI_2Phase!AX52</f>
        <v>0.0340030911901082</v>
      </c>
      <c r="R118" s="24" t="n">
        <f aca="false">DI_2Phase!AY52</f>
        <v>1</v>
      </c>
      <c r="S118" s="24" t="n">
        <f aca="false">DI_2Phase!AZ52</f>
        <v>0.0118412489910108</v>
      </c>
      <c r="T118" s="24" t="n">
        <f aca="false">DI_2Phase!BA52</f>
        <v>0.00947299919280864</v>
      </c>
      <c r="U118" s="24" t="n">
        <f aca="false">DI_2Phase!BB52</f>
        <v>0.014209498789213</v>
      </c>
      <c r="V118" s="77" t="str">
        <f aca="false">DI_2Phase!BC52</f>
        <v>https://www.sciencedirect.com/science/article/pii/S0043164815003749</v>
      </c>
    </row>
    <row r="119" customFormat="false" ht="12.8" hidden="false" customHeight="false" outlineLevel="0" collapsed="false">
      <c r="A119" s="15" t="n">
        <v>117</v>
      </c>
      <c r="B119" s="20" t="str">
        <f aca="false">DI_2Phase!AI53</f>
        <v>DI</v>
      </c>
      <c r="C119" s="20" t="str">
        <f aca="false">DI_2Phase!AJ53</f>
        <v>Liquid-Solid</v>
      </c>
      <c r="D119" s="20" t="str">
        <f aca="false">DI_2Phase!AK53</f>
        <v>V-H</v>
      </c>
      <c r="E119" s="48" t="n">
        <f aca="false">DI_2Phase!AL53</f>
        <v>90</v>
      </c>
      <c r="F119" s="78" t="n">
        <f aca="false">DI_2Phase!AM53</f>
        <v>1E-006</v>
      </c>
      <c r="G119" s="24" t="n">
        <f aca="false">DI_2Phase!AN53*0+MAX($G$3:$G$68)</f>
        <v>336</v>
      </c>
      <c r="H119" s="24" t="n">
        <f aca="false">DI_2Phase!AO53</f>
        <v>5.2</v>
      </c>
      <c r="I119" s="24" t="n">
        <f aca="false">DI_2Phase!AP53</f>
        <v>119.728285652644</v>
      </c>
      <c r="J119" s="24" t="n">
        <f aca="false">DI_2Phase!AQ53</f>
        <v>1920</v>
      </c>
      <c r="K119" s="24" t="n">
        <f aca="false">DI_2Phase!AR53</f>
        <v>0.0049663125</v>
      </c>
      <c r="L119" s="24" t="n">
        <f aca="false">DI_2Phase!AS53</f>
        <v>0.146484375</v>
      </c>
      <c r="M119" s="24" t="n">
        <f aca="false">DI_2Phase!AT53</f>
        <v>45</v>
      </c>
      <c r="N119" s="24" t="n">
        <f aca="false">DI_2Phase!AU53</f>
        <v>0.0234375</v>
      </c>
      <c r="O119" s="24" t="n">
        <f aca="false">DI_2Phase!AV53</f>
        <v>0.4</v>
      </c>
      <c r="P119" s="24" t="n">
        <f aca="false">DI_2Phase!AW53</f>
        <v>132.001836547291</v>
      </c>
      <c r="Q119" s="24" t="n">
        <f aca="false">DI_2Phase!AX53</f>
        <v>0.0340030911901082</v>
      </c>
      <c r="R119" s="24" t="n">
        <f aca="false">DI_2Phase!AY53</f>
        <v>1</v>
      </c>
      <c r="S119" s="24" t="n">
        <f aca="false">DI_2Phase!AZ53</f>
        <v>0.0128904256855416</v>
      </c>
      <c r="T119" s="24" t="n">
        <f aca="false">DI_2Phase!BA53</f>
        <v>0.0103123405484333</v>
      </c>
      <c r="U119" s="24" t="n">
        <f aca="false">DI_2Phase!BB53</f>
        <v>0.0154685108226499</v>
      </c>
      <c r="V119" s="77" t="str">
        <f aca="false">DI_2Phase!BC53</f>
        <v>https://www.sciencedirect.com/science/article/pii/S0043164815003749</v>
      </c>
    </row>
    <row r="120" customFormat="false" ht="12.8" hidden="false" customHeight="false" outlineLevel="0" collapsed="false">
      <c r="A120" s="15" t="n">
        <v>118</v>
      </c>
      <c r="B120" s="20" t="str">
        <f aca="false">DI_2Phase!AI54</f>
        <v>DI</v>
      </c>
      <c r="C120" s="20" t="str">
        <f aca="false">DI_2Phase!AJ54</f>
        <v>Liquid-Solid</v>
      </c>
      <c r="D120" s="20" t="str">
        <f aca="false">DI_2Phase!AK54</f>
        <v>V-H</v>
      </c>
      <c r="E120" s="48" t="n">
        <f aca="false">DI_2Phase!AL54</f>
        <v>90</v>
      </c>
      <c r="F120" s="78" t="n">
        <f aca="false">DI_2Phase!AM54</f>
        <v>1E-006</v>
      </c>
      <c r="G120" s="24" t="n">
        <f aca="false">DI_2Phase!AN54*0+MAX($G$3:$G$68)</f>
        <v>336</v>
      </c>
      <c r="H120" s="24" t="n">
        <f aca="false">DI_2Phase!AO54</f>
        <v>5.2</v>
      </c>
      <c r="I120" s="24" t="n">
        <f aca="false">DI_2Phase!AP54</f>
        <v>119.728285652644</v>
      </c>
      <c r="J120" s="24" t="n">
        <f aca="false">DI_2Phase!AQ54</f>
        <v>1920</v>
      </c>
      <c r="K120" s="24" t="n">
        <f aca="false">DI_2Phase!AR54</f>
        <v>0.0049663125</v>
      </c>
      <c r="L120" s="24" t="n">
        <f aca="false">DI_2Phase!AS54</f>
        <v>0.146484375</v>
      </c>
      <c r="M120" s="24" t="n">
        <f aca="false">DI_2Phase!AT54</f>
        <v>45</v>
      </c>
      <c r="N120" s="24" t="n">
        <f aca="false">DI_2Phase!AU54</f>
        <v>0.0234375</v>
      </c>
      <c r="O120" s="24" t="n">
        <f aca="false">DI_2Phase!AV54</f>
        <v>0.4</v>
      </c>
      <c r="P120" s="24" t="n">
        <f aca="false">DI_2Phase!AW54</f>
        <v>132.001836547291</v>
      </c>
      <c r="Q120" s="24" t="n">
        <f aca="false">DI_2Phase!AX54</f>
        <v>0.0340030911901082</v>
      </c>
      <c r="R120" s="24" t="n">
        <f aca="false">DI_2Phase!AY54</f>
        <v>1</v>
      </c>
      <c r="S120" s="24" t="n">
        <f aca="false">DI_2Phase!AZ54</f>
        <v>0.013120284125176</v>
      </c>
      <c r="T120" s="24" t="n">
        <f aca="false">DI_2Phase!BA54</f>
        <v>0.0104962273001408</v>
      </c>
      <c r="U120" s="24" t="n">
        <f aca="false">DI_2Phase!BB54</f>
        <v>0.0157443409502112</v>
      </c>
      <c r="V120" s="77" t="str">
        <f aca="false">DI_2Phase!BC54</f>
        <v>https://www.sciencedirect.com/science/article/pii/S0043164815003749</v>
      </c>
    </row>
    <row r="121" customFormat="false" ht="12.8" hidden="false" customHeight="false" outlineLevel="0" collapsed="false">
      <c r="A121" s="15" t="n">
        <v>119</v>
      </c>
      <c r="B121" s="20" t="str">
        <f aca="false">DI_2Phase!AI55</f>
        <v>DI</v>
      </c>
      <c r="C121" s="20" t="str">
        <f aca="false">DI_2Phase!AJ55</f>
        <v>Liquid-Solid</v>
      </c>
      <c r="D121" s="20" t="str">
        <f aca="false">DI_2Phase!AK55</f>
        <v>V-H</v>
      </c>
      <c r="E121" s="48" t="n">
        <f aca="false">DI_2Phase!AL55</f>
        <v>90</v>
      </c>
      <c r="F121" s="78" t="n">
        <f aca="false">DI_2Phase!AM55</f>
        <v>1E-006</v>
      </c>
      <c r="G121" s="24" t="n">
        <f aca="false">DI_2Phase!AN55*0+MAX($G$3:$G$68)</f>
        <v>336</v>
      </c>
      <c r="H121" s="24" t="n">
        <f aca="false">DI_2Phase!AO55</f>
        <v>5.2</v>
      </c>
      <c r="I121" s="24" t="n">
        <f aca="false">DI_2Phase!AP55</f>
        <v>119.728285652644</v>
      </c>
      <c r="J121" s="24" t="n">
        <f aca="false">DI_2Phase!AQ55</f>
        <v>1920</v>
      </c>
      <c r="K121" s="24" t="n">
        <f aca="false">DI_2Phase!AR55</f>
        <v>0.0049663125</v>
      </c>
      <c r="L121" s="24" t="n">
        <f aca="false">DI_2Phase!AS55</f>
        <v>0.146484375</v>
      </c>
      <c r="M121" s="24" t="n">
        <f aca="false">DI_2Phase!AT55</f>
        <v>45</v>
      </c>
      <c r="N121" s="24" t="n">
        <f aca="false">DI_2Phase!AU55</f>
        <v>0.0234375</v>
      </c>
      <c r="O121" s="24" t="n">
        <f aca="false">DI_2Phase!AV55</f>
        <v>0.4</v>
      </c>
      <c r="P121" s="24" t="n">
        <f aca="false">DI_2Phase!AW55</f>
        <v>132.001836547291</v>
      </c>
      <c r="Q121" s="24" t="n">
        <f aca="false">DI_2Phase!AX55</f>
        <v>0.0340030911901082</v>
      </c>
      <c r="R121" s="24" t="n">
        <f aca="false">DI_2Phase!AY55</f>
        <v>1</v>
      </c>
      <c r="S121" s="24" t="n">
        <f aca="false">DI_2Phase!AZ55</f>
        <v>0.0126784273759456</v>
      </c>
      <c r="T121" s="24" t="n">
        <f aca="false">DI_2Phase!BA55</f>
        <v>0.0101427419007565</v>
      </c>
      <c r="U121" s="24" t="n">
        <f aca="false">DI_2Phase!BB55</f>
        <v>0.0152141128511347</v>
      </c>
      <c r="V121" s="77" t="str">
        <f aca="false">DI_2Phase!BC55</f>
        <v>https://www.sciencedirect.com/science/article/pii/S0043164815003749</v>
      </c>
    </row>
    <row r="122" customFormat="false" ht="12.8" hidden="false" customHeight="false" outlineLevel="0" collapsed="false">
      <c r="A122" s="15" t="n">
        <v>120</v>
      </c>
      <c r="B122" s="20" t="str">
        <f aca="false">DI_2Phase!AI56</f>
        <v>DI</v>
      </c>
      <c r="C122" s="20" t="str">
        <f aca="false">DI_2Phase!AJ56</f>
        <v>Liquid-Solid</v>
      </c>
      <c r="D122" s="20" t="str">
        <f aca="false">DI_2Phase!AK56</f>
        <v>V-H</v>
      </c>
      <c r="E122" s="48" t="n">
        <f aca="false">DI_2Phase!AL56</f>
        <v>90</v>
      </c>
      <c r="F122" s="78" t="n">
        <f aca="false">DI_2Phase!AM56</f>
        <v>1E-006</v>
      </c>
      <c r="G122" s="24" t="n">
        <f aca="false">DI_2Phase!AN56*0+MAX($G$3:$G$68)</f>
        <v>336</v>
      </c>
      <c r="H122" s="24" t="n">
        <f aca="false">DI_2Phase!AO56</f>
        <v>5.2</v>
      </c>
      <c r="I122" s="24" t="n">
        <f aca="false">DI_2Phase!AP56</f>
        <v>119.728285652644</v>
      </c>
      <c r="J122" s="24" t="n">
        <f aca="false">DI_2Phase!AQ56</f>
        <v>1920</v>
      </c>
      <c r="K122" s="24" t="n">
        <f aca="false">DI_2Phase!AR56</f>
        <v>0.0049663125</v>
      </c>
      <c r="L122" s="24" t="n">
        <f aca="false">DI_2Phase!AS56</f>
        <v>0.146484375</v>
      </c>
      <c r="M122" s="24" t="n">
        <f aca="false">DI_2Phase!AT56</f>
        <v>45</v>
      </c>
      <c r="N122" s="24" t="n">
        <f aca="false">DI_2Phase!AU56</f>
        <v>0.0234375</v>
      </c>
      <c r="O122" s="24" t="n">
        <f aca="false">DI_2Phase!AV56</f>
        <v>0.4</v>
      </c>
      <c r="P122" s="24" t="n">
        <f aca="false">DI_2Phase!AW56</f>
        <v>132.001836547291</v>
      </c>
      <c r="Q122" s="24" t="n">
        <f aca="false">DI_2Phase!AX56</f>
        <v>0.0340030911901082</v>
      </c>
      <c r="R122" s="24" t="n">
        <f aca="false">DI_2Phase!AY56</f>
        <v>1</v>
      </c>
      <c r="S122" s="24" t="n">
        <f aca="false">DI_2Phase!AZ56</f>
        <v>0.0129434456016455</v>
      </c>
      <c r="T122" s="24" t="n">
        <f aca="false">DI_2Phase!BA56</f>
        <v>0.0103547564813164</v>
      </c>
      <c r="U122" s="24" t="n">
        <f aca="false">DI_2Phase!BB56</f>
        <v>0.0155321347219746</v>
      </c>
      <c r="V122" s="77" t="str">
        <f aca="false">DI_2Phase!BC56</f>
        <v>https://www.sciencedirect.com/science/article/pii/S0043164815003749</v>
      </c>
    </row>
    <row r="123" customFormat="false" ht="12.8" hidden="false" customHeight="false" outlineLevel="0" collapsed="false">
      <c r="A123" s="15" t="n">
        <v>121</v>
      </c>
      <c r="B123" s="20" t="str">
        <f aca="false">DI_2Phase!AI57</f>
        <v>DI</v>
      </c>
      <c r="C123" s="20" t="str">
        <f aca="false">DI_2Phase!AJ57</f>
        <v>Liquid-Solid</v>
      </c>
      <c r="D123" s="20" t="str">
        <f aca="false">DI_2Phase!AK57</f>
        <v>V-H</v>
      </c>
      <c r="E123" s="48" t="n">
        <f aca="false">DI_2Phase!AL57</f>
        <v>90</v>
      </c>
      <c r="F123" s="78" t="n">
        <f aca="false">DI_2Phase!AM57</f>
        <v>1E-006</v>
      </c>
      <c r="G123" s="24" t="n">
        <f aca="false">DI_2Phase!AN57*0+MAX($G$3:$G$68)</f>
        <v>336</v>
      </c>
      <c r="H123" s="24" t="n">
        <f aca="false">DI_2Phase!AO57</f>
        <v>5.2</v>
      </c>
      <c r="I123" s="24" t="n">
        <f aca="false">DI_2Phase!AP57</f>
        <v>119.728285652644</v>
      </c>
      <c r="J123" s="24" t="n">
        <f aca="false">DI_2Phase!AQ57</f>
        <v>1920</v>
      </c>
      <c r="K123" s="24" t="n">
        <f aca="false">DI_2Phase!AR57</f>
        <v>0.0049663125</v>
      </c>
      <c r="L123" s="24" t="n">
        <f aca="false">DI_2Phase!AS57</f>
        <v>0.146484375</v>
      </c>
      <c r="M123" s="24" t="n">
        <f aca="false">DI_2Phase!AT57</f>
        <v>45</v>
      </c>
      <c r="N123" s="24" t="n">
        <f aca="false">DI_2Phase!AU57</f>
        <v>0.0234375</v>
      </c>
      <c r="O123" s="24" t="n">
        <f aca="false">DI_2Phase!AV57</f>
        <v>0.4</v>
      </c>
      <c r="P123" s="24" t="n">
        <f aca="false">DI_2Phase!AW57</f>
        <v>132.001836547291</v>
      </c>
      <c r="Q123" s="24" t="n">
        <f aca="false">DI_2Phase!AX57</f>
        <v>0.0605035700864337</v>
      </c>
      <c r="R123" s="24" t="n">
        <f aca="false">DI_2Phase!AY57</f>
        <v>1</v>
      </c>
      <c r="S123" s="24" t="n">
        <f aca="false">DI_2Phase!AZ57</f>
        <v>0.0128556131034341</v>
      </c>
      <c r="T123" s="24" t="n">
        <f aca="false">DI_2Phase!BA57</f>
        <v>0.0102844904827473</v>
      </c>
      <c r="U123" s="24" t="n">
        <f aca="false">DI_2Phase!BB57</f>
        <v>0.0154267357241209</v>
      </c>
      <c r="V123" s="77" t="str">
        <f aca="false">DI_2Phase!BC57</f>
        <v>https://www.sciencedirect.com/science/article/pii/S0043164815003749</v>
      </c>
    </row>
    <row r="124" customFormat="false" ht="12.8" hidden="false" customHeight="false" outlineLevel="0" collapsed="false">
      <c r="A124" s="15" t="n">
        <v>122</v>
      </c>
      <c r="B124" s="20" t="str">
        <f aca="false">DI_2Phase!AI58</f>
        <v>DI</v>
      </c>
      <c r="C124" s="20" t="str">
        <f aca="false">DI_2Phase!AJ58</f>
        <v>Liquid-Solid</v>
      </c>
      <c r="D124" s="20" t="str">
        <f aca="false">DI_2Phase!AK58</f>
        <v>V-H</v>
      </c>
      <c r="E124" s="48" t="n">
        <f aca="false">DI_2Phase!AL58</f>
        <v>90</v>
      </c>
      <c r="F124" s="78" t="n">
        <f aca="false">DI_2Phase!AM58</f>
        <v>1E-006</v>
      </c>
      <c r="G124" s="24" t="n">
        <f aca="false">DI_2Phase!AN58*0+MAX($G$3:$G$68)</f>
        <v>336</v>
      </c>
      <c r="H124" s="24" t="n">
        <f aca="false">DI_2Phase!AO58</f>
        <v>5.2</v>
      </c>
      <c r="I124" s="24" t="n">
        <f aca="false">DI_2Phase!AP58</f>
        <v>119.728285652644</v>
      </c>
      <c r="J124" s="24" t="n">
        <f aca="false">DI_2Phase!AQ58</f>
        <v>1920</v>
      </c>
      <c r="K124" s="24" t="n">
        <f aca="false">DI_2Phase!AR58</f>
        <v>0.0049663125</v>
      </c>
      <c r="L124" s="24" t="n">
        <f aca="false">DI_2Phase!AS58</f>
        <v>0.146484375</v>
      </c>
      <c r="M124" s="24" t="n">
        <f aca="false">DI_2Phase!AT58</f>
        <v>45</v>
      </c>
      <c r="N124" s="24" t="n">
        <f aca="false">DI_2Phase!AU58</f>
        <v>0.0234375</v>
      </c>
      <c r="O124" s="24" t="n">
        <f aca="false">DI_2Phase!AV58</f>
        <v>0.4</v>
      </c>
      <c r="P124" s="24" t="n">
        <f aca="false">DI_2Phase!AW58</f>
        <v>132.001836547291</v>
      </c>
      <c r="Q124" s="24" t="n">
        <f aca="false">DI_2Phase!AX58</f>
        <v>0.0605035700864337</v>
      </c>
      <c r="R124" s="24" t="n">
        <f aca="false">DI_2Phase!AY58</f>
        <v>1</v>
      </c>
      <c r="S124" s="24" t="n">
        <f aca="false">DI_2Phase!AZ58</f>
        <v>0.0101700626546624</v>
      </c>
      <c r="T124" s="24" t="n">
        <f aca="false">DI_2Phase!BA58</f>
        <v>0.00813605012372992</v>
      </c>
      <c r="U124" s="24" t="n">
        <f aca="false">DI_2Phase!BB58</f>
        <v>0.0122040751855949</v>
      </c>
      <c r="V124" s="77" t="str">
        <f aca="false">DI_2Phase!BC58</f>
        <v>https://www.sciencedirect.com/science/article/pii/S0043164815003749</v>
      </c>
    </row>
    <row r="125" customFormat="false" ht="12.8" hidden="false" customHeight="false" outlineLevel="0" collapsed="false">
      <c r="A125" s="15" t="n">
        <v>123</v>
      </c>
      <c r="B125" s="20" t="str">
        <f aca="false">DI_2Phase!AI59</f>
        <v>DI</v>
      </c>
      <c r="C125" s="20" t="str">
        <f aca="false">DI_2Phase!AJ59</f>
        <v>Liquid-Solid</v>
      </c>
      <c r="D125" s="20" t="str">
        <f aca="false">DI_2Phase!AK59</f>
        <v>V-H</v>
      </c>
      <c r="E125" s="48" t="n">
        <f aca="false">DI_2Phase!AL59</f>
        <v>90</v>
      </c>
      <c r="F125" s="78" t="n">
        <f aca="false">DI_2Phase!AM59</f>
        <v>1E-006</v>
      </c>
      <c r="G125" s="24" t="n">
        <f aca="false">DI_2Phase!AN59*0+MAX($G$3:$G$68)</f>
        <v>336</v>
      </c>
      <c r="H125" s="24" t="n">
        <f aca="false">DI_2Phase!AO59</f>
        <v>5.2</v>
      </c>
      <c r="I125" s="24" t="n">
        <f aca="false">DI_2Phase!AP59</f>
        <v>119.728285652644</v>
      </c>
      <c r="J125" s="24" t="n">
        <f aca="false">DI_2Phase!AQ59</f>
        <v>1920</v>
      </c>
      <c r="K125" s="24" t="n">
        <f aca="false">DI_2Phase!AR59</f>
        <v>0.0049663125</v>
      </c>
      <c r="L125" s="24" t="n">
        <f aca="false">DI_2Phase!AS59</f>
        <v>0.146484375</v>
      </c>
      <c r="M125" s="24" t="n">
        <f aca="false">DI_2Phase!AT59</f>
        <v>45</v>
      </c>
      <c r="N125" s="24" t="n">
        <f aca="false">DI_2Phase!AU59</f>
        <v>0.0234375</v>
      </c>
      <c r="O125" s="24" t="n">
        <f aca="false">DI_2Phase!AV59</f>
        <v>0.4</v>
      </c>
      <c r="P125" s="24" t="n">
        <f aca="false">DI_2Phase!AW59</f>
        <v>132.001836547291</v>
      </c>
      <c r="Q125" s="24" t="n">
        <f aca="false">DI_2Phase!AX59</f>
        <v>0.0605035700864337</v>
      </c>
      <c r="R125" s="24" t="n">
        <f aca="false">DI_2Phase!AY59</f>
        <v>1</v>
      </c>
      <c r="S125" s="24" t="n">
        <f aca="false">DI_2Phase!AZ59</f>
        <v>0.00805639850787454</v>
      </c>
      <c r="T125" s="24" t="n">
        <f aca="false">DI_2Phase!BA59</f>
        <v>0.00644511880629963</v>
      </c>
      <c r="U125" s="24" t="n">
        <f aca="false">DI_2Phase!BB59</f>
        <v>0.00966767820944945</v>
      </c>
      <c r="V125" s="77" t="str">
        <f aca="false">DI_2Phase!BC59</f>
        <v>https://www.sciencedirect.com/science/article/pii/S0043164815003749</v>
      </c>
    </row>
    <row r="126" customFormat="false" ht="12.8" hidden="false" customHeight="false" outlineLevel="0" collapsed="false">
      <c r="A126" s="15" t="n">
        <v>124</v>
      </c>
      <c r="B126" s="20" t="str">
        <f aca="false">DI_2Phase!AI60</f>
        <v>DI</v>
      </c>
      <c r="C126" s="20" t="str">
        <f aca="false">DI_2Phase!AJ60</f>
        <v>Liquid-Solid</v>
      </c>
      <c r="D126" s="20" t="str">
        <f aca="false">DI_2Phase!AK60</f>
        <v>V-H</v>
      </c>
      <c r="E126" s="48" t="n">
        <f aca="false">DI_2Phase!AL60</f>
        <v>90</v>
      </c>
      <c r="F126" s="78" t="n">
        <f aca="false">DI_2Phase!AM60</f>
        <v>1E-006</v>
      </c>
      <c r="G126" s="24" t="n">
        <f aca="false">DI_2Phase!AN60*0+MAX($G$3:$G$68)</f>
        <v>336</v>
      </c>
      <c r="H126" s="24" t="n">
        <f aca="false">DI_2Phase!AO60</f>
        <v>5.2</v>
      </c>
      <c r="I126" s="24" t="n">
        <f aca="false">DI_2Phase!AP60</f>
        <v>119.728285652644</v>
      </c>
      <c r="J126" s="24" t="n">
        <f aca="false">DI_2Phase!AQ60</f>
        <v>1920</v>
      </c>
      <c r="K126" s="24" t="n">
        <f aca="false">DI_2Phase!AR60</f>
        <v>0.0049663125</v>
      </c>
      <c r="L126" s="24" t="n">
        <f aca="false">DI_2Phase!AS60</f>
        <v>0.146484375</v>
      </c>
      <c r="M126" s="24" t="n">
        <f aca="false">DI_2Phase!AT60</f>
        <v>45</v>
      </c>
      <c r="N126" s="24" t="n">
        <f aca="false">DI_2Phase!AU60</f>
        <v>0.0234375</v>
      </c>
      <c r="O126" s="24" t="n">
        <f aca="false">DI_2Phase!AV60</f>
        <v>0.4</v>
      </c>
      <c r="P126" s="24" t="n">
        <f aca="false">DI_2Phase!AW60</f>
        <v>132.001836547291</v>
      </c>
      <c r="Q126" s="24" t="n">
        <f aca="false">DI_2Phase!AX60</f>
        <v>0.0605035700864337</v>
      </c>
      <c r="R126" s="24" t="n">
        <f aca="false">DI_2Phase!AY60</f>
        <v>1</v>
      </c>
      <c r="S126" s="24" t="n">
        <f aca="false">DI_2Phase!AZ60</f>
        <v>0.00692574577862145</v>
      </c>
      <c r="T126" s="24" t="n">
        <f aca="false">DI_2Phase!BA60</f>
        <v>0.00554059662289716</v>
      </c>
      <c r="U126" s="24" t="n">
        <f aca="false">DI_2Phase!BB60</f>
        <v>0.00831089493434574</v>
      </c>
      <c r="V126" s="77" t="str">
        <f aca="false">DI_2Phase!BC60</f>
        <v>https://www.sciencedirect.com/science/article/pii/S0043164815003749</v>
      </c>
    </row>
    <row r="127" customFormat="false" ht="12.8" hidden="false" customHeight="false" outlineLevel="0" collapsed="false">
      <c r="A127" s="15" t="n">
        <v>125</v>
      </c>
      <c r="B127" s="20" t="str">
        <f aca="false">DI_2Phase!AI61</f>
        <v>DI</v>
      </c>
      <c r="C127" s="20" t="str">
        <f aca="false">DI_2Phase!AJ61</f>
        <v>Liquid-Solid</v>
      </c>
      <c r="D127" s="20" t="str">
        <f aca="false">DI_2Phase!AK61</f>
        <v>V-H</v>
      </c>
      <c r="E127" s="48" t="n">
        <f aca="false">DI_2Phase!AL61</f>
        <v>90</v>
      </c>
      <c r="F127" s="78" t="n">
        <f aca="false">DI_2Phase!AM61</f>
        <v>1E-006</v>
      </c>
      <c r="G127" s="24" t="n">
        <f aca="false">DI_2Phase!AN61*0+MAX($G$3:$G$68)</f>
        <v>336</v>
      </c>
      <c r="H127" s="24" t="n">
        <f aca="false">DI_2Phase!AO61</f>
        <v>5.2</v>
      </c>
      <c r="I127" s="24" t="n">
        <f aca="false">DI_2Phase!AP61</f>
        <v>119.728285652644</v>
      </c>
      <c r="J127" s="24" t="n">
        <f aca="false">DI_2Phase!AQ61</f>
        <v>1920</v>
      </c>
      <c r="K127" s="24" t="n">
        <f aca="false">DI_2Phase!AR61</f>
        <v>0.0049663125</v>
      </c>
      <c r="L127" s="24" t="n">
        <f aca="false">DI_2Phase!AS61</f>
        <v>0.146484375</v>
      </c>
      <c r="M127" s="24" t="n">
        <f aca="false">DI_2Phase!AT61</f>
        <v>45</v>
      </c>
      <c r="N127" s="24" t="n">
        <f aca="false">DI_2Phase!AU61</f>
        <v>0.0234375</v>
      </c>
      <c r="O127" s="24" t="n">
        <f aca="false">DI_2Phase!AV61</f>
        <v>0.4</v>
      </c>
      <c r="P127" s="24" t="n">
        <f aca="false">DI_2Phase!AW61</f>
        <v>132.001836547291</v>
      </c>
      <c r="Q127" s="24" t="n">
        <f aca="false">DI_2Phase!AX61</f>
        <v>0.0605035700864337</v>
      </c>
      <c r="R127" s="24" t="n">
        <f aca="false">DI_2Phase!AY61</f>
        <v>1</v>
      </c>
      <c r="S127" s="24" t="n">
        <f aca="false">DI_2Phase!AZ61</f>
        <v>0.0071336783958941</v>
      </c>
      <c r="T127" s="24" t="n">
        <f aca="false">DI_2Phase!BA61</f>
        <v>0.00570694271671528</v>
      </c>
      <c r="U127" s="24" t="n">
        <f aca="false">DI_2Phase!BB61</f>
        <v>0.00856041407507292</v>
      </c>
      <c r="V127" s="77" t="str">
        <f aca="false">DI_2Phase!BC61</f>
        <v>https://www.sciencedirect.com/science/article/pii/S0043164815003749</v>
      </c>
    </row>
    <row r="128" customFormat="false" ht="12.8" hidden="false" customHeight="false" outlineLevel="0" collapsed="false">
      <c r="A128" s="15" t="n">
        <v>126</v>
      </c>
      <c r="B128" s="20" t="str">
        <f aca="false">DI_2Phase!AI62</f>
        <v>DI</v>
      </c>
      <c r="C128" s="20" t="str">
        <f aca="false">DI_2Phase!AJ62</f>
        <v>Liquid-Solid</v>
      </c>
      <c r="D128" s="20" t="str">
        <f aca="false">DI_2Phase!AK62</f>
        <v>V-H</v>
      </c>
      <c r="E128" s="48" t="n">
        <f aca="false">DI_2Phase!AL62</f>
        <v>90</v>
      </c>
      <c r="F128" s="78" t="n">
        <f aca="false">DI_2Phase!AM62</f>
        <v>1E-006</v>
      </c>
      <c r="G128" s="24" t="n">
        <f aca="false">DI_2Phase!AN62*0+MAX($G$3:$G$68)</f>
        <v>336</v>
      </c>
      <c r="H128" s="24" t="n">
        <f aca="false">DI_2Phase!AO62</f>
        <v>5.2</v>
      </c>
      <c r="I128" s="24" t="n">
        <f aca="false">DI_2Phase!AP62</f>
        <v>119.728285652644</v>
      </c>
      <c r="J128" s="24" t="n">
        <f aca="false">DI_2Phase!AQ62</f>
        <v>1920</v>
      </c>
      <c r="K128" s="24" t="n">
        <f aca="false">DI_2Phase!AR62</f>
        <v>0.0049663125</v>
      </c>
      <c r="L128" s="24" t="n">
        <f aca="false">DI_2Phase!AS62</f>
        <v>0.146484375</v>
      </c>
      <c r="M128" s="24" t="n">
        <f aca="false">DI_2Phase!AT62</f>
        <v>45</v>
      </c>
      <c r="N128" s="24" t="n">
        <f aca="false">DI_2Phase!AU62</f>
        <v>0.0234375</v>
      </c>
      <c r="O128" s="24" t="n">
        <f aca="false">DI_2Phase!AV62</f>
        <v>0.4</v>
      </c>
      <c r="P128" s="24" t="n">
        <f aca="false">DI_2Phase!AW62</f>
        <v>132.001836547291</v>
      </c>
      <c r="Q128" s="24" t="n">
        <f aca="false">DI_2Phase!AX62</f>
        <v>0.0605035700864337</v>
      </c>
      <c r="R128" s="24" t="n">
        <f aca="false">DI_2Phase!AY62</f>
        <v>1</v>
      </c>
      <c r="S128" s="24" t="n">
        <f aca="false">DI_2Phase!AZ62</f>
        <v>0.00748878009279593</v>
      </c>
      <c r="T128" s="24" t="n">
        <f aca="false">DI_2Phase!BA62</f>
        <v>0.00599102407423674</v>
      </c>
      <c r="U128" s="24" t="n">
        <f aca="false">DI_2Phase!BB62</f>
        <v>0.00898653611135512</v>
      </c>
      <c r="V128" s="77" t="str">
        <f aca="false">DI_2Phase!BC62</f>
        <v>https://www.sciencedirect.com/science/article/pii/S0043164815003749</v>
      </c>
    </row>
    <row r="129" customFormat="false" ht="12.8" hidden="false" customHeight="false" outlineLevel="0" collapsed="false">
      <c r="A129" s="15" t="n">
        <v>127</v>
      </c>
      <c r="B129" s="20" t="str">
        <f aca="false">DI_2Phase!AI63</f>
        <v>DI</v>
      </c>
      <c r="C129" s="20" t="str">
        <f aca="false">DI_2Phase!AJ63</f>
        <v>Liquid-Solid</v>
      </c>
      <c r="D129" s="20" t="str">
        <f aca="false">DI_2Phase!AK63</f>
        <v>V-H</v>
      </c>
      <c r="E129" s="48" t="n">
        <f aca="false">DI_2Phase!AL63</f>
        <v>90</v>
      </c>
      <c r="F129" s="78" t="n">
        <f aca="false">DI_2Phase!AM63</f>
        <v>1E-006</v>
      </c>
      <c r="G129" s="24" t="n">
        <f aca="false">DI_2Phase!AN63*0+MAX($G$3:$G$68)</f>
        <v>336</v>
      </c>
      <c r="H129" s="24" t="n">
        <f aca="false">DI_2Phase!AO63</f>
        <v>5.2</v>
      </c>
      <c r="I129" s="24" t="n">
        <f aca="false">DI_2Phase!AP63</f>
        <v>119.728285652644</v>
      </c>
      <c r="J129" s="24" t="n">
        <f aca="false">DI_2Phase!AQ63</f>
        <v>1920</v>
      </c>
      <c r="K129" s="24" t="n">
        <f aca="false">DI_2Phase!AR63</f>
        <v>0.0049663125</v>
      </c>
      <c r="L129" s="24" t="n">
        <f aca="false">DI_2Phase!AS63</f>
        <v>0.146484375</v>
      </c>
      <c r="M129" s="24" t="n">
        <f aca="false">DI_2Phase!AT63</f>
        <v>45</v>
      </c>
      <c r="N129" s="24" t="n">
        <f aca="false">DI_2Phase!AU63</f>
        <v>0.0234375</v>
      </c>
      <c r="O129" s="24" t="n">
        <f aca="false">DI_2Phase!AV63</f>
        <v>0.4</v>
      </c>
      <c r="P129" s="24" t="n">
        <f aca="false">DI_2Phase!AW63</f>
        <v>132.001836547291</v>
      </c>
      <c r="Q129" s="24" t="n">
        <f aca="false">DI_2Phase!AX63</f>
        <v>0.0605035700864337</v>
      </c>
      <c r="R129" s="24" t="n">
        <f aca="false">DI_2Phase!AY63</f>
        <v>1</v>
      </c>
      <c r="S129" s="24" t="n">
        <f aca="false">DI_2Phase!AZ63</f>
        <v>0.0076124392695158</v>
      </c>
      <c r="T129" s="24" t="n">
        <f aca="false">DI_2Phase!BA63</f>
        <v>0.00608995141561264</v>
      </c>
      <c r="U129" s="24" t="n">
        <f aca="false">DI_2Phase!BB63</f>
        <v>0.00913492712341896</v>
      </c>
      <c r="V129" s="77" t="str">
        <f aca="false">DI_2Phase!BC63</f>
        <v>https://www.sciencedirect.com/science/article/pii/S0043164815003749</v>
      </c>
    </row>
    <row r="130" customFormat="false" ht="12.8" hidden="false" customHeight="false" outlineLevel="0" collapsed="false">
      <c r="A130" s="15" t="n">
        <v>128</v>
      </c>
      <c r="B130" s="20" t="str">
        <f aca="false">DI_2Phase!AI64</f>
        <v>DI</v>
      </c>
      <c r="C130" s="20" t="str">
        <f aca="false">DI_2Phase!AJ64</f>
        <v>Liquid-Solid</v>
      </c>
      <c r="D130" s="20" t="str">
        <f aca="false">DI_2Phase!AK64</f>
        <v>V-H</v>
      </c>
      <c r="E130" s="48" t="n">
        <f aca="false">DI_2Phase!AL64</f>
        <v>90</v>
      </c>
      <c r="F130" s="78" t="n">
        <f aca="false">DI_2Phase!AM64</f>
        <v>1E-006</v>
      </c>
      <c r="G130" s="24" t="n">
        <f aca="false">DI_2Phase!AN64*0+MAX($G$3:$G$68)</f>
        <v>336</v>
      </c>
      <c r="H130" s="24" t="n">
        <f aca="false">DI_2Phase!AO64</f>
        <v>5.2</v>
      </c>
      <c r="I130" s="24" t="n">
        <f aca="false">DI_2Phase!AP64</f>
        <v>119.728285652644</v>
      </c>
      <c r="J130" s="24" t="n">
        <f aca="false">DI_2Phase!AQ64</f>
        <v>1920</v>
      </c>
      <c r="K130" s="24" t="n">
        <f aca="false">DI_2Phase!AR64</f>
        <v>0.0049663125</v>
      </c>
      <c r="L130" s="24" t="n">
        <f aca="false">DI_2Phase!AS64</f>
        <v>0.146484375</v>
      </c>
      <c r="M130" s="24" t="n">
        <f aca="false">DI_2Phase!AT64</f>
        <v>45</v>
      </c>
      <c r="N130" s="24" t="n">
        <f aca="false">DI_2Phase!AU64</f>
        <v>0.0234375</v>
      </c>
      <c r="O130" s="24" t="n">
        <f aca="false">DI_2Phase!AV64</f>
        <v>0.4</v>
      </c>
      <c r="P130" s="24" t="n">
        <f aca="false">DI_2Phase!AW64</f>
        <v>132.001836547291</v>
      </c>
      <c r="Q130" s="24" t="n">
        <f aca="false">DI_2Phase!AX64</f>
        <v>0.0605035700864337</v>
      </c>
      <c r="R130" s="24" t="n">
        <f aca="false">DI_2Phase!AY64</f>
        <v>1</v>
      </c>
      <c r="S130" s="24" t="n">
        <f aca="false">DI_2Phase!AZ64</f>
        <v>0.00836269734302143</v>
      </c>
      <c r="T130" s="24" t="n">
        <f aca="false">DI_2Phase!BA64</f>
        <v>0.00669015787441714</v>
      </c>
      <c r="U130" s="24" t="n">
        <f aca="false">DI_2Phase!BB64</f>
        <v>0.0100352368116257</v>
      </c>
      <c r="V130" s="77" t="str">
        <f aca="false">DI_2Phase!BC64</f>
        <v>https://www.sciencedirect.com/science/article/pii/S0043164815003749</v>
      </c>
    </row>
    <row r="131" customFormat="false" ht="12.8" hidden="false" customHeight="false" outlineLevel="0" collapsed="false">
      <c r="A131" s="15" t="n">
        <v>129</v>
      </c>
      <c r="B131" s="20" t="str">
        <f aca="false">DI_2Phase!AI65</f>
        <v>DI</v>
      </c>
      <c r="C131" s="20" t="str">
        <f aca="false">DI_2Phase!AJ65</f>
        <v>Liquid-Solid</v>
      </c>
      <c r="D131" s="20" t="str">
        <f aca="false">DI_2Phase!AK65</f>
        <v>V-H</v>
      </c>
      <c r="E131" s="48" t="n">
        <f aca="false">DI_2Phase!AL65</f>
        <v>90</v>
      </c>
      <c r="F131" s="78" t="n">
        <f aca="false">DI_2Phase!AM65</f>
        <v>1E-006</v>
      </c>
      <c r="G131" s="24" t="n">
        <f aca="false">DI_2Phase!AN65*0+MAX($G$3:$G$68)</f>
        <v>336</v>
      </c>
      <c r="H131" s="24" t="n">
        <f aca="false">DI_2Phase!AO65</f>
        <v>5.2</v>
      </c>
      <c r="I131" s="24" t="n">
        <f aca="false">DI_2Phase!AP65</f>
        <v>119.728285652644</v>
      </c>
      <c r="J131" s="24" t="n">
        <f aca="false">DI_2Phase!AQ65</f>
        <v>1920</v>
      </c>
      <c r="K131" s="24" t="n">
        <f aca="false">DI_2Phase!AR65</f>
        <v>0.0049663125</v>
      </c>
      <c r="L131" s="24" t="n">
        <f aca="false">DI_2Phase!AS65</f>
        <v>0.146484375</v>
      </c>
      <c r="M131" s="24" t="n">
        <f aca="false">DI_2Phase!AT65</f>
        <v>45</v>
      </c>
      <c r="N131" s="24" t="n">
        <f aca="false">DI_2Phase!AU65</f>
        <v>0.0234375</v>
      </c>
      <c r="O131" s="24" t="n">
        <f aca="false">DI_2Phase!AV65</f>
        <v>0.4</v>
      </c>
      <c r="P131" s="24" t="n">
        <f aca="false">DI_2Phase!AW65</f>
        <v>132.001836547291</v>
      </c>
      <c r="Q131" s="24" t="n">
        <f aca="false">DI_2Phase!AX65</f>
        <v>0.0822320117474302</v>
      </c>
      <c r="R131" s="24" t="n">
        <f aca="false">DI_2Phase!AY65</f>
        <v>1</v>
      </c>
      <c r="S131" s="24" t="n">
        <f aca="false">DI_2Phase!AZ65</f>
        <v>0.00974587675956068</v>
      </c>
      <c r="T131" s="24" t="n">
        <f aca="false">DI_2Phase!BA65</f>
        <v>0.00779670140764855</v>
      </c>
      <c r="U131" s="24" t="n">
        <f aca="false">DI_2Phase!BB65</f>
        <v>0.0116950521114728</v>
      </c>
      <c r="V131" s="77" t="str">
        <f aca="false">DI_2Phase!BC65</f>
        <v>https://www.sciencedirect.com/science/article/pii/S0043164815003749</v>
      </c>
    </row>
    <row r="132" customFormat="false" ht="12.8" hidden="false" customHeight="false" outlineLevel="0" collapsed="false">
      <c r="A132" s="15" t="n">
        <v>130</v>
      </c>
      <c r="B132" s="20" t="str">
        <f aca="false">DI_2Phase!AI66</f>
        <v>DI</v>
      </c>
      <c r="C132" s="20" t="str">
        <f aca="false">DI_2Phase!AJ66</f>
        <v>Liquid-Solid</v>
      </c>
      <c r="D132" s="20" t="str">
        <f aca="false">DI_2Phase!AK66</f>
        <v>V-H</v>
      </c>
      <c r="E132" s="48" t="n">
        <f aca="false">DI_2Phase!AL66</f>
        <v>90</v>
      </c>
      <c r="F132" s="78" t="n">
        <f aca="false">DI_2Phase!AM66</f>
        <v>1E-006</v>
      </c>
      <c r="G132" s="24" t="n">
        <f aca="false">DI_2Phase!AN66*0+MAX($G$3:$G$68)</f>
        <v>336</v>
      </c>
      <c r="H132" s="24" t="n">
        <f aca="false">DI_2Phase!AO66</f>
        <v>5.2</v>
      </c>
      <c r="I132" s="24" t="n">
        <f aca="false">DI_2Phase!AP66</f>
        <v>119.728285652644</v>
      </c>
      <c r="J132" s="24" t="n">
        <f aca="false">DI_2Phase!AQ66</f>
        <v>1920</v>
      </c>
      <c r="K132" s="24" t="n">
        <f aca="false">DI_2Phase!AR66</f>
        <v>0.0049663125</v>
      </c>
      <c r="L132" s="24" t="n">
        <f aca="false">DI_2Phase!AS66</f>
        <v>0.146484375</v>
      </c>
      <c r="M132" s="24" t="n">
        <f aca="false">DI_2Phase!AT66</f>
        <v>45</v>
      </c>
      <c r="N132" s="24" t="n">
        <f aca="false">DI_2Phase!AU66</f>
        <v>0.0234375</v>
      </c>
      <c r="O132" s="24" t="n">
        <f aca="false">DI_2Phase!AV66</f>
        <v>0.4</v>
      </c>
      <c r="P132" s="24" t="n">
        <f aca="false">DI_2Phase!AW66</f>
        <v>132.001836547291</v>
      </c>
      <c r="Q132" s="24" t="n">
        <f aca="false">DI_2Phase!AX66</f>
        <v>0.0822320117474302</v>
      </c>
      <c r="R132" s="24" t="n">
        <f aca="false">DI_2Phase!AY66</f>
        <v>1</v>
      </c>
      <c r="S132" s="24" t="n">
        <f aca="false">DI_2Phase!AZ66</f>
        <v>0.00803803262616897</v>
      </c>
      <c r="T132" s="24" t="n">
        <f aca="false">DI_2Phase!BA66</f>
        <v>0.00643042610093518</v>
      </c>
      <c r="U132" s="24" t="n">
        <f aca="false">DI_2Phase!BB66</f>
        <v>0.00964563915140276</v>
      </c>
      <c r="V132" s="77" t="str">
        <f aca="false">DI_2Phase!BC66</f>
        <v>https://www.sciencedirect.com/science/article/pii/S0043164815003749</v>
      </c>
    </row>
    <row r="133" customFormat="false" ht="12.8" hidden="false" customHeight="false" outlineLevel="0" collapsed="false">
      <c r="A133" s="15" t="n">
        <v>131</v>
      </c>
      <c r="B133" s="20" t="str">
        <f aca="false">DI_2Phase!AI67</f>
        <v>DI</v>
      </c>
      <c r="C133" s="20" t="str">
        <f aca="false">DI_2Phase!AJ67</f>
        <v>Liquid-Solid</v>
      </c>
      <c r="D133" s="20" t="str">
        <f aca="false">DI_2Phase!AK67</f>
        <v>V-H</v>
      </c>
      <c r="E133" s="48" t="n">
        <f aca="false">DI_2Phase!AL67</f>
        <v>90</v>
      </c>
      <c r="F133" s="78" t="n">
        <f aca="false">DI_2Phase!AM67</f>
        <v>1E-006</v>
      </c>
      <c r="G133" s="24" t="n">
        <f aca="false">DI_2Phase!AN67*0+MAX($G$3:$G$68)</f>
        <v>336</v>
      </c>
      <c r="H133" s="24" t="n">
        <f aca="false">DI_2Phase!AO67</f>
        <v>5.2</v>
      </c>
      <c r="I133" s="24" t="n">
        <f aca="false">DI_2Phase!AP67</f>
        <v>119.728285652644</v>
      </c>
      <c r="J133" s="24" t="n">
        <f aca="false">DI_2Phase!AQ67</f>
        <v>1920</v>
      </c>
      <c r="K133" s="24" t="n">
        <f aca="false">DI_2Phase!AR67</f>
        <v>0.0049663125</v>
      </c>
      <c r="L133" s="24" t="n">
        <f aca="false">DI_2Phase!AS67</f>
        <v>0.146484375</v>
      </c>
      <c r="M133" s="24" t="n">
        <f aca="false">DI_2Phase!AT67</f>
        <v>45</v>
      </c>
      <c r="N133" s="24" t="n">
        <f aca="false">DI_2Phase!AU67</f>
        <v>0.0234375</v>
      </c>
      <c r="O133" s="24" t="n">
        <f aca="false">DI_2Phase!AV67</f>
        <v>0.4</v>
      </c>
      <c r="P133" s="24" t="n">
        <f aca="false">DI_2Phase!AW67</f>
        <v>132.001836547291</v>
      </c>
      <c r="Q133" s="24" t="n">
        <f aca="false">DI_2Phase!AX67</f>
        <v>0.0822320117474302</v>
      </c>
      <c r="R133" s="24" t="n">
        <f aca="false">DI_2Phase!AY67</f>
        <v>1</v>
      </c>
      <c r="S133" s="24" t="n">
        <f aca="false">DI_2Phase!AZ67</f>
        <v>0.00658197133927517</v>
      </c>
      <c r="T133" s="24" t="n">
        <f aca="false">DI_2Phase!BA67</f>
        <v>0.00526557707142014</v>
      </c>
      <c r="U133" s="24" t="n">
        <f aca="false">DI_2Phase!BB67</f>
        <v>0.00789836560713021</v>
      </c>
      <c r="V133" s="77" t="str">
        <f aca="false">DI_2Phase!BC67</f>
        <v>https://www.sciencedirect.com/science/article/pii/S0043164815003749</v>
      </c>
    </row>
    <row r="134" customFormat="false" ht="12.8" hidden="false" customHeight="false" outlineLevel="0" collapsed="false">
      <c r="A134" s="15" t="n">
        <v>132</v>
      </c>
      <c r="B134" s="20" t="str">
        <f aca="false">DI_2Phase!AI68</f>
        <v>DI</v>
      </c>
      <c r="C134" s="20" t="str">
        <f aca="false">DI_2Phase!AJ68</f>
        <v>Liquid-Solid</v>
      </c>
      <c r="D134" s="20" t="str">
        <f aca="false">DI_2Phase!AK68</f>
        <v>V-H</v>
      </c>
      <c r="E134" s="48" t="n">
        <f aca="false">DI_2Phase!AL68</f>
        <v>90</v>
      </c>
      <c r="F134" s="78" t="n">
        <f aca="false">DI_2Phase!AM68</f>
        <v>1E-006</v>
      </c>
      <c r="G134" s="24" t="n">
        <f aca="false">DI_2Phase!AN68*0+MAX($G$3:$G$68)</f>
        <v>336</v>
      </c>
      <c r="H134" s="24" t="n">
        <f aca="false">DI_2Phase!AO68</f>
        <v>5.2</v>
      </c>
      <c r="I134" s="24" t="n">
        <f aca="false">DI_2Phase!AP68</f>
        <v>119.728285652644</v>
      </c>
      <c r="J134" s="24" t="n">
        <f aca="false">DI_2Phase!AQ68</f>
        <v>1920</v>
      </c>
      <c r="K134" s="24" t="n">
        <f aca="false">DI_2Phase!AR68</f>
        <v>0.0049663125</v>
      </c>
      <c r="L134" s="24" t="n">
        <f aca="false">DI_2Phase!AS68</f>
        <v>0.146484375</v>
      </c>
      <c r="M134" s="24" t="n">
        <f aca="false">DI_2Phase!AT68</f>
        <v>45</v>
      </c>
      <c r="N134" s="24" t="n">
        <f aca="false">DI_2Phase!AU68</f>
        <v>0.0234375</v>
      </c>
      <c r="O134" s="24" t="n">
        <f aca="false">DI_2Phase!AV68</f>
        <v>0.4</v>
      </c>
      <c r="P134" s="24" t="n">
        <f aca="false">DI_2Phase!AW68</f>
        <v>132.001836547291</v>
      </c>
      <c r="Q134" s="24" t="n">
        <f aca="false">DI_2Phase!AX68</f>
        <v>0.0822320117474302</v>
      </c>
      <c r="R134" s="24" t="n">
        <f aca="false">DI_2Phase!AY68</f>
        <v>1</v>
      </c>
      <c r="S134" s="24" t="n">
        <f aca="false">DI_2Phase!AZ68</f>
        <v>0.00578650939456203</v>
      </c>
      <c r="T134" s="24" t="n">
        <f aca="false">DI_2Phase!BA68</f>
        <v>0.00462920751564962</v>
      </c>
      <c r="U134" s="24" t="n">
        <f aca="false">DI_2Phase!BB68</f>
        <v>0.00694381127347444</v>
      </c>
      <c r="V134" s="77" t="str">
        <f aca="false">DI_2Phase!BC68</f>
        <v>https://www.sciencedirect.com/science/article/pii/S0043164815003749</v>
      </c>
    </row>
    <row r="135" customFormat="false" ht="12.8" hidden="false" customHeight="false" outlineLevel="0" collapsed="false">
      <c r="A135" s="15" t="n">
        <v>133</v>
      </c>
      <c r="B135" s="20" t="str">
        <f aca="false">DI_2Phase!AI69</f>
        <v>DI</v>
      </c>
      <c r="C135" s="20" t="str">
        <f aca="false">DI_2Phase!AJ69</f>
        <v>Liquid-Solid</v>
      </c>
      <c r="D135" s="20" t="str">
        <f aca="false">DI_2Phase!AK69</f>
        <v>V-H</v>
      </c>
      <c r="E135" s="48" t="n">
        <f aca="false">DI_2Phase!AL69</f>
        <v>90</v>
      </c>
      <c r="F135" s="78" t="n">
        <f aca="false">DI_2Phase!AM69</f>
        <v>1E-006</v>
      </c>
      <c r="G135" s="24" t="n">
        <f aca="false">DI_2Phase!AN69*0+MAX($G$3:$G$68)</f>
        <v>336</v>
      </c>
      <c r="H135" s="24" t="n">
        <f aca="false">DI_2Phase!AO69</f>
        <v>5.2</v>
      </c>
      <c r="I135" s="24" t="n">
        <f aca="false">DI_2Phase!AP69</f>
        <v>119.728285652644</v>
      </c>
      <c r="J135" s="24" t="n">
        <f aca="false">DI_2Phase!AQ69</f>
        <v>1920</v>
      </c>
      <c r="K135" s="24" t="n">
        <f aca="false">DI_2Phase!AR69</f>
        <v>0.0049663125</v>
      </c>
      <c r="L135" s="24" t="n">
        <f aca="false">DI_2Phase!AS69</f>
        <v>0.146484375</v>
      </c>
      <c r="M135" s="24" t="n">
        <f aca="false">DI_2Phase!AT69</f>
        <v>45</v>
      </c>
      <c r="N135" s="24" t="n">
        <f aca="false">DI_2Phase!AU69</f>
        <v>0.0234375</v>
      </c>
      <c r="O135" s="24" t="n">
        <f aca="false">DI_2Phase!AV69</f>
        <v>0.4</v>
      </c>
      <c r="P135" s="24" t="n">
        <f aca="false">DI_2Phase!AW69</f>
        <v>132.001836547291</v>
      </c>
      <c r="Q135" s="24" t="n">
        <f aca="false">DI_2Phase!AX69</f>
        <v>0.0822320117474302</v>
      </c>
      <c r="R135" s="24" t="n">
        <f aca="false">DI_2Phase!AY69</f>
        <v>1</v>
      </c>
      <c r="S135" s="24" t="n">
        <f aca="false">DI_2Phase!AZ69</f>
        <v>0.00559561701773259</v>
      </c>
      <c r="T135" s="24" t="n">
        <f aca="false">DI_2Phase!BA69</f>
        <v>0.00447649361418607</v>
      </c>
      <c r="U135" s="24" t="n">
        <f aca="false">DI_2Phase!BB69</f>
        <v>0.00671474042127911</v>
      </c>
      <c r="V135" s="77" t="str">
        <f aca="false">DI_2Phase!BC69</f>
        <v>https://www.sciencedirect.com/science/article/pii/S0043164815003749</v>
      </c>
    </row>
    <row r="136" customFormat="false" ht="12.8" hidden="false" customHeight="false" outlineLevel="0" collapsed="false">
      <c r="A136" s="15" t="n">
        <v>134</v>
      </c>
      <c r="B136" s="20" t="str">
        <f aca="false">DI_2Phase!AI70</f>
        <v>DI</v>
      </c>
      <c r="C136" s="20" t="str">
        <f aca="false">DI_2Phase!AJ70</f>
        <v>Liquid-Solid</v>
      </c>
      <c r="D136" s="20" t="str">
        <f aca="false">DI_2Phase!AK70</f>
        <v>V-H</v>
      </c>
      <c r="E136" s="48" t="n">
        <f aca="false">DI_2Phase!AL70</f>
        <v>90</v>
      </c>
      <c r="F136" s="78" t="n">
        <f aca="false">DI_2Phase!AM70</f>
        <v>1E-006</v>
      </c>
      <c r="G136" s="24" t="n">
        <f aca="false">DI_2Phase!AN70*0+MAX($G$3:$G$68)</f>
        <v>336</v>
      </c>
      <c r="H136" s="24" t="n">
        <f aca="false">DI_2Phase!AO70</f>
        <v>5.2</v>
      </c>
      <c r="I136" s="24" t="n">
        <f aca="false">DI_2Phase!AP70</f>
        <v>119.728285652644</v>
      </c>
      <c r="J136" s="24" t="n">
        <f aca="false">DI_2Phase!AQ70</f>
        <v>1920</v>
      </c>
      <c r="K136" s="24" t="n">
        <f aca="false">DI_2Phase!AR70</f>
        <v>0.0049663125</v>
      </c>
      <c r="L136" s="24" t="n">
        <f aca="false">DI_2Phase!AS70</f>
        <v>0.146484375</v>
      </c>
      <c r="M136" s="24" t="n">
        <f aca="false">DI_2Phase!AT70</f>
        <v>45</v>
      </c>
      <c r="N136" s="24" t="n">
        <f aca="false">DI_2Phase!AU70</f>
        <v>0.0234375</v>
      </c>
      <c r="O136" s="24" t="n">
        <f aca="false">DI_2Phase!AV70</f>
        <v>0.4</v>
      </c>
      <c r="P136" s="24" t="n">
        <f aca="false">DI_2Phase!AW70</f>
        <v>132.001836547291</v>
      </c>
      <c r="Q136" s="24" t="n">
        <f aca="false">DI_2Phase!AX70</f>
        <v>0.0822320117474302</v>
      </c>
      <c r="R136" s="24" t="n">
        <f aca="false">DI_2Phase!AY70</f>
        <v>1</v>
      </c>
      <c r="S136" s="24" t="n">
        <f aca="false">DI_2Phase!AZ70</f>
        <v>0.00559887582740377</v>
      </c>
      <c r="T136" s="24" t="n">
        <f aca="false">DI_2Phase!BA70</f>
        <v>0.00447910066192302</v>
      </c>
      <c r="U136" s="24" t="n">
        <f aca="false">DI_2Phase!BB70</f>
        <v>0.00671865099288452</v>
      </c>
      <c r="V136" s="77" t="str">
        <f aca="false">DI_2Phase!BC70</f>
        <v>https://www.sciencedirect.com/science/article/pii/S0043164815003749</v>
      </c>
    </row>
    <row r="137" customFormat="false" ht="12.8" hidden="false" customHeight="false" outlineLevel="0" collapsed="false">
      <c r="A137" s="15" t="n">
        <v>135</v>
      </c>
      <c r="B137" s="20" t="str">
        <f aca="false">DI_2Phase!AI71</f>
        <v>DI</v>
      </c>
      <c r="C137" s="20" t="str">
        <f aca="false">DI_2Phase!AJ71</f>
        <v>Liquid-Solid</v>
      </c>
      <c r="D137" s="20" t="str">
        <f aca="false">DI_2Phase!AK71</f>
        <v>V-H</v>
      </c>
      <c r="E137" s="48" t="n">
        <f aca="false">DI_2Phase!AL71</f>
        <v>90</v>
      </c>
      <c r="F137" s="78" t="n">
        <f aca="false">DI_2Phase!AM71</f>
        <v>1E-006</v>
      </c>
      <c r="G137" s="24" t="n">
        <f aca="false">DI_2Phase!AN71*0+MAX($G$3:$G$68)</f>
        <v>336</v>
      </c>
      <c r="H137" s="24" t="n">
        <f aca="false">DI_2Phase!AO71</f>
        <v>5.2</v>
      </c>
      <c r="I137" s="24" t="n">
        <f aca="false">DI_2Phase!AP71</f>
        <v>119.728285652644</v>
      </c>
      <c r="J137" s="24" t="n">
        <f aca="false">DI_2Phase!AQ71</f>
        <v>1920</v>
      </c>
      <c r="K137" s="24" t="n">
        <f aca="false">DI_2Phase!AR71</f>
        <v>0.0049663125</v>
      </c>
      <c r="L137" s="24" t="n">
        <f aca="false">DI_2Phase!AS71</f>
        <v>0.146484375</v>
      </c>
      <c r="M137" s="24" t="n">
        <f aca="false">DI_2Phase!AT71</f>
        <v>45</v>
      </c>
      <c r="N137" s="24" t="n">
        <f aca="false">DI_2Phase!AU71</f>
        <v>0.0234375</v>
      </c>
      <c r="O137" s="24" t="n">
        <f aca="false">DI_2Phase!AV71</f>
        <v>0.4</v>
      </c>
      <c r="P137" s="24" t="n">
        <f aca="false">DI_2Phase!AW71</f>
        <v>132.001836547291</v>
      </c>
      <c r="Q137" s="24" t="n">
        <f aca="false">DI_2Phase!AX71</f>
        <v>0.0822320117474302</v>
      </c>
      <c r="R137" s="24" t="n">
        <f aca="false">DI_2Phase!AY71</f>
        <v>1</v>
      </c>
      <c r="S137" s="24" t="n">
        <f aca="false">DI_2Phase!AZ71</f>
        <v>0.00594225251032926</v>
      </c>
      <c r="T137" s="24" t="n">
        <f aca="false">DI_2Phase!BA71</f>
        <v>0.00475380200826341</v>
      </c>
      <c r="U137" s="24" t="n">
        <f aca="false">DI_2Phase!BB71</f>
        <v>0.00713070301239511</v>
      </c>
      <c r="V137" s="77" t="str">
        <f aca="false">DI_2Phase!BC71</f>
        <v>https://www.sciencedirect.com/science/article/pii/S0043164815003749</v>
      </c>
    </row>
    <row r="138" customFormat="false" ht="12.8" hidden="false" customHeight="false" outlineLevel="0" collapsed="false">
      <c r="A138" s="15" t="n">
        <v>136</v>
      </c>
      <c r="B138" s="20" t="str">
        <f aca="false">DI_2Phase!AI72</f>
        <v>DI</v>
      </c>
      <c r="C138" s="20" t="str">
        <f aca="false">DI_2Phase!AJ72</f>
        <v>Liquid-Solid</v>
      </c>
      <c r="D138" s="20" t="str">
        <f aca="false">DI_2Phase!AK72</f>
        <v>V-H</v>
      </c>
      <c r="E138" s="48" t="n">
        <f aca="false">DI_2Phase!AL72</f>
        <v>90</v>
      </c>
      <c r="F138" s="78" t="n">
        <f aca="false">DI_2Phase!AM72</f>
        <v>1E-006</v>
      </c>
      <c r="G138" s="24" t="n">
        <f aca="false">DI_2Phase!AN72*0+MAX($G$3:$G$68)</f>
        <v>336</v>
      </c>
      <c r="H138" s="24" t="n">
        <f aca="false">DI_2Phase!AO72</f>
        <v>5.2</v>
      </c>
      <c r="I138" s="24" t="n">
        <f aca="false">DI_2Phase!AP72</f>
        <v>119.728285652644</v>
      </c>
      <c r="J138" s="24" t="n">
        <f aca="false">DI_2Phase!AQ72</f>
        <v>1920</v>
      </c>
      <c r="K138" s="24" t="n">
        <f aca="false">DI_2Phase!AR72</f>
        <v>0.0049663125</v>
      </c>
      <c r="L138" s="24" t="n">
        <f aca="false">DI_2Phase!AS72</f>
        <v>0.146484375</v>
      </c>
      <c r="M138" s="24" t="n">
        <f aca="false">DI_2Phase!AT72</f>
        <v>45</v>
      </c>
      <c r="N138" s="24" t="n">
        <f aca="false">DI_2Phase!AU72</f>
        <v>0.0234375</v>
      </c>
      <c r="O138" s="24" t="n">
        <f aca="false">DI_2Phase!AV72</f>
        <v>0.4</v>
      </c>
      <c r="P138" s="24" t="n">
        <f aca="false">DI_2Phase!AW72</f>
        <v>132.001836547291</v>
      </c>
      <c r="Q138" s="24" t="n">
        <f aca="false">DI_2Phase!AX72</f>
        <v>0.0822320117474302</v>
      </c>
      <c r="R138" s="24" t="n">
        <f aca="false">DI_2Phase!AY72</f>
        <v>1</v>
      </c>
      <c r="S138" s="24" t="n">
        <f aca="false">DI_2Phase!AZ72</f>
        <v>0.00624178333134144</v>
      </c>
      <c r="T138" s="24" t="n">
        <f aca="false">DI_2Phase!BA72</f>
        <v>0.00499342666507315</v>
      </c>
      <c r="U138" s="24" t="n">
        <f aca="false">DI_2Phase!BB72</f>
        <v>0.00749013999760973</v>
      </c>
      <c r="V138" s="77" t="str">
        <f aca="false">DI_2Phase!BC72</f>
        <v>https://www.sciencedirect.com/science/article/pii/S0043164815003749</v>
      </c>
    </row>
    <row r="139" customFormat="false" ht="12.8" hidden="false" customHeight="false" outlineLevel="0" collapsed="false">
      <c r="A139" s="15" t="n">
        <v>137</v>
      </c>
      <c r="B139" s="20" t="str">
        <f aca="false">DI_2Phase!AI73</f>
        <v>DI</v>
      </c>
      <c r="C139" s="20" t="str">
        <f aca="false">DI_2Phase!AJ73</f>
        <v>Liquid-Solid</v>
      </c>
      <c r="D139" s="20" t="str">
        <f aca="false">DI_2Phase!AK73</f>
        <v>V-H</v>
      </c>
      <c r="E139" s="48" t="n">
        <f aca="false">DI_2Phase!AL73</f>
        <v>90</v>
      </c>
      <c r="F139" s="78" t="n">
        <f aca="false">DI_2Phase!AM73</f>
        <v>1E-006</v>
      </c>
      <c r="G139" s="24" t="n">
        <f aca="false">DI_2Phase!AN73*0+MAX($G$3:$G$68)</f>
        <v>336</v>
      </c>
      <c r="H139" s="24" t="n">
        <f aca="false">DI_2Phase!AO73</f>
        <v>7.4</v>
      </c>
      <c r="I139" s="24" t="n">
        <f aca="false">DI_2Phase!AP73</f>
        <v>119.728285652644</v>
      </c>
      <c r="J139" s="24" t="n">
        <f aca="false">DI_2Phase!AQ73</f>
        <v>1920</v>
      </c>
      <c r="K139" s="24" t="n">
        <f aca="false">DI_2Phase!AR73</f>
        <v>0.0049663125</v>
      </c>
      <c r="L139" s="24" t="n">
        <f aca="false">DI_2Phase!AS73</f>
        <v>0.146484375</v>
      </c>
      <c r="M139" s="24" t="n">
        <f aca="false">DI_2Phase!AT73</f>
        <v>45</v>
      </c>
      <c r="N139" s="24" t="n">
        <f aca="false">DI_2Phase!AU73</f>
        <v>0.0234375</v>
      </c>
      <c r="O139" s="24" t="n">
        <f aca="false">DI_2Phase!AV73</f>
        <v>0.4</v>
      </c>
      <c r="P139" s="24" t="n">
        <f aca="false">DI_2Phase!AW73</f>
        <v>132.001836547291</v>
      </c>
      <c r="Q139" s="24" t="n">
        <f aca="false">DI_2Phase!AX73</f>
        <v>0.0340030911901082</v>
      </c>
      <c r="R139" s="24" t="n">
        <f aca="false">DI_2Phase!AY73</f>
        <v>1</v>
      </c>
      <c r="S139" s="24" t="n">
        <f aca="false">DI_2Phase!AZ73</f>
        <v>0.00699749348972877</v>
      </c>
      <c r="T139" s="24" t="n">
        <f aca="false">DI_2Phase!BA73</f>
        <v>0.00559799479178302</v>
      </c>
      <c r="U139" s="24" t="n">
        <f aca="false">DI_2Phase!BB73</f>
        <v>0.00839699218767452</v>
      </c>
      <c r="V139" s="77" t="str">
        <f aca="false">DI_2Phase!BC73</f>
        <v>https://www.sciencedirect.com/science/article/pii/S0043164815003749</v>
      </c>
    </row>
    <row r="140" customFormat="false" ht="12.8" hidden="false" customHeight="false" outlineLevel="0" collapsed="false">
      <c r="A140" s="15" t="n">
        <v>138</v>
      </c>
      <c r="B140" s="20" t="str">
        <f aca="false">DI_2Phase!AI74</f>
        <v>DI</v>
      </c>
      <c r="C140" s="20" t="str">
        <f aca="false">DI_2Phase!AJ74</f>
        <v>Liquid-Solid</v>
      </c>
      <c r="D140" s="20" t="str">
        <f aca="false">DI_2Phase!AK74</f>
        <v>V-H</v>
      </c>
      <c r="E140" s="48" t="n">
        <f aca="false">DI_2Phase!AL74</f>
        <v>90</v>
      </c>
      <c r="F140" s="78" t="n">
        <f aca="false">DI_2Phase!AM74</f>
        <v>1E-006</v>
      </c>
      <c r="G140" s="24" t="n">
        <f aca="false">DI_2Phase!AN74*0+MAX($G$3:$G$68)</f>
        <v>336</v>
      </c>
      <c r="H140" s="24" t="n">
        <f aca="false">DI_2Phase!AO74</f>
        <v>7.4</v>
      </c>
      <c r="I140" s="24" t="n">
        <f aca="false">DI_2Phase!AP74</f>
        <v>119.728285652644</v>
      </c>
      <c r="J140" s="24" t="n">
        <f aca="false">DI_2Phase!AQ74</f>
        <v>1920</v>
      </c>
      <c r="K140" s="24" t="n">
        <f aca="false">DI_2Phase!AR74</f>
        <v>0.0049663125</v>
      </c>
      <c r="L140" s="24" t="n">
        <f aca="false">DI_2Phase!AS74</f>
        <v>0.146484375</v>
      </c>
      <c r="M140" s="24" t="n">
        <f aca="false">DI_2Phase!AT74</f>
        <v>45</v>
      </c>
      <c r="N140" s="24" t="n">
        <f aca="false">DI_2Phase!AU74</f>
        <v>0.0234375</v>
      </c>
      <c r="O140" s="24" t="n">
        <f aca="false">DI_2Phase!AV74</f>
        <v>0.4</v>
      </c>
      <c r="P140" s="24" t="n">
        <f aca="false">DI_2Phase!AW74</f>
        <v>132.001836547291</v>
      </c>
      <c r="Q140" s="24" t="n">
        <f aca="false">DI_2Phase!AX74</f>
        <v>0.0340030911901082</v>
      </c>
      <c r="R140" s="24" t="n">
        <f aca="false">DI_2Phase!AY74</f>
        <v>1</v>
      </c>
      <c r="S140" s="24" t="n">
        <f aca="false">DI_2Phase!AZ74</f>
        <v>0.00511913322789524</v>
      </c>
      <c r="T140" s="24" t="n">
        <f aca="false">DI_2Phase!BA74</f>
        <v>0.00409530658231619</v>
      </c>
      <c r="U140" s="24" t="n">
        <f aca="false">DI_2Phase!BB74</f>
        <v>0.00614295987347429</v>
      </c>
      <c r="V140" s="77" t="str">
        <f aca="false">DI_2Phase!BC74</f>
        <v>https://www.sciencedirect.com/science/article/pii/S0043164815003749</v>
      </c>
    </row>
    <row r="141" customFormat="false" ht="12.8" hidden="false" customHeight="false" outlineLevel="0" collapsed="false">
      <c r="A141" s="15" t="n">
        <v>139</v>
      </c>
      <c r="B141" s="20" t="str">
        <f aca="false">DI_2Phase!AI75</f>
        <v>DI</v>
      </c>
      <c r="C141" s="20" t="str">
        <f aca="false">DI_2Phase!AJ75</f>
        <v>Liquid-Solid</v>
      </c>
      <c r="D141" s="20" t="str">
        <f aca="false">DI_2Phase!AK75</f>
        <v>V-H</v>
      </c>
      <c r="E141" s="48" t="n">
        <f aca="false">DI_2Phase!AL75</f>
        <v>90</v>
      </c>
      <c r="F141" s="78" t="n">
        <f aca="false">DI_2Phase!AM75</f>
        <v>1E-006</v>
      </c>
      <c r="G141" s="24" t="n">
        <f aca="false">DI_2Phase!AN75*0+MAX($G$3:$G$68)</f>
        <v>336</v>
      </c>
      <c r="H141" s="24" t="n">
        <f aca="false">DI_2Phase!AO75</f>
        <v>7.4</v>
      </c>
      <c r="I141" s="24" t="n">
        <f aca="false">DI_2Phase!AP75</f>
        <v>119.728285652644</v>
      </c>
      <c r="J141" s="24" t="n">
        <f aca="false">DI_2Phase!AQ75</f>
        <v>1920</v>
      </c>
      <c r="K141" s="24" t="n">
        <f aca="false">DI_2Phase!AR75</f>
        <v>0.0049663125</v>
      </c>
      <c r="L141" s="24" t="n">
        <f aca="false">DI_2Phase!AS75</f>
        <v>0.146484375</v>
      </c>
      <c r="M141" s="24" t="n">
        <f aca="false">DI_2Phase!AT75</f>
        <v>45</v>
      </c>
      <c r="N141" s="24" t="n">
        <f aca="false">DI_2Phase!AU75</f>
        <v>0.0234375</v>
      </c>
      <c r="O141" s="24" t="n">
        <f aca="false">DI_2Phase!AV75</f>
        <v>0.4</v>
      </c>
      <c r="P141" s="24" t="n">
        <f aca="false">DI_2Phase!AW75</f>
        <v>132.001836547291</v>
      </c>
      <c r="Q141" s="24" t="n">
        <f aca="false">DI_2Phase!AX75</f>
        <v>0.0340030911901082</v>
      </c>
      <c r="R141" s="24" t="n">
        <f aca="false">DI_2Phase!AY75</f>
        <v>1</v>
      </c>
      <c r="S141" s="24" t="n">
        <f aca="false">DI_2Phase!AZ75</f>
        <v>0.00391632956751395</v>
      </c>
      <c r="T141" s="24" t="n">
        <f aca="false">DI_2Phase!BA75</f>
        <v>0.00313306365401116</v>
      </c>
      <c r="U141" s="24" t="n">
        <f aca="false">DI_2Phase!BB75</f>
        <v>0.00469959548101674</v>
      </c>
      <c r="V141" s="77" t="str">
        <f aca="false">DI_2Phase!BC75</f>
        <v>https://www.sciencedirect.com/science/article/pii/S0043164815003749</v>
      </c>
    </row>
    <row r="142" customFormat="false" ht="12.8" hidden="false" customHeight="false" outlineLevel="0" collapsed="false">
      <c r="A142" s="15" t="n">
        <v>140</v>
      </c>
      <c r="B142" s="20" t="str">
        <f aca="false">DI_2Phase!AI76</f>
        <v>DI</v>
      </c>
      <c r="C142" s="20" t="str">
        <f aca="false">DI_2Phase!AJ76</f>
        <v>Liquid-Solid</v>
      </c>
      <c r="D142" s="20" t="str">
        <f aca="false">DI_2Phase!AK76</f>
        <v>V-H</v>
      </c>
      <c r="E142" s="48" t="n">
        <f aca="false">DI_2Phase!AL76</f>
        <v>90</v>
      </c>
      <c r="F142" s="78" t="n">
        <f aca="false">DI_2Phase!AM76</f>
        <v>1E-006</v>
      </c>
      <c r="G142" s="24" t="n">
        <f aca="false">DI_2Phase!AN76*0+MAX($G$3:$G$68)</f>
        <v>336</v>
      </c>
      <c r="H142" s="24" t="n">
        <f aca="false">DI_2Phase!AO76</f>
        <v>7.4</v>
      </c>
      <c r="I142" s="24" t="n">
        <f aca="false">DI_2Phase!AP76</f>
        <v>119.728285652644</v>
      </c>
      <c r="J142" s="24" t="n">
        <f aca="false">DI_2Phase!AQ76</f>
        <v>1920</v>
      </c>
      <c r="K142" s="24" t="n">
        <f aca="false">DI_2Phase!AR76</f>
        <v>0.0049663125</v>
      </c>
      <c r="L142" s="24" t="n">
        <f aca="false">DI_2Phase!AS76</f>
        <v>0.146484375</v>
      </c>
      <c r="M142" s="24" t="n">
        <f aca="false">DI_2Phase!AT76</f>
        <v>45</v>
      </c>
      <c r="N142" s="24" t="n">
        <f aca="false">DI_2Phase!AU76</f>
        <v>0.0234375</v>
      </c>
      <c r="O142" s="24" t="n">
        <f aca="false">DI_2Phase!AV76</f>
        <v>0.4</v>
      </c>
      <c r="P142" s="24" t="n">
        <f aca="false">DI_2Phase!AW76</f>
        <v>132.001836547291</v>
      </c>
      <c r="Q142" s="24" t="n">
        <f aca="false">DI_2Phase!AX76</f>
        <v>0.0340030911901082</v>
      </c>
      <c r="R142" s="24" t="n">
        <f aca="false">DI_2Phase!AY76</f>
        <v>1</v>
      </c>
      <c r="S142" s="24" t="n">
        <f aca="false">DI_2Phase!AZ76</f>
        <v>0.00409993031812331</v>
      </c>
      <c r="T142" s="24" t="n">
        <f aca="false">DI_2Phase!BA76</f>
        <v>0.00327994425449865</v>
      </c>
      <c r="U142" s="24" t="n">
        <f aca="false">DI_2Phase!BB76</f>
        <v>0.00491991638174797</v>
      </c>
      <c r="V142" s="77" t="str">
        <f aca="false">DI_2Phase!BC76</f>
        <v>https://www.sciencedirect.com/science/article/pii/S0043164815003749</v>
      </c>
    </row>
    <row r="143" customFormat="false" ht="12.8" hidden="false" customHeight="false" outlineLevel="0" collapsed="false">
      <c r="A143" s="15" t="n">
        <v>141</v>
      </c>
      <c r="B143" s="20" t="str">
        <f aca="false">DI_2Phase!AI77</f>
        <v>DI</v>
      </c>
      <c r="C143" s="20" t="str">
        <f aca="false">DI_2Phase!AJ77</f>
        <v>Liquid-Solid</v>
      </c>
      <c r="D143" s="20" t="str">
        <f aca="false">DI_2Phase!AK77</f>
        <v>V-H</v>
      </c>
      <c r="E143" s="48" t="n">
        <f aca="false">DI_2Phase!AL77</f>
        <v>90</v>
      </c>
      <c r="F143" s="78" t="n">
        <f aca="false">DI_2Phase!AM77</f>
        <v>1E-006</v>
      </c>
      <c r="G143" s="24" t="n">
        <f aca="false">DI_2Phase!AN77*0+MAX($G$3:$G$68)</f>
        <v>336</v>
      </c>
      <c r="H143" s="24" t="n">
        <f aca="false">DI_2Phase!AO77</f>
        <v>7.4</v>
      </c>
      <c r="I143" s="24" t="n">
        <f aca="false">DI_2Phase!AP77</f>
        <v>119.728285652644</v>
      </c>
      <c r="J143" s="24" t="n">
        <f aca="false">DI_2Phase!AQ77</f>
        <v>1920</v>
      </c>
      <c r="K143" s="24" t="n">
        <f aca="false">DI_2Phase!AR77</f>
        <v>0.0049663125</v>
      </c>
      <c r="L143" s="24" t="n">
        <f aca="false">DI_2Phase!AS77</f>
        <v>0.146484375</v>
      </c>
      <c r="M143" s="24" t="n">
        <f aca="false">DI_2Phase!AT77</f>
        <v>45</v>
      </c>
      <c r="N143" s="24" t="n">
        <f aca="false">DI_2Phase!AU77</f>
        <v>0.0234375</v>
      </c>
      <c r="O143" s="24" t="n">
        <f aca="false">DI_2Phase!AV77</f>
        <v>0.4</v>
      </c>
      <c r="P143" s="24" t="n">
        <f aca="false">DI_2Phase!AW77</f>
        <v>132.001836547291</v>
      </c>
      <c r="Q143" s="24" t="n">
        <f aca="false">DI_2Phase!AX77</f>
        <v>0.0340030911901082</v>
      </c>
      <c r="R143" s="24" t="n">
        <f aca="false">DI_2Phase!AY77</f>
        <v>1</v>
      </c>
      <c r="S143" s="24" t="n">
        <f aca="false">DI_2Phase!AZ77</f>
        <v>0.00600852841874841</v>
      </c>
      <c r="T143" s="24" t="n">
        <f aca="false">DI_2Phase!BA77</f>
        <v>0.00480682273499873</v>
      </c>
      <c r="U143" s="24" t="n">
        <f aca="false">DI_2Phase!BB77</f>
        <v>0.00721023410249809</v>
      </c>
      <c r="V143" s="77" t="str">
        <f aca="false">DI_2Phase!BC77</f>
        <v>https://www.sciencedirect.com/science/article/pii/S0043164815003749</v>
      </c>
    </row>
    <row r="144" customFormat="false" ht="12.8" hidden="false" customHeight="false" outlineLevel="0" collapsed="false">
      <c r="A144" s="15" t="n">
        <v>142</v>
      </c>
      <c r="B144" s="20" t="str">
        <f aca="false">DI_2Phase!AI78</f>
        <v>DI</v>
      </c>
      <c r="C144" s="20" t="str">
        <f aca="false">DI_2Phase!AJ78</f>
        <v>Liquid-Solid</v>
      </c>
      <c r="D144" s="20" t="str">
        <f aca="false">DI_2Phase!AK78</f>
        <v>V-H</v>
      </c>
      <c r="E144" s="48" t="n">
        <f aca="false">DI_2Phase!AL78</f>
        <v>90</v>
      </c>
      <c r="F144" s="78" t="n">
        <f aca="false">DI_2Phase!AM78</f>
        <v>1E-006</v>
      </c>
      <c r="G144" s="24" t="n">
        <f aca="false">DI_2Phase!AN78*0+MAX($G$3:$G$68)</f>
        <v>336</v>
      </c>
      <c r="H144" s="24" t="n">
        <f aca="false">DI_2Phase!AO78</f>
        <v>7.4</v>
      </c>
      <c r="I144" s="24" t="n">
        <f aca="false">DI_2Phase!AP78</f>
        <v>119.728285652644</v>
      </c>
      <c r="J144" s="24" t="n">
        <f aca="false">DI_2Phase!AQ78</f>
        <v>1920</v>
      </c>
      <c r="K144" s="24" t="n">
        <f aca="false">DI_2Phase!AR78</f>
        <v>0.0049663125</v>
      </c>
      <c r="L144" s="24" t="n">
        <f aca="false">DI_2Phase!AS78</f>
        <v>0.146484375</v>
      </c>
      <c r="M144" s="24" t="n">
        <f aca="false">DI_2Phase!AT78</f>
        <v>45</v>
      </c>
      <c r="N144" s="24" t="n">
        <f aca="false">DI_2Phase!AU78</f>
        <v>0.0234375</v>
      </c>
      <c r="O144" s="24" t="n">
        <f aca="false">DI_2Phase!AV78</f>
        <v>0.4</v>
      </c>
      <c r="P144" s="24" t="n">
        <f aca="false">DI_2Phase!AW78</f>
        <v>132.001836547291</v>
      </c>
      <c r="Q144" s="24" t="n">
        <f aca="false">DI_2Phase!AX78</f>
        <v>0.0340030911901082</v>
      </c>
      <c r="R144" s="24" t="n">
        <f aca="false">DI_2Phase!AY78</f>
        <v>1</v>
      </c>
      <c r="S144" s="24" t="n">
        <f aca="false">DI_2Phase!AZ78</f>
        <v>0.00702504506231818</v>
      </c>
      <c r="T144" s="24" t="n">
        <f aca="false">DI_2Phase!BA78</f>
        <v>0.00562003604985454</v>
      </c>
      <c r="U144" s="24" t="n">
        <f aca="false">DI_2Phase!BB78</f>
        <v>0.00843005407478182</v>
      </c>
      <c r="V144" s="77" t="str">
        <f aca="false">DI_2Phase!BC78</f>
        <v>https://www.sciencedirect.com/science/article/pii/S0043164815003749</v>
      </c>
    </row>
    <row r="145" customFormat="false" ht="12.8" hidden="false" customHeight="false" outlineLevel="0" collapsed="false">
      <c r="A145" s="15" t="n">
        <v>143</v>
      </c>
      <c r="B145" s="20" t="str">
        <f aca="false">DI_2Phase!AI79</f>
        <v>DI</v>
      </c>
      <c r="C145" s="20" t="str">
        <f aca="false">DI_2Phase!AJ79</f>
        <v>Liquid-Solid</v>
      </c>
      <c r="D145" s="20" t="str">
        <f aca="false">DI_2Phase!AK79</f>
        <v>V-H</v>
      </c>
      <c r="E145" s="48" t="n">
        <f aca="false">DI_2Phase!AL79</f>
        <v>90</v>
      </c>
      <c r="F145" s="78" t="n">
        <f aca="false">DI_2Phase!AM79</f>
        <v>1E-006</v>
      </c>
      <c r="G145" s="24" t="n">
        <f aca="false">DI_2Phase!AN79*0+MAX($G$3:$G$68)</f>
        <v>336</v>
      </c>
      <c r="H145" s="24" t="n">
        <f aca="false">DI_2Phase!AO79</f>
        <v>7.4</v>
      </c>
      <c r="I145" s="24" t="n">
        <f aca="false">DI_2Phase!AP79</f>
        <v>119.728285652644</v>
      </c>
      <c r="J145" s="24" t="n">
        <f aca="false">DI_2Phase!AQ79</f>
        <v>1920</v>
      </c>
      <c r="K145" s="24" t="n">
        <f aca="false">DI_2Phase!AR79</f>
        <v>0.0049663125</v>
      </c>
      <c r="L145" s="24" t="n">
        <f aca="false">DI_2Phase!AS79</f>
        <v>0.146484375</v>
      </c>
      <c r="M145" s="24" t="n">
        <f aca="false">DI_2Phase!AT79</f>
        <v>45</v>
      </c>
      <c r="N145" s="24" t="n">
        <f aca="false">DI_2Phase!AU79</f>
        <v>0.0234375</v>
      </c>
      <c r="O145" s="24" t="n">
        <f aca="false">DI_2Phase!AV79</f>
        <v>0.4</v>
      </c>
      <c r="P145" s="24" t="n">
        <f aca="false">DI_2Phase!AW79</f>
        <v>132.001836547291</v>
      </c>
      <c r="Q145" s="24" t="n">
        <f aca="false">DI_2Phase!AX79</f>
        <v>0.0340030911901082</v>
      </c>
      <c r="R145" s="24" t="n">
        <f aca="false">DI_2Phase!AY79</f>
        <v>1</v>
      </c>
      <c r="S145" s="24" t="n">
        <f aca="false">DI_2Phase!AZ79</f>
        <v>0.0067876757101771</v>
      </c>
      <c r="T145" s="24" t="n">
        <f aca="false">DI_2Phase!BA79</f>
        <v>0.00543014056814168</v>
      </c>
      <c r="U145" s="24" t="n">
        <f aca="false">DI_2Phase!BB79</f>
        <v>0.00814521085221252</v>
      </c>
      <c r="V145" s="77" t="str">
        <f aca="false">DI_2Phase!BC79</f>
        <v>https://www.sciencedirect.com/science/article/pii/S0043164815003749</v>
      </c>
    </row>
    <row r="146" customFormat="false" ht="12.8" hidden="false" customHeight="false" outlineLevel="0" collapsed="false">
      <c r="A146" s="15" t="n">
        <v>144</v>
      </c>
      <c r="B146" s="20" t="str">
        <f aca="false">DI_2Phase!AI80</f>
        <v>DI</v>
      </c>
      <c r="C146" s="20" t="str">
        <f aca="false">DI_2Phase!AJ80</f>
        <v>Liquid-Solid</v>
      </c>
      <c r="D146" s="20" t="str">
        <f aca="false">DI_2Phase!AK80</f>
        <v>V-H</v>
      </c>
      <c r="E146" s="48" t="n">
        <f aca="false">DI_2Phase!AL80</f>
        <v>90</v>
      </c>
      <c r="F146" s="78" t="n">
        <f aca="false">DI_2Phase!AM80</f>
        <v>1E-006</v>
      </c>
      <c r="G146" s="24" t="n">
        <f aca="false">DI_2Phase!AN80*0+MAX($G$3:$G$68)</f>
        <v>336</v>
      </c>
      <c r="H146" s="24" t="n">
        <f aca="false">DI_2Phase!AO80</f>
        <v>7.4</v>
      </c>
      <c r="I146" s="24" t="n">
        <f aca="false">DI_2Phase!AP80</f>
        <v>119.728285652644</v>
      </c>
      <c r="J146" s="24" t="n">
        <f aca="false">DI_2Phase!AQ80</f>
        <v>1920</v>
      </c>
      <c r="K146" s="24" t="n">
        <f aca="false">DI_2Phase!AR80</f>
        <v>0.0049663125</v>
      </c>
      <c r="L146" s="24" t="n">
        <f aca="false">DI_2Phase!AS80</f>
        <v>0.146484375</v>
      </c>
      <c r="M146" s="24" t="n">
        <f aca="false">DI_2Phase!AT80</f>
        <v>45</v>
      </c>
      <c r="N146" s="24" t="n">
        <f aca="false">DI_2Phase!AU80</f>
        <v>0.0234375</v>
      </c>
      <c r="O146" s="24" t="n">
        <f aca="false">DI_2Phase!AV80</f>
        <v>0.4</v>
      </c>
      <c r="P146" s="24" t="n">
        <f aca="false">DI_2Phase!AW80</f>
        <v>132.001836547291</v>
      </c>
      <c r="Q146" s="24" t="n">
        <f aca="false">DI_2Phase!AX80</f>
        <v>0.0340030911901082</v>
      </c>
      <c r="R146" s="24" t="n">
        <f aca="false">DI_2Phase!AY80</f>
        <v>1</v>
      </c>
      <c r="S146" s="24" t="n">
        <f aca="false">DI_2Phase!AZ80</f>
        <v>0.00639612004511205</v>
      </c>
      <c r="T146" s="24" t="n">
        <f aca="false">DI_2Phase!BA80</f>
        <v>0.00511689603608964</v>
      </c>
      <c r="U146" s="24" t="n">
        <f aca="false">DI_2Phase!BB80</f>
        <v>0.00767534405413446</v>
      </c>
      <c r="V146" s="77" t="str">
        <f aca="false">DI_2Phase!BC80</f>
        <v>https://www.sciencedirect.com/science/article/pii/S0043164815003749</v>
      </c>
    </row>
    <row r="147" customFormat="false" ht="12.8" hidden="false" customHeight="false" outlineLevel="0" collapsed="false">
      <c r="A147" s="15" t="n">
        <v>145</v>
      </c>
      <c r="B147" s="20" t="str">
        <f aca="false">DI_2Phase!AI81</f>
        <v>DI</v>
      </c>
      <c r="C147" s="20" t="str">
        <f aca="false">DI_2Phase!AJ81</f>
        <v>Liquid-Solid</v>
      </c>
      <c r="D147" s="20" t="str">
        <f aca="false">DI_2Phase!AK81</f>
        <v>V-H</v>
      </c>
      <c r="E147" s="48" t="n">
        <f aca="false">DI_2Phase!AL81</f>
        <v>90</v>
      </c>
      <c r="F147" s="78" t="n">
        <f aca="false">DI_2Phase!AM81</f>
        <v>1E-006</v>
      </c>
      <c r="G147" s="24" t="n">
        <f aca="false">DI_2Phase!AN81*0+MAX($G$3:$G$68)</f>
        <v>336</v>
      </c>
      <c r="H147" s="24" t="n">
        <f aca="false">DI_2Phase!AO81</f>
        <v>7.4</v>
      </c>
      <c r="I147" s="24" t="n">
        <f aca="false">DI_2Phase!AP81</f>
        <v>119.728285652644</v>
      </c>
      <c r="J147" s="24" t="n">
        <f aca="false">DI_2Phase!AQ81</f>
        <v>1920</v>
      </c>
      <c r="K147" s="24" t="n">
        <f aca="false">DI_2Phase!AR81</f>
        <v>0.0049663125</v>
      </c>
      <c r="L147" s="24" t="n">
        <f aca="false">DI_2Phase!AS81</f>
        <v>0.146484375</v>
      </c>
      <c r="M147" s="24" t="n">
        <f aca="false">DI_2Phase!AT81</f>
        <v>45</v>
      </c>
      <c r="N147" s="24" t="n">
        <f aca="false">DI_2Phase!AU81</f>
        <v>0.0234375</v>
      </c>
      <c r="O147" s="24" t="n">
        <f aca="false">DI_2Phase!AV81</f>
        <v>0.4</v>
      </c>
      <c r="P147" s="24" t="n">
        <f aca="false">DI_2Phase!AW81</f>
        <v>132.001836547291</v>
      </c>
      <c r="Q147" s="24" t="n">
        <f aca="false">DI_2Phase!AX81</f>
        <v>0.0605035700864337</v>
      </c>
      <c r="R147" s="24" t="n">
        <f aca="false">DI_2Phase!AY81</f>
        <v>1</v>
      </c>
      <c r="S147" s="24" t="n">
        <f aca="false">DI_2Phase!AZ81</f>
        <v>0.00332183942567495</v>
      </c>
      <c r="T147" s="24" t="n">
        <f aca="false">DI_2Phase!BA81</f>
        <v>0.00265747154053996</v>
      </c>
      <c r="U147" s="24" t="n">
        <f aca="false">DI_2Phase!BB81</f>
        <v>0.00398620731080994</v>
      </c>
      <c r="V147" s="77" t="str">
        <f aca="false">DI_2Phase!BC81</f>
        <v>https://www.sciencedirect.com/science/article/pii/S0043164815003749</v>
      </c>
    </row>
    <row r="148" customFormat="false" ht="12.8" hidden="false" customHeight="false" outlineLevel="0" collapsed="false">
      <c r="A148" s="15" t="n">
        <v>146</v>
      </c>
      <c r="B148" s="20" t="str">
        <f aca="false">DI_2Phase!AI82</f>
        <v>DI</v>
      </c>
      <c r="C148" s="20" t="str">
        <f aca="false">DI_2Phase!AJ82</f>
        <v>Liquid-Solid</v>
      </c>
      <c r="D148" s="20" t="str">
        <f aca="false">DI_2Phase!AK82</f>
        <v>V-H</v>
      </c>
      <c r="E148" s="48" t="n">
        <f aca="false">DI_2Phase!AL82</f>
        <v>90</v>
      </c>
      <c r="F148" s="78" t="n">
        <f aca="false">DI_2Phase!AM82</f>
        <v>1E-006</v>
      </c>
      <c r="G148" s="24" t="n">
        <f aca="false">DI_2Phase!AN82*0+MAX($G$3:$G$68)</f>
        <v>336</v>
      </c>
      <c r="H148" s="24" t="n">
        <f aca="false">DI_2Phase!AO82</f>
        <v>7.4</v>
      </c>
      <c r="I148" s="24" t="n">
        <f aca="false">DI_2Phase!AP82</f>
        <v>119.728285652644</v>
      </c>
      <c r="J148" s="24" t="n">
        <f aca="false">DI_2Phase!AQ82</f>
        <v>1920</v>
      </c>
      <c r="K148" s="24" t="n">
        <f aca="false">DI_2Phase!AR82</f>
        <v>0.0049663125</v>
      </c>
      <c r="L148" s="24" t="n">
        <f aca="false">DI_2Phase!AS82</f>
        <v>0.146484375</v>
      </c>
      <c r="M148" s="24" t="n">
        <f aca="false">DI_2Phase!AT82</f>
        <v>45</v>
      </c>
      <c r="N148" s="24" t="n">
        <f aca="false">DI_2Phase!AU82</f>
        <v>0.0234375</v>
      </c>
      <c r="O148" s="24" t="n">
        <f aca="false">DI_2Phase!AV82</f>
        <v>0.4</v>
      </c>
      <c r="P148" s="24" t="n">
        <f aca="false">DI_2Phase!AW82</f>
        <v>132.001836547291</v>
      </c>
      <c r="Q148" s="24" t="n">
        <f aca="false">DI_2Phase!AX82</f>
        <v>0.0605035700864337</v>
      </c>
      <c r="R148" s="24" t="n">
        <f aca="false">DI_2Phase!AY82</f>
        <v>1</v>
      </c>
      <c r="S148" s="24" t="n">
        <f aca="false">DI_2Phase!AZ82</f>
        <v>0.00255097624172227</v>
      </c>
      <c r="T148" s="24" t="n">
        <f aca="false">DI_2Phase!BA82</f>
        <v>0.00204078099337782</v>
      </c>
      <c r="U148" s="24" t="n">
        <f aca="false">DI_2Phase!BB82</f>
        <v>0.00306117149006672</v>
      </c>
      <c r="V148" s="77" t="str">
        <f aca="false">DI_2Phase!BC82</f>
        <v>https://www.sciencedirect.com/science/article/pii/S0043164815003749</v>
      </c>
    </row>
    <row r="149" customFormat="false" ht="12.8" hidden="false" customHeight="false" outlineLevel="0" collapsed="false">
      <c r="A149" s="15" t="n">
        <v>147</v>
      </c>
      <c r="B149" s="20" t="str">
        <f aca="false">DI_2Phase!AI83</f>
        <v>DI</v>
      </c>
      <c r="C149" s="20" t="str">
        <f aca="false">DI_2Phase!AJ83</f>
        <v>Liquid-Solid</v>
      </c>
      <c r="D149" s="20" t="str">
        <f aca="false">DI_2Phase!AK83</f>
        <v>V-H</v>
      </c>
      <c r="E149" s="48" t="n">
        <f aca="false">DI_2Phase!AL83</f>
        <v>90</v>
      </c>
      <c r="F149" s="78" t="n">
        <f aca="false">DI_2Phase!AM83</f>
        <v>1E-006</v>
      </c>
      <c r="G149" s="24" t="n">
        <f aca="false">DI_2Phase!AN83*0+MAX($G$3:$G$68)</f>
        <v>336</v>
      </c>
      <c r="H149" s="24" t="n">
        <f aca="false">DI_2Phase!AO83</f>
        <v>7.4</v>
      </c>
      <c r="I149" s="24" t="n">
        <f aca="false">DI_2Phase!AP83</f>
        <v>119.728285652644</v>
      </c>
      <c r="J149" s="24" t="n">
        <f aca="false">DI_2Phase!AQ83</f>
        <v>1920</v>
      </c>
      <c r="K149" s="24" t="n">
        <f aca="false">DI_2Phase!AR83</f>
        <v>0.0049663125</v>
      </c>
      <c r="L149" s="24" t="n">
        <f aca="false">DI_2Phase!AS83</f>
        <v>0.146484375</v>
      </c>
      <c r="M149" s="24" t="n">
        <f aca="false">DI_2Phase!AT83</f>
        <v>45</v>
      </c>
      <c r="N149" s="24" t="n">
        <f aca="false">DI_2Phase!AU83</f>
        <v>0.0234375</v>
      </c>
      <c r="O149" s="24" t="n">
        <f aca="false">DI_2Phase!AV83</f>
        <v>0.4</v>
      </c>
      <c r="P149" s="24" t="n">
        <f aca="false">DI_2Phase!AW83</f>
        <v>132.001836547291</v>
      </c>
      <c r="Q149" s="24" t="n">
        <f aca="false">DI_2Phase!AX83</f>
        <v>0.0605035700864337</v>
      </c>
      <c r="R149" s="24" t="n">
        <f aca="false">DI_2Phase!AY83</f>
        <v>1</v>
      </c>
      <c r="S149" s="24" t="n">
        <f aca="false">DI_2Phase!AZ83</f>
        <v>0.00255347829764524</v>
      </c>
      <c r="T149" s="24" t="n">
        <f aca="false">DI_2Phase!BA83</f>
        <v>0.00204278263811619</v>
      </c>
      <c r="U149" s="24" t="n">
        <f aca="false">DI_2Phase!BB83</f>
        <v>0.00306417395717429</v>
      </c>
      <c r="V149" s="77" t="str">
        <f aca="false">DI_2Phase!BC83</f>
        <v>https://www.sciencedirect.com/science/article/pii/S0043164815003749</v>
      </c>
    </row>
    <row r="150" customFormat="false" ht="12.8" hidden="false" customHeight="false" outlineLevel="0" collapsed="false">
      <c r="A150" s="15" t="n">
        <v>148</v>
      </c>
      <c r="B150" s="20" t="str">
        <f aca="false">DI_2Phase!AI84</f>
        <v>DI</v>
      </c>
      <c r="C150" s="20" t="str">
        <f aca="false">DI_2Phase!AJ84</f>
        <v>Liquid-Solid</v>
      </c>
      <c r="D150" s="20" t="str">
        <f aca="false">DI_2Phase!AK84</f>
        <v>V-H</v>
      </c>
      <c r="E150" s="48" t="n">
        <f aca="false">DI_2Phase!AL84</f>
        <v>90</v>
      </c>
      <c r="F150" s="78" t="n">
        <f aca="false">DI_2Phase!AM84</f>
        <v>1E-006</v>
      </c>
      <c r="G150" s="24" t="n">
        <f aca="false">DI_2Phase!AN84*0+MAX($G$3:$G$68)</f>
        <v>336</v>
      </c>
      <c r="H150" s="24" t="n">
        <f aca="false">DI_2Phase!AO84</f>
        <v>7.4</v>
      </c>
      <c r="I150" s="24" t="n">
        <f aca="false">DI_2Phase!AP84</f>
        <v>119.728285652644</v>
      </c>
      <c r="J150" s="24" t="n">
        <f aca="false">DI_2Phase!AQ84</f>
        <v>1920</v>
      </c>
      <c r="K150" s="24" t="n">
        <f aca="false">DI_2Phase!AR84</f>
        <v>0.0049663125</v>
      </c>
      <c r="L150" s="24" t="n">
        <f aca="false">DI_2Phase!AS84</f>
        <v>0.146484375</v>
      </c>
      <c r="M150" s="24" t="n">
        <f aca="false">DI_2Phase!AT84</f>
        <v>45</v>
      </c>
      <c r="N150" s="24" t="n">
        <f aca="false">DI_2Phase!AU84</f>
        <v>0.0234375</v>
      </c>
      <c r="O150" s="24" t="n">
        <f aca="false">DI_2Phase!AV84</f>
        <v>0.4</v>
      </c>
      <c r="P150" s="24" t="n">
        <f aca="false">DI_2Phase!AW84</f>
        <v>132.001836547291</v>
      </c>
      <c r="Q150" s="24" t="n">
        <f aca="false">DI_2Phase!AX84</f>
        <v>0.0605035700864337</v>
      </c>
      <c r="R150" s="24" t="n">
        <f aca="false">DI_2Phase!AY84</f>
        <v>1</v>
      </c>
      <c r="S150" s="24" t="n">
        <f aca="false">DI_2Phase!AZ84</f>
        <v>0.00275054804109346</v>
      </c>
      <c r="T150" s="24" t="n">
        <f aca="false">DI_2Phase!BA84</f>
        <v>0.00220043843287477</v>
      </c>
      <c r="U150" s="24" t="n">
        <f aca="false">DI_2Phase!BB84</f>
        <v>0.00330065764931215</v>
      </c>
      <c r="V150" s="77" t="str">
        <f aca="false">DI_2Phase!BC84</f>
        <v>https://www.sciencedirect.com/science/article/pii/S0043164815003749</v>
      </c>
    </row>
    <row r="151" customFormat="false" ht="12.8" hidden="false" customHeight="false" outlineLevel="0" collapsed="false">
      <c r="A151" s="15" t="n">
        <v>149</v>
      </c>
      <c r="B151" s="20" t="str">
        <f aca="false">DI_2Phase!AI85</f>
        <v>DI</v>
      </c>
      <c r="C151" s="20" t="str">
        <f aca="false">DI_2Phase!AJ85</f>
        <v>Liquid-Solid</v>
      </c>
      <c r="D151" s="20" t="str">
        <f aca="false">DI_2Phase!AK85</f>
        <v>V-H</v>
      </c>
      <c r="E151" s="48" t="n">
        <f aca="false">DI_2Phase!AL85</f>
        <v>90</v>
      </c>
      <c r="F151" s="78" t="n">
        <f aca="false">DI_2Phase!AM85</f>
        <v>1E-006</v>
      </c>
      <c r="G151" s="24" t="n">
        <f aca="false">DI_2Phase!AN85*0+MAX($G$3:$G$68)</f>
        <v>336</v>
      </c>
      <c r="H151" s="24" t="n">
        <f aca="false">DI_2Phase!AO85</f>
        <v>7.4</v>
      </c>
      <c r="I151" s="24" t="n">
        <f aca="false">DI_2Phase!AP85</f>
        <v>119.728285652644</v>
      </c>
      <c r="J151" s="24" t="n">
        <f aca="false">DI_2Phase!AQ85</f>
        <v>1920</v>
      </c>
      <c r="K151" s="24" t="n">
        <f aca="false">DI_2Phase!AR85</f>
        <v>0.0049663125</v>
      </c>
      <c r="L151" s="24" t="n">
        <f aca="false">DI_2Phase!AS85</f>
        <v>0.146484375</v>
      </c>
      <c r="M151" s="24" t="n">
        <f aca="false">DI_2Phase!AT85</f>
        <v>45</v>
      </c>
      <c r="N151" s="24" t="n">
        <f aca="false">DI_2Phase!AU85</f>
        <v>0.0234375</v>
      </c>
      <c r="O151" s="24" t="n">
        <f aca="false">DI_2Phase!AV85</f>
        <v>0.4</v>
      </c>
      <c r="P151" s="24" t="n">
        <f aca="false">DI_2Phase!AW85</f>
        <v>132.001836547291</v>
      </c>
      <c r="Q151" s="24" t="n">
        <f aca="false">DI_2Phase!AX85</f>
        <v>0.0605035700864337</v>
      </c>
      <c r="R151" s="24" t="n">
        <f aca="false">DI_2Phase!AY85</f>
        <v>1</v>
      </c>
      <c r="S151" s="24" t="n">
        <f aca="false">DI_2Phase!AZ85</f>
        <v>0.00281919727038795</v>
      </c>
      <c r="T151" s="24" t="n">
        <f aca="false">DI_2Phase!BA85</f>
        <v>0.00225535781631036</v>
      </c>
      <c r="U151" s="24" t="n">
        <f aca="false">DI_2Phase!BB85</f>
        <v>0.00338303672446554</v>
      </c>
      <c r="V151" s="77" t="str">
        <f aca="false">DI_2Phase!BC85</f>
        <v>https://www.sciencedirect.com/science/article/pii/S0043164815003749</v>
      </c>
    </row>
    <row r="152" customFormat="false" ht="12.8" hidden="false" customHeight="false" outlineLevel="0" collapsed="false">
      <c r="A152" s="15" t="n">
        <v>150</v>
      </c>
      <c r="B152" s="20" t="str">
        <f aca="false">DI_2Phase!AI86</f>
        <v>DI</v>
      </c>
      <c r="C152" s="20" t="str">
        <f aca="false">DI_2Phase!AJ86</f>
        <v>Liquid-Solid</v>
      </c>
      <c r="D152" s="20" t="str">
        <f aca="false">DI_2Phase!AK86</f>
        <v>V-H</v>
      </c>
      <c r="E152" s="48" t="n">
        <f aca="false">DI_2Phase!AL86</f>
        <v>90</v>
      </c>
      <c r="F152" s="78" t="n">
        <f aca="false">DI_2Phase!AM86</f>
        <v>1E-006</v>
      </c>
      <c r="G152" s="24" t="n">
        <f aca="false">DI_2Phase!AN86*0+MAX($G$3:$G$68)</f>
        <v>336</v>
      </c>
      <c r="H152" s="24" t="n">
        <f aca="false">DI_2Phase!AO86</f>
        <v>7.4</v>
      </c>
      <c r="I152" s="24" t="n">
        <f aca="false">DI_2Phase!AP86</f>
        <v>119.728285652644</v>
      </c>
      <c r="J152" s="24" t="n">
        <f aca="false">DI_2Phase!AQ86</f>
        <v>1920</v>
      </c>
      <c r="K152" s="24" t="n">
        <f aca="false">DI_2Phase!AR86</f>
        <v>0.0049663125</v>
      </c>
      <c r="L152" s="24" t="n">
        <f aca="false">DI_2Phase!AS86</f>
        <v>0.146484375</v>
      </c>
      <c r="M152" s="24" t="n">
        <f aca="false">DI_2Phase!AT86</f>
        <v>45</v>
      </c>
      <c r="N152" s="24" t="n">
        <f aca="false">DI_2Phase!AU86</f>
        <v>0.0234375</v>
      </c>
      <c r="O152" s="24" t="n">
        <f aca="false">DI_2Phase!AV86</f>
        <v>0.4</v>
      </c>
      <c r="P152" s="24" t="n">
        <f aca="false">DI_2Phase!AW86</f>
        <v>132.001836547291</v>
      </c>
      <c r="Q152" s="24" t="n">
        <f aca="false">DI_2Phase!AX86</f>
        <v>0.0605035700864337</v>
      </c>
      <c r="R152" s="24" t="n">
        <f aca="false">DI_2Phase!AY86</f>
        <v>1</v>
      </c>
      <c r="S152" s="24" t="n">
        <f aca="false">DI_2Phase!AZ86</f>
        <v>0.00308926214061574</v>
      </c>
      <c r="T152" s="24" t="n">
        <f aca="false">DI_2Phase!BA86</f>
        <v>0.00247140971249259</v>
      </c>
      <c r="U152" s="24" t="n">
        <f aca="false">DI_2Phase!BB86</f>
        <v>0.00370711456873889</v>
      </c>
      <c r="V152" s="77" t="str">
        <f aca="false">DI_2Phase!BC86</f>
        <v>https://www.sciencedirect.com/science/article/pii/S0043164815003749</v>
      </c>
    </row>
    <row r="153" customFormat="false" ht="12.8" hidden="false" customHeight="false" outlineLevel="0" collapsed="false">
      <c r="A153" s="15" t="n">
        <v>151</v>
      </c>
      <c r="B153" s="20" t="str">
        <f aca="false">DI_2Phase!AI87</f>
        <v>DI</v>
      </c>
      <c r="C153" s="20" t="str">
        <f aca="false">DI_2Phase!AJ87</f>
        <v>Liquid-Solid</v>
      </c>
      <c r="D153" s="20" t="str">
        <f aca="false">DI_2Phase!AK87</f>
        <v>V-H</v>
      </c>
      <c r="E153" s="48" t="n">
        <f aca="false">DI_2Phase!AL87</f>
        <v>90</v>
      </c>
      <c r="F153" s="78" t="n">
        <f aca="false">DI_2Phase!AM87</f>
        <v>1E-006</v>
      </c>
      <c r="G153" s="24" t="n">
        <f aca="false">DI_2Phase!AN87*0+MAX($G$3:$G$68)</f>
        <v>336</v>
      </c>
      <c r="H153" s="24" t="n">
        <f aca="false">DI_2Phase!AO87</f>
        <v>7.4</v>
      </c>
      <c r="I153" s="24" t="n">
        <f aca="false">DI_2Phase!AP87</f>
        <v>119.728285652644</v>
      </c>
      <c r="J153" s="24" t="n">
        <f aca="false">DI_2Phase!AQ87</f>
        <v>1920</v>
      </c>
      <c r="K153" s="24" t="n">
        <f aca="false">DI_2Phase!AR87</f>
        <v>0.0049663125</v>
      </c>
      <c r="L153" s="24" t="n">
        <f aca="false">DI_2Phase!AS87</f>
        <v>0.146484375</v>
      </c>
      <c r="M153" s="24" t="n">
        <f aca="false">DI_2Phase!AT87</f>
        <v>45</v>
      </c>
      <c r="N153" s="24" t="n">
        <f aca="false">DI_2Phase!AU87</f>
        <v>0.0234375</v>
      </c>
      <c r="O153" s="24" t="n">
        <f aca="false">DI_2Phase!AV87</f>
        <v>0.4</v>
      </c>
      <c r="P153" s="24" t="n">
        <f aca="false">DI_2Phase!AW87</f>
        <v>132.001836547291</v>
      </c>
      <c r="Q153" s="24" t="n">
        <f aca="false">DI_2Phase!AX87</f>
        <v>0.0605035700864337</v>
      </c>
      <c r="R153" s="24" t="n">
        <f aca="false">DI_2Phase!AY87</f>
        <v>1</v>
      </c>
      <c r="S153" s="24" t="n">
        <f aca="false">DI_2Phase!AZ87</f>
        <v>0.00326491898442043</v>
      </c>
      <c r="T153" s="24" t="n">
        <f aca="false">DI_2Phase!BA87</f>
        <v>0.00261193518753634</v>
      </c>
      <c r="U153" s="24" t="n">
        <f aca="false">DI_2Phase!BB87</f>
        <v>0.00391790278130452</v>
      </c>
      <c r="V153" s="77" t="str">
        <f aca="false">DI_2Phase!BC87</f>
        <v>https://www.sciencedirect.com/science/article/pii/S0043164815003749</v>
      </c>
    </row>
    <row r="154" customFormat="false" ht="12.8" hidden="false" customHeight="false" outlineLevel="0" collapsed="false">
      <c r="A154" s="15" t="n">
        <v>152</v>
      </c>
      <c r="B154" s="20" t="str">
        <f aca="false">DI_2Phase!AI88</f>
        <v>DI</v>
      </c>
      <c r="C154" s="20" t="str">
        <f aca="false">DI_2Phase!AJ88</f>
        <v>Liquid-Solid</v>
      </c>
      <c r="D154" s="20" t="str">
        <f aca="false">DI_2Phase!AK88</f>
        <v>V-H</v>
      </c>
      <c r="E154" s="48" t="n">
        <f aca="false">DI_2Phase!AL88</f>
        <v>90</v>
      </c>
      <c r="F154" s="78" t="n">
        <f aca="false">DI_2Phase!AM88</f>
        <v>1E-006</v>
      </c>
      <c r="G154" s="24" t="n">
        <f aca="false">DI_2Phase!AN88*0+MAX($G$3:$G$68)</f>
        <v>336</v>
      </c>
      <c r="H154" s="24" t="n">
        <f aca="false">DI_2Phase!AO88</f>
        <v>7.4</v>
      </c>
      <c r="I154" s="24" t="n">
        <f aca="false">DI_2Phase!AP88</f>
        <v>119.728285652644</v>
      </c>
      <c r="J154" s="24" t="n">
        <f aca="false">DI_2Phase!AQ88</f>
        <v>1920</v>
      </c>
      <c r="K154" s="24" t="n">
        <f aca="false">DI_2Phase!AR88</f>
        <v>0.0049663125</v>
      </c>
      <c r="L154" s="24" t="n">
        <f aca="false">DI_2Phase!AS88</f>
        <v>0.146484375</v>
      </c>
      <c r="M154" s="24" t="n">
        <f aca="false">DI_2Phase!AT88</f>
        <v>45</v>
      </c>
      <c r="N154" s="24" t="n">
        <f aca="false">DI_2Phase!AU88</f>
        <v>0.0234375</v>
      </c>
      <c r="O154" s="24" t="n">
        <f aca="false">DI_2Phase!AV88</f>
        <v>0.4</v>
      </c>
      <c r="P154" s="24" t="n">
        <f aca="false">DI_2Phase!AW88</f>
        <v>132.001836547291</v>
      </c>
      <c r="Q154" s="24" t="n">
        <f aca="false">DI_2Phase!AX88</f>
        <v>0.0605035700864337</v>
      </c>
      <c r="R154" s="24" t="n">
        <f aca="false">DI_2Phase!AY88</f>
        <v>1</v>
      </c>
      <c r="S154" s="24" t="n">
        <f aca="false">DI_2Phase!AZ88</f>
        <v>0.00377543550317921</v>
      </c>
      <c r="T154" s="24" t="n">
        <f aca="false">DI_2Phase!BA88</f>
        <v>0.00302034840254337</v>
      </c>
      <c r="U154" s="24" t="n">
        <f aca="false">DI_2Phase!BB88</f>
        <v>0.00453052260381505</v>
      </c>
      <c r="V154" s="77" t="str">
        <f aca="false">DI_2Phase!BC88</f>
        <v>https://www.sciencedirect.com/science/article/pii/S0043164815003749</v>
      </c>
    </row>
    <row r="155" customFormat="false" ht="12.8" hidden="false" customHeight="false" outlineLevel="0" collapsed="false">
      <c r="A155" s="15" t="n">
        <v>153</v>
      </c>
      <c r="B155" s="20" t="str">
        <f aca="false">DI_2Phase!AI89</f>
        <v>DI</v>
      </c>
      <c r="C155" s="20" t="str">
        <f aca="false">DI_2Phase!AJ89</f>
        <v>Liquid-Solid</v>
      </c>
      <c r="D155" s="20" t="str">
        <f aca="false">DI_2Phase!AK89</f>
        <v>V-H</v>
      </c>
      <c r="E155" s="48" t="n">
        <f aca="false">DI_2Phase!AL89</f>
        <v>90</v>
      </c>
      <c r="F155" s="78" t="n">
        <f aca="false">DI_2Phase!AM89</f>
        <v>1E-006</v>
      </c>
      <c r="G155" s="24" t="n">
        <f aca="false">DI_2Phase!AN89*0+MAX($G$3:$G$68)</f>
        <v>336</v>
      </c>
      <c r="H155" s="24" t="n">
        <f aca="false">DI_2Phase!AO89</f>
        <v>7.4</v>
      </c>
      <c r="I155" s="24" t="n">
        <f aca="false">DI_2Phase!AP89</f>
        <v>119.728285652644</v>
      </c>
      <c r="J155" s="24" t="n">
        <f aca="false">DI_2Phase!AQ89</f>
        <v>1920</v>
      </c>
      <c r="K155" s="24" t="n">
        <f aca="false">DI_2Phase!AR89</f>
        <v>0.0049663125</v>
      </c>
      <c r="L155" s="24" t="n">
        <f aca="false">DI_2Phase!AS89</f>
        <v>0.146484375</v>
      </c>
      <c r="M155" s="24" t="n">
        <f aca="false">DI_2Phase!AT89</f>
        <v>45</v>
      </c>
      <c r="N155" s="24" t="n">
        <f aca="false">DI_2Phase!AU89</f>
        <v>0.0234375</v>
      </c>
      <c r="O155" s="24" t="n">
        <f aca="false">DI_2Phase!AV89</f>
        <v>0.4</v>
      </c>
      <c r="P155" s="24" t="n">
        <f aca="false">DI_2Phase!AW89</f>
        <v>132.001836547291</v>
      </c>
      <c r="Q155" s="24" t="n">
        <f aca="false">DI_2Phase!AX89</f>
        <v>0.0340030911901082</v>
      </c>
      <c r="R155" s="24" t="n">
        <f aca="false">DI_2Phase!AY89</f>
        <v>1</v>
      </c>
      <c r="S155" s="24" t="n">
        <f aca="false">DI_2Phase!AZ89</f>
        <v>0.00276215726754453</v>
      </c>
      <c r="T155" s="24" t="n">
        <f aca="false">DI_2Phase!BA89</f>
        <v>0.00220972581403562</v>
      </c>
      <c r="U155" s="24" t="n">
        <f aca="false">DI_2Phase!BB89</f>
        <v>0.00331458872105344</v>
      </c>
      <c r="V155" s="77" t="str">
        <f aca="false">DI_2Phase!BC89</f>
        <v>https://www.sciencedirect.com/science/article/pii/S0043164815003749</v>
      </c>
    </row>
    <row r="156" customFormat="false" ht="12.8" hidden="false" customHeight="false" outlineLevel="0" collapsed="false">
      <c r="A156" s="15" t="n">
        <v>154</v>
      </c>
      <c r="B156" s="20" t="str">
        <f aca="false">DI_2Phase!AI90</f>
        <v>DI</v>
      </c>
      <c r="C156" s="20" t="str">
        <f aca="false">DI_2Phase!AJ90</f>
        <v>Liquid-Solid</v>
      </c>
      <c r="D156" s="20" t="str">
        <f aca="false">DI_2Phase!AK90</f>
        <v>V-H</v>
      </c>
      <c r="E156" s="48" t="n">
        <f aca="false">DI_2Phase!AL90</f>
        <v>90</v>
      </c>
      <c r="F156" s="78" t="n">
        <f aca="false">DI_2Phase!AM90</f>
        <v>1E-006</v>
      </c>
      <c r="G156" s="24" t="n">
        <f aca="false">DI_2Phase!AN90*0+MAX($G$3:$G$68)</f>
        <v>336</v>
      </c>
      <c r="H156" s="24" t="n">
        <f aca="false">DI_2Phase!AO90</f>
        <v>7.4</v>
      </c>
      <c r="I156" s="24" t="n">
        <f aca="false">DI_2Phase!AP90</f>
        <v>119.728285652644</v>
      </c>
      <c r="J156" s="24" t="n">
        <f aca="false">DI_2Phase!AQ90</f>
        <v>1920</v>
      </c>
      <c r="K156" s="24" t="n">
        <f aca="false">DI_2Phase!AR90</f>
        <v>0.0049663125</v>
      </c>
      <c r="L156" s="24" t="n">
        <f aca="false">DI_2Phase!AS90</f>
        <v>0.146484375</v>
      </c>
      <c r="M156" s="24" t="n">
        <f aca="false">DI_2Phase!AT90</f>
        <v>45</v>
      </c>
      <c r="N156" s="24" t="n">
        <f aca="false">DI_2Phase!AU90</f>
        <v>0.0234375</v>
      </c>
      <c r="O156" s="24" t="n">
        <f aca="false">DI_2Phase!AV90</f>
        <v>0.4</v>
      </c>
      <c r="P156" s="24" t="n">
        <f aca="false">DI_2Phase!AW90</f>
        <v>132.001836547291</v>
      </c>
      <c r="Q156" s="24" t="n">
        <f aca="false">DI_2Phase!AX90</f>
        <v>0.0340030911901082</v>
      </c>
      <c r="R156" s="24" t="n">
        <f aca="false">DI_2Phase!AY90</f>
        <v>1</v>
      </c>
      <c r="S156" s="24" t="n">
        <f aca="false">DI_2Phase!AZ90</f>
        <v>0.00266767658666622</v>
      </c>
      <c r="T156" s="24" t="n">
        <f aca="false">DI_2Phase!BA90</f>
        <v>0.00213414126933298</v>
      </c>
      <c r="U156" s="24" t="n">
        <f aca="false">DI_2Phase!BB90</f>
        <v>0.00320121190399946</v>
      </c>
      <c r="V156" s="77" t="str">
        <f aca="false">DI_2Phase!BC90</f>
        <v>https://www.sciencedirect.com/science/article/pii/S0043164815003749</v>
      </c>
    </row>
    <row r="157" customFormat="false" ht="12.8" hidden="false" customHeight="false" outlineLevel="0" collapsed="false">
      <c r="A157" s="15" t="n">
        <v>155</v>
      </c>
      <c r="B157" s="20" t="str">
        <f aca="false">DI_2Phase!AI91</f>
        <v>DI</v>
      </c>
      <c r="C157" s="20" t="str">
        <f aca="false">DI_2Phase!AJ91</f>
        <v>Liquid-Solid</v>
      </c>
      <c r="D157" s="20" t="str">
        <f aca="false">DI_2Phase!AK91</f>
        <v>V-H</v>
      </c>
      <c r="E157" s="48" t="n">
        <f aca="false">DI_2Phase!AL91</f>
        <v>90</v>
      </c>
      <c r="F157" s="78" t="n">
        <f aca="false">DI_2Phase!AM91</f>
        <v>1E-006</v>
      </c>
      <c r="G157" s="24" t="n">
        <f aca="false">DI_2Phase!AN91*0+MAX($G$3:$G$68)</f>
        <v>336</v>
      </c>
      <c r="H157" s="24" t="n">
        <f aca="false">DI_2Phase!AO91</f>
        <v>7.4</v>
      </c>
      <c r="I157" s="24" t="n">
        <f aca="false">DI_2Phase!AP91</f>
        <v>119.728285652644</v>
      </c>
      <c r="J157" s="24" t="n">
        <f aca="false">DI_2Phase!AQ91</f>
        <v>1920</v>
      </c>
      <c r="K157" s="24" t="n">
        <f aca="false">DI_2Phase!AR91</f>
        <v>0.0049663125</v>
      </c>
      <c r="L157" s="24" t="n">
        <f aca="false">DI_2Phase!AS91</f>
        <v>0.146484375</v>
      </c>
      <c r="M157" s="24" t="n">
        <f aca="false">DI_2Phase!AT91</f>
        <v>45</v>
      </c>
      <c r="N157" s="24" t="n">
        <f aca="false">DI_2Phase!AU91</f>
        <v>0.0234375</v>
      </c>
      <c r="O157" s="24" t="n">
        <f aca="false">DI_2Phase!AV91</f>
        <v>0.4</v>
      </c>
      <c r="P157" s="24" t="n">
        <f aca="false">DI_2Phase!AW91</f>
        <v>132.001836547291</v>
      </c>
      <c r="Q157" s="24" t="n">
        <f aca="false">DI_2Phase!AX91</f>
        <v>0.0340030911901082</v>
      </c>
      <c r="R157" s="24" t="n">
        <f aca="false">DI_2Phase!AY91</f>
        <v>1</v>
      </c>
      <c r="S157" s="24" t="n">
        <f aca="false">DI_2Phase!AZ91</f>
        <v>0.00222864284411791</v>
      </c>
      <c r="T157" s="24" t="n">
        <f aca="false">DI_2Phase!BA91</f>
        <v>0.00178291427529433</v>
      </c>
      <c r="U157" s="24" t="n">
        <f aca="false">DI_2Phase!BB91</f>
        <v>0.00267437141294149</v>
      </c>
      <c r="V157" s="77" t="str">
        <f aca="false">DI_2Phase!BC91</f>
        <v>https://www.sciencedirect.com/science/article/pii/S0043164815003749</v>
      </c>
    </row>
    <row r="158" customFormat="false" ht="12.8" hidden="false" customHeight="false" outlineLevel="0" collapsed="false">
      <c r="A158" s="15" t="n">
        <v>156</v>
      </c>
      <c r="B158" s="20" t="str">
        <f aca="false">DI_2Phase!AI92</f>
        <v>DI</v>
      </c>
      <c r="C158" s="20" t="str">
        <f aca="false">DI_2Phase!AJ92</f>
        <v>Liquid-Solid</v>
      </c>
      <c r="D158" s="20" t="str">
        <f aca="false">DI_2Phase!AK92</f>
        <v>V-H</v>
      </c>
      <c r="E158" s="48" t="n">
        <f aca="false">DI_2Phase!AL92</f>
        <v>90</v>
      </c>
      <c r="F158" s="78" t="n">
        <f aca="false">DI_2Phase!AM92</f>
        <v>1E-006</v>
      </c>
      <c r="G158" s="24" t="n">
        <f aca="false">DI_2Phase!AN92*0+MAX($G$3:$G$68)</f>
        <v>336</v>
      </c>
      <c r="H158" s="24" t="n">
        <f aca="false">DI_2Phase!AO92</f>
        <v>7.4</v>
      </c>
      <c r="I158" s="24" t="n">
        <f aca="false">DI_2Phase!AP92</f>
        <v>119.728285652644</v>
      </c>
      <c r="J158" s="24" t="n">
        <f aca="false">DI_2Phase!AQ92</f>
        <v>1920</v>
      </c>
      <c r="K158" s="24" t="n">
        <f aca="false">DI_2Phase!AR92</f>
        <v>0.0049663125</v>
      </c>
      <c r="L158" s="24" t="n">
        <f aca="false">DI_2Phase!AS92</f>
        <v>0.146484375</v>
      </c>
      <c r="M158" s="24" t="n">
        <f aca="false">DI_2Phase!AT92</f>
        <v>45</v>
      </c>
      <c r="N158" s="24" t="n">
        <f aca="false">DI_2Phase!AU92</f>
        <v>0.0234375</v>
      </c>
      <c r="O158" s="24" t="n">
        <f aca="false">DI_2Phase!AV92</f>
        <v>0.4</v>
      </c>
      <c r="P158" s="24" t="n">
        <f aca="false">DI_2Phase!AW92</f>
        <v>132.001836547291</v>
      </c>
      <c r="Q158" s="24" t="n">
        <f aca="false">DI_2Phase!AX92</f>
        <v>0.0340030911901082</v>
      </c>
      <c r="R158" s="24" t="n">
        <f aca="false">DI_2Phase!AY92</f>
        <v>1</v>
      </c>
      <c r="S158" s="24" t="n">
        <f aca="false">DI_2Phase!AZ92</f>
        <v>0.00218227216556397</v>
      </c>
      <c r="T158" s="24" t="n">
        <f aca="false">DI_2Phase!BA92</f>
        <v>0.00174581773245118</v>
      </c>
      <c r="U158" s="24" t="n">
        <f aca="false">DI_2Phase!BB92</f>
        <v>0.00261872659867676</v>
      </c>
      <c r="V158" s="77" t="str">
        <f aca="false">DI_2Phase!BC92</f>
        <v>https://www.sciencedirect.com/science/article/pii/S0043164815003749</v>
      </c>
    </row>
    <row r="159" customFormat="false" ht="12.8" hidden="false" customHeight="false" outlineLevel="0" collapsed="false">
      <c r="A159" s="15" t="n">
        <v>157</v>
      </c>
      <c r="B159" s="20" t="str">
        <f aca="false">DI_2Phase!AI93</f>
        <v>DI</v>
      </c>
      <c r="C159" s="20" t="str">
        <f aca="false">DI_2Phase!AJ93</f>
        <v>Liquid-Solid</v>
      </c>
      <c r="D159" s="20" t="str">
        <f aca="false">DI_2Phase!AK93</f>
        <v>V-H</v>
      </c>
      <c r="E159" s="48" t="n">
        <f aca="false">DI_2Phase!AL93</f>
        <v>90</v>
      </c>
      <c r="F159" s="78" t="n">
        <f aca="false">DI_2Phase!AM93</f>
        <v>1E-006</v>
      </c>
      <c r="G159" s="24" t="n">
        <f aca="false">DI_2Phase!AN93*0+MAX($G$3:$G$68)</f>
        <v>336</v>
      </c>
      <c r="H159" s="24" t="n">
        <f aca="false">DI_2Phase!AO93</f>
        <v>7.4</v>
      </c>
      <c r="I159" s="24" t="n">
        <f aca="false">DI_2Phase!AP93</f>
        <v>119.728285652644</v>
      </c>
      <c r="J159" s="24" t="n">
        <f aca="false">DI_2Phase!AQ93</f>
        <v>1920</v>
      </c>
      <c r="K159" s="24" t="n">
        <f aca="false">DI_2Phase!AR93</f>
        <v>0.0049663125</v>
      </c>
      <c r="L159" s="24" t="n">
        <f aca="false">DI_2Phase!AS93</f>
        <v>0.146484375</v>
      </c>
      <c r="M159" s="24" t="n">
        <f aca="false">DI_2Phase!AT93</f>
        <v>45</v>
      </c>
      <c r="N159" s="24" t="n">
        <f aca="false">DI_2Phase!AU93</f>
        <v>0.0234375</v>
      </c>
      <c r="O159" s="24" t="n">
        <f aca="false">DI_2Phase!AV93</f>
        <v>0.4</v>
      </c>
      <c r="P159" s="24" t="n">
        <f aca="false">DI_2Phase!AW93</f>
        <v>132.001836547291</v>
      </c>
      <c r="Q159" s="24" t="n">
        <f aca="false">DI_2Phase!AX93</f>
        <v>0.0340030911901082</v>
      </c>
      <c r="R159" s="24" t="n">
        <f aca="false">DI_2Phase!AY93</f>
        <v>1</v>
      </c>
      <c r="S159" s="24" t="n">
        <f aca="false">DI_2Phase!AZ93</f>
        <v>0.00207958249524656</v>
      </c>
      <c r="T159" s="24" t="n">
        <f aca="false">DI_2Phase!BA93</f>
        <v>0.00166366599619725</v>
      </c>
      <c r="U159" s="24" t="n">
        <f aca="false">DI_2Phase!BB93</f>
        <v>0.00249549899429587</v>
      </c>
      <c r="V159" s="77" t="str">
        <f aca="false">DI_2Phase!BC93</f>
        <v>https://www.sciencedirect.com/science/article/pii/S0043164815003749</v>
      </c>
    </row>
    <row r="160" customFormat="false" ht="12.8" hidden="false" customHeight="false" outlineLevel="0" collapsed="false">
      <c r="A160" s="15" t="n">
        <v>158</v>
      </c>
      <c r="B160" s="20" t="str">
        <f aca="false">DI_2Phase!AI94</f>
        <v>DI</v>
      </c>
      <c r="C160" s="20" t="str">
        <f aca="false">DI_2Phase!AJ94</f>
        <v>Liquid-Solid</v>
      </c>
      <c r="D160" s="20" t="str">
        <f aca="false">DI_2Phase!AK94</f>
        <v>V-H</v>
      </c>
      <c r="E160" s="48" t="n">
        <f aca="false">DI_2Phase!AL94</f>
        <v>90</v>
      </c>
      <c r="F160" s="78" t="n">
        <f aca="false">DI_2Phase!AM94</f>
        <v>1E-006</v>
      </c>
      <c r="G160" s="24" t="n">
        <f aca="false">DI_2Phase!AN94*0+MAX($G$3:$G$68)</f>
        <v>336</v>
      </c>
      <c r="H160" s="24" t="n">
        <f aca="false">DI_2Phase!AO94</f>
        <v>7.4</v>
      </c>
      <c r="I160" s="24" t="n">
        <f aca="false">DI_2Phase!AP94</f>
        <v>119.728285652644</v>
      </c>
      <c r="J160" s="24" t="n">
        <f aca="false">DI_2Phase!AQ94</f>
        <v>1920</v>
      </c>
      <c r="K160" s="24" t="n">
        <f aca="false">DI_2Phase!AR94</f>
        <v>0.0049663125</v>
      </c>
      <c r="L160" s="24" t="n">
        <f aca="false">DI_2Phase!AS94</f>
        <v>0.146484375</v>
      </c>
      <c r="M160" s="24" t="n">
        <f aca="false">DI_2Phase!AT94</f>
        <v>45</v>
      </c>
      <c r="N160" s="24" t="n">
        <f aca="false">DI_2Phase!AU94</f>
        <v>0.0234375</v>
      </c>
      <c r="O160" s="24" t="n">
        <f aca="false">DI_2Phase!AV94</f>
        <v>0.4</v>
      </c>
      <c r="P160" s="24" t="n">
        <f aca="false">DI_2Phase!AW94</f>
        <v>132.001836547291</v>
      </c>
      <c r="Q160" s="24" t="n">
        <f aca="false">DI_2Phase!AX94</f>
        <v>0.0340030911901082</v>
      </c>
      <c r="R160" s="24" t="n">
        <f aca="false">DI_2Phase!AY94</f>
        <v>1</v>
      </c>
      <c r="S160" s="24" t="n">
        <f aca="false">DI_2Phase!AZ94</f>
        <v>0.00216797821725611</v>
      </c>
      <c r="T160" s="24" t="n">
        <f aca="false">DI_2Phase!BA94</f>
        <v>0.00173438257380489</v>
      </c>
      <c r="U160" s="24" t="n">
        <f aca="false">DI_2Phase!BB94</f>
        <v>0.00260157386070733</v>
      </c>
      <c r="V160" s="77" t="str">
        <f aca="false">DI_2Phase!BC94</f>
        <v>https://www.sciencedirect.com/science/article/pii/S0043164815003749</v>
      </c>
    </row>
    <row r="161" customFormat="false" ht="12.8" hidden="false" customHeight="false" outlineLevel="0" collapsed="false">
      <c r="A161" s="15" t="n">
        <v>159</v>
      </c>
      <c r="B161" s="20" t="str">
        <f aca="false">DI_2Phase!AI95</f>
        <v>DI</v>
      </c>
      <c r="C161" s="20" t="str">
        <f aca="false">DI_2Phase!AJ95</f>
        <v>Liquid-Solid</v>
      </c>
      <c r="D161" s="20" t="str">
        <f aca="false">DI_2Phase!AK95</f>
        <v>V-H</v>
      </c>
      <c r="E161" s="48" t="n">
        <f aca="false">DI_2Phase!AL95</f>
        <v>90</v>
      </c>
      <c r="F161" s="78" t="n">
        <f aca="false">DI_2Phase!AM95</f>
        <v>1E-006</v>
      </c>
      <c r="G161" s="24" t="n">
        <f aca="false">DI_2Phase!AN95*0+MAX($G$3:$G$68)</f>
        <v>336</v>
      </c>
      <c r="H161" s="24" t="n">
        <f aca="false">DI_2Phase!AO95</f>
        <v>7.4</v>
      </c>
      <c r="I161" s="24" t="n">
        <f aca="false">DI_2Phase!AP95</f>
        <v>119.728285652644</v>
      </c>
      <c r="J161" s="24" t="n">
        <f aca="false">DI_2Phase!AQ95</f>
        <v>1920</v>
      </c>
      <c r="K161" s="24" t="n">
        <f aca="false">DI_2Phase!AR95</f>
        <v>0.0049663125</v>
      </c>
      <c r="L161" s="24" t="n">
        <f aca="false">DI_2Phase!AS95</f>
        <v>0.146484375</v>
      </c>
      <c r="M161" s="24" t="n">
        <f aca="false">DI_2Phase!AT95</f>
        <v>45</v>
      </c>
      <c r="N161" s="24" t="n">
        <f aca="false">DI_2Phase!AU95</f>
        <v>0.0234375</v>
      </c>
      <c r="O161" s="24" t="n">
        <f aca="false">DI_2Phase!AV95</f>
        <v>0.4</v>
      </c>
      <c r="P161" s="24" t="n">
        <f aca="false">DI_2Phase!AW95</f>
        <v>132.001836547291</v>
      </c>
      <c r="Q161" s="24" t="n">
        <f aca="false">DI_2Phase!AX95</f>
        <v>0.0340030911901082</v>
      </c>
      <c r="R161" s="24" t="n">
        <f aca="false">DI_2Phase!AY95</f>
        <v>1</v>
      </c>
      <c r="S161" s="24" t="n">
        <f aca="false">DI_2Phase!AZ95</f>
        <v>0.0017439903503109</v>
      </c>
      <c r="T161" s="24" t="n">
        <f aca="false">DI_2Phase!BA95</f>
        <v>0.00139519228024872</v>
      </c>
      <c r="U161" s="24" t="n">
        <f aca="false">DI_2Phase!BB95</f>
        <v>0.00209278842037308</v>
      </c>
      <c r="V161" s="77" t="str">
        <f aca="false">DI_2Phase!BC95</f>
        <v>https://www.sciencedirect.com/science/article/pii/S0043164815003749</v>
      </c>
    </row>
    <row r="162" customFormat="false" ht="12.8" hidden="false" customHeight="false" outlineLevel="0" collapsed="false">
      <c r="A162" s="15" t="n">
        <v>160</v>
      </c>
      <c r="B162" s="20" t="str">
        <f aca="false">DI_2Phase!AI96</f>
        <v>DI</v>
      </c>
      <c r="C162" s="20" t="str">
        <f aca="false">DI_2Phase!AJ96</f>
        <v>Liquid-Solid</v>
      </c>
      <c r="D162" s="20" t="str">
        <f aca="false">DI_2Phase!AK96</f>
        <v>V-H</v>
      </c>
      <c r="E162" s="48" t="n">
        <f aca="false">DI_2Phase!AL96</f>
        <v>90</v>
      </c>
      <c r="F162" s="78" t="n">
        <f aca="false">DI_2Phase!AM96</f>
        <v>1E-006</v>
      </c>
      <c r="G162" s="24" t="n">
        <f aca="false">DI_2Phase!AN96*0+MAX($G$3:$G$68)</f>
        <v>336</v>
      </c>
      <c r="H162" s="24" t="n">
        <f aca="false">DI_2Phase!AO96</f>
        <v>7.4</v>
      </c>
      <c r="I162" s="24" t="n">
        <f aca="false">DI_2Phase!AP96</f>
        <v>119.728285652644</v>
      </c>
      <c r="J162" s="24" t="n">
        <f aca="false">DI_2Phase!AQ96</f>
        <v>1920</v>
      </c>
      <c r="K162" s="24" t="n">
        <f aca="false">DI_2Phase!AR96</f>
        <v>0.0049663125</v>
      </c>
      <c r="L162" s="24" t="n">
        <f aca="false">DI_2Phase!AS96</f>
        <v>0.146484375</v>
      </c>
      <c r="M162" s="24" t="n">
        <f aca="false">DI_2Phase!AT96</f>
        <v>45</v>
      </c>
      <c r="N162" s="24" t="n">
        <f aca="false">DI_2Phase!AU96</f>
        <v>0.0234375</v>
      </c>
      <c r="O162" s="24" t="n">
        <f aca="false">DI_2Phase!AV96</f>
        <v>0.4</v>
      </c>
      <c r="P162" s="24" t="n">
        <f aca="false">DI_2Phase!AW96</f>
        <v>132.001836547291</v>
      </c>
      <c r="Q162" s="24" t="n">
        <f aca="false">DI_2Phase!AX96</f>
        <v>0.0340030911901082</v>
      </c>
      <c r="R162" s="24" t="n">
        <f aca="false">DI_2Phase!AY96</f>
        <v>1</v>
      </c>
      <c r="S162" s="24" t="n">
        <f aca="false">DI_2Phase!AZ96</f>
        <v>0.00271961204764044</v>
      </c>
      <c r="T162" s="24" t="n">
        <f aca="false">DI_2Phase!BA96</f>
        <v>0.00217568963811235</v>
      </c>
      <c r="U162" s="24" t="n">
        <f aca="false">DI_2Phase!BB96</f>
        <v>0.00326353445716853</v>
      </c>
      <c r="V162" s="77" t="str">
        <f aca="false">DI_2Phase!BC96</f>
        <v>https://www.sciencedirect.com/science/article/pii/S0043164815003749</v>
      </c>
    </row>
    <row r="163" customFormat="false" ht="12.8" hidden="false" customHeight="false" outlineLevel="0" collapsed="false">
      <c r="A163" s="15" t="n">
        <v>161</v>
      </c>
      <c r="B163" s="20" t="str">
        <f aca="false">DI_2Phase!AI97</f>
        <v>DI</v>
      </c>
      <c r="C163" s="20" t="str">
        <f aca="false">DI_2Phase!AJ97</f>
        <v>Liquid-Solid</v>
      </c>
      <c r="D163" s="20" t="str">
        <f aca="false">DI_2Phase!AK97</f>
        <v>V-H</v>
      </c>
      <c r="E163" s="48" t="n">
        <f aca="false">DI_2Phase!AL97</f>
        <v>90</v>
      </c>
      <c r="F163" s="78" t="n">
        <f aca="false">DI_2Phase!AM97</f>
        <v>1E-006</v>
      </c>
      <c r="G163" s="24" t="n">
        <f aca="false">DI_2Phase!AN97*0+MAX($G$3:$G$68)</f>
        <v>336</v>
      </c>
      <c r="H163" s="24" t="n">
        <f aca="false">DI_2Phase!AO97</f>
        <v>3</v>
      </c>
      <c r="I163" s="24" t="n">
        <f aca="false">DI_2Phase!AP97</f>
        <v>119.728285652644</v>
      </c>
      <c r="J163" s="24" t="n">
        <f aca="false">DI_2Phase!AQ97</f>
        <v>1920</v>
      </c>
      <c r="K163" s="24" t="n">
        <f aca="false">DI_2Phase!AR97</f>
        <v>0.0049663125</v>
      </c>
      <c r="L163" s="24" t="n">
        <f aca="false">DI_2Phase!AS97</f>
        <v>0.146484375</v>
      </c>
      <c r="M163" s="24" t="n">
        <f aca="false">DI_2Phase!AT97</f>
        <v>45</v>
      </c>
      <c r="N163" s="24" t="n">
        <f aca="false">DI_2Phase!AU97</f>
        <v>0.0234375</v>
      </c>
      <c r="O163" s="24" t="n">
        <f aca="false">DI_2Phase!AV97</f>
        <v>0.4</v>
      </c>
      <c r="P163" s="24" t="n">
        <f aca="false">DI_2Phase!AW97</f>
        <v>132.001836547291</v>
      </c>
      <c r="Q163" s="24" t="n">
        <f aca="false">DI_2Phase!AX97</f>
        <v>0.0180675569520817</v>
      </c>
      <c r="R163" s="24" t="n">
        <f aca="false">DI_2Phase!AY97</f>
        <v>1</v>
      </c>
      <c r="S163" s="24" t="n">
        <f aca="false">DI_2Phase!AZ97</f>
        <v>0.0222654579477837</v>
      </c>
      <c r="T163" s="24" t="n">
        <f aca="false">DI_2Phase!BA97</f>
        <v>0.017812366358227</v>
      </c>
      <c r="U163" s="24" t="n">
        <f aca="false">DI_2Phase!BB97</f>
        <v>0.0267185495373404</v>
      </c>
      <c r="V163" s="77" t="str">
        <f aca="false">DI_2Phase!BC97</f>
        <v>https://www.sciencedirect.com/science/article/pii/S0043164815003749</v>
      </c>
    </row>
    <row r="164" customFormat="false" ht="12.8" hidden="false" customHeight="false" outlineLevel="0" collapsed="false">
      <c r="A164" s="15" t="n">
        <v>162</v>
      </c>
      <c r="B164" s="20" t="str">
        <f aca="false">DI_2Phase!AI98</f>
        <v>DI</v>
      </c>
      <c r="C164" s="20" t="str">
        <f aca="false">DI_2Phase!AJ98</f>
        <v>Liquid-Solid</v>
      </c>
      <c r="D164" s="20" t="str">
        <f aca="false">DI_2Phase!AK98</f>
        <v>V-H</v>
      </c>
      <c r="E164" s="48" t="n">
        <f aca="false">DI_2Phase!AL98</f>
        <v>90</v>
      </c>
      <c r="F164" s="78" t="n">
        <f aca="false">DI_2Phase!AM98</f>
        <v>1E-006</v>
      </c>
      <c r="G164" s="24" t="n">
        <f aca="false">DI_2Phase!AN98*0+MAX($G$3:$G$68)</f>
        <v>336</v>
      </c>
      <c r="H164" s="24" t="n">
        <f aca="false">DI_2Phase!AO98</f>
        <v>0.2375</v>
      </c>
      <c r="I164" s="24" t="n">
        <f aca="false">DI_2Phase!AP98</f>
        <v>119.728285652644</v>
      </c>
      <c r="J164" s="24" t="n">
        <f aca="false">DI_2Phase!AQ98</f>
        <v>1920</v>
      </c>
      <c r="K164" s="24" t="n">
        <f aca="false">DI_2Phase!AR98</f>
        <v>0.0049663125</v>
      </c>
      <c r="L164" s="24" t="n">
        <f aca="false">DI_2Phase!AS98</f>
        <v>0.146484375</v>
      </c>
      <c r="M164" s="24" t="n">
        <f aca="false">DI_2Phase!AT98</f>
        <v>45</v>
      </c>
      <c r="N164" s="24" t="n">
        <f aca="false">DI_2Phase!AU98</f>
        <v>0.0234375</v>
      </c>
      <c r="O164" s="24" t="n">
        <f aca="false">DI_2Phase!AV98</f>
        <v>0.4</v>
      </c>
      <c r="P164" s="24" t="n">
        <f aca="false">DI_2Phase!AW98</f>
        <v>132.001836547291</v>
      </c>
      <c r="Q164" s="24" t="n">
        <f aca="false">DI_2Phase!AX98</f>
        <v>0.0340030911901082</v>
      </c>
      <c r="R164" s="24" t="n">
        <f aca="false">DI_2Phase!AY98</f>
        <v>1</v>
      </c>
      <c r="S164" s="24" t="n">
        <f aca="false">DI_2Phase!AZ98</f>
        <v>0.0221467461180679</v>
      </c>
      <c r="T164" s="24" t="n">
        <f aca="false">DI_2Phase!BA98</f>
        <v>0.0177173968944543</v>
      </c>
      <c r="U164" s="24" t="n">
        <f aca="false">DI_2Phase!BB98</f>
        <v>0.0265760953416815</v>
      </c>
      <c r="V164" s="77" t="str">
        <f aca="false">DI_2Phase!BC98</f>
        <v>https://www.sciencedirect.com/science/article/pii/S0043164815003749</v>
      </c>
    </row>
    <row r="165" customFormat="false" ht="12.8" hidden="false" customHeight="false" outlineLevel="0" collapsed="false">
      <c r="A165" s="15" t="n">
        <v>163</v>
      </c>
      <c r="B165" s="20" t="str">
        <f aca="false">DI_2Phase!AI99</f>
        <v>DI</v>
      </c>
      <c r="C165" s="20" t="str">
        <f aca="false">DI_2Phase!AJ99</f>
        <v>Liquid-Solid</v>
      </c>
      <c r="D165" s="20" t="str">
        <f aca="false">DI_2Phase!AK99</f>
        <v>V-H</v>
      </c>
      <c r="E165" s="48" t="n">
        <f aca="false">DI_2Phase!AL99</f>
        <v>90</v>
      </c>
      <c r="F165" s="78" t="n">
        <f aca="false">DI_2Phase!AM99</f>
        <v>1E-006</v>
      </c>
      <c r="G165" s="24" t="n">
        <f aca="false">DI_2Phase!AN99*0+MAX($G$3:$G$68)</f>
        <v>336</v>
      </c>
      <c r="H165" s="24" t="n">
        <f aca="false">DI_2Phase!AO99</f>
        <v>3</v>
      </c>
      <c r="I165" s="24" t="n">
        <f aca="false">DI_2Phase!AP99</f>
        <v>119.728285652644</v>
      </c>
      <c r="J165" s="24" t="n">
        <f aca="false">DI_2Phase!AQ99</f>
        <v>1920</v>
      </c>
      <c r="K165" s="24" t="n">
        <f aca="false">DI_2Phase!AR99</f>
        <v>0.0049663125</v>
      </c>
      <c r="L165" s="24" t="n">
        <f aca="false">DI_2Phase!AS99</f>
        <v>0.146484375</v>
      </c>
      <c r="M165" s="24" t="n">
        <f aca="false">DI_2Phase!AT99</f>
        <v>45</v>
      </c>
      <c r="N165" s="24" t="n">
        <f aca="false">DI_2Phase!AU99</f>
        <v>0.0234375</v>
      </c>
      <c r="O165" s="24" t="n">
        <f aca="false">DI_2Phase!AV99</f>
        <v>0.4</v>
      </c>
      <c r="P165" s="24" t="n">
        <f aca="false">DI_2Phase!AW99</f>
        <v>132.001836547291</v>
      </c>
      <c r="Q165" s="24" t="n">
        <f aca="false">DI_2Phase!AX99</f>
        <v>0.047981721249048</v>
      </c>
      <c r="R165" s="24" t="n">
        <f aca="false">DI_2Phase!AY99</f>
        <v>1</v>
      </c>
      <c r="S165" s="24" t="n">
        <f aca="false">DI_2Phase!AZ99</f>
        <v>0.0188150846901983</v>
      </c>
      <c r="T165" s="24" t="n">
        <f aca="false">DI_2Phase!BA99</f>
        <v>0.0150520677521586</v>
      </c>
      <c r="U165" s="24" t="n">
        <f aca="false">DI_2Phase!BB99</f>
        <v>0.022578101628238</v>
      </c>
      <c r="V165" s="77" t="str">
        <f aca="false">DI_2Phase!BC99</f>
        <v>https://www.sciencedirect.com/science/article/pii/S0043164815003749</v>
      </c>
    </row>
    <row r="166" customFormat="false" ht="12.8" hidden="false" customHeight="false" outlineLevel="0" collapsed="false">
      <c r="A166" s="15" t="n">
        <v>164</v>
      </c>
      <c r="B166" s="20" t="str">
        <f aca="false">DI_2Phase!AI100</f>
        <v>DI</v>
      </c>
      <c r="C166" s="20" t="str">
        <f aca="false">DI_2Phase!AJ100</f>
        <v>Liquid-Solid</v>
      </c>
      <c r="D166" s="20" t="str">
        <f aca="false">DI_2Phase!AK100</f>
        <v>V-H</v>
      </c>
      <c r="E166" s="48" t="n">
        <f aca="false">DI_2Phase!AL100</f>
        <v>90</v>
      </c>
      <c r="F166" s="78" t="n">
        <f aca="false">DI_2Phase!AM100</f>
        <v>1E-006</v>
      </c>
      <c r="G166" s="24" t="n">
        <f aca="false">DI_2Phase!AN100*0+MAX($G$3:$G$68)</f>
        <v>336</v>
      </c>
      <c r="H166" s="24" t="n">
        <f aca="false">DI_2Phase!AO100</f>
        <v>3</v>
      </c>
      <c r="I166" s="24" t="n">
        <f aca="false">DI_2Phase!AP100</f>
        <v>119.728285652644</v>
      </c>
      <c r="J166" s="24" t="n">
        <f aca="false">DI_2Phase!AQ100</f>
        <v>1920</v>
      </c>
      <c r="K166" s="24" t="n">
        <f aca="false">DI_2Phase!AR100</f>
        <v>0.0049663125</v>
      </c>
      <c r="L166" s="24" t="n">
        <f aca="false">DI_2Phase!AS100</f>
        <v>0.146484375</v>
      </c>
      <c r="M166" s="24" t="n">
        <f aca="false">DI_2Phase!AT100</f>
        <v>45</v>
      </c>
      <c r="N166" s="24" t="n">
        <f aca="false">DI_2Phase!AU100</f>
        <v>0.0234375</v>
      </c>
      <c r="O166" s="24" t="n">
        <f aca="false">DI_2Phase!AV100</f>
        <v>0.4</v>
      </c>
      <c r="P166" s="24" t="n">
        <f aca="false">DI_2Phase!AW100</f>
        <v>132.001836547291</v>
      </c>
      <c r="Q166" s="24" t="n">
        <f aca="false">DI_2Phase!AX100</f>
        <v>0.0605035700864337</v>
      </c>
      <c r="R166" s="24" t="n">
        <f aca="false">DI_2Phase!AY100</f>
        <v>1</v>
      </c>
      <c r="S166" s="24" t="n">
        <f aca="false">DI_2Phase!AZ100</f>
        <v>0.0167368676624176</v>
      </c>
      <c r="T166" s="24" t="n">
        <f aca="false">DI_2Phase!BA100</f>
        <v>0.0133894941299341</v>
      </c>
      <c r="U166" s="24" t="n">
        <f aca="false">DI_2Phase!BB100</f>
        <v>0.0200842411949011</v>
      </c>
      <c r="V166" s="77" t="str">
        <f aca="false">DI_2Phase!BC100</f>
        <v>https://www.sciencedirect.com/science/article/pii/S0043164815003749</v>
      </c>
    </row>
    <row r="167" customFormat="false" ht="12.8" hidden="false" customHeight="false" outlineLevel="0" collapsed="false">
      <c r="A167" s="15" t="n">
        <v>165</v>
      </c>
      <c r="B167" s="20" t="str">
        <f aca="false">DI_2Phase!AI101</f>
        <v>DI</v>
      </c>
      <c r="C167" s="20" t="str">
        <f aca="false">DI_2Phase!AJ101</f>
        <v>Liquid-Solid</v>
      </c>
      <c r="D167" s="20" t="str">
        <f aca="false">DI_2Phase!AK101</f>
        <v>V-H</v>
      </c>
      <c r="E167" s="48" t="n">
        <f aca="false">DI_2Phase!AL101</f>
        <v>90</v>
      </c>
      <c r="F167" s="78" t="n">
        <f aca="false">DI_2Phase!AM101</f>
        <v>1E-006</v>
      </c>
      <c r="G167" s="24" t="n">
        <f aca="false">DI_2Phase!AN101*0+MAX($G$3:$G$68)</f>
        <v>336</v>
      </c>
      <c r="H167" s="24" t="n">
        <f aca="false">DI_2Phase!AO101</f>
        <v>3</v>
      </c>
      <c r="I167" s="24" t="n">
        <f aca="false">DI_2Phase!AP101</f>
        <v>119.728285652644</v>
      </c>
      <c r="J167" s="24" t="n">
        <f aca="false">DI_2Phase!AQ101</f>
        <v>1920</v>
      </c>
      <c r="K167" s="24" t="n">
        <f aca="false">DI_2Phase!AR101</f>
        <v>0.0049663125</v>
      </c>
      <c r="L167" s="24" t="n">
        <f aca="false">DI_2Phase!AS101</f>
        <v>0.146484375</v>
      </c>
      <c r="M167" s="24" t="n">
        <f aca="false">DI_2Phase!AT101</f>
        <v>45</v>
      </c>
      <c r="N167" s="24" t="n">
        <f aca="false">DI_2Phase!AU101</f>
        <v>0.0234375</v>
      </c>
      <c r="O167" s="24" t="n">
        <f aca="false">DI_2Phase!AV101</f>
        <v>0.4</v>
      </c>
      <c r="P167" s="24" t="n">
        <f aca="false">DI_2Phase!AW101</f>
        <v>132.001836547291</v>
      </c>
      <c r="Q167" s="24" t="n">
        <f aca="false">DI_2Phase!AX101</f>
        <v>0.0720118782479584</v>
      </c>
      <c r="R167" s="24" t="n">
        <f aca="false">DI_2Phase!AY101</f>
        <v>1</v>
      </c>
      <c r="S167" s="24" t="n">
        <f aca="false">DI_2Phase!AZ101</f>
        <v>0.0166557980569942</v>
      </c>
      <c r="T167" s="24" t="n">
        <f aca="false">DI_2Phase!BA101</f>
        <v>0.0133246384455954</v>
      </c>
      <c r="U167" s="24" t="n">
        <f aca="false">DI_2Phase!BB101</f>
        <v>0.019986957668393</v>
      </c>
      <c r="V167" s="77" t="str">
        <f aca="false">DI_2Phase!BC101</f>
        <v>https://www.sciencedirect.com/science/article/pii/S0043164815003749</v>
      </c>
    </row>
    <row r="168" customFormat="false" ht="12.8" hidden="false" customHeight="false" outlineLevel="0" collapsed="false">
      <c r="A168" s="15" t="n">
        <v>166</v>
      </c>
      <c r="B168" s="20" t="str">
        <f aca="false">DI_2Phase!AI102</f>
        <v>DI</v>
      </c>
      <c r="C168" s="20" t="str">
        <f aca="false">DI_2Phase!AJ102</f>
        <v>Liquid-Solid</v>
      </c>
      <c r="D168" s="20" t="str">
        <f aca="false">DI_2Phase!AK102</f>
        <v>V-H</v>
      </c>
      <c r="E168" s="48" t="n">
        <f aca="false">DI_2Phase!AL102</f>
        <v>90</v>
      </c>
      <c r="F168" s="78" t="n">
        <f aca="false">DI_2Phase!AM102</f>
        <v>1E-006</v>
      </c>
      <c r="G168" s="24" t="n">
        <f aca="false">DI_2Phase!AN102*0+MAX($G$3:$G$68)</f>
        <v>336</v>
      </c>
      <c r="H168" s="24" t="n">
        <f aca="false">DI_2Phase!AO102</f>
        <v>3</v>
      </c>
      <c r="I168" s="24" t="n">
        <f aca="false">DI_2Phase!AP102</f>
        <v>119.728285652644</v>
      </c>
      <c r="J168" s="24" t="n">
        <f aca="false">DI_2Phase!AQ102</f>
        <v>1920</v>
      </c>
      <c r="K168" s="24" t="n">
        <f aca="false">DI_2Phase!AR102</f>
        <v>0.0049663125</v>
      </c>
      <c r="L168" s="24" t="n">
        <f aca="false">DI_2Phase!AS102</f>
        <v>0.146484375</v>
      </c>
      <c r="M168" s="24" t="n">
        <f aca="false">DI_2Phase!AT102</f>
        <v>45</v>
      </c>
      <c r="N168" s="24" t="n">
        <f aca="false">DI_2Phase!AU102</f>
        <v>0.0234375</v>
      </c>
      <c r="O168" s="24" t="n">
        <f aca="false">DI_2Phase!AV102</f>
        <v>0.4</v>
      </c>
      <c r="P168" s="24" t="n">
        <f aca="false">DI_2Phase!AW102</f>
        <v>132.001836547291</v>
      </c>
      <c r="Q168" s="24" t="n">
        <f aca="false">DI_2Phase!AX102</f>
        <v>0.0822320117474302</v>
      </c>
      <c r="R168" s="24" t="n">
        <f aca="false">DI_2Phase!AY102</f>
        <v>1</v>
      </c>
      <c r="S168" s="24" t="n">
        <f aca="false">DI_2Phase!AZ102</f>
        <v>0.0138504341474515</v>
      </c>
      <c r="T168" s="24" t="n">
        <f aca="false">DI_2Phase!BA102</f>
        <v>0.0110803473179612</v>
      </c>
      <c r="U168" s="24" t="n">
        <f aca="false">DI_2Phase!BB102</f>
        <v>0.0166205209769418</v>
      </c>
      <c r="V168" s="77" t="str">
        <f aca="false">DI_2Phase!BC102</f>
        <v>https://www.sciencedirect.com/science/article/pii/S0043164815003749</v>
      </c>
    </row>
    <row r="169" customFormat="false" ht="12.8" hidden="false" customHeight="false" outlineLevel="0" collapsed="false">
      <c r="A169" s="15" t="n">
        <v>167</v>
      </c>
      <c r="B169" s="20" t="str">
        <f aca="false">DI_2Phase!AI103</f>
        <v>DI</v>
      </c>
      <c r="C169" s="20" t="str">
        <f aca="false">DI_2Phase!AJ103</f>
        <v>Liquid-Solid</v>
      </c>
      <c r="D169" s="20" t="str">
        <f aca="false">DI_2Phase!AK103</f>
        <v>V-H</v>
      </c>
      <c r="E169" s="48" t="n">
        <f aca="false">DI_2Phase!AL103</f>
        <v>90</v>
      </c>
      <c r="F169" s="78" t="n">
        <f aca="false">DI_2Phase!AM103</f>
        <v>1E-006</v>
      </c>
      <c r="G169" s="24" t="n">
        <f aca="false">DI_2Phase!AN103*0+MAX($G$3:$G$68)</f>
        <v>336</v>
      </c>
      <c r="H169" s="24" t="n">
        <f aca="false">DI_2Phase!AO103</f>
        <v>5.2</v>
      </c>
      <c r="I169" s="24" t="n">
        <f aca="false">DI_2Phase!AP103</f>
        <v>119.728285652644</v>
      </c>
      <c r="J169" s="24" t="n">
        <f aca="false">DI_2Phase!AQ103</f>
        <v>1920</v>
      </c>
      <c r="K169" s="24" t="n">
        <f aca="false">DI_2Phase!AR103</f>
        <v>0.0049663125</v>
      </c>
      <c r="L169" s="24" t="n">
        <f aca="false">DI_2Phase!AS103</f>
        <v>0.146484375</v>
      </c>
      <c r="M169" s="24" t="n">
        <f aca="false">DI_2Phase!AT103</f>
        <v>45</v>
      </c>
      <c r="N169" s="24" t="n">
        <f aca="false">DI_2Phase!AU103</f>
        <v>0.0234375</v>
      </c>
      <c r="O169" s="24" t="n">
        <f aca="false">DI_2Phase!AV103</f>
        <v>0.4</v>
      </c>
      <c r="P169" s="24" t="n">
        <f aca="false">DI_2Phase!AW103</f>
        <v>132.001836547291</v>
      </c>
      <c r="Q169" s="24" t="n">
        <f aca="false">DI_2Phase!AX103</f>
        <v>0.0180675569520817</v>
      </c>
      <c r="R169" s="24" t="n">
        <f aca="false">DI_2Phase!AY103</f>
        <v>1</v>
      </c>
      <c r="S169" s="24" t="n">
        <f aca="false">DI_2Phase!AZ103</f>
        <v>0.0232686854657833</v>
      </c>
      <c r="T169" s="24" t="n">
        <f aca="false">DI_2Phase!BA103</f>
        <v>0.0186149483726266</v>
      </c>
      <c r="U169" s="24" t="n">
        <f aca="false">DI_2Phase!BB103</f>
        <v>0.02792242255894</v>
      </c>
      <c r="V169" s="77" t="str">
        <f aca="false">DI_2Phase!BC103</f>
        <v>https://www.sciencedirect.com/science/article/pii/S0043164815003749</v>
      </c>
    </row>
    <row r="170" customFormat="false" ht="12.8" hidden="false" customHeight="false" outlineLevel="0" collapsed="false">
      <c r="A170" s="15" t="n">
        <v>168</v>
      </c>
      <c r="B170" s="20" t="str">
        <f aca="false">DI_2Phase!AI104</f>
        <v>DI</v>
      </c>
      <c r="C170" s="20" t="str">
        <f aca="false">DI_2Phase!AJ104</f>
        <v>Liquid-Solid</v>
      </c>
      <c r="D170" s="20" t="str">
        <f aca="false">DI_2Phase!AK104</f>
        <v>V-H</v>
      </c>
      <c r="E170" s="48" t="n">
        <f aca="false">DI_2Phase!AL104</f>
        <v>90</v>
      </c>
      <c r="F170" s="78" t="n">
        <f aca="false">DI_2Phase!AM104</f>
        <v>1E-006</v>
      </c>
      <c r="G170" s="24" t="n">
        <f aca="false">DI_2Phase!AN104*0+MAX($G$3:$G$68)</f>
        <v>336</v>
      </c>
      <c r="H170" s="24" t="n">
        <f aca="false">DI_2Phase!AO104</f>
        <v>5.2</v>
      </c>
      <c r="I170" s="24" t="n">
        <f aca="false">DI_2Phase!AP104</f>
        <v>119.728285652644</v>
      </c>
      <c r="J170" s="24" t="n">
        <f aca="false">DI_2Phase!AQ104</f>
        <v>1920</v>
      </c>
      <c r="K170" s="24" t="n">
        <f aca="false">DI_2Phase!AR104</f>
        <v>0.0049663125</v>
      </c>
      <c r="L170" s="24" t="n">
        <f aca="false">DI_2Phase!AS104</f>
        <v>0.146484375</v>
      </c>
      <c r="M170" s="24" t="n">
        <f aca="false">DI_2Phase!AT104</f>
        <v>45</v>
      </c>
      <c r="N170" s="24" t="n">
        <f aca="false">DI_2Phase!AU104</f>
        <v>0.0234375</v>
      </c>
      <c r="O170" s="24" t="n">
        <f aca="false">DI_2Phase!AV104</f>
        <v>0.4</v>
      </c>
      <c r="P170" s="24" t="n">
        <f aca="false">DI_2Phase!AW104</f>
        <v>132.001836547291</v>
      </c>
      <c r="Q170" s="24" t="n">
        <f aca="false">DI_2Phase!AX104</f>
        <v>0.0340030911901082</v>
      </c>
      <c r="R170" s="24" t="n">
        <f aca="false">DI_2Phase!AY104</f>
        <v>1</v>
      </c>
      <c r="S170" s="24" t="n">
        <f aca="false">DI_2Phase!AZ104</f>
        <v>0.0166289710368804</v>
      </c>
      <c r="T170" s="24" t="n">
        <f aca="false">DI_2Phase!BA104</f>
        <v>0.0133031768295043</v>
      </c>
      <c r="U170" s="24" t="n">
        <f aca="false">DI_2Phase!BB104</f>
        <v>0.0199547652442565</v>
      </c>
      <c r="V170" s="77" t="str">
        <f aca="false">DI_2Phase!BC104</f>
        <v>https://www.sciencedirect.com/science/article/pii/S0043164815003749</v>
      </c>
    </row>
    <row r="171" customFormat="false" ht="12.8" hidden="false" customHeight="false" outlineLevel="0" collapsed="false">
      <c r="A171" s="15" t="n">
        <v>169</v>
      </c>
      <c r="B171" s="20" t="str">
        <f aca="false">DI_2Phase!AI105</f>
        <v>DI</v>
      </c>
      <c r="C171" s="20" t="str">
        <f aca="false">DI_2Phase!AJ105</f>
        <v>Liquid-Solid</v>
      </c>
      <c r="D171" s="20" t="str">
        <f aca="false">DI_2Phase!AK105</f>
        <v>V-H</v>
      </c>
      <c r="E171" s="48" t="n">
        <f aca="false">DI_2Phase!AL105</f>
        <v>90</v>
      </c>
      <c r="F171" s="78" t="n">
        <f aca="false">DI_2Phase!AM105</f>
        <v>1E-006</v>
      </c>
      <c r="G171" s="24" t="n">
        <f aca="false">DI_2Phase!AN105*0+MAX($G$3:$G$68)</f>
        <v>336</v>
      </c>
      <c r="H171" s="24" t="n">
        <f aca="false">DI_2Phase!AO105</f>
        <v>5.2</v>
      </c>
      <c r="I171" s="24" t="n">
        <f aca="false">DI_2Phase!AP105</f>
        <v>119.728285652644</v>
      </c>
      <c r="J171" s="24" t="n">
        <f aca="false">DI_2Phase!AQ105</f>
        <v>1920</v>
      </c>
      <c r="K171" s="24" t="n">
        <f aca="false">DI_2Phase!AR105</f>
        <v>0.0049663125</v>
      </c>
      <c r="L171" s="24" t="n">
        <f aca="false">DI_2Phase!AS105</f>
        <v>0.146484375</v>
      </c>
      <c r="M171" s="24" t="n">
        <f aca="false">DI_2Phase!AT105</f>
        <v>45</v>
      </c>
      <c r="N171" s="24" t="n">
        <f aca="false">DI_2Phase!AU105</f>
        <v>0.0234375</v>
      </c>
      <c r="O171" s="24" t="n">
        <f aca="false">DI_2Phase!AV105</f>
        <v>0.4</v>
      </c>
      <c r="P171" s="24" t="n">
        <f aca="false">DI_2Phase!AW105</f>
        <v>132.001836547291</v>
      </c>
      <c r="Q171" s="24" t="n">
        <f aca="false">DI_2Phase!AX105</f>
        <v>0.047981721249048</v>
      </c>
      <c r="R171" s="24" t="n">
        <f aca="false">DI_2Phase!AY105</f>
        <v>1</v>
      </c>
      <c r="S171" s="24" t="n">
        <f aca="false">DI_2Phase!AZ105</f>
        <v>0.0109520688254475</v>
      </c>
      <c r="T171" s="24" t="n">
        <f aca="false">DI_2Phase!BA105</f>
        <v>0.008761655060358</v>
      </c>
      <c r="U171" s="24" t="n">
        <f aca="false">DI_2Phase!BB105</f>
        <v>0.013142482590537</v>
      </c>
      <c r="V171" s="77" t="str">
        <f aca="false">DI_2Phase!BC105</f>
        <v>https://www.sciencedirect.com/science/article/pii/S0043164815003749</v>
      </c>
    </row>
    <row r="172" customFormat="false" ht="12.8" hidden="false" customHeight="false" outlineLevel="0" collapsed="false">
      <c r="A172" s="15" t="n">
        <v>170</v>
      </c>
      <c r="B172" s="20" t="str">
        <f aca="false">DI_2Phase!AI106</f>
        <v>DI</v>
      </c>
      <c r="C172" s="20" t="str">
        <f aca="false">DI_2Phase!AJ106</f>
        <v>Liquid-Solid</v>
      </c>
      <c r="D172" s="20" t="str">
        <f aca="false">DI_2Phase!AK106</f>
        <v>V-H</v>
      </c>
      <c r="E172" s="48" t="n">
        <f aca="false">DI_2Phase!AL106</f>
        <v>90</v>
      </c>
      <c r="F172" s="78" t="n">
        <f aca="false">DI_2Phase!AM106</f>
        <v>1E-006</v>
      </c>
      <c r="G172" s="24" t="n">
        <f aca="false">DI_2Phase!AN106*0+MAX($G$3:$G$68)</f>
        <v>336</v>
      </c>
      <c r="H172" s="24" t="n">
        <f aca="false">DI_2Phase!AO106</f>
        <v>5.2</v>
      </c>
      <c r="I172" s="24" t="n">
        <f aca="false">DI_2Phase!AP106</f>
        <v>119.728285652644</v>
      </c>
      <c r="J172" s="24" t="n">
        <f aca="false">DI_2Phase!AQ106</f>
        <v>1920</v>
      </c>
      <c r="K172" s="24" t="n">
        <f aca="false">DI_2Phase!AR106</f>
        <v>0.0049663125</v>
      </c>
      <c r="L172" s="24" t="n">
        <f aca="false">DI_2Phase!AS106</f>
        <v>0.146484375</v>
      </c>
      <c r="M172" s="24" t="n">
        <f aca="false">DI_2Phase!AT106</f>
        <v>45</v>
      </c>
      <c r="N172" s="24" t="n">
        <f aca="false">DI_2Phase!AU106</f>
        <v>0.0234375</v>
      </c>
      <c r="O172" s="24" t="n">
        <f aca="false">DI_2Phase!AV106</f>
        <v>0.4</v>
      </c>
      <c r="P172" s="24" t="n">
        <f aca="false">DI_2Phase!AW106</f>
        <v>132.001836547291</v>
      </c>
      <c r="Q172" s="24" t="n">
        <f aca="false">DI_2Phase!AX106</f>
        <v>0.0605035700864337</v>
      </c>
      <c r="R172" s="24" t="n">
        <f aca="false">DI_2Phase!AY106</f>
        <v>1</v>
      </c>
      <c r="S172" s="24" t="n">
        <f aca="false">DI_2Phase!AZ106</f>
        <v>0.0118351153902974</v>
      </c>
      <c r="T172" s="24" t="n">
        <f aca="false">DI_2Phase!BA106</f>
        <v>0.00946809231223792</v>
      </c>
      <c r="U172" s="24" t="n">
        <f aca="false">DI_2Phase!BB106</f>
        <v>0.0142021384683569</v>
      </c>
      <c r="V172" s="77" t="str">
        <f aca="false">DI_2Phase!BC106</f>
        <v>https://www.sciencedirect.com/science/article/pii/S0043164815003749</v>
      </c>
    </row>
    <row r="173" customFormat="false" ht="12.8" hidden="false" customHeight="false" outlineLevel="0" collapsed="false">
      <c r="A173" s="15" t="n">
        <v>171</v>
      </c>
      <c r="B173" s="20" t="str">
        <f aca="false">DI_2Phase!AI107</f>
        <v>DI</v>
      </c>
      <c r="C173" s="20" t="str">
        <f aca="false">DI_2Phase!AJ107</f>
        <v>Liquid-Solid</v>
      </c>
      <c r="D173" s="20" t="str">
        <f aca="false">DI_2Phase!AK107</f>
        <v>V-H</v>
      </c>
      <c r="E173" s="48" t="n">
        <f aca="false">DI_2Phase!AL107</f>
        <v>90</v>
      </c>
      <c r="F173" s="78" t="n">
        <f aca="false">DI_2Phase!AM107</f>
        <v>1E-006</v>
      </c>
      <c r="G173" s="24" t="n">
        <f aca="false">DI_2Phase!AN107*0+MAX($G$3:$G$68)</f>
        <v>336</v>
      </c>
      <c r="H173" s="24" t="n">
        <f aca="false">DI_2Phase!AO107</f>
        <v>5.2</v>
      </c>
      <c r="I173" s="24" t="n">
        <f aca="false">DI_2Phase!AP107</f>
        <v>119.728285652644</v>
      </c>
      <c r="J173" s="24" t="n">
        <f aca="false">DI_2Phase!AQ107</f>
        <v>1920</v>
      </c>
      <c r="K173" s="24" t="n">
        <f aca="false">DI_2Phase!AR107</f>
        <v>0.0049663125</v>
      </c>
      <c r="L173" s="24" t="n">
        <f aca="false">DI_2Phase!AS107</f>
        <v>0.146484375</v>
      </c>
      <c r="M173" s="24" t="n">
        <f aca="false">DI_2Phase!AT107</f>
        <v>45</v>
      </c>
      <c r="N173" s="24" t="n">
        <f aca="false">DI_2Phase!AU107</f>
        <v>0.0234375</v>
      </c>
      <c r="O173" s="24" t="n">
        <f aca="false">DI_2Phase!AV107</f>
        <v>0.4</v>
      </c>
      <c r="P173" s="24" t="n">
        <f aca="false">DI_2Phase!AW107</f>
        <v>132.001836547291</v>
      </c>
      <c r="Q173" s="24" t="n">
        <f aca="false">DI_2Phase!AX107</f>
        <v>0.0720118782479584</v>
      </c>
      <c r="R173" s="24" t="n">
        <f aca="false">DI_2Phase!AY107</f>
        <v>1</v>
      </c>
      <c r="S173" s="24" t="n">
        <f aca="false">DI_2Phase!AZ107</f>
        <v>0.0100423987960564</v>
      </c>
      <c r="T173" s="24" t="n">
        <f aca="false">DI_2Phase!BA107</f>
        <v>0.00803391903684512</v>
      </c>
      <c r="U173" s="24" t="n">
        <f aca="false">DI_2Phase!BB107</f>
        <v>0.0120508785552677</v>
      </c>
      <c r="V173" s="77" t="str">
        <f aca="false">DI_2Phase!BC107</f>
        <v>https://www.sciencedirect.com/science/article/pii/S0043164815003749</v>
      </c>
    </row>
    <row r="174" customFormat="false" ht="12.8" hidden="false" customHeight="false" outlineLevel="0" collapsed="false">
      <c r="A174" s="15" t="n">
        <v>172</v>
      </c>
      <c r="B174" s="20" t="str">
        <f aca="false">DI_2Phase!AI108</f>
        <v>DI</v>
      </c>
      <c r="C174" s="20" t="str">
        <f aca="false">DI_2Phase!AJ108</f>
        <v>Liquid-Solid</v>
      </c>
      <c r="D174" s="20" t="str">
        <f aca="false">DI_2Phase!AK108</f>
        <v>V-H</v>
      </c>
      <c r="E174" s="48" t="n">
        <f aca="false">DI_2Phase!AL108</f>
        <v>90</v>
      </c>
      <c r="F174" s="78" t="n">
        <f aca="false">DI_2Phase!AM108</f>
        <v>1E-006</v>
      </c>
      <c r="G174" s="24" t="n">
        <f aca="false">DI_2Phase!AN108*0+MAX($G$3:$G$68)</f>
        <v>336</v>
      </c>
      <c r="H174" s="24" t="n">
        <f aca="false">DI_2Phase!AO108</f>
        <v>5.2</v>
      </c>
      <c r="I174" s="24" t="n">
        <f aca="false">DI_2Phase!AP108</f>
        <v>119.728285652644</v>
      </c>
      <c r="J174" s="24" t="n">
        <f aca="false">DI_2Phase!AQ108</f>
        <v>1920</v>
      </c>
      <c r="K174" s="24" t="n">
        <f aca="false">DI_2Phase!AR108</f>
        <v>0.0049663125</v>
      </c>
      <c r="L174" s="24" t="n">
        <f aca="false">DI_2Phase!AS108</f>
        <v>0.146484375</v>
      </c>
      <c r="M174" s="24" t="n">
        <f aca="false">DI_2Phase!AT108</f>
        <v>45</v>
      </c>
      <c r="N174" s="24" t="n">
        <f aca="false">DI_2Phase!AU108</f>
        <v>0.0234375</v>
      </c>
      <c r="O174" s="24" t="n">
        <f aca="false">DI_2Phase!AV108</f>
        <v>0.4</v>
      </c>
      <c r="P174" s="24" t="n">
        <f aca="false">DI_2Phase!AW108</f>
        <v>132.001836547291</v>
      </c>
      <c r="Q174" s="24" t="n">
        <f aca="false">DI_2Phase!AX108</f>
        <v>0.0822320117474302</v>
      </c>
      <c r="R174" s="24" t="n">
        <f aca="false">DI_2Phase!AY108</f>
        <v>1</v>
      </c>
      <c r="S174" s="24" t="n">
        <f aca="false">DI_2Phase!AZ108</f>
        <v>0.00833268856758374</v>
      </c>
      <c r="T174" s="24" t="n">
        <f aca="false">DI_2Phase!BA108</f>
        <v>0.00666615085406699</v>
      </c>
      <c r="U174" s="24" t="n">
        <f aca="false">DI_2Phase!BB108</f>
        <v>0.00999922628110049</v>
      </c>
      <c r="V174" s="77" t="str">
        <f aca="false">DI_2Phase!BC108</f>
        <v>https://www.sciencedirect.com/science/article/pii/S0043164815003749</v>
      </c>
    </row>
    <row r="175" customFormat="false" ht="12.8" hidden="false" customHeight="false" outlineLevel="0" collapsed="false">
      <c r="A175" s="15" t="n">
        <v>173</v>
      </c>
      <c r="B175" s="20" t="str">
        <f aca="false">DI_2Phase!AI109</f>
        <v>DI</v>
      </c>
      <c r="C175" s="20" t="str">
        <f aca="false">DI_2Phase!AJ109</f>
        <v>Liquid-Solid</v>
      </c>
      <c r="D175" s="20" t="str">
        <f aca="false">DI_2Phase!AK109</f>
        <v>V-H</v>
      </c>
      <c r="E175" s="48" t="n">
        <f aca="false">DI_2Phase!AL109</f>
        <v>90</v>
      </c>
      <c r="F175" s="78" t="n">
        <f aca="false">DI_2Phase!AM109</f>
        <v>1E-006</v>
      </c>
      <c r="G175" s="24" t="n">
        <f aca="false">DI_2Phase!AN109*0+MAX($G$3:$G$68)</f>
        <v>336</v>
      </c>
      <c r="H175" s="24" t="n">
        <f aca="false">DI_2Phase!AO109</f>
        <v>7.4</v>
      </c>
      <c r="I175" s="24" t="n">
        <f aca="false">DI_2Phase!AP109</f>
        <v>119.728285652644</v>
      </c>
      <c r="J175" s="24" t="n">
        <f aca="false">DI_2Phase!AQ109</f>
        <v>1920</v>
      </c>
      <c r="K175" s="24" t="n">
        <f aca="false">DI_2Phase!AR109</f>
        <v>0.0049663125</v>
      </c>
      <c r="L175" s="24" t="n">
        <f aca="false">DI_2Phase!AS109</f>
        <v>0.146484375</v>
      </c>
      <c r="M175" s="24" t="n">
        <f aca="false">DI_2Phase!AT109</f>
        <v>45</v>
      </c>
      <c r="N175" s="24" t="n">
        <f aca="false">DI_2Phase!AU109</f>
        <v>0.0234375</v>
      </c>
      <c r="O175" s="24" t="n">
        <f aca="false">DI_2Phase!AV109</f>
        <v>0.4</v>
      </c>
      <c r="P175" s="24" t="n">
        <f aca="false">DI_2Phase!AW109</f>
        <v>132.001836547291</v>
      </c>
      <c r="Q175" s="24" t="n">
        <f aca="false">DI_2Phase!AX109</f>
        <v>0.0180675569520817</v>
      </c>
      <c r="R175" s="24" t="n">
        <f aca="false">DI_2Phase!AY109</f>
        <v>1</v>
      </c>
      <c r="S175" s="24" t="n">
        <f aca="false">DI_2Phase!AZ109</f>
        <v>0.0110011722837305</v>
      </c>
      <c r="T175" s="24" t="n">
        <f aca="false">DI_2Phase!BA109</f>
        <v>0.0088009378269844</v>
      </c>
      <c r="U175" s="24" t="n">
        <f aca="false">DI_2Phase!BB109</f>
        <v>0.0132014067404766</v>
      </c>
      <c r="V175" s="77" t="str">
        <f aca="false">DI_2Phase!BC109</f>
        <v>https://www.sciencedirect.com/science/article/pii/S0043164815003749</v>
      </c>
    </row>
    <row r="176" customFormat="false" ht="12.8" hidden="false" customHeight="false" outlineLevel="0" collapsed="false">
      <c r="A176" s="15" t="n">
        <v>174</v>
      </c>
      <c r="B176" s="20" t="str">
        <f aca="false">DI_2Phase!AI110</f>
        <v>DI</v>
      </c>
      <c r="C176" s="20" t="str">
        <f aca="false">DI_2Phase!AJ110</f>
        <v>Liquid-Solid</v>
      </c>
      <c r="D176" s="20" t="str">
        <f aca="false">DI_2Phase!AK110</f>
        <v>V-H</v>
      </c>
      <c r="E176" s="48" t="n">
        <f aca="false">DI_2Phase!AL110</f>
        <v>90</v>
      </c>
      <c r="F176" s="78" t="n">
        <f aca="false">DI_2Phase!AM110</f>
        <v>1E-006</v>
      </c>
      <c r="G176" s="24" t="n">
        <f aca="false">DI_2Phase!AN110*0+MAX($G$3:$G$68)</f>
        <v>336</v>
      </c>
      <c r="H176" s="24" t="n">
        <f aca="false">DI_2Phase!AO110</f>
        <v>7.4</v>
      </c>
      <c r="I176" s="24" t="n">
        <f aca="false">DI_2Phase!AP110</f>
        <v>119.728285652644</v>
      </c>
      <c r="J176" s="24" t="n">
        <f aca="false">DI_2Phase!AQ110</f>
        <v>1920</v>
      </c>
      <c r="K176" s="24" t="n">
        <f aca="false">DI_2Phase!AR110</f>
        <v>0.0049663125</v>
      </c>
      <c r="L176" s="24" t="n">
        <f aca="false">DI_2Phase!AS110</f>
        <v>0.146484375</v>
      </c>
      <c r="M176" s="24" t="n">
        <f aca="false">DI_2Phase!AT110</f>
        <v>45</v>
      </c>
      <c r="N176" s="24" t="n">
        <f aca="false">DI_2Phase!AU110</f>
        <v>0.0234375</v>
      </c>
      <c r="O176" s="24" t="n">
        <f aca="false">DI_2Phase!AV110</f>
        <v>0.4</v>
      </c>
      <c r="P176" s="24" t="n">
        <f aca="false">DI_2Phase!AW110</f>
        <v>132.001836547291</v>
      </c>
      <c r="Q176" s="24" t="n">
        <f aca="false">DI_2Phase!AX110</f>
        <v>0.0340030911901082</v>
      </c>
      <c r="R176" s="24" t="n">
        <f aca="false">DI_2Phase!AY110</f>
        <v>1</v>
      </c>
      <c r="S176" s="24" t="n">
        <f aca="false">DI_2Phase!AZ110</f>
        <v>0.00800918749588834</v>
      </c>
      <c r="T176" s="24" t="n">
        <f aca="false">DI_2Phase!BA110</f>
        <v>0.00640734999671067</v>
      </c>
      <c r="U176" s="24" t="n">
        <f aca="false">DI_2Phase!BB110</f>
        <v>0.00961102499506601</v>
      </c>
      <c r="V176" s="77" t="str">
        <f aca="false">DI_2Phase!BC110</f>
        <v>https://www.sciencedirect.com/science/article/pii/S0043164815003749</v>
      </c>
    </row>
    <row r="177" customFormat="false" ht="12.8" hidden="false" customHeight="false" outlineLevel="0" collapsed="false">
      <c r="A177" s="15" t="n">
        <v>175</v>
      </c>
      <c r="B177" s="20" t="str">
        <f aca="false">DI_2Phase!AI111</f>
        <v>DI</v>
      </c>
      <c r="C177" s="20" t="str">
        <f aca="false">DI_2Phase!AJ111</f>
        <v>Liquid-Solid</v>
      </c>
      <c r="D177" s="20" t="str">
        <f aca="false">DI_2Phase!AK111</f>
        <v>V-H</v>
      </c>
      <c r="E177" s="48" t="n">
        <f aca="false">DI_2Phase!AL111</f>
        <v>90</v>
      </c>
      <c r="F177" s="78" t="n">
        <f aca="false">DI_2Phase!AM111</f>
        <v>1E-006</v>
      </c>
      <c r="G177" s="24" t="n">
        <f aca="false">DI_2Phase!AN111*0+MAX($G$3:$G$68)</f>
        <v>336</v>
      </c>
      <c r="H177" s="24" t="n">
        <f aca="false">DI_2Phase!AO111</f>
        <v>7.4</v>
      </c>
      <c r="I177" s="24" t="n">
        <f aca="false">DI_2Phase!AP111</f>
        <v>119.728285652644</v>
      </c>
      <c r="J177" s="24" t="n">
        <f aca="false">DI_2Phase!AQ111</f>
        <v>1920</v>
      </c>
      <c r="K177" s="24" t="n">
        <f aca="false">DI_2Phase!AR111</f>
        <v>0.0049663125</v>
      </c>
      <c r="L177" s="24" t="n">
        <f aca="false">DI_2Phase!AS111</f>
        <v>0.146484375</v>
      </c>
      <c r="M177" s="24" t="n">
        <f aca="false">DI_2Phase!AT111</f>
        <v>45</v>
      </c>
      <c r="N177" s="24" t="n">
        <f aca="false">DI_2Phase!AU111</f>
        <v>0.0234375</v>
      </c>
      <c r="O177" s="24" t="n">
        <f aca="false">DI_2Phase!AV111</f>
        <v>0.4</v>
      </c>
      <c r="P177" s="24" t="n">
        <f aca="false">DI_2Phase!AW111</f>
        <v>132.001836547291</v>
      </c>
      <c r="Q177" s="24" t="n">
        <f aca="false">DI_2Phase!AX111</f>
        <v>0.047981721249048</v>
      </c>
      <c r="R177" s="24" t="n">
        <f aca="false">DI_2Phase!AY111</f>
        <v>1</v>
      </c>
      <c r="S177" s="24" t="n">
        <f aca="false">DI_2Phase!AZ111</f>
        <v>0.00586553508278624</v>
      </c>
      <c r="T177" s="24" t="n">
        <f aca="false">DI_2Phase!BA111</f>
        <v>0.00469242806622899</v>
      </c>
      <c r="U177" s="24" t="n">
        <f aca="false">DI_2Phase!BB111</f>
        <v>0.00703864209934349</v>
      </c>
      <c r="V177" s="77" t="str">
        <f aca="false">DI_2Phase!BC111</f>
        <v>https://www.sciencedirect.com/science/article/pii/S0043164815003749</v>
      </c>
    </row>
    <row r="178" customFormat="false" ht="12.8" hidden="false" customHeight="false" outlineLevel="0" collapsed="false">
      <c r="A178" s="15" t="n">
        <v>176</v>
      </c>
      <c r="B178" s="20" t="str">
        <f aca="false">DI_2Phase!AI112</f>
        <v>DI</v>
      </c>
      <c r="C178" s="20" t="str">
        <f aca="false">DI_2Phase!AJ112</f>
        <v>Liquid-Solid</v>
      </c>
      <c r="D178" s="20" t="str">
        <f aca="false">DI_2Phase!AK112</f>
        <v>V-H</v>
      </c>
      <c r="E178" s="48" t="n">
        <f aca="false">DI_2Phase!AL112</f>
        <v>90</v>
      </c>
      <c r="F178" s="78" t="n">
        <f aca="false">DI_2Phase!AM112</f>
        <v>1E-006</v>
      </c>
      <c r="G178" s="24" t="n">
        <f aca="false">DI_2Phase!AN112*0+MAX($G$3:$G$68)</f>
        <v>336</v>
      </c>
      <c r="H178" s="24" t="n">
        <f aca="false">DI_2Phase!AO112</f>
        <v>7.4</v>
      </c>
      <c r="I178" s="24" t="n">
        <f aca="false">DI_2Phase!AP112</f>
        <v>119.728285652644</v>
      </c>
      <c r="J178" s="24" t="n">
        <f aca="false">DI_2Phase!AQ112</f>
        <v>1920</v>
      </c>
      <c r="K178" s="24" t="n">
        <f aca="false">DI_2Phase!AR112</f>
        <v>0.0049663125</v>
      </c>
      <c r="L178" s="24" t="n">
        <f aca="false">DI_2Phase!AS112</f>
        <v>0.146484375</v>
      </c>
      <c r="M178" s="24" t="n">
        <f aca="false">DI_2Phase!AT112</f>
        <v>45</v>
      </c>
      <c r="N178" s="24" t="n">
        <f aca="false">DI_2Phase!AU112</f>
        <v>0.0234375</v>
      </c>
      <c r="O178" s="24" t="n">
        <f aca="false">DI_2Phase!AV112</f>
        <v>0.4</v>
      </c>
      <c r="P178" s="24" t="n">
        <f aca="false">DI_2Phase!AW112</f>
        <v>132.001836547291</v>
      </c>
      <c r="Q178" s="24" t="n">
        <f aca="false">DI_2Phase!AX112</f>
        <v>0.0605035700864337</v>
      </c>
      <c r="R178" s="24" t="n">
        <f aca="false">DI_2Phase!AY112</f>
        <v>1</v>
      </c>
      <c r="S178" s="24" t="n">
        <f aca="false">DI_2Phase!AZ112</f>
        <v>0.00560453254329532</v>
      </c>
      <c r="T178" s="24" t="n">
        <f aca="false">DI_2Phase!BA112</f>
        <v>0.00448362603463626</v>
      </c>
      <c r="U178" s="24" t="n">
        <f aca="false">DI_2Phase!BB112</f>
        <v>0.00672543905195438</v>
      </c>
      <c r="V178" s="77" t="str">
        <f aca="false">DI_2Phase!BC112</f>
        <v>https://www.sciencedirect.com/science/article/pii/S0043164815003749</v>
      </c>
    </row>
    <row r="179" customFormat="false" ht="12.8" hidden="false" customHeight="false" outlineLevel="0" collapsed="false">
      <c r="A179" s="15" t="n">
        <v>177</v>
      </c>
      <c r="B179" s="20" t="str">
        <f aca="false">DI_2Phase!AI113</f>
        <v>DI</v>
      </c>
      <c r="C179" s="20" t="str">
        <f aca="false">DI_2Phase!AJ113</f>
        <v>Liquid-Solid</v>
      </c>
      <c r="D179" s="20" t="str">
        <f aca="false">DI_2Phase!AK113</f>
        <v>V-H</v>
      </c>
      <c r="E179" s="48" t="n">
        <f aca="false">DI_2Phase!AL113</f>
        <v>90</v>
      </c>
      <c r="F179" s="78" t="n">
        <f aca="false">DI_2Phase!AM113</f>
        <v>1E-006</v>
      </c>
      <c r="G179" s="24" t="n">
        <f aca="false">DI_2Phase!AN113*0+MAX($G$3:$G$68)</f>
        <v>336</v>
      </c>
      <c r="H179" s="24" t="n">
        <f aca="false">DI_2Phase!AO113</f>
        <v>7.4</v>
      </c>
      <c r="I179" s="24" t="n">
        <f aca="false">DI_2Phase!AP113</f>
        <v>119.728285652644</v>
      </c>
      <c r="J179" s="24" t="n">
        <f aca="false">DI_2Phase!AQ113</f>
        <v>1920</v>
      </c>
      <c r="K179" s="24" t="n">
        <f aca="false">DI_2Phase!AR113</f>
        <v>0.0049663125</v>
      </c>
      <c r="L179" s="24" t="n">
        <f aca="false">DI_2Phase!AS113</f>
        <v>0.146484375</v>
      </c>
      <c r="M179" s="24" t="n">
        <f aca="false">DI_2Phase!AT113</f>
        <v>45</v>
      </c>
      <c r="N179" s="24" t="n">
        <f aca="false">DI_2Phase!AU113</f>
        <v>0.0234375</v>
      </c>
      <c r="O179" s="24" t="n">
        <f aca="false">DI_2Phase!AV113</f>
        <v>0.4</v>
      </c>
      <c r="P179" s="24" t="n">
        <f aca="false">DI_2Phase!AW113</f>
        <v>132.001836547291</v>
      </c>
      <c r="Q179" s="24" t="n">
        <f aca="false">DI_2Phase!AX113</f>
        <v>0.0720118782479584</v>
      </c>
      <c r="R179" s="24" t="n">
        <f aca="false">DI_2Phase!AY113</f>
        <v>1</v>
      </c>
      <c r="S179" s="24" t="n">
        <f aca="false">DI_2Phase!AZ113</f>
        <v>0.00396143185240727</v>
      </c>
      <c r="T179" s="24" t="n">
        <f aca="false">DI_2Phase!BA113</f>
        <v>0.00316914548192582</v>
      </c>
      <c r="U179" s="24" t="n">
        <f aca="false">DI_2Phase!BB113</f>
        <v>0.00475371822288872</v>
      </c>
      <c r="V179" s="77" t="str">
        <f aca="false">DI_2Phase!BC113</f>
        <v>https://www.sciencedirect.com/science/article/pii/S0043164815003749</v>
      </c>
    </row>
    <row r="180" customFormat="false" ht="12.8" hidden="false" customHeight="false" outlineLevel="0" collapsed="false">
      <c r="A180" s="15" t="n">
        <v>178</v>
      </c>
      <c r="B180" s="20" t="str">
        <f aca="false">DI_2Phase!AI114</f>
        <v>DI</v>
      </c>
      <c r="C180" s="20" t="str">
        <f aca="false">DI_2Phase!AJ114</f>
        <v>Liquid-Solid</v>
      </c>
      <c r="D180" s="20" t="str">
        <f aca="false">DI_2Phase!AK114</f>
        <v>V-H</v>
      </c>
      <c r="E180" s="48" t="n">
        <f aca="false">DI_2Phase!AL114</f>
        <v>90</v>
      </c>
      <c r="F180" s="78" t="n">
        <f aca="false">DI_2Phase!AM114</f>
        <v>1E-006</v>
      </c>
      <c r="G180" s="24" t="n">
        <f aca="false">DI_2Phase!AN114*0+MAX($G$3:$G$68)</f>
        <v>336</v>
      </c>
      <c r="H180" s="24" t="n">
        <f aca="false">DI_2Phase!AO114</f>
        <v>7.4</v>
      </c>
      <c r="I180" s="24" t="n">
        <f aca="false">DI_2Phase!AP114</f>
        <v>119.728285652644</v>
      </c>
      <c r="J180" s="24" t="n">
        <f aca="false">DI_2Phase!AQ114</f>
        <v>1920</v>
      </c>
      <c r="K180" s="24" t="n">
        <f aca="false">DI_2Phase!AR114</f>
        <v>0.0049663125</v>
      </c>
      <c r="L180" s="24" t="n">
        <f aca="false">DI_2Phase!AS114</f>
        <v>0.146484375</v>
      </c>
      <c r="M180" s="24" t="n">
        <f aca="false">DI_2Phase!AT114</f>
        <v>45</v>
      </c>
      <c r="N180" s="24" t="n">
        <f aca="false">DI_2Phase!AU114</f>
        <v>0.0234375</v>
      </c>
      <c r="O180" s="24" t="n">
        <f aca="false">DI_2Phase!AV114</f>
        <v>0.4</v>
      </c>
      <c r="P180" s="24" t="n">
        <f aca="false">DI_2Phase!AW114</f>
        <v>132.001836547291</v>
      </c>
      <c r="Q180" s="24" t="n">
        <f aca="false">DI_2Phase!AX114</f>
        <v>0.0822320117474302</v>
      </c>
      <c r="R180" s="24" t="n">
        <f aca="false">DI_2Phase!AY114</f>
        <v>1</v>
      </c>
      <c r="S180" s="24" t="n">
        <f aca="false">DI_2Phase!AZ114</f>
        <v>0.00307453241254923</v>
      </c>
      <c r="T180" s="24" t="n">
        <f aca="false">DI_2Phase!BA114</f>
        <v>0.00245962593003938</v>
      </c>
      <c r="U180" s="24" t="n">
        <f aca="false">DI_2Phase!BB114</f>
        <v>0.00368943889505908</v>
      </c>
      <c r="V180" s="77" t="str">
        <f aca="false">DI_2Phase!BC114</f>
        <v>https://www.sciencedirect.com/science/article/pii/S0043164815003749</v>
      </c>
    </row>
    <row r="181" customFormat="false" ht="12.8" hidden="false" customHeight="false" outlineLevel="0" collapsed="false">
      <c r="A181" s="15" t="n">
        <v>179</v>
      </c>
      <c r="B181" s="20" t="str">
        <f aca="false">DI_2Phase!AI115</f>
        <v>DI</v>
      </c>
      <c r="C181" s="20" t="str">
        <f aca="false">DI_2Phase!AJ115</f>
        <v>Liquid-Solid</v>
      </c>
      <c r="D181" s="20" t="str">
        <f aca="false">DI_2Phase!AK115</f>
        <v>V-H</v>
      </c>
      <c r="E181" s="48" t="n">
        <f aca="false">DI_2Phase!AL115</f>
        <v>90</v>
      </c>
      <c r="F181" s="78" t="n">
        <f aca="false">DI_2Phase!AM115</f>
        <v>1E-006</v>
      </c>
      <c r="G181" s="24" t="n">
        <f aca="false">DI_2Phase!AN115*0+MAX($G$3:$G$68)</f>
        <v>336</v>
      </c>
      <c r="H181" s="24" t="n">
        <f aca="false">DI_2Phase!AO115</f>
        <v>1.67105263157895</v>
      </c>
      <c r="I181" s="24" t="n">
        <f aca="false">DI_2Phase!AP115</f>
        <v>29.8480737362979</v>
      </c>
      <c r="J181" s="24" t="n">
        <f aca="false">DI_2Phase!AQ115</f>
        <v>619.4</v>
      </c>
      <c r="K181" s="24" t="n">
        <f aca="false">DI_2Phase!AR115</f>
        <v>0.04370355</v>
      </c>
      <c r="L181" s="24" t="n">
        <f aca="false">DI_2Phase!AS115</f>
        <v>0.142088815789474</v>
      </c>
      <c r="M181" s="24" t="n">
        <f aca="false">DI_2Phase!AT115</f>
        <v>24.45</v>
      </c>
      <c r="N181" s="24" t="n">
        <f aca="false">DI_2Phase!AU115</f>
        <v>0.0394736842105263</v>
      </c>
      <c r="O181" s="24" t="n">
        <f aca="false">DI_2Phase!AV115</f>
        <v>0.377358490566038</v>
      </c>
      <c r="P181" s="24" t="n">
        <f aca="false">DI_2Phase!AW115</f>
        <v>2858.40382264876</v>
      </c>
      <c r="Q181" s="24" t="n">
        <f aca="false">DI_2Phase!AX115</f>
        <v>5.66999036814239E-005</v>
      </c>
      <c r="R181" s="24" t="n">
        <f aca="false">DI_2Phase!AY115</f>
        <v>1</v>
      </c>
      <c r="S181" s="24" t="n">
        <f aca="false">DI_2Phase!AZ115</f>
        <v>0.000119112094752048</v>
      </c>
      <c r="T181" s="24" t="n">
        <f aca="false">DI_2Phase!BA115</f>
        <v>9.52896758016384E-005</v>
      </c>
      <c r="U181" s="24" t="n">
        <f aca="false">DI_2Phase!BB115</f>
        <v>0.000142934513702458</v>
      </c>
      <c r="V181" s="77" t="str">
        <f aca="false">DI_2Phase!BC115</f>
        <v>Mansouri Thesis</v>
      </c>
    </row>
    <row r="182" customFormat="false" ht="12.8" hidden="false" customHeight="false" outlineLevel="0" collapsed="false">
      <c r="A182" s="15" t="n">
        <v>180</v>
      </c>
      <c r="B182" s="20" t="str">
        <f aca="false">DI_2Phase!AI116</f>
        <v>DI</v>
      </c>
      <c r="C182" s="20" t="str">
        <f aca="false">DI_2Phase!AJ116</f>
        <v>Liquid-Solid</v>
      </c>
      <c r="D182" s="20" t="str">
        <f aca="false">DI_2Phase!AK116</f>
        <v>V-H</v>
      </c>
      <c r="E182" s="48" t="n">
        <f aca="false">DI_2Phase!AL116</f>
        <v>75</v>
      </c>
      <c r="F182" s="78" t="n">
        <f aca="false">DI_2Phase!AM116</f>
        <v>1E-006</v>
      </c>
      <c r="G182" s="24" t="n">
        <f aca="false">DI_2Phase!AN116*0+MAX($G$3:$G$68)</f>
        <v>336</v>
      </c>
      <c r="H182" s="24" t="n">
        <f aca="false">DI_2Phase!AO116</f>
        <v>1.67105263157895</v>
      </c>
      <c r="I182" s="24" t="n">
        <f aca="false">DI_2Phase!AP116</f>
        <v>29.8480737362979</v>
      </c>
      <c r="J182" s="24" t="n">
        <f aca="false">DI_2Phase!AQ116</f>
        <v>619.4</v>
      </c>
      <c r="K182" s="24" t="n">
        <f aca="false">DI_2Phase!AR116</f>
        <v>0.04370355</v>
      </c>
      <c r="L182" s="24" t="n">
        <f aca="false">DI_2Phase!AS116</f>
        <v>0.142088815789474</v>
      </c>
      <c r="M182" s="24" t="n">
        <f aca="false">DI_2Phase!AT116</f>
        <v>24.45</v>
      </c>
      <c r="N182" s="24" t="n">
        <f aca="false">DI_2Phase!AU116</f>
        <v>0.0394736842105263</v>
      </c>
      <c r="O182" s="24" t="n">
        <f aca="false">DI_2Phase!AV116</f>
        <v>0.377358490566038</v>
      </c>
      <c r="P182" s="24" t="n">
        <f aca="false">DI_2Phase!AW116</f>
        <v>2858.40382264876</v>
      </c>
      <c r="Q182" s="24" t="n">
        <f aca="false">DI_2Phase!AX116</f>
        <v>5.66999036814239E-005</v>
      </c>
      <c r="R182" s="24" t="n">
        <f aca="false">DI_2Phase!AY116</f>
        <v>1</v>
      </c>
      <c r="S182" s="24" t="n">
        <f aca="false">DI_2Phase!AZ116</f>
        <v>0.000138278019139982</v>
      </c>
      <c r="T182" s="24" t="n">
        <f aca="false">DI_2Phase!BA116</f>
        <v>0.000110622415311986</v>
      </c>
      <c r="U182" s="24" t="n">
        <f aca="false">DI_2Phase!BB116</f>
        <v>0.000165933622967978</v>
      </c>
      <c r="V182" s="77" t="str">
        <f aca="false">DI_2Phase!BC116</f>
        <v>Mansouri Thesis</v>
      </c>
    </row>
    <row r="183" customFormat="false" ht="12.8" hidden="false" customHeight="false" outlineLevel="0" collapsed="false">
      <c r="A183" s="15" t="n">
        <v>181</v>
      </c>
      <c r="B183" s="20" t="str">
        <f aca="false">DI_2Phase!AI117</f>
        <v>DI</v>
      </c>
      <c r="C183" s="20" t="str">
        <f aca="false">DI_2Phase!AJ117</f>
        <v>Liquid-Solid</v>
      </c>
      <c r="D183" s="20" t="str">
        <f aca="false">DI_2Phase!AK117</f>
        <v>V-H</v>
      </c>
      <c r="E183" s="48" t="n">
        <f aca="false">DI_2Phase!AL117</f>
        <v>45</v>
      </c>
      <c r="F183" s="78" t="n">
        <f aca="false">DI_2Phase!AM117</f>
        <v>1E-006</v>
      </c>
      <c r="G183" s="24" t="n">
        <f aca="false">DI_2Phase!AN117*0+MAX($G$3:$G$68)</f>
        <v>336</v>
      </c>
      <c r="H183" s="24" t="n">
        <f aca="false">DI_2Phase!AO117</f>
        <v>1.67105263157895</v>
      </c>
      <c r="I183" s="24" t="n">
        <f aca="false">DI_2Phase!AP117</f>
        <v>29.8480737362979</v>
      </c>
      <c r="J183" s="24" t="n">
        <f aca="false">DI_2Phase!AQ117</f>
        <v>619.4</v>
      </c>
      <c r="K183" s="24" t="n">
        <f aca="false">DI_2Phase!AR117</f>
        <v>0.04370355</v>
      </c>
      <c r="L183" s="24" t="n">
        <f aca="false">DI_2Phase!AS117</f>
        <v>0.142088815789474</v>
      </c>
      <c r="M183" s="24" t="n">
        <f aca="false">DI_2Phase!AT117</f>
        <v>24.45</v>
      </c>
      <c r="N183" s="24" t="n">
        <f aca="false">DI_2Phase!AU117</f>
        <v>0.0394736842105263</v>
      </c>
      <c r="O183" s="24" t="n">
        <f aca="false">DI_2Phase!AV117</f>
        <v>0.377358490566038</v>
      </c>
      <c r="P183" s="24" t="n">
        <f aca="false">DI_2Phase!AW117</f>
        <v>2858.40382264876</v>
      </c>
      <c r="Q183" s="24" t="n">
        <f aca="false">DI_2Phase!AX117</f>
        <v>5.66999036814239E-005</v>
      </c>
      <c r="R183" s="24" t="n">
        <f aca="false">DI_2Phase!AY117</f>
        <v>1</v>
      </c>
      <c r="S183" s="24" t="n">
        <f aca="false">DI_2Phase!AZ117</f>
        <v>7.47045649527843E-005</v>
      </c>
      <c r="T183" s="24" t="n">
        <f aca="false">DI_2Phase!BA117</f>
        <v>5.97636519622274E-005</v>
      </c>
      <c r="U183" s="24" t="n">
        <f aca="false">DI_2Phase!BB117</f>
        <v>8.96454779433411E-005</v>
      </c>
      <c r="V183" s="77" t="str">
        <f aca="false">DI_2Phase!BC117</f>
        <v>Mansouri Thesis</v>
      </c>
    </row>
    <row r="184" customFormat="false" ht="12.8" hidden="false" customHeight="false" outlineLevel="0" collapsed="false">
      <c r="A184" s="15" t="n">
        <v>182</v>
      </c>
      <c r="B184" s="20" t="str">
        <f aca="false">DI_2Phase!AI118</f>
        <v>DI</v>
      </c>
      <c r="C184" s="20" t="str">
        <f aca="false">DI_2Phase!AJ118</f>
        <v>Liquid-Solid</v>
      </c>
      <c r="D184" s="20" t="str">
        <f aca="false">DI_2Phase!AK118</f>
        <v>V-H</v>
      </c>
      <c r="E184" s="48" t="n">
        <f aca="false">DI_2Phase!AL118</f>
        <v>75</v>
      </c>
      <c r="F184" s="78" t="n">
        <f aca="false">DI_2Phase!AM118</f>
        <v>1E-006</v>
      </c>
      <c r="G184" s="24" t="n">
        <f aca="false">DI_2Phase!AN118*0+MAX($G$3:$G$68)</f>
        <v>336</v>
      </c>
      <c r="H184" s="24" t="n">
        <f aca="false">DI_2Phase!AO118</f>
        <v>1.67105263157895</v>
      </c>
      <c r="I184" s="24" t="n">
        <f aca="false">DI_2Phase!AP118</f>
        <v>29.8480737362979</v>
      </c>
      <c r="J184" s="24" t="n">
        <f aca="false">DI_2Phase!AQ118</f>
        <v>11.2618181818182</v>
      </c>
      <c r="K184" s="24" t="n">
        <f aca="false">DI_2Phase!AR118</f>
        <v>1.44474545454545E-005</v>
      </c>
      <c r="L184" s="24" t="n">
        <f aca="false">DI_2Phase!AS118</f>
        <v>0.00258343301435407</v>
      </c>
      <c r="M184" s="24" t="n">
        <f aca="false">DI_2Phase!AT118</f>
        <v>0.444545454545455</v>
      </c>
      <c r="N184" s="24" t="n">
        <f aca="false">DI_2Phase!AU118</f>
        <v>0.0394736842105263</v>
      </c>
      <c r="O184" s="24" t="n">
        <f aca="false">DI_2Phase!AV118</f>
        <v>0.377358490566038</v>
      </c>
      <c r="P184" s="24" t="n">
        <f aca="false">DI_2Phase!AW118</f>
        <v>2858.40382264876</v>
      </c>
      <c r="Q184" s="24" t="n">
        <f aca="false">DI_2Phase!AX118</f>
        <v>5.66999036814239E-005</v>
      </c>
      <c r="R184" s="24" t="n">
        <f aca="false">DI_2Phase!AY118</f>
        <v>1</v>
      </c>
      <c r="S184" s="24" t="n">
        <f aca="false">DI_2Phase!AZ118</f>
        <v>0.0001726235607169</v>
      </c>
      <c r="T184" s="24" t="n">
        <f aca="false">DI_2Phase!BA118</f>
        <v>0.00013809884857352</v>
      </c>
      <c r="U184" s="24" t="n">
        <f aca="false">DI_2Phase!BB118</f>
        <v>0.00020714827286028</v>
      </c>
      <c r="V184" s="77" t="str">
        <f aca="false">DI_2Phase!BC118</f>
        <v>Mansouri Thesis</v>
      </c>
    </row>
    <row r="185" customFormat="false" ht="12.8" hidden="false" customHeight="false" outlineLevel="0" collapsed="false">
      <c r="A185" s="15" t="n">
        <v>183</v>
      </c>
      <c r="B185" s="20" t="str">
        <f aca="false">DI_2Phase!AI119</f>
        <v>DI</v>
      </c>
      <c r="C185" s="20" t="str">
        <f aca="false">DI_2Phase!AJ119</f>
        <v>Liquid-Solid</v>
      </c>
      <c r="D185" s="20" t="str">
        <f aca="false">DI_2Phase!AK119</f>
        <v>V-H</v>
      </c>
      <c r="E185" s="48" t="n">
        <f aca="false">DI_2Phase!AL119</f>
        <v>45</v>
      </c>
      <c r="F185" s="78" t="n">
        <f aca="false">DI_2Phase!AM119</f>
        <v>1E-006</v>
      </c>
      <c r="G185" s="24" t="n">
        <f aca="false">DI_2Phase!AN119*0+MAX($G$3:$G$68)</f>
        <v>336</v>
      </c>
      <c r="H185" s="24" t="n">
        <f aca="false">DI_2Phase!AO119</f>
        <v>1.67105263157895</v>
      </c>
      <c r="I185" s="24" t="n">
        <f aca="false">DI_2Phase!AP119</f>
        <v>29.8480737362979</v>
      </c>
      <c r="J185" s="24" t="n">
        <f aca="false">DI_2Phase!AQ119</f>
        <v>11.2618181818182</v>
      </c>
      <c r="K185" s="24" t="n">
        <f aca="false">DI_2Phase!AR119</f>
        <v>1.44474545454545E-005</v>
      </c>
      <c r="L185" s="24" t="n">
        <f aca="false">DI_2Phase!AS119</f>
        <v>0.00258343301435407</v>
      </c>
      <c r="M185" s="24" t="n">
        <f aca="false">DI_2Phase!AT119</f>
        <v>0.444545454545455</v>
      </c>
      <c r="N185" s="24" t="n">
        <f aca="false">DI_2Phase!AU119</f>
        <v>0.0394736842105263</v>
      </c>
      <c r="O185" s="24" t="n">
        <f aca="false">DI_2Phase!AV119</f>
        <v>0.377358490566038</v>
      </c>
      <c r="P185" s="24" t="n">
        <f aca="false">DI_2Phase!AW119</f>
        <v>2858.40382264876</v>
      </c>
      <c r="Q185" s="24" t="n">
        <f aca="false">DI_2Phase!AX119</f>
        <v>5.66999036814239E-005</v>
      </c>
      <c r="R185" s="24" t="n">
        <f aca="false">DI_2Phase!AY119</f>
        <v>1</v>
      </c>
      <c r="S185" s="24" t="n">
        <f aca="false">DI_2Phase!AZ119</f>
        <v>8.37798985695545E-005</v>
      </c>
      <c r="T185" s="24" t="n">
        <f aca="false">DI_2Phase!BA119</f>
        <v>6.70239188556436E-005</v>
      </c>
      <c r="U185" s="24" t="n">
        <f aca="false">DI_2Phase!BB119</f>
        <v>0.000100535878283465</v>
      </c>
      <c r="V185" s="77" t="str">
        <f aca="false">DI_2Phase!BC119</f>
        <v>Mansouri Thesis</v>
      </c>
    </row>
    <row r="186" customFormat="false" ht="12.8" hidden="false" customHeight="false" outlineLevel="0" collapsed="false">
      <c r="A186" s="15" t="n">
        <v>184</v>
      </c>
      <c r="B186" s="20" t="str">
        <f aca="false">DI_2Phase!AI120</f>
        <v>DI</v>
      </c>
      <c r="C186" s="20" t="str">
        <f aca="false">DI_2Phase!AJ120</f>
        <v>Liquid-Solid</v>
      </c>
      <c r="D186" s="20" t="str">
        <f aca="false">DI_2Phase!AK120</f>
        <v>V-H</v>
      </c>
      <c r="E186" s="48" t="n">
        <f aca="false">DI_2Phase!AL120</f>
        <v>90</v>
      </c>
      <c r="F186" s="78" t="n">
        <f aca="false">DI_2Phase!AM120</f>
        <v>1E-006</v>
      </c>
      <c r="G186" s="24" t="n">
        <f aca="false">DI_2Phase!AN120*0+MAX($G$3:$G$68)</f>
        <v>336</v>
      </c>
      <c r="H186" s="24" t="n">
        <f aca="false">DI_2Phase!AO120</f>
        <v>1.67105263157895</v>
      </c>
      <c r="I186" s="24" t="n">
        <f aca="false">DI_2Phase!AP120</f>
        <v>29.8480737362979</v>
      </c>
      <c r="J186" s="24" t="n">
        <f aca="false">DI_2Phase!AQ120</f>
        <v>619.4</v>
      </c>
      <c r="K186" s="24" t="n">
        <f aca="false">DI_2Phase!AR120</f>
        <v>0.04370355</v>
      </c>
      <c r="L186" s="24" t="n">
        <f aca="false">DI_2Phase!AS120</f>
        <v>0.142088815789474</v>
      </c>
      <c r="M186" s="24" t="n">
        <f aca="false">DI_2Phase!AT120</f>
        <v>24.45</v>
      </c>
      <c r="N186" s="24" t="n">
        <f aca="false">DI_2Phase!AU120</f>
        <v>0.0394736842105263</v>
      </c>
      <c r="O186" s="24" t="n">
        <f aca="false">DI_2Phase!AV120</f>
        <v>0.377358490566038</v>
      </c>
      <c r="P186" s="24" t="n">
        <f aca="false">DI_2Phase!AW120</f>
        <v>2858.40382264876</v>
      </c>
      <c r="Q186" s="24" t="n">
        <f aca="false">DI_2Phase!AX120</f>
        <v>5.6699903681424E-005</v>
      </c>
      <c r="R186" s="24" t="n">
        <f aca="false">DI_2Phase!AY120</f>
        <v>1</v>
      </c>
      <c r="S186" s="24" t="n">
        <f aca="false">DI_2Phase!AZ120</f>
        <v>7.23374536218082E-005</v>
      </c>
      <c r="T186" s="24" t="n">
        <f aca="false">DI_2Phase!BA120</f>
        <v>5.78699628974466E-005</v>
      </c>
      <c r="U186" s="24" t="n">
        <f aca="false">DI_2Phase!BB120</f>
        <v>8.68049443461698E-005</v>
      </c>
      <c r="V186" s="77" t="str">
        <f aca="false">DI_2Phase!BC120</f>
        <v>Mansouri Thesis</v>
      </c>
    </row>
    <row r="187" customFormat="false" ht="12.8" hidden="false" customHeight="false" outlineLevel="0" collapsed="false">
      <c r="A187" s="15" t="n">
        <v>185</v>
      </c>
      <c r="B187" s="20" t="str">
        <f aca="false">DI_2Phase!AI121</f>
        <v>DI</v>
      </c>
      <c r="C187" s="20" t="str">
        <f aca="false">DI_2Phase!AJ121</f>
        <v>Liquid-Solid</v>
      </c>
      <c r="D187" s="20" t="str">
        <f aca="false">DI_2Phase!AK121</f>
        <v>V-H</v>
      </c>
      <c r="E187" s="48" t="n">
        <f aca="false">DI_2Phase!AL121</f>
        <v>90</v>
      </c>
      <c r="F187" s="78" t="n">
        <f aca="false">DI_2Phase!AM121</f>
        <v>1E-006</v>
      </c>
      <c r="G187" s="24" t="n">
        <f aca="false">DI_2Phase!AN121*0+MAX($G$3:$G$68)</f>
        <v>336</v>
      </c>
      <c r="H187" s="24" t="n">
        <f aca="false">DI_2Phase!AO121</f>
        <v>1.67105263157895</v>
      </c>
      <c r="I187" s="24" t="n">
        <f aca="false">DI_2Phase!AP121</f>
        <v>29.8480737362979</v>
      </c>
      <c r="J187" s="24" t="n">
        <f aca="false">DI_2Phase!AQ121</f>
        <v>619.4</v>
      </c>
      <c r="K187" s="24" t="n">
        <f aca="false">DI_2Phase!AR121</f>
        <v>0.04370355</v>
      </c>
      <c r="L187" s="24" t="n">
        <f aca="false">DI_2Phase!AS121</f>
        <v>0.142088815789474</v>
      </c>
      <c r="M187" s="24" t="n">
        <f aca="false">DI_2Phase!AT121</f>
        <v>24.45</v>
      </c>
      <c r="N187" s="24" t="n">
        <f aca="false">DI_2Phase!AU121</f>
        <v>0.0394736842105263</v>
      </c>
      <c r="O187" s="24" t="n">
        <f aca="false">DI_2Phase!AV121</f>
        <v>0.377358490566038</v>
      </c>
      <c r="P187" s="24" t="n">
        <f aca="false">DI_2Phase!AW121</f>
        <v>2858.40382264876</v>
      </c>
      <c r="Q187" s="24" t="n">
        <f aca="false">DI_2Phase!AX121</f>
        <v>5.6699903681424E-005</v>
      </c>
      <c r="R187" s="24" t="n">
        <f aca="false">DI_2Phase!AY121</f>
        <v>1</v>
      </c>
      <c r="S187" s="24" t="n">
        <f aca="false">DI_2Phase!AZ121</f>
        <v>0.000110077908435973</v>
      </c>
      <c r="T187" s="24" t="n">
        <f aca="false">DI_2Phase!BA121</f>
        <v>8.80623267487784E-005</v>
      </c>
      <c r="U187" s="24" t="n">
        <f aca="false">DI_2Phase!BB121</f>
        <v>0.000132093490123168</v>
      </c>
      <c r="V187" s="77" t="str">
        <f aca="false">DI_2Phase!BC121</f>
        <v>Mansouri Thesis</v>
      </c>
    </row>
    <row r="188" customFormat="false" ht="12.8" hidden="false" customHeight="false" outlineLevel="0" collapsed="false">
      <c r="A188" s="15" t="n">
        <v>186</v>
      </c>
      <c r="B188" s="20" t="str">
        <f aca="false">DI_2Phase!AI122</f>
        <v>DI</v>
      </c>
      <c r="C188" s="20" t="str">
        <f aca="false">DI_2Phase!AJ122</f>
        <v>Gas-solid</v>
      </c>
      <c r="D188" s="20" t="str">
        <f aca="false">DI_2Phase!AK122</f>
        <v>H-V</v>
      </c>
      <c r="E188" s="48" t="n">
        <f aca="false">DI_2Phase!AL122</f>
        <v>90</v>
      </c>
      <c r="F188" s="78" t="n">
        <f aca="false">DI_2Phase!AM122</f>
        <v>1E-006</v>
      </c>
      <c r="G188" s="24" t="n">
        <f aca="false">DI_2Phase!AN122*0+MAX($G$3:$G$68)</f>
        <v>336</v>
      </c>
      <c r="H188" s="24" t="n">
        <f aca="false">DI_2Phase!AO122</f>
        <v>1.67105263157895</v>
      </c>
      <c r="I188" s="24" t="n">
        <f aca="false">DI_2Phase!AP122</f>
        <v>399.195096595886</v>
      </c>
      <c r="J188" s="24" t="n">
        <f aca="false">DI_2Phase!AQ122</f>
        <v>56377.2222222222</v>
      </c>
      <c r="K188" s="24" t="n">
        <f aca="false">DI_2Phase!AR122</f>
        <v>2652.5826140625</v>
      </c>
      <c r="L188" s="24" t="n">
        <f aca="false">DI_2Phase!AS122</f>
        <v>10557.3830409357</v>
      </c>
      <c r="M188" s="24" t="n">
        <f aca="false">DI_2Phase!AT122</f>
        <v>2225.41666666667</v>
      </c>
      <c r="N188" s="24" t="n">
        <f aca="false">DI_2Phase!AU122</f>
        <v>0.0394736842105263</v>
      </c>
      <c r="O188" s="24" t="n">
        <f aca="false">DI_2Phase!AV122</f>
        <v>0.000462264150943396</v>
      </c>
      <c r="P188" s="24" t="n">
        <f aca="false">DI_2Phase!AW122</f>
        <v>15.9803322876767</v>
      </c>
      <c r="Q188" s="24" t="n">
        <f aca="false">DI_2Phase!AX122</f>
        <v>4.23971062802327E-006</v>
      </c>
      <c r="R188" s="24" t="n">
        <f aca="false">DI_2Phase!AY122</f>
        <v>1</v>
      </c>
      <c r="S188" s="24" t="n">
        <f aca="false">DI_2Phase!AZ122</f>
        <v>0.000208875708821282</v>
      </c>
      <c r="T188" s="24" t="n">
        <f aca="false">DI_2Phase!BA122</f>
        <v>0.000167100567057026</v>
      </c>
      <c r="U188" s="24" t="n">
        <f aca="false">DI_2Phase!BB122</f>
        <v>0.000250650850585538</v>
      </c>
      <c r="V188" s="77" t="str">
        <f aca="false">DI_2Phase!BC122</f>
        <v>https://www.sciencedirect.com/science/article/pii/S0043164814003627</v>
      </c>
    </row>
    <row r="189" customFormat="false" ht="12.8" hidden="false" customHeight="false" outlineLevel="0" collapsed="false">
      <c r="A189" s="15" t="n">
        <v>187</v>
      </c>
      <c r="B189" s="20" t="str">
        <f aca="false">DI_2Phase!AI123</f>
        <v>DI</v>
      </c>
      <c r="C189" s="20" t="str">
        <f aca="false">DI_2Phase!AJ123</f>
        <v>Gas-solid</v>
      </c>
      <c r="D189" s="20" t="str">
        <f aca="false">DI_2Phase!AK123</f>
        <v>H-V</v>
      </c>
      <c r="E189" s="48" t="n">
        <f aca="false">DI_2Phase!AL123</f>
        <v>60</v>
      </c>
      <c r="F189" s="78" t="n">
        <f aca="false">DI_2Phase!AM123</f>
        <v>1E-006</v>
      </c>
      <c r="G189" s="24" t="n">
        <f aca="false">DI_2Phase!AN123*0+MAX($G$3:$G$68)</f>
        <v>336</v>
      </c>
      <c r="H189" s="24" t="n">
        <f aca="false">DI_2Phase!AO123</f>
        <v>1.67105263157895</v>
      </c>
      <c r="I189" s="24" t="n">
        <f aca="false">DI_2Phase!AP123</f>
        <v>399.195096595886</v>
      </c>
      <c r="J189" s="24" t="n">
        <f aca="false">DI_2Phase!AQ123</f>
        <v>56377.2222222222</v>
      </c>
      <c r="K189" s="24" t="n">
        <f aca="false">DI_2Phase!AR123</f>
        <v>2652.5826140625</v>
      </c>
      <c r="L189" s="24" t="n">
        <f aca="false">DI_2Phase!AS123</f>
        <v>10557.3830409357</v>
      </c>
      <c r="M189" s="24" t="n">
        <f aca="false">DI_2Phase!AT123</f>
        <v>2225.41666666667</v>
      </c>
      <c r="N189" s="24" t="n">
        <f aca="false">DI_2Phase!AU123</f>
        <v>0.0394736842105263</v>
      </c>
      <c r="O189" s="24" t="n">
        <f aca="false">DI_2Phase!AV123</f>
        <v>0.000462264150943396</v>
      </c>
      <c r="P189" s="24" t="n">
        <f aca="false">DI_2Phase!AW123</f>
        <v>15.9803322876767</v>
      </c>
      <c r="Q189" s="24" t="n">
        <f aca="false">DI_2Phase!AX123</f>
        <v>4.23971062802327E-006</v>
      </c>
      <c r="R189" s="24" t="n">
        <f aca="false">DI_2Phase!AY123</f>
        <v>1</v>
      </c>
      <c r="S189" s="24" t="n">
        <f aca="false">DI_2Phase!AZ123</f>
        <v>0.000194394340789475</v>
      </c>
      <c r="T189" s="24" t="n">
        <f aca="false">DI_2Phase!BA123</f>
        <v>0.00015551547263158</v>
      </c>
      <c r="U189" s="24" t="n">
        <f aca="false">DI_2Phase!BB123</f>
        <v>0.00023327320894737</v>
      </c>
      <c r="V189" s="77" t="str">
        <f aca="false">DI_2Phase!BC123</f>
        <v>https://www.sciencedirect.com/science/article/pii/S0043164814003627</v>
      </c>
    </row>
    <row r="190" customFormat="false" ht="12.8" hidden="false" customHeight="false" outlineLevel="0" collapsed="false">
      <c r="A190" s="15" t="n">
        <v>188</v>
      </c>
      <c r="B190" s="20" t="str">
        <f aca="false">DI_2Phase!AI124</f>
        <v>DI</v>
      </c>
      <c r="C190" s="20" t="str">
        <f aca="false">DI_2Phase!AJ124</f>
        <v>Gas-solid</v>
      </c>
      <c r="D190" s="20" t="str">
        <f aca="false">DI_2Phase!AK124</f>
        <v>H-V</v>
      </c>
      <c r="E190" s="48" t="n">
        <f aca="false">DI_2Phase!AL124</f>
        <v>45</v>
      </c>
      <c r="F190" s="78" t="n">
        <f aca="false">DI_2Phase!AM124</f>
        <v>1E-006</v>
      </c>
      <c r="G190" s="24" t="n">
        <f aca="false">DI_2Phase!AN124*0+MAX($G$3:$G$68)</f>
        <v>336</v>
      </c>
      <c r="H190" s="24" t="n">
        <f aca="false">DI_2Phase!AO124</f>
        <v>1.67105263157895</v>
      </c>
      <c r="I190" s="24" t="n">
        <f aca="false">DI_2Phase!AP124</f>
        <v>399.195096595886</v>
      </c>
      <c r="J190" s="24" t="n">
        <f aca="false">DI_2Phase!AQ124</f>
        <v>56377.2222222222</v>
      </c>
      <c r="K190" s="24" t="n">
        <f aca="false">DI_2Phase!AR124</f>
        <v>2652.5826140625</v>
      </c>
      <c r="L190" s="24" t="n">
        <f aca="false">DI_2Phase!AS124</f>
        <v>10557.3830409357</v>
      </c>
      <c r="M190" s="24" t="n">
        <f aca="false">DI_2Phase!AT124</f>
        <v>2225.41666666667</v>
      </c>
      <c r="N190" s="24" t="n">
        <f aca="false">DI_2Phase!AU124</f>
        <v>0.0394736842105263</v>
      </c>
      <c r="O190" s="24" t="n">
        <f aca="false">DI_2Phase!AV124</f>
        <v>0.000462264150943396</v>
      </c>
      <c r="P190" s="24" t="n">
        <f aca="false">DI_2Phase!AW124</f>
        <v>15.9803322876767</v>
      </c>
      <c r="Q190" s="24" t="n">
        <f aca="false">DI_2Phase!AX124</f>
        <v>4.23971062802327E-006</v>
      </c>
      <c r="R190" s="24" t="n">
        <f aca="false">DI_2Phase!AY124</f>
        <v>1</v>
      </c>
      <c r="S190" s="24" t="n">
        <f aca="false">DI_2Phase!AZ124</f>
        <v>0.000192571148266165</v>
      </c>
      <c r="T190" s="24" t="n">
        <f aca="false">DI_2Phase!BA124</f>
        <v>0.000154056918612932</v>
      </c>
      <c r="U190" s="24" t="n">
        <f aca="false">DI_2Phase!BB124</f>
        <v>0.000231085377919398</v>
      </c>
      <c r="V190" s="77" t="str">
        <f aca="false">DI_2Phase!BC124</f>
        <v>https://www.sciencedirect.com/science/article/pii/S0043164814003627</v>
      </c>
    </row>
    <row r="191" customFormat="false" ht="12.8" hidden="false" customHeight="false" outlineLevel="0" collapsed="false">
      <c r="A191" s="15" t="n">
        <v>189</v>
      </c>
      <c r="B191" s="20" t="str">
        <f aca="false">DI_2Phase!AI125</f>
        <v>DI</v>
      </c>
      <c r="C191" s="20" t="str">
        <f aca="false">DI_2Phase!AJ125</f>
        <v>Gas-solid</v>
      </c>
      <c r="D191" s="20" t="str">
        <f aca="false">DI_2Phase!AK125</f>
        <v>H-V</v>
      </c>
      <c r="E191" s="48" t="n">
        <f aca="false">DI_2Phase!AL125</f>
        <v>30</v>
      </c>
      <c r="F191" s="78" t="n">
        <f aca="false">DI_2Phase!AM125</f>
        <v>1E-006</v>
      </c>
      <c r="G191" s="24" t="n">
        <f aca="false">DI_2Phase!AN125*0+MAX($G$3:$G$68)</f>
        <v>336</v>
      </c>
      <c r="H191" s="24" t="n">
        <f aca="false">DI_2Phase!AO125</f>
        <v>1.67105263157895</v>
      </c>
      <c r="I191" s="24" t="n">
        <f aca="false">DI_2Phase!AP125</f>
        <v>399.195096595886</v>
      </c>
      <c r="J191" s="24" t="n">
        <f aca="false">DI_2Phase!AQ125</f>
        <v>56377.2222222222</v>
      </c>
      <c r="K191" s="24" t="n">
        <f aca="false">DI_2Phase!AR125</f>
        <v>2652.5826140625</v>
      </c>
      <c r="L191" s="24" t="n">
        <f aca="false">DI_2Phase!AS125</f>
        <v>10557.3830409357</v>
      </c>
      <c r="M191" s="24" t="n">
        <f aca="false">DI_2Phase!AT125</f>
        <v>2225.41666666667</v>
      </c>
      <c r="N191" s="24" t="n">
        <f aca="false">DI_2Phase!AU125</f>
        <v>0.0394736842105263</v>
      </c>
      <c r="O191" s="24" t="n">
        <f aca="false">DI_2Phase!AV125</f>
        <v>0.000462264150943396</v>
      </c>
      <c r="P191" s="24" t="n">
        <f aca="false">DI_2Phase!AW125</f>
        <v>15.9803322876767</v>
      </c>
      <c r="Q191" s="24" t="n">
        <f aca="false">DI_2Phase!AX125</f>
        <v>4.23971062802327E-006</v>
      </c>
      <c r="R191" s="24" t="n">
        <f aca="false">DI_2Phase!AY125</f>
        <v>1</v>
      </c>
      <c r="S191" s="24" t="n">
        <f aca="false">DI_2Phase!AZ125</f>
        <v>0.000165421377002642</v>
      </c>
      <c r="T191" s="24" t="n">
        <f aca="false">DI_2Phase!BA125</f>
        <v>0.000132337101602114</v>
      </c>
      <c r="U191" s="24" t="n">
        <f aca="false">DI_2Phase!BB125</f>
        <v>0.00019850565240317</v>
      </c>
      <c r="V191" s="77" t="str">
        <f aca="false">DI_2Phase!BC125</f>
        <v>https://www.sciencedirect.com/science/article/pii/S0043164814003627</v>
      </c>
    </row>
    <row r="192" customFormat="false" ht="12.8" hidden="false" customHeight="false" outlineLevel="0" collapsed="false">
      <c r="A192" s="15" t="n">
        <v>190</v>
      </c>
      <c r="B192" s="20" t="str">
        <f aca="false">DI_2Phase!AI126</f>
        <v>DI</v>
      </c>
      <c r="C192" s="20" t="str">
        <f aca="false">DI_2Phase!AJ126</f>
        <v>Gas-solid</v>
      </c>
      <c r="D192" s="20" t="str">
        <f aca="false">DI_2Phase!AK126</f>
        <v>H-V</v>
      </c>
      <c r="E192" s="48" t="n">
        <f aca="false">DI_2Phase!AL126</f>
        <v>15</v>
      </c>
      <c r="F192" s="78" t="n">
        <f aca="false">DI_2Phase!AM126</f>
        <v>1E-006</v>
      </c>
      <c r="G192" s="24" t="n">
        <f aca="false">DI_2Phase!AN126*0+MAX($G$3:$G$68)</f>
        <v>336</v>
      </c>
      <c r="H192" s="24" t="n">
        <f aca="false">DI_2Phase!AO126</f>
        <v>1.67105263157895</v>
      </c>
      <c r="I192" s="24" t="n">
        <f aca="false">DI_2Phase!AP126</f>
        <v>399.195096595886</v>
      </c>
      <c r="J192" s="24" t="n">
        <f aca="false">DI_2Phase!AQ126</f>
        <v>56377.2222222222</v>
      </c>
      <c r="K192" s="24" t="n">
        <f aca="false">DI_2Phase!AR126</f>
        <v>2652.5826140625</v>
      </c>
      <c r="L192" s="24" t="n">
        <f aca="false">DI_2Phase!AS126</f>
        <v>10557.3830409357</v>
      </c>
      <c r="M192" s="24" t="n">
        <f aca="false">DI_2Phase!AT126</f>
        <v>2225.41666666667</v>
      </c>
      <c r="N192" s="24" t="n">
        <f aca="false">DI_2Phase!AU126</f>
        <v>0.0394736842105263</v>
      </c>
      <c r="O192" s="24" t="n">
        <f aca="false">DI_2Phase!AV126</f>
        <v>0.000462264150943396</v>
      </c>
      <c r="P192" s="24" t="n">
        <f aca="false">DI_2Phase!AW126</f>
        <v>15.9803322876767</v>
      </c>
      <c r="Q192" s="24" t="n">
        <f aca="false">DI_2Phase!AX126</f>
        <v>4.23971062802327E-006</v>
      </c>
      <c r="R192" s="24" t="n">
        <f aca="false">DI_2Phase!AY126</f>
        <v>1</v>
      </c>
      <c r="S192" s="24" t="n">
        <f aca="false">DI_2Phase!AZ126</f>
        <v>9.02456175804356E-005</v>
      </c>
      <c r="T192" s="24" t="n">
        <f aca="false">DI_2Phase!BA126</f>
        <v>7.21964940643485E-005</v>
      </c>
      <c r="U192" s="24" t="n">
        <f aca="false">DI_2Phase!BB126</f>
        <v>0.000108294741096523</v>
      </c>
      <c r="V192" s="77" t="str">
        <f aca="false">DI_2Phase!BC126</f>
        <v>https://www.sciencedirect.com/science/article/pii/S0043164814003627</v>
      </c>
    </row>
    <row r="193" customFormat="false" ht="12.8" hidden="false" customHeight="false" outlineLevel="0" collapsed="false">
      <c r="A193" s="15" t="n">
        <v>191</v>
      </c>
      <c r="B193" s="20" t="str">
        <f aca="false">DI_2Phase!AI127</f>
        <v>DI</v>
      </c>
      <c r="C193" s="20" t="str">
        <f aca="false">DI_2Phase!AJ127</f>
        <v>Liquid-Solid</v>
      </c>
      <c r="D193" s="20" t="str">
        <f aca="false">DI_2Phase!AK127</f>
        <v>V-H</v>
      </c>
      <c r="E193" s="48" t="n">
        <f aca="false">DI_2Phase!AL127</f>
        <v>90</v>
      </c>
      <c r="F193" s="78" t="n">
        <f aca="false">DI_2Phase!AM127</f>
        <v>1E-006</v>
      </c>
      <c r="G193" s="24" t="n">
        <f aca="false">DI_2Phase!AN127*0+MAX($G$3:$G$68)</f>
        <v>336</v>
      </c>
      <c r="H193" s="24" t="n">
        <f aca="false">DI_2Phase!AO127</f>
        <v>1.5875</v>
      </c>
      <c r="I193" s="24" t="n">
        <f aca="false">DI_2Phase!AP127</f>
        <v>49.9745093024473</v>
      </c>
      <c r="J193" s="24" t="n">
        <f aca="false">DI_2Phase!AQ127</f>
        <v>1120</v>
      </c>
      <c r="K193" s="24" t="n">
        <f aca="false">DI_2Phase!AR127</f>
        <v>4.13859375E-005</v>
      </c>
      <c r="L193" s="24" t="n">
        <f aca="false">DI_2Phase!AS127</f>
        <v>0.006015625</v>
      </c>
      <c r="M193" s="24" t="n">
        <f aca="false">DI_2Phase!AT127</f>
        <v>10.5</v>
      </c>
      <c r="N193" s="24" t="n">
        <f aca="false">DI_2Phase!AU127</f>
        <v>0.009375</v>
      </c>
      <c r="O193" s="24" t="n">
        <f aca="false">DI_2Phase!AV127</f>
        <v>0.909090909090909</v>
      </c>
      <c r="P193" s="24" t="n">
        <f aca="false">DI_2Phase!AW127</f>
        <v>968.685346479017</v>
      </c>
      <c r="Q193" s="24" t="n">
        <f aca="false">DI_2Phase!AX127</f>
        <v>0.00908871627990326</v>
      </c>
      <c r="R193" s="24" t="n">
        <f aca="false">DI_2Phase!AY127</f>
        <v>1</v>
      </c>
      <c r="S193" s="24" t="n">
        <f aca="false">DI_2Phase!AZ127</f>
        <v>0.000325505756857221</v>
      </c>
      <c r="T193" s="24" t="n">
        <f aca="false">DI_2Phase!BA127</f>
        <v>0.000260404605485777</v>
      </c>
      <c r="U193" s="24" t="n">
        <f aca="false">DI_2Phase!BB127</f>
        <v>0.000390606908228665</v>
      </c>
      <c r="V193" s="77" t="str">
        <f aca="false">DI_2Phase!BC127</f>
        <v>karimi Thesis - TABLE a2</v>
      </c>
    </row>
    <row r="194" customFormat="false" ht="12.8" hidden="false" customHeight="false" outlineLevel="0" collapsed="false">
      <c r="A194" s="15" t="n">
        <v>192</v>
      </c>
      <c r="B194" s="20" t="str">
        <f aca="false">DI_2Phase!AI128</f>
        <v>DI</v>
      </c>
      <c r="C194" s="20" t="str">
        <f aca="false">DI_2Phase!AJ128</f>
        <v>Liquid-Solid</v>
      </c>
      <c r="D194" s="20" t="str">
        <f aca="false">DI_2Phase!AK128</f>
        <v>V-H</v>
      </c>
      <c r="E194" s="48" t="n">
        <f aca="false">DI_2Phase!AL128</f>
        <v>75</v>
      </c>
      <c r="F194" s="78" t="n">
        <f aca="false">DI_2Phase!AM128</f>
        <v>1E-006</v>
      </c>
      <c r="G194" s="24" t="n">
        <f aca="false">DI_2Phase!AN128*0+MAX($G$3:$G$68)</f>
        <v>336</v>
      </c>
      <c r="H194" s="24" t="n">
        <f aca="false">DI_2Phase!AO128</f>
        <v>1.5875</v>
      </c>
      <c r="I194" s="24" t="n">
        <f aca="false">DI_2Phase!AP128</f>
        <v>49.9745093024473</v>
      </c>
      <c r="J194" s="24" t="n">
        <f aca="false">DI_2Phase!AQ128</f>
        <v>1120</v>
      </c>
      <c r="K194" s="24" t="n">
        <f aca="false">DI_2Phase!AR128</f>
        <v>4.13859375E-005</v>
      </c>
      <c r="L194" s="24" t="n">
        <f aca="false">DI_2Phase!AS128</f>
        <v>0.006015625</v>
      </c>
      <c r="M194" s="24" t="n">
        <f aca="false">DI_2Phase!AT128</f>
        <v>10.5</v>
      </c>
      <c r="N194" s="24" t="n">
        <f aca="false">DI_2Phase!AU128</f>
        <v>0.009375</v>
      </c>
      <c r="O194" s="24" t="n">
        <f aca="false">DI_2Phase!AV128</f>
        <v>0.909090909090909</v>
      </c>
      <c r="P194" s="24" t="n">
        <f aca="false">DI_2Phase!AW128</f>
        <v>968.685346479017</v>
      </c>
      <c r="Q194" s="24" t="n">
        <f aca="false">DI_2Phase!AX128</f>
        <v>0.00908871627990326</v>
      </c>
      <c r="R194" s="24" t="n">
        <f aca="false">DI_2Phase!AY128</f>
        <v>1</v>
      </c>
      <c r="S194" s="24" t="n">
        <f aca="false">DI_2Phase!AZ128</f>
        <v>0.000408364761877722</v>
      </c>
      <c r="T194" s="24" t="n">
        <f aca="false">DI_2Phase!BA128</f>
        <v>0.000326691809502178</v>
      </c>
      <c r="U194" s="24" t="n">
        <f aca="false">DI_2Phase!BB128</f>
        <v>0.000490037714253266</v>
      </c>
      <c r="V194" s="77" t="str">
        <f aca="false">DI_2Phase!BC128</f>
        <v>karimi Thesis - TABLE a2</v>
      </c>
    </row>
    <row r="195" customFormat="false" ht="12.8" hidden="false" customHeight="false" outlineLevel="0" collapsed="false">
      <c r="A195" s="15" t="n">
        <v>193</v>
      </c>
      <c r="B195" s="20" t="str">
        <f aca="false">DI_2Phase!AI129</f>
        <v>DI</v>
      </c>
      <c r="C195" s="20" t="str">
        <f aca="false">DI_2Phase!AJ129</f>
        <v>Liquid-Solid</v>
      </c>
      <c r="D195" s="20" t="str">
        <f aca="false">DI_2Phase!AK129</f>
        <v>V-H</v>
      </c>
      <c r="E195" s="48" t="n">
        <f aca="false">DI_2Phase!AL129</f>
        <v>45</v>
      </c>
      <c r="F195" s="78" t="n">
        <f aca="false">DI_2Phase!AM129</f>
        <v>1E-006</v>
      </c>
      <c r="G195" s="24" t="n">
        <f aca="false">DI_2Phase!AN129*0+MAX($G$3:$G$68)</f>
        <v>336</v>
      </c>
      <c r="H195" s="24" t="n">
        <f aca="false">DI_2Phase!AO129</f>
        <v>1.5875</v>
      </c>
      <c r="I195" s="24" t="n">
        <f aca="false">DI_2Phase!AP129</f>
        <v>49.9745093024473</v>
      </c>
      <c r="J195" s="24" t="n">
        <f aca="false">DI_2Phase!AQ129</f>
        <v>1120</v>
      </c>
      <c r="K195" s="24" t="n">
        <f aca="false">DI_2Phase!AR129</f>
        <v>4.13859375E-005</v>
      </c>
      <c r="L195" s="24" t="n">
        <f aca="false">DI_2Phase!AS129</f>
        <v>0.006015625</v>
      </c>
      <c r="M195" s="24" t="n">
        <f aca="false">DI_2Phase!AT129</f>
        <v>10.5</v>
      </c>
      <c r="N195" s="24" t="n">
        <f aca="false">DI_2Phase!AU129</f>
        <v>0.009375</v>
      </c>
      <c r="O195" s="24" t="n">
        <f aca="false">DI_2Phase!AV129</f>
        <v>0.909090909090909</v>
      </c>
      <c r="P195" s="24" t="n">
        <f aca="false">DI_2Phase!AW129</f>
        <v>968.685346479017</v>
      </c>
      <c r="Q195" s="24" t="n">
        <f aca="false">DI_2Phase!AX129</f>
        <v>0.00908871627990326</v>
      </c>
      <c r="R195" s="24" t="n">
        <f aca="false">DI_2Phase!AY129</f>
        <v>1</v>
      </c>
      <c r="S195" s="24" t="n">
        <f aca="false">DI_2Phase!AZ129</f>
        <v>0.000149567666797302</v>
      </c>
      <c r="T195" s="24" t="n">
        <f aca="false">DI_2Phase!BA129</f>
        <v>0.000119654133437842</v>
      </c>
      <c r="U195" s="24" t="n">
        <f aca="false">DI_2Phase!BB129</f>
        <v>0.000179481200156762</v>
      </c>
      <c r="V195" s="77" t="str">
        <f aca="false">DI_2Phase!BC129</f>
        <v>karimi Thesis - TABLE a2</v>
      </c>
    </row>
    <row r="196" customFormat="false" ht="12.8" hidden="false" customHeight="false" outlineLevel="0" collapsed="false">
      <c r="A196" s="15" t="n">
        <v>194</v>
      </c>
      <c r="B196" s="20" t="str">
        <f aca="false">DI_2Phase!AI130</f>
        <v>DI</v>
      </c>
      <c r="C196" s="20" t="str">
        <f aca="false">DI_2Phase!AJ130</f>
        <v>Liquid-Solid</v>
      </c>
      <c r="D196" s="20" t="str">
        <f aca="false">DI_2Phase!AK130</f>
        <v>V-H</v>
      </c>
      <c r="E196" s="48" t="n">
        <f aca="false">DI_2Phase!AL130</f>
        <v>90</v>
      </c>
      <c r="F196" s="78" t="n">
        <f aca="false">DI_2Phase!AM130</f>
        <v>1E-006</v>
      </c>
      <c r="G196" s="24" t="n">
        <f aca="false">DI_2Phase!AN130*0+MAX($G$3:$G$68)</f>
        <v>336</v>
      </c>
      <c r="H196" s="24" t="n">
        <f aca="false">DI_2Phase!AO130</f>
        <v>1.5875</v>
      </c>
      <c r="I196" s="24" t="n">
        <f aca="false">DI_2Phase!AP130</f>
        <v>49.9745093024473</v>
      </c>
      <c r="J196" s="24" t="n">
        <f aca="false">DI_2Phase!AQ130</f>
        <v>1120</v>
      </c>
      <c r="K196" s="24" t="n">
        <f aca="false">DI_2Phase!AR130</f>
        <v>1.5328125E-006</v>
      </c>
      <c r="L196" s="24" t="n">
        <f aca="false">DI_2Phase!AS130</f>
        <v>0.000668402777777778</v>
      </c>
      <c r="M196" s="24" t="n">
        <f aca="false">DI_2Phase!AT130</f>
        <v>3.5</v>
      </c>
      <c r="N196" s="24" t="n">
        <f aca="false">DI_2Phase!AU130</f>
        <v>0.003125</v>
      </c>
      <c r="O196" s="24" t="n">
        <f aca="false">DI_2Phase!AV130</f>
        <v>0.909090909090909</v>
      </c>
      <c r="P196" s="24" t="n">
        <f aca="false">DI_2Phase!AW130</f>
        <v>968.685346479017</v>
      </c>
      <c r="Q196" s="24" t="n">
        <f aca="false">DI_2Phase!AX130</f>
        <v>0.0269017111967078</v>
      </c>
      <c r="R196" s="24" t="n">
        <f aca="false">DI_2Phase!AY130</f>
        <v>1</v>
      </c>
      <c r="S196" s="24" t="n">
        <f aca="false">DI_2Phase!AZ130</f>
        <v>4.17549371664515E-005</v>
      </c>
      <c r="T196" s="24" t="n">
        <f aca="false">DI_2Phase!BA130</f>
        <v>3.34039497331612E-005</v>
      </c>
      <c r="U196" s="24" t="n">
        <f aca="false">DI_2Phase!BB130</f>
        <v>5.01059245997418E-005</v>
      </c>
      <c r="V196" s="77" t="str">
        <f aca="false">DI_2Phase!BC130</f>
        <v>karimi Thesis - TABLE a1</v>
      </c>
    </row>
    <row r="197" customFormat="false" ht="12.8" hidden="false" customHeight="false" outlineLevel="0" collapsed="false">
      <c r="A197" s="15" t="n">
        <v>195</v>
      </c>
      <c r="B197" s="20" t="str">
        <f aca="false">DI_2Phase!AI131</f>
        <v>DI</v>
      </c>
      <c r="C197" s="20" t="str">
        <f aca="false">DI_2Phase!AJ131</f>
        <v>Liquid-Solid</v>
      </c>
      <c r="D197" s="20" t="str">
        <f aca="false">DI_2Phase!AK131</f>
        <v>V-H</v>
      </c>
      <c r="E197" s="48" t="n">
        <f aca="false">DI_2Phase!AL131</f>
        <v>75</v>
      </c>
      <c r="F197" s="78" t="n">
        <f aca="false">DI_2Phase!AM131</f>
        <v>1E-006</v>
      </c>
      <c r="G197" s="24" t="n">
        <f aca="false">DI_2Phase!AN131*0+MAX($G$3:$G$68)</f>
        <v>336</v>
      </c>
      <c r="H197" s="24" t="n">
        <f aca="false">DI_2Phase!AO131</f>
        <v>1.5875</v>
      </c>
      <c r="I197" s="24" t="n">
        <f aca="false">DI_2Phase!AP131</f>
        <v>49.9745093024473</v>
      </c>
      <c r="J197" s="24" t="n">
        <f aca="false">DI_2Phase!AQ131</f>
        <v>1120</v>
      </c>
      <c r="K197" s="24" t="n">
        <f aca="false">DI_2Phase!AR131</f>
        <v>1.5328125E-006</v>
      </c>
      <c r="L197" s="24" t="n">
        <f aca="false">DI_2Phase!AS131</f>
        <v>0.000668402777777778</v>
      </c>
      <c r="M197" s="24" t="n">
        <f aca="false">DI_2Phase!AT131</f>
        <v>3.5</v>
      </c>
      <c r="N197" s="24" t="n">
        <f aca="false">DI_2Phase!AU131</f>
        <v>0.003125</v>
      </c>
      <c r="O197" s="24" t="n">
        <f aca="false">DI_2Phase!AV131</f>
        <v>0.909090909090909</v>
      </c>
      <c r="P197" s="24" t="n">
        <f aca="false">DI_2Phase!AW131</f>
        <v>968.685346479017</v>
      </c>
      <c r="Q197" s="24" t="n">
        <f aca="false">DI_2Phase!AX131</f>
        <v>0.0269017111967078</v>
      </c>
      <c r="R197" s="24" t="n">
        <f aca="false">DI_2Phase!AY131</f>
        <v>1</v>
      </c>
      <c r="S197" s="24" t="n">
        <f aca="false">DI_2Phase!AZ131</f>
        <v>7.31056233995274E-005</v>
      </c>
      <c r="T197" s="24" t="n">
        <f aca="false">DI_2Phase!BA131</f>
        <v>5.84844987196219E-005</v>
      </c>
      <c r="U197" s="24" t="n">
        <f aca="false">DI_2Phase!BB131</f>
        <v>8.77267480794329E-005</v>
      </c>
      <c r="V197" s="77" t="str">
        <f aca="false">DI_2Phase!BC131</f>
        <v>karimi Thesis - TABLE a1</v>
      </c>
    </row>
    <row r="198" customFormat="false" ht="12.8" hidden="false" customHeight="false" outlineLevel="0" collapsed="false">
      <c r="A198" s="15" t="n">
        <v>196</v>
      </c>
      <c r="B198" s="20" t="str">
        <f aca="false">DI_2Phase!AI132</f>
        <v>DI</v>
      </c>
      <c r="C198" s="20" t="str">
        <f aca="false">DI_2Phase!AJ132</f>
        <v>Liquid-Solid</v>
      </c>
      <c r="D198" s="20" t="str">
        <f aca="false">DI_2Phase!AK132</f>
        <v>V-H</v>
      </c>
      <c r="E198" s="48" t="n">
        <f aca="false">DI_2Phase!AL132</f>
        <v>45</v>
      </c>
      <c r="F198" s="78" t="n">
        <f aca="false">DI_2Phase!AM132</f>
        <v>1E-006</v>
      </c>
      <c r="G198" s="24" t="n">
        <f aca="false">DI_2Phase!AN132*0+MAX($G$3:$G$68)</f>
        <v>336</v>
      </c>
      <c r="H198" s="24" t="n">
        <f aca="false">DI_2Phase!AO132</f>
        <v>1.5875</v>
      </c>
      <c r="I198" s="24" t="n">
        <f aca="false">DI_2Phase!AP132</f>
        <v>49.9745093024473</v>
      </c>
      <c r="J198" s="24" t="n">
        <f aca="false">DI_2Phase!AQ132</f>
        <v>1120</v>
      </c>
      <c r="K198" s="24" t="n">
        <f aca="false">DI_2Phase!AR132</f>
        <v>1.5328125E-006</v>
      </c>
      <c r="L198" s="24" t="n">
        <f aca="false">DI_2Phase!AS132</f>
        <v>0.000668402777777778</v>
      </c>
      <c r="M198" s="24" t="n">
        <f aca="false">DI_2Phase!AT132</f>
        <v>3.5</v>
      </c>
      <c r="N198" s="24" t="n">
        <f aca="false">DI_2Phase!AU132</f>
        <v>0.003125</v>
      </c>
      <c r="O198" s="24" t="n">
        <f aca="false">DI_2Phase!AV132</f>
        <v>0.909090909090909</v>
      </c>
      <c r="P198" s="24" t="n">
        <f aca="false">DI_2Phase!AW132</f>
        <v>968.685346479017</v>
      </c>
      <c r="Q198" s="24" t="n">
        <f aca="false">DI_2Phase!AX132</f>
        <v>0.0269017111967078</v>
      </c>
      <c r="R198" s="24" t="n">
        <f aca="false">DI_2Phase!AY132</f>
        <v>1</v>
      </c>
      <c r="S198" s="24" t="n">
        <f aca="false">DI_2Phase!AZ132</f>
        <v>6.6124887373741E-005</v>
      </c>
      <c r="T198" s="24" t="n">
        <f aca="false">DI_2Phase!BA132</f>
        <v>5.28999098989928E-005</v>
      </c>
      <c r="U198" s="24" t="n">
        <f aca="false">DI_2Phase!BB132</f>
        <v>7.93498648484892E-005</v>
      </c>
      <c r="V198" s="77" t="str">
        <f aca="false">DI_2Phase!BC132</f>
        <v>karimi Thesis - TABLE a1</v>
      </c>
    </row>
    <row r="199" customFormat="false" ht="12.8" hidden="false" customHeight="false" outlineLevel="0" collapsed="false">
      <c r="A199" s="15" t="n">
        <v>197</v>
      </c>
      <c r="B199" s="20" t="str">
        <f aca="false">DI_2Phase!AI133</f>
        <v>DI</v>
      </c>
      <c r="C199" s="20" t="str">
        <f aca="false">DI_2Phase!AJ133</f>
        <v>Liquid-Solid</v>
      </c>
      <c r="D199" s="20" t="str">
        <f aca="false">DI_2Phase!AK133</f>
        <v>V-H</v>
      </c>
      <c r="E199" s="48" t="n">
        <f aca="false">DI_2Phase!AL133</f>
        <v>90</v>
      </c>
      <c r="F199" s="78" t="n">
        <f aca="false">DI_2Phase!AM133</f>
        <v>1E-006</v>
      </c>
      <c r="G199" s="24" t="n">
        <f aca="false">DI_2Phase!AN133*0+MAX($G$3:$G$68)</f>
        <v>336</v>
      </c>
      <c r="H199" s="24" t="n">
        <f aca="false">DI_2Phase!AO133</f>
        <v>1.5875</v>
      </c>
      <c r="I199" s="24" t="n">
        <f aca="false">DI_2Phase!AP133</f>
        <v>49.9745093024473</v>
      </c>
      <c r="J199" s="24" t="n">
        <f aca="false">DI_2Phase!AQ133</f>
        <v>1120</v>
      </c>
      <c r="K199" s="24" t="n">
        <f aca="false">DI_2Phase!AR133</f>
        <v>4.13859375E-005</v>
      </c>
      <c r="L199" s="24" t="n">
        <f aca="false">DI_2Phase!AS133</f>
        <v>0.006015625</v>
      </c>
      <c r="M199" s="24" t="n">
        <f aca="false">DI_2Phase!AT133</f>
        <v>10.5</v>
      </c>
      <c r="N199" s="24" t="n">
        <f aca="false">DI_2Phase!AU133</f>
        <v>0.009375</v>
      </c>
      <c r="O199" s="24" t="n">
        <f aca="false">DI_2Phase!AV133</f>
        <v>0.909090909090909</v>
      </c>
      <c r="P199" s="24" t="n">
        <f aca="false">DI_2Phase!AW133</f>
        <v>968.685346479017</v>
      </c>
      <c r="Q199" s="24" t="n">
        <f aca="false">DI_2Phase!AX133</f>
        <v>0.00908871627990326</v>
      </c>
      <c r="R199" s="24" t="n">
        <f aca="false">DI_2Phase!AY133</f>
        <v>1</v>
      </c>
      <c r="S199" s="24" t="n">
        <f aca="false">DI_2Phase!AZ133</f>
        <v>0.000410989004184597</v>
      </c>
      <c r="T199" s="24" t="n">
        <f aca="false">DI_2Phase!BA133</f>
        <v>0.000328791203347678</v>
      </c>
      <c r="U199" s="24" t="n">
        <f aca="false">DI_2Phase!BB133</f>
        <v>0.000493186805021516</v>
      </c>
      <c r="V199" s="77" t="str">
        <f aca="false">DI_2Phase!BC133</f>
        <v>karimi Thesis - TABLE a2</v>
      </c>
    </row>
    <row r="200" customFormat="false" ht="12.8" hidden="false" customHeight="false" outlineLevel="0" collapsed="false">
      <c r="A200" s="15" t="n">
        <v>198</v>
      </c>
      <c r="B200" s="20" t="str">
        <f aca="false">DI_2Phase!AI134</f>
        <v>DI</v>
      </c>
      <c r="C200" s="20" t="str">
        <f aca="false">DI_2Phase!AJ134</f>
        <v>Liquid-Solid</v>
      </c>
      <c r="D200" s="20" t="str">
        <f aca="false">DI_2Phase!AK134</f>
        <v>V-H</v>
      </c>
      <c r="E200" s="48" t="n">
        <f aca="false">DI_2Phase!AL134</f>
        <v>75</v>
      </c>
      <c r="F200" s="78" t="n">
        <f aca="false">DI_2Phase!AM134</f>
        <v>1E-006</v>
      </c>
      <c r="G200" s="24" t="n">
        <f aca="false">DI_2Phase!AN134*0+MAX($G$3:$G$68)</f>
        <v>336</v>
      </c>
      <c r="H200" s="24" t="n">
        <f aca="false">DI_2Phase!AO134</f>
        <v>1.5875</v>
      </c>
      <c r="I200" s="24" t="n">
        <f aca="false">DI_2Phase!AP134</f>
        <v>49.9745093024473</v>
      </c>
      <c r="J200" s="24" t="n">
        <f aca="false">DI_2Phase!AQ134</f>
        <v>1120</v>
      </c>
      <c r="K200" s="24" t="n">
        <f aca="false">DI_2Phase!AR134</f>
        <v>4.13859375E-005</v>
      </c>
      <c r="L200" s="24" t="n">
        <f aca="false">DI_2Phase!AS134</f>
        <v>0.006015625</v>
      </c>
      <c r="M200" s="24" t="n">
        <f aca="false">DI_2Phase!AT134</f>
        <v>10.5</v>
      </c>
      <c r="N200" s="24" t="n">
        <f aca="false">DI_2Phase!AU134</f>
        <v>0.009375</v>
      </c>
      <c r="O200" s="24" t="n">
        <f aca="false">DI_2Phase!AV134</f>
        <v>0.909090909090909</v>
      </c>
      <c r="P200" s="24" t="n">
        <f aca="false">DI_2Phase!AW134</f>
        <v>968.685346479017</v>
      </c>
      <c r="Q200" s="24" t="n">
        <f aca="false">DI_2Phase!AX134</f>
        <v>0.00908871627990326</v>
      </c>
      <c r="R200" s="24" t="n">
        <f aca="false">DI_2Phase!AY134</f>
        <v>1</v>
      </c>
      <c r="S200" s="24" t="n">
        <f aca="false">DI_2Phase!AZ134</f>
        <v>0.000438780480126553</v>
      </c>
      <c r="T200" s="24" t="n">
        <f aca="false">DI_2Phase!BA134</f>
        <v>0.000351024384101242</v>
      </c>
      <c r="U200" s="24" t="n">
        <f aca="false">DI_2Phase!BB134</f>
        <v>0.000526536576151864</v>
      </c>
      <c r="V200" s="77" t="str">
        <f aca="false">DI_2Phase!BC134</f>
        <v>karimi Thesis - TABLE a2</v>
      </c>
    </row>
    <row r="201" customFormat="false" ht="12.8" hidden="false" customHeight="false" outlineLevel="0" collapsed="false">
      <c r="A201" s="15" t="n">
        <v>199</v>
      </c>
      <c r="B201" s="20" t="str">
        <f aca="false">DI_2Phase!AI135</f>
        <v>DI</v>
      </c>
      <c r="C201" s="20" t="str">
        <f aca="false">DI_2Phase!AJ135</f>
        <v>Liquid-Solid</v>
      </c>
      <c r="D201" s="20" t="str">
        <f aca="false">DI_2Phase!AK135</f>
        <v>V-H</v>
      </c>
      <c r="E201" s="48" t="n">
        <f aca="false">DI_2Phase!AL135</f>
        <v>45</v>
      </c>
      <c r="F201" s="78" t="n">
        <f aca="false">DI_2Phase!AM135</f>
        <v>1E-006</v>
      </c>
      <c r="G201" s="24" t="n">
        <f aca="false">DI_2Phase!AN135*0+MAX($G$3:$G$68)</f>
        <v>336</v>
      </c>
      <c r="H201" s="24" t="n">
        <f aca="false">DI_2Phase!AO135</f>
        <v>1.5875</v>
      </c>
      <c r="I201" s="24" t="n">
        <f aca="false">DI_2Phase!AP135</f>
        <v>85.6705873756239</v>
      </c>
      <c r="J201" s="24" t="n">
        <f aca="false">DI_2Phase!AQ135</f>
        <v>1920</v>
      </c>
      <c r="K201" s="24" t="n">
        <f aca="false">DI_2Phase!AR135</f>
        <v>4.13859375E-005</v>
      </c>
      <c r="L201" s="24" t="n">
        <f aca="false">DI_2Phase!AS135</f>
        <v>0.0103125</v>
      </c>
      <c r="M201" s="24" t="n">
        <f aca="false">DI_2Phase!AT135</f>
        <v>18</v>
      </c>
      <c r="N201" s="24" t="n">
        <f aca="false">DI_2Phase!AU135</f>
        <v>0.009375</v>
      </c>
      <c r="O201" s="24" t="n">
        <f aca="false">DI_2Phase!AV135</f>
        <v>0.909090909090909</v>
      </c>
      <c r="P201" s="24" t="n">
        <f aca="false">DI_2Phase!AW135</f>
        <v>329.622097065777</v>
      </c>
      <c r="Q201" s="24" t="n">
        <f aca="false">DI_2Phase!AX135</f>
        <v>0.00532190503198704</v>
      </c>
      <c r="R201" s="24" t="n">
        <f aca="false">DI_2Phase!AY135</f>
        <v>1</v>
      </c>
      <c r="S201" s="24" t="n">
        <f aca="false">DI_2Phase!AZ135</f>
        <v>0.000185580508192651</v>
      </c>
      <c r="T201" s="24" t="n">
        <f aca="false">DI_2Phase!BA135</f>
        <v>0.000148464406554121</v>
      </c>
      <c r="U201" s="24" t="n">
        <f aca="false">DI_2Phase!BB135</f>
        <v>0.000222696609831181</v>
      </c>
      <c r="V201" s="77" t="str">
        <f aca="false">DI_2Phase!BC135</f>
        <v>karimi Thesis - TABLE a2</v>
      </c>
    </row>
    <row r="202" customFormat="false" ht="12.8" hidden="false" customHeight="false" outlineLevel="0" collapsed="false">
      <c r="A202" s="15" t="n">
        <v>200</v>
      </c>
      <c r="B202" s="20" t="str">
        <f aca="false">DI_2Phase!AI136</f>
        <v>DI</v>
      </c>
      <c r="C202" s="20" t="str">
        <f aca="false">DI_2Phase!AJ136</f>
        <v>Liquid-Solid</v>
      </c>
      <c r="D202" s="20" t="str">
        <f aca="false">DI_2Phase!AK136</f>
        <v>V-H</v>
      </c>
      <c r="E202" s="48" t="n">
        <f aca="false">DI_2Phase!AL136</f>
        <v>90</v>
      </c>
      <c r="F202" s="78" t="n">
        <f aca="false">DI_2Phase!AM136</f>
        <v>1E-006</v>
      </c>
      <c r="G202" s="24" t="n">
        <f aca="false">DI_2Phase!AN136*0+MAX($G$3:$G$68)</f>
        <v>336</v>
      </c>
      <c r="H202" s="24" t="n">
        <f aca="false">DI_2Phase!AO136</f>
        <v>1.5875</v>
      </c>
      <c r="I202" s="24" t="n">
        <f aca="false">DI_2Phase!AP136</f>
        <v>49.9745093024473</v>
      </c>
      <c r="J202" s="24" t="n">
        <f aca="false">DI_2Phase!AQ136</f>
        <v>1120</v>
      </c>
      <c r="K202" s="24" t="n">
        <f aca="false">DI_2Phase!AR136</f>
        <v>1.5328125E-006</v>
      </c>
      <c r="L202" s="24" t="n">
        <f aca="false">DI_2Phase!AS136</f>
        <v>0.000668402777777778</v>
      </c>
      <c r="M202" s="24" t="n">
        <f aca="false">DI_2Phase!AT136</f>
        <v>3.5</v>
      </c>
      <c r="N202" s="24" t="n">
        <f aca="false">DI_2Phase!AU136</f>
        <v>0.003125</v>
      </c>
      <c r="O202" s="24" t="n">
        <f aca="false">DI_2Phase!AV136</f>
        <v>0.909090909090909</v>
      </c>
      <c r="P202" s="24" t="n">
        <f aca="false">DI_2Phase!AW136</f>
        <v>968.685346479017</v>
      </c>
      <c r="Q202" s="24" t="n">
        <f aca="false">DI_2Phase!AX136</f>
        <v>0.0269017111967078</v>
      </c>
      <c r="R202" s="24" t="n">
        <f aca="false">DI_2Phase!AY136</f>
        <v>1</v>
      </c>
      <c r="S202" s="24" t="n">
        <f aca="false">DI_2Phase!AZ136</f>
        <v>5.50998653516657E-005</v>
      </c>
      <c r="T202" s="24" t="n">
        <f aca="false">DI_2Phase!BA136</f>
        <v>4.40798922813326E-005</v>
      </c>
      <c r="U202" s="24" t="n">
        <f aca="false">DI_2Phase!BB136</f>
        <v>6.61198384219988E-005</v>
      </c>
      <c r="V202" s="77" t="str">
        <f aca="false">DI_2Phase!BC136</f>
        <v>karimi Thesis - TABLE a1</v>
      </c>
    </row>
    <row r="203" customFormat="false" ht="12.8" hidden="false" customHeight="false" outlineLevel="0" collapsed="false">
      <c r="A203" s="15" t="n">
        <v>201</v>
      </c>
      <c r="B203" s="20" t="str">
        <f aca="false">DI_2Phase!AI137</f>
        <v>DI</v>
      </c>
      <c r="C203" s="20" t="str">
        <f aca="false">DI_2Phase!AJ137</f>
        <v>Liquid-Solid</v>
      </c>
      <c r="D203" s="20" t="str">
        <f aca="false">DI_2Phase!AK137</f>
        <v>V-H</v>
      </c>
      <c r="E203" s="48" t="n">
        <f aca="false">DI_2Phase!AL137</f>
        <v>45</v>
      </c>
      <c r="F203" s="78" t="n">
        <f aca="false">DI_2Phase!AM137</f>
        <v>1E-006</v>
      </c>
      <c r="G203" s="24" t="n">
        <f aca="false">DI_2Phase!AN137*0+MAX($G$3:$G$68)</f>
        <v>336</v>
      </c>
      <c r="H203" s="24" t="n">
        <f aca="false">DI_2Phase!AO137</f>
        <v>1.5875</v>
      </c>
      <c r="I203" s="24" t="n">
        <f aca="false">DI_2Phase!AP137</f>
        <v>49.9745093024473</v>
      </c>
      <c r="J203" s="24" t="n">
        <f aca="false">DI_2Phase!AQ137</f>
        <v>1120</v>
      </c>
      <c r="K203" s="24" t="n">
        <f aca="false">DI_2Phase!AR137</f>
        <v>1.5328125E-006</v>
      </c>
      <c r="L203" s="24" t="n">
        <f aca="false">DI_2Phase!AS137</f>
        <v>0.000668402777777778</v>
      </c>
      <c r="M203" s="24" t="n">
        <f aca="false">DI_2Phase!AT137</f>
        <v>3.5</v>
      </c>
      <c r="N203" s="24" t="n">
        <f aca="false">DI_2Phase!AU137</f>
        <v>0.003125</v>
      </c>
      <c r="O203" s="24" t="n">
        <f aca="false">DI_2Phase!AV137</f>
        <v>0.909090909090909</v>
      </c>
      <c r="P203" s="24" t="n">
        <f aca="false">DI_2Phase!AW137</f>
        <v>968.685346479017</v>
      </c>
      <c r="Q203" s="24" t="n">
        <f aca="false">DI_2Phase!AX137</f>
        <v>0.0269017111967078</v>
      </c>
      <c r="R203" s="24" t="n">
        <f aca="false">DI_2Phase!AY137</f>
        <v>1</v>
      </c>
      <c r="S203" s="24" t="n">
        <f aca="false">DI_2Phase!AZ137</f>
        <v>7.21907748116831E-005</v>
      </c>
      <c r="T203" s="24" t="n">
        <f aca="false">DI_2Phase!BA137</f>
        <v>5.77526198493465E-005</v>
      </c>
      <c r="U203" s="24" t="n">
        <f aca="false">DI_2Phase!BB137</f>
        <v>8.66289297740197E-005</v>
      </c>
      <c r="V203" s="77" t="str">
        <f aca="false">DI_2Phase!BC137</f>
        <v>karimi Thesis - TABLE a1</v>
      </c>
    </row>
    <row r="204" customFormat="false" ht="12.8" hidden="false" customHeight="false" outlineLevel="0" collapsed="false">
      <c r="A204" s="15" t="n">
        <v>202</v>
      </c>
      <c r="B204" s="20" t="str">
        <f aca="false">DI_2Phase!AI138</f>
        <v>DI</v>
      </c>
      <c r="C204" s="20" t="str">
        <f aca="false">DI_2Phase!AJ138</f>
        <v>Liquid-Solid</v>
      </c>
      <c r="D204" s="20" t="str">
        <f aca="false">DI_2Phase!AK138</f>
        <v>V-H</v>
      </c>
      <c r="E204" s="48" t="n">
        <f aca="false">DI_2Phase!AL138</f>
        <v>90</v>
      </c>
      <c r="F204" s="78" t="n">
        <f aca="false">DI_2Phase!AM138</f>
        <v>1E-006</v>
      </c>
      <c r="G204" s="24" t="n">
        <f aca="false">DI_2Phase!AN138*0+MAX($G$3:$G$68)</f>
        <v>336</v>
      </c>
      <c r="H204" s="24" t="n">
        <f aca="false">DI_2Phase!AO138</f>
        <v>1.5875</v>
      </c>
      <c r="I204" s="24" t="n">
        <f aca="false">DI_2Phase!AP138</f>
        <v>49.9745093024473</v>
      </c>
      <c r="J204" s="24" t="n">
        <f aca="false">DI_2Phase!AQ138</f>
        <v>1120</v>
      </c>
      <c r="K204" s="24" t="n">
        <f aca="false">DI_2Phase!AR138</f>
        <v>4.13859375E-005</v>
      </c>
      <c r="L204" s="24" t="n">
        <f aca="false">DI_2Phase!AS138</f>
        <v>0.006015625</v>
      </c>
      <c r="M204" s="24" t="n">
        <f aca="false">DI_2Phase!AT138</f>
        <v>10.5</v>
      </c>
      <c r="N204" s="24" t="n">
        <f aca="false">DI_2Phase!AU138</f>
        <v>0.009375</v>
      </c>
      <c r="O204" s="24" t="n">
        <f aca="false">DI_2Phase!AV138</f>
        <v>0.909090909090909</v>
      </c>
      <c r="P204" s="24" t="n">
        <f aca="false">DI_2Phase!AW138</f>
        <v>968.685346479017</v>
      </c>
      <c r="Q204" s="24" t="n">
        <f aca="false">DI_2Phase!AX138</f>
        <v>0.00908871627990326</v>
      </c>
      <c r="R204" s="24" t="n">
        <f aca="false">DI_2Phase!AY138</f>
        <v>1</v>
      </c>
      <c r="S204" s="24" t="n">
        <f aca="false">DI_2Phase!AZ138</f>
        <v>0.000547467069229879</v>
      </c>
      <c r="T204" s="24" t="n">
        <f aca="false">DI_2Phase!BA138</f>
        <v>0.000437973655383903</v>
      </c>
      <c r="U204" s="24" t="n">
        <f aca="false">DI_2Phase!BB138</f>
        <v>0.000656960483075855</v>
      </c>
      <c r="V204" s="77" t="str">
        <f aca="false">DI_2Phase!BC138</f>
        <v>karimi Thesis - TABLE a2</v>
      </c>
    </row>
    <row r="205" customFormat="false" ht="12.8" hidden="false" customHeight="false" outlineLevel="0" collapsed="false">
      <c r="A205" s="15" t="n">
        <v>203</v>
      </c>
      <c r="B205" s="20" t="str">
        <f aca="false">DI_2Phase!AI139</f>
        <v>DI</v>
      </c>
      <c r="C205" s="20" t="str">
        <f aca="false">DI_2Phase!AJ139</f>
        <v>Liquid-Solid</v>
      </c>
      <c r="D205" s="20" t="str">
        <f aca="false">DI_2Phase!AK139</f>
        <v>V-H</v>
      </c>
      <c r="E205" s="48" t="n">
        <f aca="false">DI_2Phase!AL139</f>
        <v>75</v>
      </c>
      <c r="F205" s="78" t="n">
        <f aca="false">DI_2Phase!AM139</f>
        <v>1E-006</v>
      </c>
      <c r="G205" s="24" t="n">
        <f aca="false">DI_2Phase!AN139*0+MAX($G$3:$G$68)</f>
        <v>336</v>
      </c>
      <c r="H205" s="24" t="n">
        <f aca="false">DI_2Phase!AO139</f>
        <v>1.5875</v>
      </c>
      <c r="I205" s="24" t="n">
        <f aca="false">DI_2Phase!AP139</f>
        <v>49.9745093024473</v>
      </c>
      <c r="J205" s="24" t="n">
        <f aca="false">DI_2Phase!AQ139</f>
        <v>1120</v>
      </c>
      <c r="K205" s="24" t="n">
        <f aca="false">DI_2Phase!AR139</f>
        <v>4.13859375E-005</v>
      </c>
      <c r="L205" s="24" t="n">
        <f aca="false">DI_2Phase!AS139</f>
        <v>0.006015625</v>
      </c>
      <c r="M205" s="24" t="n">
        <f aca="false">DI_2Phase!AT139</f>
        <v>10.5</v>
      </c>
      <c r="N205" s="24" t="n">
        <f aca="false">DI_2Phase!AU139</f>
        <v>0.009375</v>
      </c>
      <c r="O205" s="24" t="n">
        <f aca="false">DI_2Phase!AV139</f>
        <v>0.909090909090909</v>
      </c>
      <c r="P205" s="24" t="n">
        <f aca="false">DI_2Phase!AW139</f>
        <v>968.685346479017</v>
      </c>
      <c r="Q205" s="24" t="n">
        <f aca="false">DI_2Phase!AX139</f>
        <v>0.00908871627990326</v>
      </c>
      <c r="R205" s="24" t="n">
        <f aca="false">DI_2Phase!AY139</f>
        <v>1</v>
      </c>
      <c r="S205" s="24" t="n">
        <f aca="false">DI_2Phase!AZ139</f>
        <v>0.000413629587461725</v>
      </c>
      <c r="T205" s="24" t="n">
        <f aca="false">DI_2Phase!BA139</f>
        <v>0.00033090366996938</v>
      </c>
      <c r="U205" s="24" t="n">
        <f aca="false">DI_2Phase!BB139</f>
        <v>0.00049635550495407</v>
      </c>
      <c r="V205" s="77" t="str">
        <f aca="false">DI_2Phase!BC139</f>
        <v>karimi Thesis - TABLE a2</v>
      </c>
    </row>
    <row r="206" customFormat="false" ht="12.8" hidden="false" customHeight="false" outlineLevel="0" collapsed="false">
      <c r="A206" s="15" t="n">
        <v>204</v>
      </c>
      <c r="B206" s="20" t="str">
        <f aca="false">DI_2Phase!AI140</f>
        <v>DI</v>
      </c>
      <c r="C206" s="20" t="str">
        <f aca="false">DI_2Phase!AJ140</f>
        <v>Liquid-Solid</v>
      </c>
      <c r="D206" s="20" t="str">
        <f aca="false">DI_2Phase!AK140</f>
        <v>V-H</v>
      </c>
      <c r="E206" s="48" t="n">
        <f aca="false">DI_2Phase!AL140</f>
        <v>45</v>
      </c>
      <c r="F206" s="78" t="n">
        <f aca="false">DI_2Phase!AM140</f>
        <v>1E-006</v>
      </c>
      <c r="G206" s="24" t="n">
        <f aca="false">DI_2Phase!AN140*0+MAX($G$3:$G$68)</f>
        <v>336</v>
      </c>
      <c r="H206" s="24" t="n">
        <f aca="false">DI_2Phase!AO140</f>
        <v>1.5875</v>
      </c>
      <c r="I206" s="24" t="n">
        <f aca="false">DI_2Phase!AP140</f>
        <v>49.9745093024473</v>
      </c>
      <c r="J206" s="24" t="n">
        <f aca="false">DI_2Phase!AQ140</f>
        <v>1120</v>
      </c>
      <c r="K206" s="24" t="n">
        <f aca="false">DI_2Phase!AR140</f>
        <v>4.13859375E-005</v>
      </c>
      <c r="L206" s="24" t="n">
        <f aca="false">DI_2Phase!AS140</f>
        <v>0.006015625</v>
      </c>
      <c r="M206" s="24" t="n">
        <f aca="false">DI_2Phase!AT140</f>
        <v>10.5</v>
      </c>
      <c r="N206" s="24" t="n">
        <f aca="false">DI_2Phase!AU140</f>
        <v>0.009375</v>
      </c>
      <c r="O206" s="24" t="n">
        <f aca="false">DI_2Phase!AV140</f>
        <v>0.909090909090909</v>
      </c>
      <c r="P206" s="24" t="n">
        <f aca="false">DI_2Phase!AW140</f>
        <v>968.685346479017</v>
      </c>
      <c r="Q206" s="24" t="n">
        <f aca="false">DI_2Phase!AX140</f>
        <v>0.00908871627990326</v>
      </c>
      <c r="R206" s="24" t="n">
        <f aca="false">DI_2Phase!AY140</f>
        <v>1</v>
      </c>
      <c r="S206" s="24" t="n">
        <f aca="false">DI_2Phase!AZ140</f>
        <v>0.000194644296158669</v>
      </c>
      <c r="T206" s="24" t="n">
        <f aca="false">DI_2Phase!BA140</f>
        <v>0.000155715436926935</v>
      </c>
      <c r="U206" s="24" t="n">
        <f aca="false">DI_2Phase!BB140</f>
        <v>0.000233573155390403</v>
      </c>
      <c r="V206" s="77" t="str">
        <f aca="false">DI_2Phase!BC140</f>
        <v>karimi Thesis - TABLE a2</v>
      </c>
    </row>
    <row r="207" customFormat="false" ht="12.8" hidden="false" customHeight="false" outlineLevel="0" collapsed="false">
      <c r="A207" s="15" t="n">
        <v>205</v>
      </c>
      <c r="B207" s="20" t="str">
        <f aca="false">DI_2Phase!AI141</f>
        <v>DI</v>
      </c>
      <c r="C207" s="20" t="str">
        <f aca="false">DI_2Phase!AJ141</f>
        <v>Liquid-Solid</v>
      </c>
      <c r="D207" s="20" t="str">
        <f aca="false">DI_2Phase!AK141</f>
        <v>V-H</v>
      </c>
      <c r="E207" s="48" t="n">
        <f aca="false">DI_2Phase!AL141</f>
        <v>90</v>
      </c>
      <c r="F207" s="78" t="n">
        <f aca="false">DI_2Phase!AM141</f>
        <v>1E-006</v>
      </c>
      <c r="G207" s="24" t="n">
        <f aca="false">DI_2Phase!AN141*0+MAX($G$3:$G$68)</f>
        <v>336</v>
      </c>
      <c r="H207" s="24" t="n">
        <f aca="false">DI_2Phase!AO141</f>
        <v>1.5875</v>
      </c>
      <c r="I207" s="24" t="n">
        <f aca="false">DI_2Phase!AP141</f>
        <v>49.9745093024473</v>
      </c>
      <c r="J207" s="24" t="n">
        <f aca="false">DI_2Phase!AQ141</f>
        <v>1120</v>
      </c>
      <c r="K207" s="24" t="n">
        <f aca="false">DI_2Phase!AR141</f>
        <v>1.5328125E-006</v>
      </c>
      <c r="L207" s="24" t="n">
        <f aca="false">DI_2Phase!AS141</f>
        <v>0.000668402777777778</v>
      </c>
      <c r="M207" s="24" t="n">
        <f aca="false">DI_2Phase!AT141</f>
        <v>3.5</v>
      </c>
      <c r="N207" s="24" t="n">
        <f aca="false">DI_2Phase!AU141</f>
        <v>0.003125</v>
      </c>
      <c r="O207" s="24" t="n">
        <f aca="false">DI_2Phase!AV141</f>
        <v>0.909090909090909</v>
      </c>
      <c r="P207" s="24" t="n">
        <f aca="false">DI_2Phase!AW141</f>
        <v>968.685346479017</v>
      </c>
      <c r="Q207" s="24" t="n">
        <f aca="false">DI_2Phase!AX141</f>
        <v>0.0269017111967078</v>
      </c>
      <c r="R207" s="24" t="n">
        <f aca="false">DI_2Phase!AY141</f>
        <v>1</v>
      </c>
      <c r="S207" s="24" t="n">
        <f aca="false">DI_2Phase!AZ141</f>
        <v>4.27917414751982E-005</v>
      </c>
      <c r="T207" s="24" t="n">
        <f aca="false">DI_2Phase!BA141</f>
        <v>3.42333931801586E-005</v>
      </c>
      <c r="U207" s="24" t="n">
        <f aca="false">DI_2Phase!BB141</f>
        <v>5.13500897702378E-005</v>
      </c>
      <c r="V207" s="77" t="str">
        <f aca="false">DI_2Phase!BC141</f>
        <v>karimi Thesis - TABLE a1</v>
      </c>
    </row>
    <row r="208" customFormat="false" ht="12.8" hidden="false" customHeight="false" outlineLevel="0" collapsed="false">
      <c r="A208" s="15" t="n">
        <v>206</v>
      </c>
      <c r="B208" s="20" t="str">
        <f aca="false">DI_2Phase!AI142</f>
        <v>DI</v>
      </c>
      <c r="C208" s="20" t="str">
        <f aca="false">DI_2Phase!AJ142</f>
        <v>Liquid-Solid</v>
      </c>
      <c r="D208" s="20" t="str">
        <f aca="false">DI_2Phase!AK142</f>
        <v>V-H</v>
      </c>
      <c r="E208" s="48" t="n">
        <f aca="false">DI_2Phase!AL142</f>
        <v>75</v>
      </c>
      <c r="F208" s="78" t="n">
        <f aca="false">DI_2Phase!AM142</f>
        <v>1E-006</v>
      </c>
      <c r="G208" s="24" t="n">
        <f aca="false">DI_2Phase!AN142*0+MAX($G$3:$G$68)</f>
        <v>336</v>
      </c>
      <c r="H208" s="24" t="n">
        <f aca="false">DI_2Phase!AO142</f>
        <v>1.5875</v>
      </c>
      <c r="I208" s="24" t="n">
        <f aca="false">DI_2Phase!AP142</f>
        <v>49.9745093024473</v>
      </c>
      <c r="J208" s="24" t="n">
        <f aca="false">DI_2Phase!AQ142</f>
        <v>1120</v>
      </c>
      <c r="K208" s="24" t="n">
        <f aca="false">DI_2Phase!AR142</f>
        <v>1.5328125E-006</v>
      </c>
      <c r="L208" s="24" t="n">
        <f aca="false">DI_2Phase!AS142</f>
        <v>0.000668402777777778</v>
      </c>
      <c r="M208" s="24" t="n">
        <f aca="false">DI_2Phase!AT142</f>
        <v>3.5</v>
      </c>
      <c r="N208" s="24" t="n">
        <f aca="false">DI_2Phase!AU142</f>
        <v>0.003125</v>
      </c>
      <c r="O208" s="24" t="n">
        <f aca="false">DI_2Phase!AV142</f>
        <v>0.909090909090909</v>
      </c>
      <c r="P208" s="24" t="n">
        <f aca="false">DI_2Phase!AW142</f>
        <v>968.685346479017</v>
      </c>
      <c r="Q208" s="24" t="n">
        <f aca="false">DI_2Phase!AX142</f>
        <v>0.0269017111967078</v>
      </c>
      <c r="R208" s="24" t="n">
        <f aca="false">DI_2Phase!AY142</f>
        <v>1</v>
      </c>
      <c r="S208" s="24" t="n">
        <f aca="false">DI_2Phase!AZ142</f>
        <v>7.99847604311376E-005</v>
      </c>
      <c r="T208" s="24" t="n">
        <f aca="false">DI_2Phase!BA142</f>
        <v>6.39878083449101E-005</v>
      </c>
      <c r="U208" s="24" t="n">
        <f aca="false">DI_2Phase!BB142</f>
        <v>9.59817125173651E-005</v>
      </c>
      <c r="V208" s="77" t="str">
        <f aca="false">DI_2Phase!BC142</f>
        <v>karimi Thesis - TABLE a1</v>
      </c>
    </row>
    <row r="209" customFormat="false" ht="12.8" hidden="false" customHeight="false" outlineLevel="0" collapsed="false">
      <c r="A209" s="15" t="n">
        <v>207</v>
      </c>
      <c r="B209" s="20" t="str">
        <f aca="false">DI_2Phase!AI143</f>
        <v>DI</v>
      </c>
      <c r="C209" s="20" t="str">
        <f aca="false">DI_2Phase!AJ143</f>
        <v>Liquid-Solid</v>
      </c>
      <c r="D209" s="20" t="str">
        <f aca="false">DI_2Phase!AK143</f>
        <v>V-H</v>
      </c>
      <c r="E209" s="48" t="n">
        <f aca="false">DI_2Phase!AL143</f>
        <v>45</v>
      </c>
      <c r="F209" s="78" t="n">
        <f aca="false">DI_2Phase!AM143</f>
        <v>1E-006</v>
      </c>
      <c r="G209" s="24" t="n">
        <f aca="false">DI_2Phase!AN143*0+MAX($G$3:$G$68)</f>
        <v>336</v>
      </c>
      <c r="H209" s="24" t="n">
        <f aca="false">DI_2Phase!AO143</f>
        <v>1.5875</v>
      </c>
      <c r="I209" s="24" t="n">
        <f aca="false">DI_2Phase!AP143</f>
        <v>49.9745093024473</v>
      </c>
      <c r="J209" s="24" t="n">
        <f aca="false">DI_2Phase!AQ143</f>
        <v>1120</v>
      </c>
      <c r="K209" s="24" t="n">
        <f aca="false">DI_2Phase!AR143</f>
        <v>1.5328125E-006</v>
      </c>
      <c r="L209" s="24" t="n">
        <f aca="false">DI_2Phase!AS143</f>
        <v>0.000668402777777778</v>
      </c>
      <c r="M209" s="24" t="n">
        <f aca="false">DI_2Phase!AT143</f>
        <v>3.5</v>
      </c>
      <c r="N209" s="24" t="n">
        <f aca="false">DI_2Phase!AU143</f>
        <v>0.003125</v>
      </c>
      <c r="O209" s="24" t="n">
        <f aca="false">DI_2Phase!AV143</f>
        <v>0.909090909090909</v>
      </c>
      <c r="P209" s="24" t="n">
        <f aca="false">DI_2Phase!AW143</f>
        <v>968.685346479017</v>
      </c>
      <c r="Q209" s="24" t="n">
        <f aca="false">DI_2Phase!AX143</f>
        <v>0.0269017111967078</v>
      </c>
      <c r="R209" s="24" t="n">
        <f aca="false">DI_2Phase!AY143</f>
        <v>1</v>
      </c>
      <c r="S209" s="24" t="n">
        <f aca="false">DI_2Phase!AZ143</f>
        <v>5.88164405433852E-005</v>
      </c>
      <c r="T209" s="24" t="n">
        <f aca="false">DI_2Phase!BA143</f>
        <v>4.70531524347082E-005</v>
      </c>
      <c r="U209" s="24" t="n">
        <f aca="false">DI_2Phase!BB143</f>
        <v>7.05797286520622E-005</v>
      </c>
      <c r="V209" s="77" t="str">
        <f aca="false">DI_2Phase!BC143</f>
        <v>karimi Thesis - TABLE a1</v>
      </c>
    </row>
    <row r="210" customFormat="false" ht="12.8" hidden="false" customHeight="false" outlineLevel="0" collapsed="false">
      <c r="A210" s="15" t="n">
        <v>208</v>
      </c>
      <c r="B210" s="20" t="str">
        <f aca="false">DI_2Phase!AI144</f>
        <v>DI</v>
      </c>
      <c r="C210" s="20" t="str">
        <f aca="false">DI_2Phase!AJ144</f>
        <v>Liquid-Solid</v>
      </c>
      <c r="D210" s="20" t="str">
        <f aca="false">DI_2Phase!AK144</f>
        <v>V-H</v>
      </c>
      <c r="E210" s="48" t="n">
        <f aca="false">DI_2Phase!AL144</f>
        <v>90</v>
      </c>
      <c r="F210" s="78" t="n">
        <f aca="false">DI_2Phase!AM144</f>
        <v>1E-006</v>
      </c>
      <c r="G210" s="24" t="n">
        <f aca="false">DI_2Phase!AN144*0+MAX($G$3:$G$68)</f>
        <v>336</v>
      </c>
      <c r="H210" s="24" t="n">
        <f aca="false">DI_2Phase!AO144</f>
        <v>1.5875</v>
      </c>
      <c r="I210" s="24" t="n">
        <f aca="false">DI_2Phase!AP144</f>
        <v>49.9745093024473</v>
      </c>
      <c r="J210" s="24" t="n">
        <f aca="false">DI_2Phase!AQ144</f>
        <v>1120</v>
      </c>
      <c r="K210" s="24" t="n">
        <f aca="false">DI_2Phase!AR144</f>
        <v>1.5328125E-006</v>
      </c>
      <c r="L210" s="24" t="n">
        <f aca="false">DI_2Phase!AS144</f>
        <v>0.000668402777777778</v>
      </c>
      <c r="M210" s="24" t="n">
        <f aca="false">DI_2Phase!AT144</f>
        <v>3.5</v>
      </c>
      <c r="N210" s="24" t="n">
        <f aca="false">DI_2Phase!AU144</f>
        <v>0.003125</v>
      </c>
      <c r="O210" s="24" t="n">
        <f aca="false">DI_2Phase!AV144</f>
        <v>0.909090909090909</v>
      </c>
      <c r="P210" s="24" t="n">
        <f aca="false">DI_2Phase!AW144</f>
        <v>968.685346479017</v>
      </c>
      <c r="Q210" s="24" t="n">
        <f aca="false">DI_2Phase!AX144</f>
        <v>0.0269017111967078</v>
      </c>
      <c r="R210" s="24" t="n">
        <f aca="false">DI_2Phase!AY144</f>
        <v>1</v>
      </c>
      <c r="S210" s="24" t="n">
        <f aca="false">DI_2Phase!AZ144</f>
        <v>5.31990574522968E-005</v>
      </c>
      <c r="T210" s="24" t="n">
        <f aca="false">DI_2Phase!BA144</f>
        <v>4.25592459618374E-005</v>
      </c>
      <c r="U210" s="24" t="n">
        <f aca="false">DI_2Phase!BB144</f>
        <v>6.38388689427562E-005</v>
      </c>
      <c r="V210" s="77" t="str">
        <f aca="false">DI_2Phase!BC144</f>
        <v>karimi Thesis - TABLE a1</v>
      </c>
    </row>
    <row r="211" customFormat="false" ht="12.8" hidden="false" customHeight="false" outlineLevel="0" collapsed="false">
      <c r="A211" s="15" t="n">
        <v>209</v>
      </c>
      <c r="B211" s="20" t="str">
        <f aca="false">DI_2Phase!AI145</f>
        <v>DI</v>
      </c>
      <c r="C211" s="20" t="str">
        <f aca="false">DI_2Phase!AJ145</f>
        <v>Liquid-Solid</v>
      </c>
      <c r="D211" s="20" t="str">
        <f aca="false">DI_2Phase!AK145</f>
        <v>V-H</v>
      </c>
      <c r="E211" s="48" t="n">
        <f aca="false">DI_2Phase!AL145</f>
        <v>90</v>
      </c>
      <c r="F211" s="78" t="n">
        <f aca="false">DI_2Phase!AM145</f>
        <v>1E-006</v>
      </c>
      <c r="G211" s="24" t="n">
        <f aca="false">DI_2Phase!AN145*0+MAX($G$3:$G$68)</f>
        <v>336</v>
      </c>
      <c r="H211" s="24" t="n">
        <f aca="false">DI_2Phase!AO145</f>
        <v>1.5875</v>
      </c>
      <c r="I211" s="24" t="n">
        <f aca="false">DI_2Phase!AP145</f>
        <v>49.9745093024473</v>
      </c>
      <c r="J211" s="24" t="n">
        <f aca="false">DI_2Phase!AQ145</f>
        <v>1120</v>
      </c>
      <c r="K211" s="24" t="n">
        <f aca="false">DI_2Phase!AR145</f>
        <v>1.5328125E-006</v>
      </c>
      <c r="L211" s="24" t="n">
        <f aca="false">DI_2Phase!AS145</f>
        <v>0.000668402777777778</v>
      </c>
      <c r="M211" s="24" t="n">
        <f aca="false">DI_2Phase!AT145</f>
        <v>3.5</v>
      </c>
      <c r="N211" s="24" t="n">
        <f aca="false">DI_2Phase!AU145</f>
        <v>0.003125</v>
      </c>
      <c r="O211" s="24" t="n">
        <f aca="false">DI_2Phase!AV145</f>
        <v>0.909090909090909</v>
      </c>
      <c r="P211" s="24" t="n">
        <f aca="false">DI_2Phase!AW145</f>
        <v>968.685346479017</v>
      </c>
      <c r="Q211" s="24" t="n">
        <f aca="false">DI_2Phase!AX145</f>
        <v>0.0269017111967078</v>
      </c>
      <c r="R211" s="24" t="n">
        <f aca="false">DI_2Phase!AY145</f>
        <v>1</v>
      </c>
      <c r="S211" s="24" t="n">
        <f aca="false">DI_2Phase!AZ145</f>
        <v>5.93334829457148E-005</v>
      </c>
      <c r="T211" s="24" t="n">
        <f aca="false">DI_2Phase!BA145</f>
        <v>4.74667863565718E-005</v>
      </c>
      <c r="U211" s="24" t="n">
        <f aca="false">DI_2Phase!BB145</f>
        <v>7.12001795348577E-005</v>
      </c>
      <c r="V211" s="77" t="str">
        <f aca="false">DI_2Phase!BC145</f>
        <v>karimi Thesis - TABLE a1</v>
      </c>
    </row>
    <row r="212" customFormat="false" ht="12.8" hidden="false" customHeight="false" outlineLevel="0" collapsed="false">
      <c r="A212" s="15" t="n">
        <v>210</v>
      </c>
      <c r="B212" s="20" t="str">
        <f aca="false">DI_2Phase!AI146</f>
        <v>DI</v>
      </c>
      <c r="C212" s="20" t="str">
        <f aca="false">DI_2Phase!AJ146</f>
        <v>Liquid-Solid</v>
      </c>
      <c r="D212" s="20" t="str">
        <f aca="false">DI_2Phase!AK146</f>
        <v>V-H</v>
      </c>
      <c r="E212" s="48" t="n">
        <f aca="false">DI_2Phase!AL146</f>
        <v>90</v>
      </c>
      <c r="F212" s="78" t="n">
        <f aca="false">DI_2Phase!AM146</f>
        <v>1E-006</v>
      </c>
      <c r="G212" s="24" t="n">
        <f aca="false">DI_2Phase!AN146*0+MAX($G$3:$G$68)</f>
        <v>336</v>
      </c>
      <c r="H212" s="24" t="n">
        <f aca="false">DI_2Phase!AO146</f>
        <v>1.5875</v>
      </c>
      <c r="I212" s="24" t="n">
        <f aca="false">DI_2Phase!AP146</f>
        <v>49.9745093024473</v>
      </c>
      <c r="J212" s="24" t="n">
        <f aca="false">DI_2Phase!AQ146</f>
        <v>1120</v>
      </c>
      <c r="K212" s="24" t="n">
        <f aca="false">DI_2Phase!AR146</f>
        <v>4.13859375E-005</v>
      </c>
      <c r="L212" s="24" t="n">
        <f aca="false">DI_2Phase!AS146</f>
        <v>0.006015625</v>
      </c>
      <c r="M212" s="24" t="n">
        <f aca="false">DI_2Phase!AT146</f>
        <v>10.5</v>
      </c>
      <c r="N212" s="24" t="n">
        <f aca="false">DI_2Phase!AU146</f>
        <v>0.009375</v>
      </c>
      <c r="O212" s="24" t="n">
        <f aca="false">DI_2Phase!AV146</f>
        <v>0.909090909090909</v>
      </c>
      <c r="P212" s="24" t="n">
        <f aca="false">DI_2Phase!AW146</f>
        <v>968.685346479017</v>
      </c>
      <c r="Q212" s="24" t="n">
        <f aca="false">DI_2Phase!AX146</f>
        <v>0.00908871627990326</v>
      </c>
      <c r="R212" s="24" t="n">
        <f aca="false">DI_2Phase!AY146</f>
        <v>1</v>
      </c>
      <c r="S212" s="24" t="n">
        <f aca="false">DI_2Phase!AZ146</f>
        <v>0.000457979083721438</v>
      </c>
      <c r="T212" s="24" t="n">
        <f aca="false">DI_2Phase!BA146</f>
        <v>0.00036638326697715</v>
      </c>
      <c r="U212" s="24" t="n">
        <f aca="false">DI_2Phase!BB146</f>
        <v>0.000549574900465725</v>
      </c>
      <c r="V212" s="77" t="str">
        <f aca="false">DI_2Phase!BC146</f>
        <v>karimi Thesis - TABLE a2</v>
      </c>
    </row>
    <row r="213" customFormat="false" ht="12.8" hidden="false" customHeight="false" outlineLevel="0" collapsed="false">
      <c r="A213" s="15" t="n">
        <v>211</v>
      </c>
      <c r="B213" s="20" t="str">
        <f aca="false">DI_2Phase!AI147</f>
        <v>DI</v>
      </c>
      <c r="C213" s="20" t="str">
        <f aca="false">DI_2Phase!AJ147</f>
        <v>Liquid-Solid</v>
      </c>
      <c r="D213" s="20" t="str">
        <f aca="false">DI_2Phase!AK147</f>
        <v>V-H</v>
      </c>
      <c r="E213" s="48" t="n">
        <f aca="false">DI_2Phase!AL147</f>
        <v>90</v>
      </c>
      <c r="F213" s="78" t="n">
        <f aca="false">DI_2Phase!AM147</f>
        <v>1E-006</v>
      </c>
      <c r="G213" s="24" t="n">
        <f aca="false">DI_2Phase!AN147*0+MAX($G$3:$G$68)</f>
        <v>336</v>
      </c>
      <c r="H213" s="24" t="n">
        <f aca="false">DI_2Phase!AO147</f>
        <v>1.5875</v>
      </c>
      <c r="I213" s="24" t="n">
        <f aca="false">DI_2Phase!AP147</f>
        <v>49.9745093024473</v>
      </c>
      <c r="J213" s="24" t="n">
        <f aca="false">DI_2Phase!AQ147</f>
        <v>1120</v>
      </c>
      <c r="K213" s="24" t="n">
        <f aca="false">DI_2Phase!AR147</f>
        <v>4.13859375E-005</v>
      </c>
      <c r="L213" s="24" t="n">
        <f aca="false">DI_2Phase!AS147</f>
        <v>0.006015625</v>
      </c>
      <c r="M213" s="24" t="n">
        <f aca="false">DI_2Phase!AT147</f>
        <v>10.5</v>
      </c>
      <c r="N213" s="24" t="n">
        <f aca="false">DI_2Phase!AU147</f>
        <v>0.009375</v>
      </c>
      <c r="O213" s="24" t="n">
        <f aca="false">DI_2Phase!AV147</f>
        <v>0.909090909090909</v>
      </c>
      <c r="P213" s="24" t="n">
        <f aca="false">DI_2Phase!AW147</f>
        <v>968.685346479017</v>
      </c>
      <c r="Q213" s="24" t="n">
        <f aca="false">DI_2Phase!AX147</f>
        <v>0.00908871627990326</v>
      </c>
      <c r="R213" s="24" t="n">
        <f aca="false">DI_2Phase!AY147</f>
        <v>1</v>
      </c>
      <c r="S213" s="24" t="n">
        <f aca="false">DI_2Phase!AZ147</f>
        <v>0.000515060400254819</v>
      </c>
      <c r="T213" s="24" t="n">
        <f aca="false">DI_2Phase!BA147</f>
        <v>0.000412048320203855</v>
      </c>
      <c r="U213" s="24" t="n">
        <f aca="false">DI_2Phase!BB147</f>
        <v>0.000618072480305783</v>
      </c>
      <c r="V213" s="77" t="str">
        <f aca="false">DI_2Phase!BC147</f>
        <v>karimi Thesis - TABLE a2</v>
      </c>
    </row>
    <row r="214" customFormat="false" ht="12.8" hidden="false" customHeight="false" outlineLevel="0" collapsed="false">
      <c r="A214" s="15" t="n">
        <v>212</v>
      </c>
      <c r="B214" s="20" t="str">
        <f aca="false">DI_2Phase!AI148</f>
        <v>DI</v>
      </c>
      <c r="C214" s="20" t="str">
        <f aca="false">DI_2Phase!AJ148</f>
        <v>Liquid-Solid</v>
      </c>
      <c r="D214" s="20" t="str">
        <f aca="false">DI_2Phase!AK148</f>
        <v>V-H</v>
      </c>
      <c r="E214" s="48" t="n">
        <f aca="false">DI_2Phase!AL148</f>
        <v>90</v>
      </c>
      <c r="F214" s="78" t="n">
        <f aca="false">DI_2Phase!AM148</f>
        <v>1E-006</v>
      </c>
      <c r="G214" s="24" t="n">
        <f aca="false">DI_2Phase!AN148*0+MAX($G$3:$G$68)</f>
        <v>336</v>
      </c>
      <c r="H214" s="24" t="n">
        <f aca="false">DI_2Phase!AO148</f>
        <v>1.5875</v>
      </c>
      <c r="I214" s="24" t="n">
        <f aca="false">DI_2Phase!AP148</f>
        <v>49.9745093024473</v>
      </c>
      <c r="J214" s="24" t="n">
        <f aca="false">DI_2Phase!AQ148</f>
        <v>1120</v>
      </c>
      <c r="K214" s="24" t="n">
        <f aca="false">DI_2Phase!AR148</f>
        <v>0.0003310875</v>
      </c>
      <c r="L214" s="24" t="n">
        <f aca="false">DI_2Phase!AS148</f>
        <v>0.0240625</v>
      </c>
      <c r="M214" s="24" t="n">
        <f aca="false">DI_2Phase!AT148</f>
        <v>21</v>
      </c>
      <c r="N214" s="24" t="n">
        <f aca="false">DI_2Phase!AU148</f>
        <v>0.01875</v>
      </c>
      <c r="O214" s="24" t="n">
        <f aca="false">DI_2Phase!AV148</f>
        <v>0.909090909090909</v>
      </c>
      <c r="P214" s="24" t="n">
        <f aca="false">DI_2Phase!AW148</f>
        <v>968.685346479017</v>
      </c>
      <c r="Q214" s="24" t="n">
        <f aca="false">DI_2Phase!AX148</f>
        <v>0.00896185339910021</v>
      </c>
      <c r="R214" s="24" t="n">
        <f aca="false">DI_2Phase!AY148</f>
        <v>1</v>
      </c>
      <c r="S214" s="24" t="n">
        <f aca="false">DI_2Phase!AZ148</f>
        <v>0.000992326431732662</v>
      </c>
      <c r="T214" s="24" t="n">
        <f aca="false">DI_2Phase!BA148</f>
        <v>0.00079386114538613</v>
      </c>
      <c r="U214" s="24" t="n">
        <f aca="false">DI_2Phase!BB148</f>
        <v>0.00119079171807919</v>
      </c>
      <c r="V214" s="77" t="str">
        <f aca="false">DI_2Phase!BC148</f>
        <v>karimi Thesis - TABLE a3</v>
      </c>
    </row>
    <row r="215" customFormat="false" ht="12.8" hidden="false" customHeight="false" outlineLevel="0" collapsed="false">
      <c r="A215" s="15" t="n">
        <v>213</v>
      </c>
      <c r="B215" s="20" t="str">
        <f aca="false">DI_2Phase!AI149</f>
        <v>DI</v>
      </c>
      <c r="C215" s="20" t="str">
        <f aca="false">DI_2Phase!AJ149</f>
        <v>Liquid-Solid</v>
      </c>
      <c r="D215" s="20" t="str">
        <f aca="false">DI_2Phase!AK149</f>
        <v>V-H</v>
      </c>
      <c r="E215" s="48" t="n">
        <f aca="false">DI_2Phase!AL149</f>
        <v>75</v>
      </c>
      <c r="F215" s="78" t="n">
        <f aca="false">DI_2Phase!AM149</f>
        <v>1E-006</v>
      </c>
      <c r="G215" s="24" t="n">
        <f aca="false">DI_2Phase!AN149*0+MAX($G$3:$G$68)</f>
        <v>336</v>
      </c>
      <c r="H215" s="24" t="n">
        <f aca="false">DI_2Phase!AO149</f>
        <v>1.5875</v>
      </c>
      <c r="I215" s="24" t="n">
        <f aca="false">DI_2Phase!AP149</f>
        <v>49.9745093024473</v>
      </c>
      <c r="J215" s="24" t="n">
        <f aca="false">DI_2Phase!AQ149</f>
        <v>1120</v>
      </c>
      <c r="K215" s="24" t="n">
        <f aca="false">DI_2Phase!AR149</f>
        <v>0.0003310875</v>
      </c>
      <c r="L215" s="24" t="n">
        <f aca="false">DI_2Phase!AS149</f>
        <v>0.0240625</v>
      </c>
      <c r="M215" s="24" t="n">
        <f aca="false">DI_2Phase!AT149</f>
        <v>21</v>
      </c>
      <c r="N215" s="24" t="n">
        <f aca="false">DI_2Phase!AU149</f>
        <v>0.01875</v>
      </c>
      <c r="O215" s="24" t="n">
        <f aca="false">DI_2Phase!AV149</f>
        <v>0.909090909090909</v>
      </c>
      <c r="P215" s="24" t="n">
        <f aca="false">DI_2Phase!AW149</f>
        <v>968.685346479017</v>
      </c>
      <c r="Q215" s="24" t="n">
        <f aca="false">DI_2Phase!AX149</f>
        <v>0.00959584317476643</v>
      </c>
      <c r="R215" s="24" t="n">
        <f aca="false">DI_2Phase!AY149</f>
        <v>1</v>
      </c>
      <c r="S215" s="24" t="n">
        <f aca="false">DI_2Phase!AZ149</f>
        <v>0.00122862032113481</v>
      </c>
      <c r="T215" s="24" t="n">
        <f aca="false">DI_2Phase!BA149</f>
        <v>0.000982896256907848</v>
      </c>
      <c r="U215" s="24" t="n">
        <f aca="false">DI_2Phase!BB149</f>
        <v>0.00147434438536177</v>
      </c>
      <c r="V215" s="77" t="str">
        <f aca="false">DI_2Phase!BC149</f>
        <v>karimi Thesis - TABLE a3</v>
      </c>
    </row>
    <row r="216" customFormat="false" ht="12.8" hidden="false" customHeight="false" outlineLevel="0" collapsed="false">
      <c r="A216" s="15" t="n">
        <v>214</v>
      </c>
      <c r="B216" s="20" t="str">
        <f aca="false">DI_2Phase!AI150</f>
        <v>DI</v>
      </c>
      <c r="C216" s="20" t="str">
        <f aca="false">DI_2Phase!AJ150</f>
        <v>Liquid-Solid</v>
      </c>
      <c r="D216" s="20" t="str">
        <f aca="false">DI_2Phase!AK150</f>
        <v>V-H</v>
      </c>
      <c r="E216" s="48" t="n">
        <f aca="false">DI_2Phase!AL150</f>
        <v>45</v>
      </c>
      <c r="F216" s="78" t="n">
        <f aca="false">DI_2Phase!AM150</f>
        <v>1E-006</v>
      </c>
      <c r="G216" s="24" t="n">
        <f aca="false">DI_2Phase!AN150*0+MAX($G$3:$G$68)</f>
        <v>336</v>
      </c>
      <c r="H216" s="24" t="n">
        <f aca="false">DI_2Phase!AO150</f>
        <v>1.5875</v>
      </c>
      <c r="I216" s="24" t="n">
        <f aca="false">DI_2Phase!AP150</f>
        <v>49.9745093024473</v>
      </c>
      <c r="J216" s="24" t="n">
        <f aca="false">DI_2Phase!AQ150</f>
        <v>1120</v>
      </c>
      <c r="K216" s="24" t="n">
        <f aca="false">DI_2Phase!AR150</f>
        <v>0.0003310875</v>
      </c>
      <c r="L216" s="24" t="n">
        <f aca="false">DI_2Phase!AS150</f>
        <v>0.0240625</v>
      </c>
      <c r="M216" s="24" t="n">
        <f aca="false">DI_2Phase!AT150</f>
        <v>21</v>
      </c>
      <c r="N216" s="24" t="n">
        <f aca="false">DI_2Phase!AU150</f>
        <v>0.01875</v>
      </c>
      <c r="O216" s="24" t="n">
        <f aca="false">DI_2Phase!AV150</f>
        <v>0.909090909090909</v>
      </c>
      <c r="P216" s="24" t="n">
        <f aca="false">DI_2Phase!AW150</f>
        <v>968.685346479017</v>
      </c>
      <c r="Q216" s="24" t="n">
        <f aca="false">DI_2Phase!AX150</f>
        <v>0.00908871627990326</v>
      </c>
      <c r="R216" s="24" t="n">
        <f aca="false">DI_2Phase!AY150</f>
        <v>1</v>
      </c>
      <c r="S216" s="24" t="n">
        <f aca="false">DI_2Phase!AZ150</f>
        <v>0.000664529298679251</v>
      </c>
      <c r="T216" s="24" t="n">
        <f aca="false">DI_2Phase!BA150</f>
        <v>0.000531623438943401</v>
      </c>
      <c r="U216" s="24" t="n">
        <f aca="false">DI_2Phase!BB150</f>
        <v>0.000797435158415101</v>
      </c>
      <c r="V216" s="77" t="str">
        <f aca="false">DI_2Phase!BC150</f>
        <v>karimi Thesis - TABLE a3</v>
      </c>
    </row>
    <row r="217" customFormat="false" ht="12.8" hidden="false" customHeight="false" outlineLevel="0" collapsed="false">
      <c r="A217" s="15" t="n">
        <v>215</v>
      </c>
      <c r="B217" s="20" t="str">
        <f aca="false">DI_2Phase!AI151</f>
        <v>DI</v>
      </c>
      <c r="C217" s="20" t="str">
        <f aca="false">DI_2Phase!AJ151</f>
        <v>Liquid-Solid</v>
      </c>
      <c r="D217" s="20" t="str">
        <f aca="false">DI_2Phase!AK151</f>
        <v>V-H</v>
      </c>
      <c r="E217" s="48" t="n">
        <f aca="false">DI_2Phase!AL151</f>
        <v>75</v>
      </c>
      <c r="F217" s="78" t="n">
        <f aca="false">DI_2Phase!AM151</f>
        <v>1E-006</v>
      </c>
      <c r="G217" s="24" t="n">
        <f aca="false">DI_2Phase!AN151*0+MAX($G$3:$G$68)</f>
        <v>336</v>
      </c>
      <c r="H217" s="24" t="n">
        <f aca="false">DI_2Phase!AO151</f>
        <v>1.5875</v>
      </c>
      <c r="I217" s="24" t="n">
        <f aca="false">DI_2Phase!AP151</f>
        <v>49.9745093024473</v>
      </c>
      <c r="J217" s="24" t="n">
        <f aca="false">DI_2Phase!AQ151</f>
        <v>1120</v>
      </c>
      <c r="K217" s="24" t="n">
        <f aca="false">DI_2Phase!AR151</f>
        <v>1.5328125E-006</v>
      </c>
      <c r="L217" s="24" t="n">
        <f aca="false">DI_2Phase!AS151</f>
        <v>0.000668402777777778</v>
      </c>
      <c r="M217" s="24" t="n">
        <f aca="false">DI_2Phase!AT151</f>
        <v>3.5</v>
      </c>
      <c r="N217" s="24" t="n">
        <f aca="false">DI_2Phase!AU151</f>
        <v>0.003125</v>
      </c>
      <c r="O217" s="24" t="n">
        <f aca="false">DI_2Phase!AV151</f>
        <v>0.909090909090909</v>
      </c>
      <c r="P217" s="24" t="n">
        <f aca="false">DI_2Phase!AW151</f>
        <v>968.685346479017</v>
      </c>
      <c r="Q217" s="24" t="n">
        <f aca="false">DI_2Phase!AX151</f>
        <v>0.0269017111967078</v>
      </c>
      <c r="R217" s="24" t="n">
        <f aca="false">DI_2Phase!AY151</f>
        <v>1</v>
      </c>
      <c r="S217" s="24" t="n">
        <f aca="false">DI_2Phase!AZ151</f>
        <v>7.99847604311376E-005</v>
      </c>
      <c r="T217" s="24" t="n">
        <f aca="false">DI_2Phase!BA151</f>
        <v>6.39878083449101E-005</v>
      </c>
      <c r="U217" s="24" t="n">
        <f aca="false">DI_2Phase!BB151</f>
        <v>9.59817125173651E-005</v>
      </c>
      <c r="V217" s="77" t="str">
        <f aca="false">DI_2Phase!BC151</f>
        <v>karimi Thesis - TABLE a1</v>
      </c>
    </row>
    <row r="218" customFormat="false" ht="12.8" hidden="false" customHeight="false" outlineLevel="0" collapsed="false">
      <c r="A218" s="15" t="n">
        <v>216</v>
      </c>
      <c r="B218" s="20" t="str">
        <f aca="false">DI_2Phase!AI152</f>
        <v>DI</v>
      </c>
      <c r="C218" s="20" t="str">
        <f aca="false">DI_2Phase!AJ152</f>
        <v>Liquid-Solid</v>
      </c>
      <c r="D218" s="20" t="str">
        <f aca="false">DI_2Phase!AK152</f>
        <v>V-H</v>
      </c>
      <c r="E218" s="48" t="n">
        <f aca="false">DI_2Phase!AL152</f>
        <v>90</v>
      </c>
      <c r="F218" s="78" t="n">
        <f aca="false">DI_2Phase!AM152</f>
        <v>1E-006</v>
      </c>
      <c r="G218" s="24" t="n">
        <f aca="false">DI_2Phase!AN152*0+MAX($G$3:$G$68)</f>
        <v>336</v>
      </c>
      <c r="H218" s="24" t="n">
        <f aca="false">DI_2Phase!AO152</f>
        <v>1.5875</v>
      </c>
      <c r="I218" s="24" t="n">
        <f aca="false">DI_2Phase!AP152</f>
        <v>49.9745093024473</v>
      </c>
      <c r="J218" s="24" t="n">
        <f aca="false">DI_2Phase!AQ152</f>
        <v>1120</v>
      </c>
      <c r="K218" s="24" t="n">
        <f aca="false">DI_2Phase!AR152</f>
        <v>0.0003310875</v>
      </c>
      <c r="L218" s="24" t="n">
        <f aca="false">DI_2Phase!AS152</f>
        <v>0.0240625</v>
      </c>
      <c r="M218" s="24" t="n">
        <f aca="false">DI_2Phase!AT152</f>
        <v>21</v>
      </c>
      <c r="N218" s="24" t="n">
        <f aca="false">DI_2Phase!AU152</f>
        <v>0.01875</v>
      </c>
      <c r="O218" s="24" t="n">
        <f aca="false">DI_2Phase!AV152</f>
        <v>0.909090909090909</v>
      </c>
      <c r="P218" s="24" t="n">
        <f aca="false">DI_2Phase!AW152</f>
        <v>968.685346479017</v>
      </c>
      <c r="Q218" s="24" t="n">
        <f aca="false">DI_2Phase!AX152</f>
        <v>0.00997584783490273</v>
      </c>
      <c r="R218" s="24" t="n">
        <f aca="false">DI_2Phase!AY152</f>
        <v>1</v>
      </c>
      <c r="S218" s="24" t="n">
        <f aca="false">DI_2Phase!AZ152</f>
        <v>0.000853324102238938</v>
      </c>
      <c r="T218" s="24" t="n">
        <f aca="false">DI_2Phase!BA152</f>
        <v>0.00068265928179115</v>
      </c>
      <c r="U218" s="24" t="n">
        <f aca="false">DI_2Phase!BB152</f>
        <v>0.00102398892268673</v>
      </c>
      <c r="V218" s="77" t="str">
        <f aca="false">DI_2Phase!BC152</f>
        <v>karimi Thesis - TABLE a3</v>
      </c>
    </row>
    <row r="219" customFormat="false" ht="12.8" hidden="false" customHeight="false" outlineLevel="0" collapsed="false">
      <c r="A219" s="15" t="n">
        <v>217</v>
      </c>
      <c r="B219" s="20" t="str">
        <f aca="false">DI_2Phase!AI153</f>
        <v>DI</v>
      </c>
      <c r="C219" s="20" t="str">
        <f aca="false">DI_2Phase!AJ153</f>
        <v>Liquid-Solid</v>
      </c>
      <c r="D219" s="20" t="str">
        <f aca="false">DI_2Phase!AK153</f>
        <v>V-H</v>
      </c>
      <c r="E219" s="48" t="n">
        <f aca="false">DI_2Phase!AL153</f>
        <v>75</v>
      </c>
      <c r="F219" s="78" t="n">
        <f aca="false">DI_2Phase!AM153</f>
        <v>1E-006</v>
      </c>
      <c r="G219" s="24" t="n">
        <f aca="false">DI_2Phase!AN153*0+MAX($G$3:$G$68)</f>
        <v>336</v>
      </c>
      <c r="H219" s="24" t="n">
        <f aca="false">DI_2Phase!AO153</f>
        <v>1.5875</v>
      </c>
      <c r="I219" s="24" t="n">
        <f aca="false">DI_2Phase!AP153</f>
        <v>49.9745093024473</v>
      </c>
      <c r="J219" s="24" t="n">
        <f aca="false">DI_2Phase!AQ153</f>
        <v>1120</v>
      </c>
      <c r="K219" s="24" t="n">
        <f aca="false">DI_2Phase!AR153</f>
        <v>0.0003310875</v>
      </c>
      <c r="L219" s="24" t="n">
        <f aca="false">DI_2Phase!AS153</f>
        <v>0.0240625</v>
      </c>
      <c r="M219" s="24" t="n">
        <f aca="false">DI_2Phase!AT153</f>
        <v>21</v>
      </c>
      <c r="N219" s="24" t="n">
        <f aca="false">DI_2Phase!AU153</f>
        <v>0.01875</v>
      </c>
      <c r="O219" s="24" t="n">
        <f aca="false">DI_2Phase!AV153</f>
        <v>0.909090909090909</v>
      </c>
      <c r="P219" s="24" t="n">
        <f aca="false">DI_2Phase!AW153</f>
        <v>968.685346479017</v>
      </c>
      <c r="Q219" s="24" t="n">
        <f aca="false">DI_2Phase!AX153</f>
        <v>0.00896185339910021</v>
      </c>
      <c r="R219" s="24" t="n">
        <f aca="false">DI_2Phase!AY153</f>
        <v>1</v>
      </c>
      <c r="S219" s="24" t="n">
        <f aca="false">DI_2Phase!AZ153</f>
        <v>0.00110640955405501</v>
      </c>
      <c r="T219" s="24" t="n">
        <f aca="false">DI_2Phase!BA153</f>
        <v>0.000885127643244008</v>
      </c>
      <c r="U219" s="24" t="n">
        <f aca="false">DI_2Phase!BB153</f>
        <v>0.00132769146486601</v>
      </c>
      <c r="V219" s="77" t="str">
        <f aca="false">DI_2Phase!BC153</f>
        <v>karimi Thesis - TABLE a3</v>
      </c>
    </row>
    <row r="220" customFormat="false" ht="12.8" hidden="false" customHeight="false" outlineLevel="0" collapsed="false">
      <c r="A220" s="15" t="n">
        <v>218</v>
      </c>
      <c r="B220" s="20" t="str">
        <f aca="false">DI_2Phase!AI154</f>
        <v>DI</v>
      </c>
      <c r="C220" s="20" t="str">
        <f aca="false">DI_2Phase!AJ154</f>
        <v>Liquid-Solid</v>
      </c>
      <c r="D220" s="20" t="str">
        <f aca="false">DI_2Phase!AK154</f>
        <v>V-H</v>
      </c>
      <c r="E220" s="48" t="n">
        <f aca="false">DI_2Phase!AL154</f>
        <v>90</v>
      </c>
      <c r="F220" s="78" t="n">
        <f aca="false">DI_2Phase!AM154</f>
        <v>1E-006</v>
      </c>
      <c r="G220" s="24" t="n">
        <f aca="false">DI_2Phase!AN154*0+MAX($G$3:$G$68)</f>
        <v>336</v>
      </c>
      <c r="H220" s="24" t="n">
        <f aca="false">DI_2Phase!AO154</f>
        <v>1.5875</v>
      </c>
      <c r="I220" s="24" t="n">
        <f aca="false">DI_2Phase!AP154</f>
        <v>49.9745093024473</v>
      </c>
      <c r="J220" s="24" t="n">
        <f aca="false">DI_2Phase!AQ154</f>
        <v>1120</v>
      </c>
      <c r="K220" s="24" t="n">
        <f aca="false">DI_2Phase!AR154</f>
        <v>0.0026487</v>
      </c>
      <c r="L220" s="24" t="n">
        <f aca="false">DI_2Phase!AS154</f>
        <v>0.09625</v>
      </c>
      <c r="M220" s="24" t="n">
        <f aca="false">DI_2Phase!AT154</f>
        <v>42</v>
      </c>
      <c r="N220" s="24" t="n">
        <f aca="false">DI_2Phase!AU154</f>
        <v>0.0375</v>
      </c>
      <c r="O220" s="24" t="n">
        <f aca="false">DI_2Phase!AV154</f>
        <v>0.909090909090909</v>
      </c>
      <c r="P220" s="24" t="n">
        <f aca="false">DI_2Phase!AW154</f>
        <v>968.685346479017</v>
      </c>
      <c r="Q220" s="24" t="n">
        <f aca="false">DI_2Phase!AX154</f>
        <v>0.0161415693447724</v>
      </c>
      <c r="R220" s="24" t="n">
        <f aca="false">DI_2Phase!AY154</f>
        <v>1</v>
      </c>
      <c r="S220" s="24" t="n">
        <f aca="false">DI_2Phase!AZ154</f>
        <v>0.00198096958414811</v>
      </c>
      <c r="T220" s="24" t="n">
        <f aca="false">DI_2Phase!BA154</f>
        <v>0.00158477566731849</v>
      </c>
      <c r="U220" s="24" t="n">
        <f aca="false">DI_2Phase!BB154</f>
        <v>0.00237716350097773</v>
      </c>
      <c r="V220" s="77" t="str">
        <f aca="false">DI_2Phase!BC154</f>
        <v>karimi Thesis - TABLE a4</v>
      </c>
    </row>
    <row r="221" customFormat="false" ht="12.8" hidden="false" customHeight="false" outlineLevel="0" collapsed="false">
      <c r="A221" s="15" t="n">
        <v>219</v>
      </c>
      <c r="B221" s="20" t="str">
        <f aca="false">DI_2Phase!AI155</f>
        <v>DI</v>
      </c>
      <c r="C221" s="20" t="str">
        <f aca="false">DI_2Phase!AJ155</f>
        <v>Liquid-Solid</v>
      </c>
      <c r="D221" s="20" t="str">
        <f aca="false">DI_2Phase!AK155</f>
        <v>V-H</v>
      </c>
      <c r="E221" s="48" t="n">
        <f aca="false">DI_2Phase!AL155</f>
        <v>75</v>
      </c>
      <c r="F221" s="78" t="n">
        <f aca="false">DI_2Phase!AM155</f>
        <v>1E-006</v>
      </c>
      <c r="G221" s="24" t="n">
        <f aca="false">DI_2Phase!AN155*0+MAX($G$3:$G$68)</f>
        <v>336</v>
      </c>
      <c r="H221" s="24" t="n">
        <f aca="false">DI_2Phase!AO155</f>
        <v>1.5875</v>
      </c>
      <c r="I221" s="24" t="n">
        <f aca="false">DI_2Phase!AP155</f>
        <v>49.9745093024473</v>
      </c>
      <c r="J221" s="24" t="n">
        <f aca="false">DI_2Phase!AQ155</f>
        <v>1120</v>
      </c>
      <c r="K221" s="24" t="n">
        <f aca="false">DI_2Phase!AR155</f>
        <v>0.0026487</v>
      </c>
      <c r="L221" s="24" t="n">
        <f aca="false">DI_2Phase!AS155</f>
        <v>0.09625</v>
      </c>
      <c r="M221" s="24" t="n">
        <f aca="false">DI_2Phase!AT155</f>
        <v>42</v>
      </c>
      <c r="N221" s="24" t="n">
        <f aca="false">DI_2Phase!AU155</f>
        <v>0.0375</v>
      </c>
      <c r="O221" s="24" t="n">
        <f aca="false">DI_2Phase!AV155</f>
        <v>0.909090909090909</v>
      </c>
      <c r="P221" s="24" t="n">
        <f aca="false">DI_2Phase!AW155</f>
        <v>968.685346479017</v>
      </c>
      <c r="Q221" s="24" t="n">
        <f aca="false">DI_2Phase!AX155</f>
        <v>0.0103555610015991</v>
      </c>
      <c r="R221" s="24" t="n">
        <f aca="false">DI_2Phase!AY155</f>
        <v>1</v>
      </c>
      <c r="S221" s="24" t="n">
        <f aca="false">DI_2Phase!AZ155</f>
        <v>0.00291406940426585</v>
      </c>
      <c r="T221" s="24" t="n">
        <f aca="false">DI_2Phase!BA155</f>
        <v>0.00233125552341268</v>
      </c>
      <c r="U221" s="24" t="n">
        <f aca="false">DI_2Phase!BB155</f>
        <v>0.00349688328511902</v>
      </c>
      <c r="V221" s="77" t="str">
        <f aca="false">DI_2Phase!BC155</f>
        <v>karimi Thesis - TABLE a4</v>
      </c>
    </row>
    <row r="222" customFormat="false" ht="12.8" hidden="false" customHeight="false" outlineLevel="0" collapsed="false">
      <c r="A222" s="15" t="n">
        <v>220</v>
      </c>
      <c r="B222" s="20" t="str">
        <f aca="false">DI_2Phase!AI156</f>
        <v>DI</v>
      </c>
      <c r="C222" s="20" t="str">
        <f aca="false">DI_2Phase!AJ156</f>
        <v>Liquid-Solid</v>
      </c>
      <c r="D222" s="20" t="str">
        <f aca="false">DI_2Phase!AK156</f>
        <v>V-H</v>
      </c>
      <c r="E222" s="48" t="n">
        <f aca="false">DI_2Phase!AL156</f>
        <v>45</v>
      </c>
      <c r="F222" s="78" t="n">
        <f aca="false">DI_2Phase!AM156</f>
        <v>1E-006</v>
      </c>
      <c r="G222" s="24" t="n">
        <f aca="false">DI_2Phase!AN156*0+MAX($G$3:$G$68)</f>
        <v>336</v>
      </c>
      <c r="H222" s="24" t="n">
        <f aca="false">DI_2Phase!AO156</f>
        <v>1.5875</v>
      </c>
      <c r="I222" s="24" t="n">
        <f aca="false">DI_2Phase!AP156</f>
        <v>49.9745093024473</v>
      </c>
      <c r="J222" s="24" t="n">
        <f aca="false">DI_2Phase!AQ156</f>
        <v>1120</v>
      </c>
      <c r="K222" s="24" t="n">
        <f aca="false">DI_2Phase!AR156</f>
        <v>0.0026487</v>
      </c>
      <c r="L222" s="24" t="n">
        <f aca="false">DI_2Phase!AS156</f>
        <v>0.09625</v>
      </c>
      <c r="M222" s="24" t="n">
        <f aca="false">DI_2Phase!AT156</f>
        <v>42</v>
      </c>
      <c r="N222" s="24" t="n">
        <f aca="false">DI_2Phase!AU156</f>
        <v>0.0375</v>
      </c>
      <c r="O222" s="24" t="n">
        <f aca="false">DI_2Phase!AV156</f>
        <v>0.909090909090909</v>
      </c>
      <c r="P222" s="24" t="n">
        <f aca="false">DI_2Phase!AW156</f>
        <v>968.685346479017</v>
      </c>
      <c r="Q222" s="24" t="n">
        <f aca="false">DI_2Phase!AX156</f>
        <v>0.00794577974356915</v>
      </c>
      <c r="R222" s="24" t="n">
        <f aca="false">DI_2Phase!AY156</f>
        <v>1</v>
      </c>
      <c r="S222" s="24" t="n">
        <f aca="false">DI_2Phase!AZ156</f>
        <v>0.00358482602098627</v>
      </c>
      <c r="T222" s="24" t="n">
        <f aca="false">DI_2Phase!BA156</f>
        <v>0.00286786081678902</v>
      </c>
      <c r="U222" s="24" t="n">
        <f aca="false">DI_2Phase!BB156</f>
        <v>0.00430179122518352</v>
      </c>
      <c r="V222" s="77" t="str">
        <f aca="false">DI_2Phase!BC156</f>
        <v>karimi Thesis - TABLE a4</v>
      </c>
    </row>
    <row r="223" customFormat="false" ht="12.8" hidden="false" customHeight="false" outlineLevel="0" collapsed="false">
      <c r="A223" s="15" t="n">
        <v>221</v>
      </c>
      <c r="B223" s="20" t="str">
        <f aca="false">DI_2Phase!AI157</f>
        <v>DI</v>
      </c>
      <c r="C223" s="20" t="str">
        <f aca="false">DI_2Phase!AJ157</f>
        <v>Liquid-Solid</v>
      </c>
      <c r="D223" s="20" t="str">
        <f aca="false">DI_2Phase!AK157</f>
        <v>V-H</v>
      </c>
      <c r="E223" s="48" t="n">
        <f aca="false">DI_2Phase!AL157</f>
        <v>90</v>
      </c>
      <c r="F223" s="78" t="n">
        <f aca="false">DI_2Phase!AM157</f>
        <v>1E-006</v>
      </c>
      <c r="G223" s="24" t="n">
        <f aca="false">DI_2Phase!AN157*0+MAX($G$3:$G$68)</f>
        <v>336</v>
      </c>
      <c r="H223" s="24" t="n">
        <f aca="false">DI_2Phase!AO157</f>
        <v>1.5875</v>
      </c>
      <c r="I223" s="24" t="n">
        <f aca="false">DI_2Phase!AP157</f>
        <v>49.9745093024473</v>
      </c>
      <c r="J223" s="24" t="n">
        <f aca="false">DI_2Phase!AQ157</f>
        <v>1120</v>
      </c>
      <c r="K223" s="24" t="n">
        <f aca="false">DI_2Phase!AR157</f>
        <v>0.0211896</v>
      </c>
      <c r="L223" s="24" t="n">
        <f aca="false">DI_2Phase!AS157</f>
        <v>0.385</v>
      </c>
      <c r="M223" s="24" t="n">
        <f aca="false">DI_2Phase!AT157</f>
        <v>84</v>
      </c>
      <c r="N223" s="24" t="n">
        <f aca="false">DI_2Phase!AU157</f>
        <v>0.075</v>
      </c>
      <c r="O223" s="24" t="n">
        <f aca="false">DI_2Phase!AV157</f>
        <v>0.909090909090909</v>
      </c>
      <c r="P223" s="24" t="n">
        <f aca="false">DI_2Phase!AW157</f>
        <v>968.685346479017</v>
      </c>
      <c r="Q223" s="24" t="n">
        <f aca="false">DI_2Phase!AX157</f>
        <v>0.0104820673388071</v>
      </c>
      <c r="R223" s="24" t="n">
        <f aca="false">DI_2Phase!AY157</f>
        <v>1</v>
      </c>
      <c r="S223" s="24" t="n">
        <f aca="false">DI_2Phase!AZ157</f>
        <v>0.00134754992021937</v>
      </c>
      <c r="T223" s="24" t="n">
        <f aca="false">DI_2Phase!BA157</f>
        <v>0.0010780399361755</v>
      </c>
      <c r="U223" s="24" t="n">
        <f aca="false">DI_2Phase!BB157</f>
        <v>0.00161705990426324</v>
      </c>
      <c r="V223" s="77" t="str">
        <f aca="false">DI_2Phase!BC157</f>
        <v>karimi Thesis - TABLE a5</v>
      </c>
    </row>
    <row r="224" customFormat="false" ht="12.8" hidden="false" customHeight="false" outlineLevel="0" collapsed="false">
      <c r="A224" s="15" t="n">
        <v>222</v>
      </c>
      <c r="B224" s="20" t="str">
        <f aca="false">DI_2Phase!AI158</f>
        <v>DI</v>
      </c>
      <c r="C224" s="20" t="str">
        <f aca="false">DI_2Phase!AJ158</f>
        <v>Liquid-Solid</v>
      </c>
      <c r="D224" s="20" t="str">
        <f aca="false">DI_2Phase!AK158</f>
        <v>V-H</v>
      </c>
      <c r="E224" s="48" t="n">
        <f aca="false">DI_2Phase!AL158</f>
        <v>90</v>
      </c>
      <c r="F224" s="78" t="n">
        <f aca="false">DI_2Phase!AM158</f>
        <v>1E-006</v>
      </c>
      <c r="G224" s="24" t="n">
        <f aca="false">DI_2Phase!AN158*0+MAX($G$3:$G$68)</f>
        <v>336</v>
      </c>
      <c r="H224" s="24" t="n">
        <f aca="false">DI_2Phase!AO158</f>
        <v>1.5875</v>
      </c>
      <c r="I224" s="24" t="n">
        <f aca="false">DI_2Phase!AP158</f>
        <v>49.9745093024473</v>
      </c>
      <c r="J224" s="24" t="n">
        <f aca="false">DI_2Phase!AQ158</f>
        <v>1120</v>
      </c>
      <c r="K224" s="24" t="n">
        <f aca="false">DI_2Phase!AR158</f>
        <v>0.0211896</v>
      </c>
      <c r="L224" s="24" t="n">
        <f aca="false">DI_2Phase!AS158</f>
        <v>0.385</v>
      </c>
      <c r="M224" s="24" t="n">
        <f aca="false">DI_2Phase!AT158</f>
        <v>84</v>
      </c>
      <c r="N224" s="24" t="n">
        <f aca="false">DI_2Phase!AU158</f>
        <v>0.075</v>
      </c>
      <c r="O224" s="24" t="n">
        <f aca="false">DI_2Phase!AV158</f>
        <v>0.909090909090909</v>
      </c>
      <c r="P224" s="24" t="n">
        <f aca="false">DI_2Phase!AW158</f>
        <v>968.685346479017</v>
      </c>
      <c r="Q224" s="24" t="n">
        <f aca="false">DI_2Phase!AX158</f>
        <v>0.010987769426601</v>
      </c>
      <c r="R224" s="24" t="n">
        <f aca="false">DI_2Phase!AY158</f>
        <v>1</v>
      </c>
      <c r="S224" s="24" t="n">
        <f aca="false">DI_2Phase!AZ158</f>
        <v>0.00122644544807</v>
      </c>
      <c r="T224" s="24" t="n">
        <f aca="false">DI_2Phase!BA158</f>
        <v>0.000981156358456</v>
      </c>
      <c r="U224" s="24" t="n">
        <f aca="false">DI_2Phase!BB158</f>
        <v>0.001471734537684</v>
      </c>
      <c r="V224" s="77" t="str">
        <f aca="false">DI_2Phase!BC158</f>
        <v>karimi Thesis - TABLE a5</v>
      </c>
    </row>
    <row r="225" customFormat="false" ht="12.8" hidden="false" customHeight="false" outlineLevel="0" collapsed="false">
      <c r="A225" s="15" t="n">
        <v>223</v>
      </c>
      <c r="B225" s="20" t="str">
        <f aca="false">DI_2Phase!AI159</f>
        <v>DI</v>
      </c>
      <c r="C225" s="20" t="str">
        <f aca="false">DI_2Phase!AJ159</f>
        <v>Liquid-Solid</v>
      </c>
      <c r="D225" s="20" t="str">
        <f aca="false">DI_2Phase!AK159</f>
        <v>V-H</v>
      </c>
      <c r="E225" s="48" t="n">
        <f aca="false">DI_2Phase!AL159</f>
        <v>90</v>
      </c>
      <c r="F225" s="78" t="n">
        <f aca="false">DI_2Phase!AM159</f>
        <v>1E-006</v>
      </c>
      <c r="G225" s="24" t="n">
        <f aca="false">DI_2Phase!AN159*0+MAX($G$3:$G$68)</f>
        <v>336</v>
      </c>
      <c r="H225" s="24" t="n">
        <f aca="false">DI_2Phase!AO159</f>
        <v>1.5875</v>
      </c>
      <c r="I225" s="24" t="n">
        <f aca="false">DI_2Phase!AP159</f>
        <v>49.9745093024473</v>
      </c>
      <c r="J225" s="24" t="n">
        <f aca="false">DI_2Phase!AQ159</f>
        <v>1120</v>
      </c>
      <c r="K225" s="24" t="n">
        <f aca="false">DI_2Phase!AR159</f>
        <v>0.0211896</v>
      </c>
      <c r="L225" s="24" t="n">
        <f aca="false">DI_2Phase!AS159</f>
        <v>0.385</v>
      </c>
      <c r="M225" s="24" t="n">
        <f aca="false">DI_2Phase!AT159</f>
        <v>84</v>
      </c>
      <c r="N225" s="24" t="n">
        <f aca="false">DI_2Phase!AU159</f>
        <v>0.075</v>
      </c>
      <c r="O225" s="24" t="n">
        <f aca="false">DI_2Phase!AV159</f>
        <v>0.909090909090909</v>
      </c>
      <c r="P225" s="24" t="n">
        <f aca="false">DI_2Phase!AW159</f>
        <v>968.685346479017</v>
      </c>
      <c r="Q225" s="24" t="n">
        <f aca="false">DI_2Phase!AX159</f>
        <v>0.00997584783490273</v>
      </c>
      <c r="R225" s="24" t="n">
        <f aca="false">DI_2Phase!AY159</f>
        <v>1</v>
      </c>
      <c r="S225" s="24" t="n">
        <f aca="false">DI_2Phase!AZ159</f>
        <v>0.00256266150840834</v>
      </c>
      <c r="T225" s="24" t="n">
        <f aca="false">DI_2Phase!BA159</f>
        <v>0.00205012920672667</v>
      </c>
      <c r="U225" s="24" t="n">
        <f aca="false">DI_2Phase!BB159</f>
        <v>0.00307519381009001</v>
      </c>
      <c r="V225" s="77" t="str">
        <f aca="false">DI_2Phase!BC159</f>
        <v>karimi Thesis - TABLE a5</v>
      </c>
    </row>
    <row r="226" customFormat="false" ht="12.8" hidden="false" customHeight="false" outlineLevel="0" collapsed="false">
      <c r="A226" s="15" t="n">
        <v>224</v>
      </c>
      <c r="B226" s="20" t="str">
        <f aca="false">DI_2Phase!AI160</f>
        <v>DI</v>
      </c>
      <c r="C226" s="20" t="str">
        <f aca="false">DI_2Phase!AJ160</f>
        <v>Liquid-Solid</v>
      </c>
      <c r="D226" s="20" t="str">
        <f aca="false">DI_2Phase!AK160</f>
        <v>V-H</v>
      </c>
      <c r="E226" s="48" t="n">
        <f aca="false">DI_2Phase!AL160</f>
        <v>90</v>
      </c>
      <c r="F226" s="78" t="n">
        <f aca="false">DI_2Phase!AM160</f>
        <v>1E-006</v>
      </c>
      <c r="G226" s="24" t="n">
        <f aca="false">DI_2Phase!AN160*0+MAX($G$3:$G$68)</f>
        <v>336</v>
      </c>
      <c r="H226" s="24" t="n">
        <f aca="false">DI_2Phase!AO160</f>
        <v>1.5875</v>
      </c>
      <c r="I226" s="24" t="n">
        <f aca="false">DI_2Phase!AP160</f>
        <v>49.9745093024473</v>
      </c>
      <c r="J226" s="24" t="n">
        <f aca="false">DI_2Phase!AQ160</f>
        <v>20.3636363636364</v>
      </c>
      <c r="K226" s="24" t="n">
        <f aca="false">DI_2Phase!AR160</f>
        <v>5.06714876033058E-010</v>
      </c>
      <c r="L226" s="24" t="n">
        <f aca="false">DI_2Phase!AS160</f>
        <v>1.21527777777778E-005</v>
      </c>
      <c r="M226" s="24" t="n">
        <f aca="false">DI_2Phase!AT160</f>
        <v>0.0636363636363636</v>
      </c>
      <c r="N226" s="24" t="n">
        <f aca="false">DI_2Phase!AU160</f>
        <v>0.003125</v>
      </c>
      <c r="O226" s="24" t="n">
        <f aca="false">DI_2Phase!AV160</f>
        <v>0.909090909090909</v>
      </c>
      <c r="P226" s="24" t="n">
        <f aca="false">DI_2Phase!AW160</f>
        <v>968.685346479017</v>
      </c>
      <c r="Q226" s="24" t="n">
        <f aca="false">DI_2Phase!AX160</f>
        <v>0.0161415693447724</v>
      </c>
      <c r="R226" s="24" t="n">
        <f aca="false">DI_2Phase!AY160</f>
        <v>1</v>
      </c>
      <c r="S226" s="24" t="n">
        <f aca="false">DI_2Phase!AZ160</f>
        <v>9.02192266372629E-006</v>
      </c>
      <c r="T226" s="24" t="n">
        <f aca="false">DI_2Phase!BA160</f>
        <v>7.21753813098103E-006</v>
      </c>
      <c r="U226" s="24" t="n">
        <f aca="false">DI_2Phase!BB160</f>
        <v>1.08263071964715E-005</v>
      </c>
      <c r="V226" s="77" t="str">
        <f aca="false">DI_2Phase!BC160</f>
        <v>karimi Thesis - TABLE a6</v>
      </c>
    </row>
    <row r="227" customFormat="false" ht="12.8" hidden="false" customHeight="false" outlineLevel="0" collapsed="false">
      <c r="A227" s="15" t="n">
        <v>225</v>
      </c>
      <c r="B227" s="20" t="str">
        <f aca="false">DI_2Phase!AI161</f>
        <v>DI</v>
      </c>
      <c r="C227" s="20" t="str">
        <f aca="false">DI_2Phase!AJ161</f>
        <v>Liquid-Solid</v>
      </c>
      <c r="D227" s="20" t="str">
        <f aca="false">DI_2Phase!AK161</f>
        <v>V-H</v>
      </c>
      <c r="E227" s="48" t="n">
        <f aca="false">DI_2Phase!AL161</f>
        <v>90</v>
      </c>
      <c r="F227" s="78" t="n">
        <f aca="false">DI_2Phase!AM161</f>
        <v>1E-006</v>
      </c>
      <c r="G227" s="24" t="n">
        <f aca="false">DI_2Phase!AN161*0+MAX($G$3:$G$68)</f>
        <v>336</v>
      </c>
      <c r="H227" s="24" t="n">
        <f aca="false">DI_2Phase!AO161</f>
        <v>1.5875</v>
      </c>
      <c r="I227" s="24" t="n">
        <f aca="false">DI_2Phase!AP161</f>
        <v>49.9745093024473</v>
      </c>
      <c r="J227" s="24" t="n">
        <f aca="false">DI_2Phase!AQ161</f>
        <v>20.3636363636364</v>
      </c>
      <c r="K227" s="24" t="n">
        <f aca="false">DI_2Phase!AR161</f>
        <v>5.06714876033058E-010</v>
      </c>
      <c r="L227" s="24" t="n">
        <f aca="false">DI_2Phase!AS161</f>
        <v>1.21527777777778E-005</v>
      </c>
      <c r="M227" s="24" t="n">
        <f aca="false">DI_2Phase!AT161</f>
        <v>0.0636363636363636</v>
      </c>
      <c r="N227" s="24" t="n">
        <f aca="false">DI_2Phase!AU161</f>
        <v>0.003125</v>
      </c>
      <c r="O227" s="24" t="n">
        <f aca="false">DI_2Phase!AV161</f>
        <v>0.909090909090909</v>
      </c>
      <c r="P227" s="24" t="n">
        <f aca="false">DI_2Phase!AW161</f>
        <v>968.685346479017</v>
      </c>
      <c r="Q227" s="24" t="n">
        <f aca="false">DI_2Phase!AX161</f>
        <v>0.0219838968504163</v>
      </c>
      <c r="R227" s="24" t="n">
        <f aca="false">DI_2Phase!AY161</f>
        <v>1</v>
      </c>
      <c r="S227" s="24" t="n">
        <f aca="false">DI_2Phase!AZ161</f>
        <v>1.22878851933397E-005</v>
      </c>
      <c r="T227" s="24" t="n">
        <f aca="false">DI_2Phase!BA161</f>
        <v>9.83030815467176E-006</v>
      </c>
      <c r="U227" s="24" t="n">
        <f aca="false">DI_2Phase!BB161</f>
        <v>1.47454622320076E-005</v>
      </c>
      <c r="V227" s="77" t="str">
        <f aca="false">DI_2Phase!BC161</f>
        <v>karimi Thesis - TABLE a6</v>
      </c>
    </row>
    <row r="228" customFormat="false" ht="12.8" hidden="false" customHeight="false" outlineLevel="0" collapsed="false">
      <c r="A228" s="15" t="n">
        <v>226</v>
      </c>
      <c r="B228" s="20" t="str">
        <f aca="false">DI_2Phase!AI162</f>
        <v>DI</v>
      </c>
      <c r="C228" s="20" t="str">
        <f aca="false">DI_2Phase!AJ162</f>
        <v>Liquid-Solid</v>
      </c>
      <c r="D228" s="20" t="str">
        <f aca="false">DI_2Phase!AK162</f>
        <v>V-H</v>
      </c>
      <c r="E228" s="48" t="n">
        <f aca="false">DI_2Phase!AL162</f>
        <v>45</v>
      </c>
      <c r="F228" s="78" t="n">
        <f aca="false">DI_2Phase!AM162</f>
        <v>1E-006</v>
      </c>
      <c r="G228" s="24" t="n">
        <f aca="false">DI_2Phase!AN162*0+MAX($G$3:$G$68)</f>
        <v>336</v>
      </c>
      <c r="H228" s="24" t="n">
        <f aca="false">DI_2Phase!AO162</f>
        <v>1.5875</v>
      </c>
      <c r="I228" s="24" t="n">
        <f aca="false">DI_2Phase!AP162</f>
        <v>49.9745093024473</v>
      </c>
      <c r="J228" s="24" t="n">
        <f aca="false">DI_2Phase!AQ162</f>
        <v>20.3636363636364</v>
      </c>
      <c r="K228" s="24" t="n">
        <f aca="false">DI_2Phase!AR162</f>
        <v>5.06714876033058E-010</v>
      </c>
      <c r="L228" s="24" t="n">
        <f aca="false">DI_2Phase!AS162</f>
        <v>1.21527777777778E-005</v>
      </c>
      <c r="M228" s="24" t="n">
        <f aca="false">DI_2Phase!AT162</f>
        <v>0.0636363636363636</v>
      </c>
      <c r="N228" s="24" t="n">
        <f aca="false">DI_2Phase!AU162</f>
        <v>0.003125</v>
      </c>
      <c r="O228" s="24" t="n">
        <f aca="false">DI_2Phase!AV162</f>
        <v>0.909090909090909</v>
      </c>
      <c r="P228" s="24" t="n">
        <f aca="false">DI_2Phase!AW162</f>
        <v>968.685346479017</v>
      </c>
      <c r="Q228" s="24" t="n">
        <f aca="false">DI_2Phase!AX162</f>
        <v>0.0203748870420284</v>
      </c>
      <c r="R228" s="24" t="n">
        <f aca="false">DI_2Phase!AY162</f>
        <v>1</v>
      </c>
      <c r="S228" s="24" t="n">
        <f aca="false">DI_2Phase!AZ162</f>
        <v>9.11640988095933E-006</v>
      </c>
      <c r="T228" s="24" t="n">
        <f aca="false">DI_2Phase!BA162</f>
        <v>7.29312790476746E-006</v>
      </c>
      <c r="U228" s="24" t="n">
        <f aca="false">DI_2Phase!BB162</f>
        <v>1.09396918571512E-005</v>
      </c>
      <c r="V228" s="77" t="str">
        <f aca="false">DI_2Phase!BC162</f>
        <v>karimi Thesis - TABLE a6</v>
      </c>
    </row>
    <row r="229" customFormat="false" ht="12.8" hidden="false" customHeight="false" outlineLevel="0" collapsed="false">
      <c r="A229" s="15" t="n">
        <v>227</v>
      </c>
      <c r="B229" s="20" t="str">
        <f aca="false">DI_2Phase!AI163</f>
        <v>DI</v>
      </c>
      <c r="C229" s="20" t="str">
        <f aca="false">DI_2Phase!AJ163</f>
        <v>Liquid-Solid</v>
      </c>
      <c r="D229" s="20" t="str">
        <f aca="false">DI_2Phase!AK163</f>
        <v>V-H</v>
      </c>
      <c r="E229" s="48" t="n">
        <f aca="false">DI_2Phase!AL163</f>
        <v>45</v>
      </c>
      <c r="F229" s="78" t="n">
        <f aca="false">DI_2Phase!AM163</f>
        <v>1E-006</v>
      </c>
      <c r="G229" s="24" t="n">
        <f aca="false">DI_2Phase!AN163*0+MAX($G$3:$G$68)</f>
        <v>336</v>
      </c>
      <c r="H229" s="24" t="n">
        <f aca="false">DI_2Phase!AO163</f>
        <v>1.5875</v>
      </c>
      <c r="I229" s="24" t="n">
        <f aca="false">DI_2Phase!AP163</f>
        <v>49.9745093024473</v>
      </c>
      <c r="J229" s="24" t="n">
        <f aca="false">DI_2Phase!AQ163</f>
        <v>20.3636363636364</v>
      </c>
      <c r="K229" s="24" t="n">
        <f aca="false">DI_2Phase!AR163</f>
        <v>5.06714876033058E-010</v>
      </c>
      <c r="L229" s="24" t="n">
        <f aca="false">DI_2Phase!AS163</f>
        <v>1.21527777777778E-005</v>
      </c>
      <c r="M229" s="24" t="n">
        <f aca="false">DI_2Phase!AT163</f>
        <v>0.0636363636363636</v>
      </c>
      <c r="N229" s="24" t="n">
        <f aca="false">DI_2Phase!AU163</f>
        <v>0.003125</v>
      </c>
      <c r="O229" s="24" t="n">
        <f aca="false">DI_2Phase!AV163</f>
        <v>0.909090909090909</v>
      </c>
      <c r="P229" s="24" t="n">
        <f aca="false">DI_2Phase!AW163</f>
        <v>968.685346479017</v>
      </c>
      <c r="Q229" s="24" t="n">
        <f aca="false">DI_2Phase!AX163</f>
        <v>0.0227247354232066</v>
      </c>
      <c r="R229" s="24" t="n">
        <f aca="false">DI_2Phase!AY163</f>
        <v>1</v>
      </c>
      <c r="S229" s="24" t="n">
        <f aca="false">DI_2Phase!AZ163</f>
        <v>1.08346387867744E-005</v>
      </c>
      <c r="T229" s="24" t="n">
        <f aca="false">DI_2Phase!BA163</f>
        <v>8.66771102941952E-006</v>
      </c>
      <c r="U229" s="24" t="n">
        <f aca="false">DI_2Phase!BB163</f>
        <v>1.30015665441293E-005</v>
      </c>
      <c r="V229" s="77" t="str">
        <f aca="false">DI_2Phase!BC163</f>
        <v>karimi Thesis - TABLE a6</v>
      </c>
    </row>
    <row r="230" customFormat="false" ht="12.8" hidden="false" customHeight="false" outlineLevel="0" collapsed="false">
      <c r="A230" s="15" t="n">
        <v>228</v>
      </c>
      <c r="B230" s="20" t="str">
        <f aca="false">DI_2Phase!AI164</f>
        <v>DI</v>
      </c>
      <c r="C230" s="20" t="str">
        <f aca="false">DI_2Phase!AJ164</f>
        <v>Liquid-Solid</v>
      </c>
      <c r="D230" s="20" t="str">
        <f aca="false">DI_2Phase!AK164</f>
        <v>V-H</v>
      </c>
      <c r="E230" s="48" t="n">
        <f aca="false">DI_2Phase!AL164</f>
        <v>90</v>
      </c>
      <c r="F230" s="78" t="n">
        <f aca="false">DI_2Phase!AM164</f>
        <v>1E-006</v>
      </c>
      <c r="G230" s="24" t="n">
        <f aca="false">DI_2Phase!AN164*0+MAX($G$3:$G$68)</f>
        <v>336</v>
      </c>
      <c r="H230" s="24" t="n">
        <f aca="false">DI_2Phase!AO164</f>
        <v>0.714285714285714</v>
      </c>
      <c r="I230" s="24" t="n">
        <f aca="false">DI_2Phase!AP164</f>
        <v>19.0803563144801</v>
      </c>
      <c r="J230" s="24" t="n">
        <f aca="false">DI_2Phase!AQ164</f>
        <v>350</v>
      </c>
      <c r="K230" s="24" t="n">
        <f aca="false">DI_2Phase!AR164</f>
        <v>0.01848571875</v>
      </c>
      <c r="L230" s="24" t="n">
        <f aca="false">DI_2Phase!AS164</f>
        <v>0.0547123015873016</v>
      </c>
      <c r="M230" s="24" t="n">
        <f aca="false">DI_2Phase!AT164</f>
        <v>12.5</v>
      </c>
      <c r="N230" s="24" t="n">
        <f aca="false">DI_2Phase!AU164</f>
        <v>0.0357142857142857</v>
      </c>
      <c r="O230" s="24" t="n">
        <f aca="false">DI_2Phase!AV164</f>
        <v>0.453309156844968</v>
      </c>
      <c r="P230" s="24" t="n">
        <f aca="false">DI_2Phase!AW164</f>
        <v>7594.49311639549</v>
      </c>
      <c r="Q230" s="24" t="n">
        <f aca="false">DI_2Phase!AX164</f>
        <v>0.00451263537906137</v>
      </c>
      <c r="R230" s="24" t="n">
        <f aca="false">DI_2Phase!AY164</f>
        <v>1</v>
      </c>
      <c r="S230" s="24" t="n">
        <f aca="false">DI_2Phase!AZ164</f>
        <v>0.000375878783050381</v>
      </c>
      <c r="T230" s="24" t="n">
        <f aca="false">DI_2Phase!BA164</f>
        <v>0.000300703026440305</v>
      </c>
      <c r="U230" s="24" t="n">
        <f aca="false">DI_2Phase!BB164</f>
        <v>0.000451054539660457</v>
      </c>
      <c r="V230" s="77" t="str">
        <f aca="false">DI_2Phase!BC164</f>
        <v>https://www.sciencedirect.com/science/article/pii/S0043164809003986</v>
      </c>
    </row>
    <row r="231" customFormat="false" ht="12.8" hidden="false" customHeight="false" outlineLevel="0" collapsed="false">
      <c r="A231" s="15" t="n">
        <v>229</v>
      </c>
      <c r="B231" s="20" t="str">
        <f aca="false">DI_2Phase!AI165</f>
        <v>DI</v>
      </c>
      <c r="C231" s="20" t="str">
        <f aca="false">DI_2Phase!AJ165</f>
        <v>Liquid-Solid</v>
      </c>
      <c r="D231" s="20" t="str">
        <f aca="false">DI_2Phase!AK165</f>
        <v>V-H</v>
      </c>
      <c r="E231" s="48" t="n">
        <f aca="false">DI_2Phase!AL165</f>
        <v>90</v>
      </c>
      <c r="F231" s="78" t="n">
        <f aca="false">DI_2Phase!AM165</f>
        <v>1E-006</v>
      </c>
      <c r="G231" s="24" t="n">
        <f aca="false">DI_2Phase!AN165*0+MAX($G$3:$G$68)</f>
        <v>336</v>
      </c>
      <c r="H231" s="24" t="n">
        <f aca="false">DI_2Phase!AO165</f>
        <v>0.714285714285714</v>
      </c>
      <c r="I231" s="24" t="n">
        <f aca="false">DI_2Phase!AP165</f>
        <v>28.6205344717201</v>
      </c>
      <c r="J231" s="24" t="n">
        <f aca="false">DI_2Phase!AQ165</f>
        <v>525</v>
      </c>
      <c r="K231" s="24" t="n">
        <f aca="false">DI_2Phase!AR165</f>
        <v>0.01848571875</v>
      </c>
      <c r="L231" s="24" t="n">
        <f aca="false">DI_2Phase!AS165</f>
        <v>0.0820684523809524</v>
      </c>
      <c r="M231" s="24" t="n">
        <f aca="false">DI_2Phase!AT165</f>
        <v>18.75</v>
      </c>
      <c r="N231" s="24" t="n">
        <f aca="false">DI_2Phase!AU165</f>
        <v>0.0357142857142857</v>
      </c>
      <c r="O231" s="24" t="n">
        <f aca="false">DI_2Phase!AV165</f>
        <v>0.453309156844968</v>
      </c>
      <c r="P231" s="24" t="n">
        <f aca="false">DI_2Phase!AW165</f>
        <v>3375.33027395355</v>
      </c>
      <c r="Q231" s="24" t="n">
        <f aca="false">DI_2Phase!AX165</f>
        <v>0.00451263537906137</v>
      </c>
      <c r="R231" s="24" t="n">
        <f aca="false">DI_2Phase!AY165</f>
        <v>1</v>
      </c>
      <c r="S231" s="24" t="n">
        <f aca="false">DI_2Phase!AZ165</f>
        <v>0.00162614333749893</v>
      </c>
      <c r="T231" s="24" t="n">
        <f aca="false">DI_2Phase!BA165</f>
        <v>0.00130091466999914</v>
      </c>
      <c r="U231" s="24" t="n">
        <f aca="false">DI_2Phase!BB165</f>
        <v>0.00195137200499872</v>
      </c>
      <c r="V231" s="77" t="str">
        <f aca="false">DI_2Phase!BC165</f>
        <v>https://www.sciencedirect.com/science/article/pii/S0043164809003986</v>
      </c>
    </row>
    <row r="232" customFormat="false" ht="12.8" hidden="false" customHeight="false" outlineLevel="0" collapsed="false">
      <c r="A232" s="15" t="n">
        <v>230</v>
      </c>
      <c r="B232" s="20" t="str">
        <f aca="false">DI_2Phase!AI166</f>
        <v>DI</v>
      </c>
      <c r="C232" s="20" t="str">
        <f aca="false">DI_2Phase!AJ166</f>
        <v>Liquid-Solid</v>
      </c>
      <c r="D232" s="20" t="str">
        <f aca="false">DI_2Phase!AK166</f>
        <v>V-H</v>
      </c>
      <c r="E232" s="48" t="n">
        <f aca="false">DI_2Phase!AL166</f>
        <v>90</v>
      </c>
      <c r="F232" s="78" t="n">
        <f aca="false">DI_2Phase!AM166</f>
        <v>1E-006</v>
      </c>
      <c r="G232" s="24" t="n">
        <f aca="false">DI_2Phase!AN166*0+MAX($G$3:$G$68)</f>
        <v>336</v>
      </c>
      <c r="H232" s="24" t="n">
        <f aca="false">DI_2Phase!AO166</f>
        <v>0.714285714285714</v>
      </c>
      <c r="I232" s="24" t="n">
        <f aca="false">DI_2Phase!AP166</f>
        <v>38.1607126289602</v>
      </c>
      <c r="J232" s="24" t="n">
        <f aca="false">DI_2Phase!AQ166</f>
        <v>700</v>
      </c>
      <c r="K232" s="24" t="n">
        <f aca="false">DI_2Phase!AR166</f>
        <v>0.01848571875</v>
      </c>
      <c r="L232" s="24" t="n">
        <f aca="false">DI_2Phase!AS166</f>
        <v>0.109424603174603</v>
      </c>
      <c r="M232" s="24" t="n">
        <f aca="false">DI_2Phase!AT166</f>
        <v>25</v>
      </c>
      <c r="N232" s="24" t="n">
        <f aca="false">DI_2Phase!AU166</f>
        <v>0.0357142857142857</v>
      </c>
      <c r="O232" s="24" t="n">
        <f aca="false">DI_2Phase!AV166</f>
        <v>0.453309156844968</v>
      </c>
      <c r="P232" s="24" t="n">
        <f aca="false">DI_2Phase!AW166</f>
        <v>1898.62327909887</v>
      </c>
      <c r="Q232" s="24" t="n">
        <f aca="false">DI_2Phase!AX166</f>
        <v>0.00451263537906137</v>
      </c>
      <c r="R232" s="24" t="n">
        <f aca="false">DI_2Phase!AY166</f>
        <v>1</v>
      </c>
      <c r="S232" s="24" t="n">
        <f aca="false">DI_2Phase!AZ166</f>
        <v>0.00215786362843148</v>
      </c>
      <c r="T232" s="24" t="n">
        <f aca="false">DI_2Phase!BA166</f>
        <v>0.00172629090274518</v>
      </c>
      <c r="U232" s="24" t="n">
        <f aca="false">DI_2Phase!BB166</f>
        <v>0.00258943635411778</v>
      </c>
      <c r="V232" s="77" t="str">
        <f aca="false">DI_2Phase!BC166</f>
        <v>https://www.sciencedirect.com/science/article/pii/S0043164809003986</v>
      </c>
    </row>
    <row r="233" customFormat="false" ht="12.8" hidden="false" customHeight="false" outlineLevel="0" collapsed="false">
      <c r="A233" s="15" t="n">
        <v>231</v>
      </c>
      <c r="B233" s="20" t="str">
        <f aca="false">DI_2Phase!AI167</f>
        <v>DI</v>
      </c>
      <c r="C233" s="20" t="str">
        <f aca="false">DI_2Phase!AJ167</f>
        <v>Liquid-Solid</v>
      </c>
      <c r="D233" s="20" t="str">
        <f aca="false">DI_2Phase!AK167</f>
        <v>V-H</v>
      </c>
      <c r="E233" s="48" t="n">
        <f aca="false">DI_2Phase!AL167</f>
        <v>75</v>
      </c>
      <c r="F233" s="78" t="n">
        <f aca="false">DI_2Phase!AM167</f>
        <v>1E-006</v>
      </c>
      <c r="G233" s="24" t="n">
        <f aca="false">DI_2Phase!AN167*0+MAX($G$3:$G$68)</f>
        <v>336</v>
      </c>
      <c r="H233" s="24" t="n">
        <f aca="false">DI_2Phase!AO167</f>
        <v>0.714285714285714</v>
      </c>
      <c r="I233" s="24" t="n">
        <f aca="false">DI_2Phase!AP167</f>
        <v>19.0803563144801</v>
      </c>
      <c r="J233" s="24" t="n">
        <f aca="false">DI_2Phase!AQ167</f>
        <v>350</v>
      </c>
      <c r="K233" s="24" t="n">
        <f aca="false">DI_2Phase!AR167</f>
        <v>0.01848571875</v>
      </c>
      <c r="L233" s="24" t="n">
        <f aca="false">DI_2Phase!AS167</f>
        <v>0.0547123015873016</v>
      </c>
      <c r="M233" s="24" t="n">
        <f aca="false">DI_2Phase!AT167</f>
        <v>12.5</v>
      </c>
      <c r="N233" s="24" t="n">
        <f aca="false">DI_2Phase!AU167</f>
        <v>0.0357142857142857</v>
      </c>
      <c r="O233" s="24" t="n">
        <f aca="false">DI_2Phase!AV167</f>
        <v>0.453309156844968</v>
      </c>
      <c r="P233" s="24" t="n">
        <f aca="false">DI_2Phase!AW167</f>
        <v>7594.49311639549</v>
      </c>
      <c r="Q233" s="24" t="n">
        <f aca="false">DI_2Phase!AX167</f>
        <v>0.00451263537906137</v>
      </c>
      <c r="R233" s="24" t="n">
        <f aca="false">DI_2Phase!AY167</f>
        <v>1</v>
      </c>
      <c r="S233" s="24" t="n">
        <f aca="false">DI_2Phase!AZ167</f>
        <v>0.00113135653542724</v>
      </c>
      <c r="T233" s="24" t="n">
        <f aca="false">DI_2Phase!BA167</f>
        <v>0.000905085228341792</v>
      </c>
      <c r="U233" s="24" t="n">
        <f aca="false">DI_2Phase!BB167</f>
        <v>0.00135762784251269</v>
      </c>
      <c r="V233" s="77" t="str">
        <f aca="false">DI_2Phase!BC167</f>
        <v>https://www.sciencedirect.com/science/article/pii/S0043164809003986</v>
      </c>
    </row>
    <row r="234" customFormat="false" ht="12.8" hidden="false" customHeight="false" outlineLevel="0" collapsed="false">
      <c r="A234" s="15" t="n">
        <v>232</v>
      </c>
      <c r="B234" s="20" t="str">
        <f aca="false">DI_2Phase!AI168</f>
        <v>DI</v>
      </c>
      <c r="C234" s="20" t="str">
        <f aca="false">DI_2Phase!AJ168</f>
        <v>Liquid-Solid</v>
      </c>
      <c r="D234" s="20" t="str">
        <f aca="false">DI_2Phase!AK168</f>
        <v>V-H</v>
      </c>
      <c r="E234" s="48" t="n">
        <f aca="false">DI_2Phase!AL168</f>
        <v>45</v>
      </c>
      <c r="F234" s="78" t="n">
        <f aca="false">DI_2Phase!AM168</f>
        <v>1E-006</v>
      </c>
      <c r="G234" s="24" t="n">
        <f aca="false">DI_2Phase!AN168*0+MAX($G$3:$G$68)</f>
        <v>336</v>
      </c>
      <c r="H234" s="24" t="n">
        <f aca="false">DI_2Phase!AO168</f>
        <v>0.714285714285714</v>
      </c>
      <c r="I234" s="24" t="n">
        <f aca="false">DI_2Phase!AP168</f>
        <v>19.0803563144801</v>
      </c>
      <c r="J234" s="24" t="n">
        <f aca="false">DI_2Phase!AQ168</f>
        <v>350</v>
      </c>
      <c r="K234" s="24" t="n">
        <f aca="false">DI_2Phase!AR168</f>
        <v>0.01848571875</v>
      </c>
      <c r="L234" s="24" t="n">
        <f aca="false">DI_2Phase!AS168</f>
        <v>0.0547123015873016</v>
      </c>
      <c r="M234" s="24" t="n">
        <f aca="false">DI_2Phase!AT168</f>
        <v>12.5</v>
      </c>
      <c r="N234" s="24" t="n">
        <f aca="false">DI_2Phase!AU168</f>
        <v>0.0357142857142857</v>
      </c>
      <c r="O234" s="24" t="n">
        <f aca="false">DI_2Phase!AV168</f>
        <v>0.453309156844968</v>
      </c>
      <c r="P234" s="24" t="n">
        <f aca="false">DI_2Phase!AW168</f>
        <v>7594.49311639549</v>
      </c>
      <c r="Q234" s="24" t="n">
        <f aca="false">DI_2Phase!AX168</f>
        <v>0.00451263537906137</v>
      </c>
      <c r="R234" s="24" t="n">
        <f aca="false">DI_2Phase!AY168</f>
        <v>1</v>
      </c>
      <c r="S234" s="24" t="n">
        <f aca="false">DI_2Phase!AZ168</f>
        <v>0.000721791125133312</v>
      </c>
      <c r="T234" s="24" t="n">
        <f aca="false">DI_2Phase!BA168</f>
        <v>0.00057743290010665</v>
      </c>
      <c r="U234" s="24" t="n">
        <f aca="false">DI_2Phase!BB168</f>
        <v>0.000866149350159974</v>
      </c>
      <c r="V234" s="77" t="str">
        <f aca="false">DI_2Phase!BC168</f>
        <v>https://www.sciencedirect.com/science/article/pii/S0043164809003986</v>
      </c>
    </row>
  </sheetData>
  <conditionalFormatting sqref="E3:V234">
    <cfRule type="cellIs" priority="2" operator="lessThanOrEqual" aboveAverage="0" equalAverage="0" bottom="0" percent="0" rank="0" text="" dxfId="2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14434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2022-02-16T10:14:36Z</dcterms:created>
  <dc:creator>Isa Mohammed</dc:creator>
  <dc:description/>
  <dc:language>en-GB</dc:language>
  <cp:lastModifiedBy/>
  <dcterms:modified xsi:type="dcterms:W3CDTF">2025-07-27T12:53:24Z</dcterms:modified>
  <cp:revision>1245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