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lbow_2Phase_Validation" sheetId="1" state="visible" r:id="rId2"/>
  </sheets>
  <definedNames>
    <definedName function="false" hidden="false" name="Dp" vbProcedure="false">#REF!</definedName>
    <definedName function="false" hidden="false" name="Muf" vbProcedure="false">#REF!</definedName>
    <definedName function="false" hidden="false" name="rhof" vbProcedure="false">#REF!</definedName>
    <definedName function="false" hidden="false" name="rhop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R3" authorId="0">
      <text>
        <r>
          <rPr>
            <sz val="10"/>
            <color rgb="FF000000"/>
            <rFont val="Arial"/>
            <family val="0"/>
            <charset val="1"/>
          </rPr>
          <t xml:space="preserve">H/D for elbows assumed to be zero, 1e-6 to aid data distribution plot</t>
        </r>
      </text>
    </comment>
  </commentList>
</comments>
</file>

<file path=xl/sharedStrings.xml><?xml version="1.0" encoding="utf-8"?>
<sst xmlns="http://schemas.openxmlformats.org/spreadsheetml/2006/main" count="144" uniqueCount="56">
  <si>
    <t xml:space="preserve">Test No</t>
  </si>
  <si>
    <t xml:space="preserve">Geometry</t>
  </si>
  <si>
    <t xml:space="preserve">Phase</t>
  </si>
  <si>
    <t xml:space="preserve">Orientation</t>
  </si>
  <si>
    <t xml:space="preserve">Angle</t>
  </si>
  <si>
    <t xml:space="preserve">Pipe diameter (mm)</t>
  </si>
  <si>
    <t xml:space="preserve">r/D</t>
  </si>
  <si>
    <t xml:space="preserve">Pipe Length (m)</t>
  </si>
  <si>
    <t xml:space="preserve">Pipe material</t>
  </si>
  <si>
    <t xml:space="preserve">Pipe Hardness (GPa)</t>
  </si>
  <si>
    <t xml:space="preserve">Hv</t>
  </si>
  <si>
    <t xml:space="preserve">Hv(Gpa)</t>
  </si>
  <si>
    <t xml:space="preserve">Pipe Material Density (kg/m3)</t>
  </si>
  <si>
    <t xml:space="preserve">Gas Velocity (m/s)</t>
  </si>
  <si>
    <t xml:space="preserve">Gas Viscosity</t>
  </si>
  <si>
    <t xml:space="preserve">Gas Density (kg/m3)</t>
  </si>
  <si>
    <t xml:space="preserve">Liquid pipe diameter (mm)</t>
  </si>
  <si>
    <t xml:space="preserve">Liquid Velocity (m/s)</t>
  </si>
  <si>
    <t xml:space="preserve">Liquid Viscosity (cp)</t>
  </si>
  <si>
    <t xml:space="preserve">Liquid Density (kg/m3)</t>
  </si>
  <si>
    <t xml:space="preserve">Rho_mix</t>
  </si>
  <si>
    <t xml:space="preserve">mu_mix</t>
  </si>
  <si>
    <t xml:space="preserve">Particle Size (micron)</t>
  </si>
  <si>
    <t xml:space="preserve">Particle Density (kg/m3)</t>
  </si>
  <si>
    <t xml:space="preserve">Sand Vol Fraction (V/V)</t>
  </si>
  <si>
    <t xml:space="preserve">Shape Factor</t>
  </si>
  <si>
    <t xml:space="preserve">Erosion Ratio (mm/kg)</t>
  </si>
  <si>
    <t xml:space="preserve">Reference_1</t>
  </si>
  <si>
    <t xml:space="preserve">Reference_2</t>
  </si>
  <si>
    <t xml:space="preserve">Fluid Velocity (m/s)</t>
  </si>
  <si>
    <t xml:space="preserve">Fluid Viscosity (cp)</t>
  </si>
  <si>
    <t xml:space="preserve">Fluid Density (kg/m3)</t>
  </si>
  <si>
    <t xml:space="preserve">Count</t>
  </si>
  <si>
    <t xml:space="preserve">L/D</t>
  </si>
  <si>
    <t xml:space="preserve">H/D</t>
  </si>
  <si>
    <t xml:space="preserve">Froude_No</t>
  </si>
  <si>
    <t xml:space="preserve">Fluid_Reynolds</t>
  </si>
  <si>
    <t xml:space="preserve">Archimedes_No</t>
  </si>
  <si>
    <t xml:space="preserve">Stokes_No</t>
  </si>
  <si>
    <t xml:space="preserve">Particle_Reynolds</t>
  </si>
  <si>
    <t xml:space="preserve">Diameter_Ratio</t>
  </si>
  <si>
    <t xml:space="preserve">Density_Ratio</t>
  </si>
  <si>
    <t xml:space="preserve">Hardness</t>
  </si>
  <si>
    <t xml:space="preserve">Volume_Fraction</t>
  </si>
  <si>
    <t xml:space="preserve">Particle_Sharpness</t>
  </si>
  <si>
    <t xml:space="preserve">Erosion_Ratio(mm/kg)</t>
  </si>
  <si>
    <t xml:space="preserve">-20%</t>
  </si>
  <si>
    <t xml:space="preserve">+20%</t>
  </si>
  <si>
    <t xml:space="preserve">Reference</t>
  </si>
  <si>
    <t xml:space="preserve">Elbow</t>
  </si>
  <si>
    <t xml:space="preserve">Gas-solid</t>
  </si>
  <si>
    <t xml:space="preserve">V-H</t>
  </si>
  <si>
    <t xml:space="preserve">SS-316</t>
  </si>
  <si>
    <t xml:space="preserve">Alirez (2021)</t>
  </si>
  <si>
    <t xml:space="preserve">Phd Thesis (Proquest)</t>
  </si>
  <si>
    <t xml:space="preserve">Haider (XXXXX)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</si>
</sst>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@"/>
    <numFmt numFmtId="166" formatCode="0.000"/>
    <numFmt numFmtId="167" formatCode="0.00E+00"/>
    <numFmt numFmtId="168" formatCode="0.00000000"/>
    <numFmt numFmtId="169" formatCode="0.000E+00"/>
    <numFmt numFmtId="170" formatCode="#,##0"/>
    <numFmt numFmtId="171" formatCode="#,##0.000"/>
    <numFmt numFmtId="172" formatCode="General"/>
    <numFmt numFmtId="173" formatCode="0.0000E+00"/>
    <numFmt numFmtId="174" formatCode="#,##0.00000000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b val="true"/>
      <i val="true"/>
      <u val="singl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8"/>
      <name val="Calibri"/>
      <family val="1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FF0000"/>
      </patternFill>
    </fill>
    <fill>
      <patternFill patternType="solid">
        <fgColor rgb="FFFF0000"/>
        <bgColor rgb="FFCC0000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  <fill>
      <patternFill patternType="solid">
        <fgColor rgb="FF81D41A"/>
        <bgColor rgb="FFB2B2B2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</borders>
  <cellStyleXfs count="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0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0" fillId="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0" fillId="9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9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0" fillId="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Error 8" xfId="24"/>
    <cellStyle name="Footnote 9" xfId="25"/>
    <cellStyle name="Heading 10" xfId="26"/>
    <cellStyle name="Hyperlink 11" xfId="27"/>
    <cellStyle name="Result 12" xfId="28"/>
    <cellStyle name="Status 13" xfId="29"/>
    <cellStyle name="Text 14" xfId="30"/>
    <cellStyle name="Untitled1" xfId="31"/>
    <cellStyle name="Warning 15" xfId="32"/>
  </cellStyles>
  <dxfs count="1"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AMJ17"/>
  <sheetViews>
    <sheetView showFormulas="false" showGridLines="true" showRowColHeaders="true" showZeros="true" rightToLeft="false" tabSelected="true" showOutlineSymbols="true" defaultGridColor="true" view="normal" topLeftCell="AE1" colorId="64" zoomScale="85" zoomScaleNormal="85" zoomScalePageLayoutView="100" workbookViewId="0">
      <selection pane="topLeft" activeCell="AT46" activeCellId="0" sqref="AT46"/>
    </sheetView>
  </sheetViews>
  <sheetFormatPr defaultColWidth="12.71484375" defaultRowHeight="12.8" zeroHeight="false" outlineLevelRow="0" outlineLevelCol="0"/>
  <cols>
    <col collapsed="false" customWidth="true" hidden="false" outlineLevel="0" max="1" min="1" style="1" width="4.6"/>
    <col collapsed="false" customWidth="true" hidden="false" outlineLevel="0" max="2" min="2" style="1" width="11.52"/>
    <col collapsed="false" customWidth="true" hidden="false" outlineLevel="0" max="14" min="3" style="1" width="17.18"/>
    <col collapsed="false" customWidth="true" hidden="false" outlineLevel="0" max="16" min="15" style="1" width="15.15"/>
    <col collapsed="false" customWidth="true" hidden="false" outlineLevel="0" max="23" min="17" style="1" width="12.37"/>
    <col collapsed="false" customWidth="true" hidden="false" outlineLevel="0" max="24" min="24" style="1" width="19.46"/>
    <col collapsed="false" customWidth="true" hidden="false" outlineLevel="0" max="27" min="25" style="1" width="13.46"/>
    <col collapsed="false" customWidth="true" hidden="false" outlineLevel="0" max="30" min="28" style="1" width="11.52"/>
    <col collapsed="false" customWidth="true" hidden="false" outlineLevel="0" max="31" min="31" style="1" width="17.18"/>
    <col collapsed="false" customWidth="true" hidden="false" outlineLevel="0" max="32" min="32" style="1" width="15.95"/>
    <col collapsed="false" customWidth="true" hidden="false" outlineLevel="0" max="34" min="33" style="1" width="10.6"/>
    <col collapsed="false" customWidth="true" hidden="false" outlineLevel="0" max="35" min="35" style="1" width="11.81"/>
    <col collapsed="false" customWidth="true" hidden="false" outlineLevel="0" max="36" min="36" style="1" width="10.6"/>
    <col collapsed="false" customWidth="true" hidden="false" outlineLevel="0" max="37" min="37" style="2" width="10.6"/>
    <col collapsed="false" customWidth="true" hidden="false" outlineLevel="0" max="41" min="38" style="2" width="9.72"/>
    <col collapsed="false" customWidth="true" hidden="false" outlineLevel="0" max="45" min="42" style="2" width="11.24"/>
    <col collapsed="false" customWidth="true" hidden="false" outlineLevel="0" max="46" min="46" style="2" width="12.5"/>
    <col collapsed="false" customWidth="true" hidden="false" outlineLevel="0" max="47" min="47" style="2" width="14.59"/>
    <col collapsed="false" customWidth="true" hidden="false" outlineLevel="0" max="48" min="48" style="2" width="11.52"/>
    <col collapsed="false" customWidth="true" hidden="false" outlineLevel="0" max="53" min="49" style="2" width="11.64"/>
    <col collapsed="false" customWidth="true" hidden="false" outlineLevel="0" max="54" min="54" style="2" width="11.98"/>
    <col collapsed="false" customWidth="true" hidden="false" outlineLevel="0" max="57" min="55" style="3" width="11.98"/>
    <col collapsed="false" customWidth="true" hidden="false" outlineLevel="0" max="1024" min="1015" style="0" width="11.52"/>
  </cols>
  <sheetData>
    <row r="1" s="5" customFormat="true" ht="24.85" hidden="false" customHeight="false" outlineLevel="0" collapsed="false">
      <c r="A1" s="4"/>
      <c r="B1" s="4" t="n">
        <v>1</v>
      </c>
      <c r="C1" s="4"/>
      <c r="D1" s="4" t="n">
        <v>2</v>
      </c>
      <c r="E1" s="4" t="n">
        <v>3</v>
      </c>
      <c r="F1" s="4" t="n">
        <v>4</v>
      </c>
      <c r="G1" s="4" t="n">
        <v>5</v>
      </c>
      <c r="H1" s="4"/>
      <c r="I1" s="4"/>
      <c r="J1" s="4" t="n">
        <v>6</v>
      </c>
      <c r="K1" s="4"/>
      <c r="L1" s="4"/>
      <c r="M1" s="4"/>
      <c r="N1" s="4" t="n">
        <v>7</v>
      </c>
      <c r="O1" s="4"/>
      <c r="P1" s="4"/>
      <c r="Q1" s="4"/>
      <c r="R1" s="4"/>
      <c r="S1" s="4"/>
      <c r="T1" s="4"/>
      <c r="U1" s="4"/>
      <c r="V1" s="4"/>
      <c r="W1" s="4" t="n">
        <v>8</v>
      </c>
      <c r="X1" s="4"/>
      <c r="Y1" s="4"/>
      <c r="Z1" s="4"/>
      <c r="AA1" s="4"/>
      <c r="AB1" s="4"/>
      <c r="AC1" s="4"/>
      <c r="AD1" s="4"/>
      <c r="AE1" s="3"/>
      <c r="AF1" s="4"/>
      <c r="AG1" s="4"/>
      <c r="AH1" s="4"/>
      <c r="AI1" s="4"/>
      <c r="AJ1" s="4"/>
      <c r="AK1" s="4"/>
      <c r="AL1" s="4" t="n">
        <v>1</v>
      </c>
      <c r="AM1" s="4" t="n">
        <v>2</v>
      </c>
      <c r="AN1" s="4" t="n">
        <v>3</v>
      </c>
      <c r="AO1" s="4" t="n">
        <v>4</v>
      </c>
      <c r="AP1" s="4" t="n">
        <v>5</v>
      </c>
      <c r="AQ1" s="4" t="n">
        <v>6</v>
      </c>
      <c r="AR1" s="4" t="n">
        <v>7</v>
      </c>
      <c r="AS1" s="4" t="n">
        <v>8</v>
      </c>
      <c r="AT1" s="4" t="n">
        <v>9</v>
      </c>
      <c r="AU1" s="4" t="n">
        <v>10</v>
      </c>
      <c r="AV1" s="4" t="n">
        <v>11</v>
      </c>
      <c r="AW1" s="4" t="n">
        <v>12</v>
      </c>
      <c r="AX1" s="4" t="n">
        <v>13</v>
      </c>
      <c r="AY1" s="4" t="n">
        <v>14</v>
      </c>
      <c r="AZ1" s="4" t="n">
        <v>15</v>
      </c>
      <c r="BA1" s="4" t="n">
        <v>16</v>
      </c>
      <c r="BB1" s="4" t="n">
        <v>17</v>
      </c>
      <c r="BC1" s="4" t="n">
        <v>18</v>
      </c>
      <c r="BD1" s="4" t="n">
        <v>19</v>
      </c>
      <c r="BE1" s="4" t="n">
        <v>20</v>
      </c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5" customFormat="true" ht="35.05" hidden="false" customHeight="false" outlineLevel="0" collapsed="false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19</v>
      </c>
      <c r="U2" s="6" t="s">
        <v>20</v>
      </c>
      <c r="V2" s="6" t="s">
        <v>21</v>
      </c>
      <c r="W2" s="6" t="s">
        <v>22</v>
      </c>
      <c r="X2" s="6" t="s">
        <v>23</v>
      </c>
      <c r="Y2" s="6" t="s">
        <v>24</v>
      </c>
      <c r="Z2" s="6" t="s">
        <v>25</v>
      </c>
      <c r="AA2" s="6" t="s">
        <v>26</v>
      </c>
      <c r="AB2" s="6"/>
      <c r="AC2" s="7" t="s">
        <v>27</v>
      </c>
      <c r="AD2" s="6" t="s">
        <v>28</v>
      </c>
      <c r="AE2" s="3"/>
      <c r="AF2" s="3"/>
      <c r="AG2" s="6" t="s">
        <v>29</v>
      </c>
      <c r="AH2" s="6" t="s">
        <v>30</v>
      </c>
      <c r="AI2" s="6" t="s">
        <v>31</v>
      </c>
      <c r="AJ2" s="6"/>
      <c r="AK2" s="8" t="s">
        <v>32</v>
      </c>
      <c r="AL2" s="9" t="s">
        <v>1</v>
      </c>
      <c r="AM2" s="10" t="s">
        <v>2</v>
      </c>
      <c r="AN2" s="10" t="s">
        <v>3</v>
      </c>
      <c r="AO2" s="9" t="s">
        <v>4</v>
      </c>
      <c r="AP2" s="9" t="s">
        <v>6</v>
      </c>
      <c r="AQ2" s="10" t="s">
        <v>33</v>
      </c>
      <c r="AR2" s="10" t="s">
        <v>34</v>
      </c>
      <c r="AS2" s="10" t="s">
        <v>35</v>
      </c>
      <c r="AT2" s="10" t="s">
        <v>36</v>
      </c>
      <c r="AU2" s="10" t="s">
        <v>37</v>
      </c>
      <c r="AV2" s="10" t="s">
        <v>38</v>
      </c>
      <c r="AW2" s="10" t="s">
        <v>39</v>
      </c>
      <c r="AX2" s="10" t="s">
        <v>40</v>
      </c>
      <c r="AY2" s="10" t="s">
        <v>41</v>
      </c>
      <c r="AZ2" s="10" t="s">
        <v>42</v>
      </c>
      <c r="BA2" s="10" t="s">
        <v>43</v>
      </c>
      <c r="BB2" s="10" t="s">
        <v>44</v>
      </c>
      <c r="BC2" s="10" t="s">
        <v>45</v>
      </c>
      <c r="BD2" s="11" t="s">
        <v>46</v>
      </c>
      <c r="BE2" s="11" t="s">
        <v>47</v>
      </c>
      <c r="BF2" s="12" t="s">
        <v>48</v>
      </c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13" t="n">
        <v>1</v>
      </c>
      <c r="B3" s="13" t="s">
        <v>49</v>
      </c>
      <c r="C3" s="13" t="s">
        <v>50</v>
      </c>
      <c r="D3" s="13" t="s">
        <v>51</v>
      </c>
      <c r="E3" s="13" t="n">
        <v>90</v>
      </c>
      <c r="F3" s="13" t="n">
        <v>101.6</v>
      </c>
      <c r="G3" s="13" t="n">
        <v>1.5</v>
      </c>
      <c r="H3" s="14" t="n">
        <v>18</v>
      </c>
      <c r="I3" s="13" t="s">
        <v>52</v>
      </c>
      <c r="J3" s="13" t="n">
        <v>1.5177</v>
      </c>
      <c r="K3" s="13" t="n">
        <v>155</v>
      </c>
      <c r="L3" s="13" t="n">
        <v>1.5177</v>
      </c>
      <c r="M3" s="13" t="n">
        <v>7850</v>
      </c>
      <c r="N3" s="13" t="n">
        <v>15</v>
      </c>
      <c r="O3" s="15" t="n">
        <v>1.8E-005</v>
      </c>
      <c r="P3" s="13" t="n">
        <v>1.225</v>
      </c>
      <c r="Q3" s="13" t="n">
        <v>0</v>
      </c>
      <c r="R3" s="13" t="n">
        <v>0</v>
      </c>
      <c r="S3" s="13" t="n">
        <v>0</v>
      </c>
      <c r="T3" s="13" t="n">
        <v>0</v>
      </c>
      <c r="U3" s="14" t="n">
        <f aca="false">(P3*N3+R3*T3)/(N3+R3)</f>
        <v>1.225</v>
      </c>
      <c r="V3" s="16" t="n">
        <f aca="false">(O3*N3+R3*S3*0.1)/(N3+R3)</f>
        <v>1.8E-005</v>
      </c>
      <c r="W3" s="17" t="n">
        <v>300</v>
      </c>
      <c r="X3" s="13" t="n">
        <v>2650</v>
      </c>
      <c r="Y3" s="18" t="n">
        <f aca="false">0.0025%</f>
        <v>2.5E-005</v>
      </c>
      <c r="Z3" s="13" t="n">
        <v>1</v>
      </c>
      <c r="AA3" s="19" t="n">
        <v>0.00042</v>
      </c>
      <c r="AB3" s="20"/>
      <c r="AC3" s="21" t="s">
        <v>53</v>
      </c>
      <c r="AD3" s="22" t="s">
        <v>54</v>
      </c>
      <c r="AE3" s="23"/>
      <c r="AF3" s="24"/>
      <c r="AG3" s="24" t="n">
        <f aca="false">MAX(N3,R3)</f>
        <v>15</v>
      </c>
      <c r="AH3" s="25" t="n">
        <f aca="false">MAX(O3,S3)</f>
        <v>1.8E-005</v>
      </c>
      <c r="AI3" s="26" t="n">
        <f aca="false">MAX(P3,T3)</f>
        <v>1.225</v>
      </c>
      <c r="AJ3" s="26"/>
      <c r="AK3" s="8" t="n">
        <f aca="false">A3</f>
        <v>1</v>
      </c>
      <c r="AL3" s="27" t="str">
        <f aca="false">B3</f>
        <v>Elbow</v>
      </c>
      <c r="AM3" s="27" t="str">
        <f aca="false">C3</f>
        <v>Gas-solid</v>
      </c>
      <c r="AN3" s="27" t="str">
        <f aca="false">D3</f>
        <v>V-H</v>
      </c>
      <c r="AO3" s="27" t="n">
        <f aca="false">E3</f>
        <v>90</v>
      </c>
      <c r="AP3" s="28" t="n">
        <f aca="false">G3</f>
        <v>1.5</v>
      </c>
      <c r="AQ3" s="29" t="n">
        <f aca="false">H3/(F3/1000)</f>
        <v>177.165354330709</v>
      </c>
      <c r="AR3" s="30" t="n">
        <v>1E-006</v>
      </c>
      <c r="AS3" s="29" t="n">
        <f aca="false">AG3/SQRT(9.81*(F3/1000))</f>
        <v>15.0248415743982</v>
      </c>
      <c r="AT3" s="29" t="n">
        <f aca="false">(AG3*AI3*(F3/1000))/AH3</f>
        <v>103716.666666667</v>
      </c>
      <c r="AU3" s="29" t="n">
        <f aca="false">((W3/10^6)^3*AI3*(X3-AI3)*9.81)/AH3^2</f>
        <v>2652.5826140625</v>
      </c>
      <c r="AV3" s="29" t="n">
        <f aca="false">(X3*((W3/10^6)^2)/(18*AH3))*AG3/(F3/1000)</f>
        <v>108.67782152231</v>
      </c>
      <c r="AW3" s="29" t="n">
        <f aca="false">AI3*(W3/10^6)*AG3/AH3</f>
        <v>306.25</v>
      </c>
      <c r="AX3" s="31" t="n">
        <f aca="false">(W3/10^6)/(F3/1000)</f>
        <v>0.00295275590551181</v>
      </c>
      <c r="AY3" s="29" t="n">
        <f aca="false">AI3/X3</f>
        <v>0.000462264150943396</v>
      </c>
      <c r="AZ3" s="31" t="n">
        <f aca="false">(J3*10^9)/(M3*AG3^2)</f>
        <v>859.278131634819</v>
      </c>
      <c r="BA3" s="29" t="n">
        <f aca="false">Y3</f>
        <v>2.5E-005</v>
      </c>
      <c r="BB3" s="29" t="n">
        <f aca="false">MAX(Z3,1)</f>
        <v>1</v>
      </c>
      <c r="BC3" s="29" t="n">
        <f aca="false">AA3</f>
        <v>0.00042</v>
      </c>
      <c r="BD3" s="29" t="n">
        <f aca="false">0.8*BC3</f>
        <v>0.000336</v>
      </c>
      <c r="BE3" s="29" t="n">
        <f aca="false">BC3*1.2</f>
        <v>0.000504</v>
      </c>
      <c r="BF3" s="3" t="str">
        <f aca="false">AC3</f>
        <v>Alirez (2021)</v>
      </c>
    </row>
    <row r="4" customFormat="false" ht="12.8" hidden="false" customHeight="false" outlineLevel="0" collapsed="false">
      <c r="A4" s="13" t="n">
        <v>2</v>
      </c>
      <c r="B4" s="13" t="s">
        <v>49</v>
      </c>
      <c r="C4" s="13" t="s">
        <v>50</v>
      </c>
      <c r="D4" s="13" t="s">
        <v>51</v>
      </c>
      <c r="E4" s="13" t="n">
        <v>90</v>
      </c>
      <c r="F4" s="13" t="n">
        <v>101.6</v>
      </c>
      <c r="G4" s="13" t="n">
        <v>1.5</v>
      </c>
      <c r="H4" s="14" t="n">
        <v>18</v>
      </c>
      <c r="I4" s="13" t="s">
        <v>52</v>
      </c>
      <c r="J4" s="13" t="n">
        <v>1.5177</v>
      </c>
      <c r="K4" s="13" t="n">
        <v>155</v>
      </c>
      <c r="L4" s="13" t="n">
        <v>1.5177</v>
      </c>
      <c r="M4" s="13" t="n">
        <v>7850</v>
      </c>
      <c r="N4" s="13" t="n">
        <v>23</v>
      </c>
      <c r="O4" s="15" t="n">
        <v>1.8E-005</v>
      </c>
      <c r="P4" s="13" t="n">
        <v>1.225</v>
      </c>
      <c r="Q4" s="13" t="n">
        <v>0</v>
      </c>
      <c r="R4" s="13" t="n">
        <v>0</v>
      </c>
      <c r="S4" s="13" t="n">
        <v>0</v>
      </c>
      <c r="T4" s="13" t="n">
        <v>0</v>
      </c>
      <c r="U4" s="14" t="n">
        <f aca="false">(P4*N4+R4*T4)/(N4+R4)</f>
        <v>1.225</v>
      </c>
      <c r="V4" s="16" t="n">
        <f aca="false">(O4*N4+R4*S4*0.1)/(N4+R4)</f>
        <v>1.8E-005</v>
      </c>
      <c r="W4" s="13" t="n">
        <v>300</v>
      </c>
      <c r="X4" s="13" t="n">
        <v>2650</v>
      </c>
      <c r="Y4" s="18" t="n">
        <f aca="false">0.0025%</f>
        <v>2.5E-005</v>
      </c>
      <c r="Z4" s="13" t="n">
        <v>1</v>
      </c>
      <c r="AA4" s="19" t="n">
        <v>0.000742</v>
      </c>
      <c r="AB4" s="20"/>
      <c r="AC4" s="21" t="s">
        <v>53</v>
      </c>
      <c r="AD4" s="22" t="s">
        <v>54</v>
      </c>
      <c r="AE4" s="21"/>
      <c r="AF4" s="3"/>
      <c r="AG4" s="24" t="n">
        <f aca="false">MAX(N4,R4)</f>
        <v>23</v>
      </c>
      <c r="AH4" s="25" t="n">
        <f aca="false">MAX(O4,S4)</f>
        <v>1.8E-005</v>
      </c>
      <c r="AI4" s="26" t="n">
        <f aca="false">MAX(P4,T4)</f>
        <v>1.225</v>
      </c>
      <c r="AJ4" s="26"/>
      <c r="AK4" s="8" t="n">
        <f aca="false">A4</f>
        <v>2</v>
      </c>
      <c r="AL4" s="27" t="str">
        <f aca="false">B4</f>
        <v>Elbow</v>
      </c>
      <c r="AM4" s="27" t="str">
        <f aca="false">C4</f>
        <v>Gas-solid</v>
      </c>
      <c r="AN4" s="27" t="str">
        <f aca="false">D4</f>
        <v>V-H</v>
      </c>
      <c r="AO4" s="27" t="n">
        <f aca="false">E4</f>
        <v>90</v>
      </c>
      <c r="AP4" s="28" t="n">
        <f aca="false">G4</f>
        <v>1.5</v>
      </c>
      <c r="AQ4" s="29" t="n">
        <f aca="false">H4/(F4/1000)</f>
        <v>177.165354330709</v>
      </c>
      <c r="AR4" s="30" t="n">
        <v>1E-006</v>
      </c>
      <c r="AS4" s="29" t="n">
        <f aca="false">AG4/SQRT(9.81*(F4/1000))</f>
        <v>23.0380904140773</v>
      </c>
      <c r="AT4" s="29" t="n">
        <f aca="false">(AG4*AI4*(F4/1000))/AH4</f>
        <v>159032.222222222</v>
      </c>
      <c r="AU4" s="29" t="n">
        <f aca="false">((W4/10^6)^3*AI4*(X4-AI4)*9.81)/AH4^2</f>
        <v>2652.5826140625</v>
      </c>
      <c r="AV4" s="29" t="n">
        <f aca="false">(X4*((W4/10^6)^2)/(18*AH4))*AG4/(F4/1000)</f>
        <v>166.639326334208</v>
      </c>
      <c r="AW4" s="29" t="n">
        <f aca="false">AI4*(W4/10^6)*AG4/AH4</f>
        <v>469.583333333333</v>
      </c>
      <c r="AX4" s="31" t="n">
        <f aca="false">(W4/10^6)/(F4/1000)</f>
        <v>0.00295275590551181</v>
      </c>
      <c r="AY4" s="29" t="n">
        <f aca="false">AI4/X4</f>
        <v>0.000462264150943396</v>
      </c>
      <c r="AZ4" s="31" t="n">
        <f aca="false">(J4*10^9)/(M4*AG4^2)</f>
        <v>365.477466196284</v>
      </c>
      <c r="BA4" s="29" t="n">
        <f aca="false">Y4</f>
        <v>2.5E-005</v>
      </c>
      <c r="BB4" s="29" t="n">
        <f aca="false">MAX(Z4,1)</f>
        <v>1</v>
      </c>
      <c r="BC4" s="29" t="n">
        <f aca="false">AA4</f>
        <v>0.000742</v>
      </c>
      <c r="BD4" s="29" t="n">
        <f aca="false">0.8*BC4</f>
        <v>0.0005936</v>
      </c>
      <c r="BE4" s="29" t="n">
        <f aca="false">BC4*1.2</f>
        <v>0.0008904</v>
      </c>
      <c r="BF4" s="3" t="str">
        <f aca="false">AC4</f>
        <v>Alirez (2021)</v>
      </c>
    </row>
    <row r="5" customFormat="false" ht="12.8" hidden="false" customHeight="false" outlineLevel="0" collapsed="false">
      <c r="A5" s="13" t="n">
        <v>3</v>
      </c>
      <c r="B5" s="13" t="s">
        <v>49</v>
      </c>
      <c r="C5" s="13" t="s">
        <v>50</v>
      </c>
      <c r="D5" s="13" t="s">
        <v>51</v>
      </c>
      <c r="E5" s="13" t="n">
        <v>90</v>
      </c>
      <c r="F5" s="13" t="n">
        <v>101.6</v>
      </c>
      <c r="G5" s="13" t="n">
        <v>1.5</v>
      </c>
      <c r="H5" s="14" t="n">
        <v>18</v>
      </c>
      <c r="I5" s="13" t="s">
        <v>52</v>
      </c>
      <c r="J5" s="13" t="n">
        <v>1.5177</v>
      </c>
      <c r="K5" s="13" t="n">
        <v>155</v>
      </c>
      <c r="L5" s="13" t="n">
        <v>1.5177</v>
      </c>
      <c r="M5" s="13" t="n">
        <v>7850</v>
      </c>
      <c r="N5" s="13" t="n">
        <v>31</v>
      </c>
      <c r="O5" s="15" t="n">
        <v>1.8E-005</v>
      </c>
      <c r="P5" s="13" t="n">
        <v>1.225</v>
      </c>
      <c r="Q5" s="13" t="n">
        <v>0</v>
      </c>
      <c r="R5" s="13" t="n">
        <v>0</v>
      </c>
      <c r="S5" s="13" t="n">
        <v>0</v>
      </c>
      <c r="T5" s="13" t="n">
        <v>0</v>
      </c>
      <c r="U5" s="14" t="n">
        <f aca="false">(P5*N5+R5*T5)/(N5+R5)</f>
        <v>1.225</v>
      </c>
      <c r="V5" s="16" t="n">
        <f aca="false">(O5*N5+R5*S5*0.1)/(N5+R5)</f>
        <v>1.8E-005</v>
      </c>
      <c r="W5" s="13" t="n">
        <v>300</v>
      </c>
      <c r="X5" s="13" t="n">
        <v>2650</v>
      </c>
      <c r="Y5" s="18" t="n">
        <f aca="false">0.0025%</f>
        <v>2.5E-005</v>
      </c>
      <c r="Z5" s="13" t="n">
        <v>1</v>
      </c>
      <c r="AA5" s="19" t="n">
        <v>0.00173</v>
      </c>
      <c r="AB5" s="20"/>
      <c r="AC5" s="21" t="s">
        <v>53</v>
      </c>
      <c r="AD5" s="22" t="s">
        <v>54</v>
      </c>
      <c r="AE5" s="21"/>
      <c r="AF5" s="3"/>
      <c r="AG5" s="24" t="n">
        <f aca="false">MAX(N5,R5)</f>
        <v>31</v>
      </c>
      <c r="AH5" s="25" t="n">
        <f aca="false">MAX(O5,S5)</f>
        <v>1.8E-005</v>
      </c>
      <c r="AI5" s="26" t="n">
        <f aca="false">MAX(P5,T5)</f>
        <v>1.225</v>
      </c>
      <c r="AJ5" s="26"/>
      <c r="AK5" s="8" t="n">
        <f aca="false">A5</f>
        <v>3</v>
      </c>
      <c r="AL5" s="27" t="str">
        <f aca="false">B5</f>
        <v>Elbow</v>
      </c>
      <c r="AM5" s="27" t="str">
        <f aca="false">C5</f>
        <v>Gas-solid</v>
      </c>
      <c r="AN5" s="27" t="str">
        <f aca="false">D5</f>
        <v>V-H</v>
      </c>
      <c r="AO5" s="27" t="n">
        <f aca="false">E5</f>
        <v>90</v>
      </c>
      <c r="AP5" s="28" t="n">
        <f aca="false">G5</f>
        <v>1.5</v>
      </c>
      <c r="AQ5" s="29" t="n">
        <f aca="false">H5/(F5/1000)</f>
        <v>177.165354330709</v>
      </c>
      <c r="AR5" s="30" t="n">
        <v>1E-006</v>
      </c>
      <c r="AS5" s="29" t="n">
        <f aca="false">AG5/SQRT(9.81*(F5/1000))</f>
        <v>31.0513392537563</v>
      </c>
      <c r="AT5" s="29" t="n">
        <f aca="false">(AG5*AI5*(F5/1000))/AH5</f>
        <v>214347.777777778</v>
      </c>
      <c r="AU5" s="29" t="n">
        <f aca="false">((W5/10^6)^3*AI5*(X5-AI5)*9.81)/AH5^2</f>
        <v>2652.5826140625</v>
      </c>
      <c r="AV5" s="29" t="n">
        <f aca="false">(X5*((W5/10^6)^2)/(18*AH5))*AG5/(F5/1000)</f>
        <v>224.600831146107</v>
      </c>
      <c r="AW5" s="29" t="n">
        <f aca="false">AI5*(W5/10^6)*AG5/AH5</f>
        <v>632.916666666667</v>
      </c>
      <c r="AX5" s="31" t="n">
        <f aca="false">(W5/10^6)/(F5/1000)</f>
        <v>0.00295275590551181</v>
      </c>
      <c r="AY5" s="29" t="n">
        <f aca="false">AI5/X5</f>
        <v>0.000462264150943396</v>
      </c>
      <c r="AZ5" s="31" t="n">
        <f aca="false">(J5*10^9)/(M5*AG5^2)</f>
        <v>201.18374570014</v>
      </c>
      <c r="BA5" s="29" t="n">
        <f aca="false">Y5</f>
        <v>2.5E-005</v>
      </c>
      <c r="BB5" s="29" t="n">
        <f aca="false">MAX(Z5,1)</f>
        <v>1</v>
      </c>
      <c r="BC5" s="29" t="n">
        <f aca="false">AA5</f>
        <v>0.00173</v>
      </c>
      <c r="BD5" s="29" t="n">
        <f aca="false">0.8*BC5</f>
        <v>0.001384</v>
      </c>
      <c r="BE5" s="29" t="n">
        <f aca="false">BC5*1.2</f>
        <v>0.002076</v>
      </c>
      <c r="BF5" s="3" t="str">
        <f aca="false">AC5</f>
        <v>Alirez (2021)</v>
      </c>
    </row>
    <row r="6" customFormat="false" ht="12.8" hidden="false" customHeight="false" outlineLevel="0" collapsed="false">
      <c r="A6" s="13" t="n">
        <v>4</v>
      </c>
      <c r="B6" s="13" t="s">
        <v>49</v>
      </c>
      <c r="C6" s="13" t="s">
        <v>50</v>
      </c>
      <c r="D6" s="13" t="s">
        <v>51</v>
      </c>
      <c r="E6" s="13" t="n">
        <v>90</v>
      </c>
      <c r="F6" s="13" t="n">
        <v>101.6</v>
      </c>
      <c r="G6" s="13" t="n">
        <v>1.5</v>
      </c>
      <c r="H6" s="14" t="n">
        <v>18</v>
      </c>
      <c r="I6" s="13" t="s">
        <v>52</v>
      </c>
      <c r="J6" s="13" t="n">
        <v>1.5177</v>
      </c>
      <c r="K6" s="13" t="n">
        <v>155</v>
      </c>
      <c r="L6" s="13" t="n">
        <v>1.5177</v>
      </c>
      <c r="M6" s="13" t="n">
        <v>7850</v>
      </c>
      <c r="N6" s="13" t="n">
        <v>37</v>
      </c>
      <c r="O6" s="15" t="n">
        <v>1.8E-005</v>
      </c>
      <c r="P6" s="13" t="n">
        <v>1.225</v>
      </c>
      <c r="Q6" s="13" t="n">
        <v>0</v>
      </c>
      <c r="R6" s="13" t="n">
        <v>0</v>
      </c>
      <c r="S6" s="13" t="n">
        <v>0</v>
      </c>
      <c r="T6" s="13" t="n">
        <v>0</v>
      </c>
      <c r="U6" s="14" t="n">
        <f aca="false">(P6*N6+R6*T6)/(N6+R6)</f>
        <v>1.225</v>
      </c>
      <c r="V6" s="16" t="n">
        <f aca="false">(O6*N6+R6*S6*0.1)/(N6+R6)</f>
        <v>1.8E-005</v>
      </c>
      <c r="W6" s="13" t="n">
        <v>300</v>
      </c>
      <c r="X6" s="13" t="n">
        <v>2650</v>
      </c>
      <c r="Y6" s="18" t="n">
        <f aca="false">0.0025%</f>
        <v>2.5E-005</v>
      </c>
      <c r="Z6" s="13" t="n">
        <v>1</v>
      </c>
      <c r="AA6" s="19" t="n">
        <v>0.00302</v>
      </c>
      <c r="AB6" s="20"/>
      <c r="AC6" s="21" t="s">
        <v>53</v>
      </c>
      <c r="AD6" s="22" t="s">
        <v>54</v>
      </c>
      <c r="AE6" s="21"/>
      <c r="AF6" s="3"/>
      <c r="AG6" s="24" t="n">
        <f aca="false">MAX(N6,R6)</f>
        <v>37</v>
      </c>
      <c r="AH6" s="25" t="n">
        <f aca="false">MAX(O6,S6)</f>
        <v>1.8E-005</v>
      </c>
      <c r="AI6" s="26" t="n">
        <f aca="false">MAX(P6,T6)</f>
        <v>1.225</v>
      </c>
      <c r="AJ6" s="26"/>
      <c r="AK6" s="8" t="n">
        <f aca="false">A6</f>
        <v>4</v>
      </c>
      <c r="AL6" s="27" t="str">
        <f aca="false">B6</f>
        <v>Elbow</v>
      </c>
      <c r="AM6" s="27" t="str">
        <f aca="false">C6</f>
        <v>Gas-solid</v>
      </c>
      <c r="AN6" s="27" t="str">
        <f aca="false">D6</f>
        <v>V-H</v>
      </c>
      <c r="AO6" s="27" t="n">
        <f aca="false">E6</f>
        <v>90</v>
      </c>
      <c r="AP6" s="28" t="n">
        <f aca="false">G6</f>
        <v>1.5</v>
      </c>
      <c r="AQ6" s="29" t="n">
        <f aca="false">H6/(F6/1000)</f>
        <v>177.165354330709</v>
      </c>
      <c r="AR6" s="30" t="n">
        <v>1E-006</v>
      </c>
      <c r="AS6" s="29" t="n">
        <f aca="false">AG6/SQRT(9.81*(F6/1000))</f>
        <v>37.0612758835156</v>
      </c>
      <c r="AT6" s="29" t="n">
        <f aca="false">(AG6*AI6*(F6/1000))/AH6</f>
        <v>255834.444444444</v>
      </c>
      <c r="AU6" s="29" t="n">
        <f aca="false">((W6/10^6)^3*AI6*(X6-AI6)*9.81)/AH6^2</f>
        <v>2652.5826140625</v>
      </c>
      <c r="AV6" s="29" t="n">
        <f aca="false">(X6*((W6/10^6)^2)/(18*AH6))*AG6/(F6/1000)</f>
        <v>268.071959755031</v>
      </c>
      <c r="AW6" s="29" t="n">
        <f aca="false">AI6*(W6/10^6)*AG6/AH6</f>
        <v>755.416666666667</v>
      </c>
      <c r="AX6" s="31" t="n">
        <f aca="false">(W6/10^6)/(F6/1000)</f>
        <v>0.00295275590551181</v>
      </c>
      <c r="AY6" s="29" t="n">
        <f aca="false">AI6/X6</f>
        <v>0.000462264150943396</v>
      </c>
      <c r="AZ6" s="31" t="n">
        <f aca="false">(J6*10^9)/(M6*AG6^2)</f>
        <v>141.225405126249</v>
      </c>
      <c r="BA6" s="29" t="n">
        <f aca="false">Y6</f>
        <v>2.5E-005</v>
      </c>
      <c r="BB6" s="29" t="n">
        <f aca="false">MAX(Z6,1)</f>
        <v>1</v>
      </c>
      <c r="BC6" s="29" t="n">
        <f aca="false">AA6</f>
        <v>0.00302</v>
      </c>
      <c r="BD6" s="29" t="n">
        <f aca="false">0.8*BC6</f>
        <v>0.002416</v>
      </c>
      <c r="BE6" s="29" t="n">
        <f aca="false">BC6*1.2</f>
        <v>0.003624</v>
      </c>
      <c r="BF6" s="3" t="str">
        <f aca="false">AC6</f>
        <v>Alirez (2021)</v>
      </c>
    </row>
    <row r="7" customFormat="false" ht="12.8" hidden="false" customHeight="false" outlineLevel="0" collapsed="false">
      <c r="A7" s="13" t="n">
        <v>5</v>
      </c>
      <c r="B7" s="13" t="s">
        <v>49</v>
      </c>
      <c r="C7" s="13" t="s">
        <v>50</v>
      </c>
      <c r="D7" s="13" t="s">
        <v>51</v>
      </c>
      <c r="E7" s="13" t="n">
        <v>90</v>
      </c>
      <c r="F7" s="13" t="n">
        <v>101.6</v>
      </c>
      <c r="G7" s="13" t="n">
        <v>1.5</v>
      </c>
      <c r="H7" s="14" t="n">
        <v>18</v>
      </c>
      <c r="I7" s="13" t="s">
        <v>52</v>
      </c>
      <c r="J7" s="13" t="n">
        <v>1.5177</v>
      </c>
      <c r="K7" s="13" t="n">
        <v>155</v>
      </c>
      <c r="L7" s="13" t="n">
        <v>1.5177</v>
      </c>
      <c r="M7" s="13" t="n">
        <v>7850</v>
      </c>
      <c r="N7" s="13" t="n">
        <v>15</v>
      </c>
      <c r="O7" s="15" t="n">
        <v>1.8E-005</v>
      </c>
      <c r="P7" s="13" t="n">
        <v>1.225</v>
      </c>
      <c r="Q7" s="13" t="n">
        <v>0</v>
      </c>
      <c r="R7" s="13" t="n">
        <v>0</v>
      </c>
      <c r="S7" s="13" t="n">
        <v>0</v>
      </c>
      <c r="T7" s="13" t="n">
        <v>0</v>
      </c>
      <c r="U7" s="14" t="n">
        <f aca="false">(P7*N7+R7*T7)/(N7+R7)</f>
        <v>1.225</v>
      </c>
      <c r="V7" s="16" t="n">
        <f aca="false">(O7*N7+R7*S7*0.1)/(N7+R7)</f>
        <v>1.8E-005</v>
      </c>
      <c r="W7" s="13" t="n">
        <v>75</v>
      </c>
      <c r="X7" s="13" t="n">
        <v>2650</v>
      </c>
      <c r="Y7" s="18" t="n">
        <f aca="false">0.0025%</f>
        <v>2.5E-005</v>
      </c>
      <c r="Z7" s="13" t="n">
        <v>1</v>
      </c>
      <c r="AA7" s="19" t="n">
        <v>0.000333</v>
      </c>
      <c r="AB7" s="20"/>
      <c r="AC7" s="21" t="s">
        <v>53</v>
      </c>
      <c r="AD7" s="22" t="s">
        <v>54</v>
      </c>
      <c r="AE7" s="21"/>
      <c r="AF7" s="3"/>
      <c r="AG7" s="24" t="n">
        <f aca="false">MAX(N7,R7)</f>
        <v>15</v>
      </c>
      <c r="AH7" s="25" t="n">
        <f aca="false">MAX(O7,S7)</f>
        <v>1.8E-005</v>
      </c>
      <c r="AI7" s="26" t="n">
        <f aca="false">MAX(P7,T7)</f>
        <v>1.225</v>
      </c>
      <c r="AJ7" s="26"/>
      <c r="AK7" s="8" t="n">
        <f aca="false">A7</f>
        <v>5</v>
      </c>
      <c r="AL7" s="27" t="str">
        <f aca="false">B7</f>
        <v>Elbow</v>
      </c>
      <c r="AM7" s="27" t="str">
        <f aca="false">C7</f>
        <v>Gas-solid</v>
      </c>
      <c r="AN7" s="27" t="str">
        <f aca="false">D7</f>
        <v>V-H</v>
      </c>
      <c r="AO7" s="27" t="n">
        <f aca="false">E7</f>
        <v>90</v>
      </c>
      <c r="AP7" s="28" t="n">
        <f aca="false">G7</f>
        <v>1.5</v>
      </c>
      <c r="AQ7" s="29" t="n">
        <f aca="false">H7/(F7/1000)</f>
        <v>177.165354330709</v>
      </c>
      <c r="AR7" s="30" t="n">
        <v>1E-006</v>
      </c>
      <c r="AS7" s="29" t="n">
        <f aca="false">AG7/SQRT(9.81*(F7/1000))</f>
        <v>15.0248415743982</v>
      </c>
      <c r="AT7" s="29" t="n">
        <f aca="false">(AG7*AI7*(F7/1000))/AH7</f>
        <v>103716.666666667</v>
      </c>
      <c r="AU7" s="29" t="n">
        <f aca="false">((W7/10^6)^3*AI7*(X7-AI7)*9.81)/AH7^2</f>
        <v>41.4466033447266</v>
      </c>
      <c r="AV7" s="29" t="n">
        <f aca="false">(X7*((W7/10^6)^2)/(18*AH7))*AG7/(F7/1000)</f>
        <v>6.79236384514436</v>
      </c>
      <c r="AW7" s="29" t="n">
        <f aca="false">AI7*(W7/10^6)*AG7/AH7</f>
        <v>76.5625</v>
      </c>
      <c r="AX7" s="31" t="n">
        <f aca="false">(W7/10^6)/(F7/1000)</f>
        <v>0.000738188976377953</v>
      </c>
      <c r="AY7" s="29" t="n">
        <f aca="false">AI7/X7</f>
        <v>0.000462264150943396</v>
      </c>
      <c r="AZ7" s="31" t="n">
        <f aca="false">(J7*10^9)/(M7*AG7^2)</f>
        <v>859.278131634819</v>
      </c>
      <c r="BA7" s="29" t="n">
        <f aca="false">Y7</f>
        <v>2.5E-005</v>
      </c>
      <c r="BB7" s="29" t="n">
        <f aca="false">MAX(Z7,1)</f>
        <v>1</v>
      </c>
      <c r="BC7" s="29" t="n">
        <f aca="false">AA7</f>
        <v>0.000333</v>
      </c>
      <c r="BD7" s="29" t="n">
        <f aca="false">0.8*BC7</f>
        <v>0.0002664</v>
      </c>
      <c r="BE7" s="29" t="n">
        <f aca="false">BC7*1.2</f>
        <v>0.0003996</v>
      </c>
      <c r="BF7" s="3" t="str">
        <f aca="false">AC7</f>
        <v>Alirez (2021)</v>
      </c>
    </row>
    <row r="8" customFormat="false" ht="12.8" hidden="false" customHeight="false" outlineLevel="0" collapsed="false">
      <c r="A8" s="13" t="n">
        <v>6</v>
      </c>
      <c r="B8" s="13" t="s">
        <v>49</v>
      </c>
      <c r="C8" s="13" t="s">
        <v>50</v>
      </c>
      <c r="D8" s="13" t="s">
        <v>51</v>
      </c>
      <c r="E8" s="13" t="n">
        <v>90</v>
      </c>
      <c r="F8" s="13" t="n">
        <v>101.6</v>
      </c>
      <c r="G8" s="13" t="n">
        <v>1.5</v>
      </c>
      <c r="H8" s="14" t="n">
        <v>18</v>
      </c>
      <c r="I8" s="13" t="s">
        <v>52</v>
      </c>
      <c r="J8" s="13" t="n">
        <v>1.5177</v>
      </c>
      <c r="K8" s="13" t="n">
        <v>155</v>
      </c>
      <c r="L8" s="13" t="n">
        <v>1.5177</v>
      </c>
      <c r="M8" s="13" t="n">
        <v>7850</v>
      </c>
      <c r="N8" s="13" t="n">
        <v>23</v>
      </c>
      <c r="O8" s="15" t="n">
        <v>1.8E-005</v>
      </c>
      <c r="P8" s="13" t="n">
        <v>1.225</v>
      </c>
      <c r="Q8" s="13" t="n">
        <v>0</v>
      </c>
      <c r="R8" s="13" t="n">
        <v>0</v>
      </c>
      <c r="S8" s="13" t="n">
        <v>0</v>
      </c>
      <c r="T8" s="13" t="n">
        <v>0</v>
      </c>
      <c r="U8" s="14" t="n">
        <f aca="false">(P8*N8+R8*T8)/(N8+R8)</f>
        <v>1.225</v>
      </c>
      <c r="V8" s="16" t="n">
        <f aca="false">(O8*N8+R8*S8*0.1)/(N8+R8)</f>
        <v>1.8E-005</v>
      </c>
      <c r="W8" s="13" t="n">
        <v>75</v>
      </c>
      <c r="X8" s="13" t="n">
        <v>2650</v>
      </c>
      <c r="Y8" s="18" t="n">
        <f aca="false">0.0025%</f>
        <v>2.5E-005</v>
      </c>
      <c r="Z8" s="13" t="n">
        <v>1</v>
      </c>
      <c r="AA8" s="19" t="n">
        <v>0.000295</v>
      </c>
      <c r="AB8" s="20"/>
      <c r="AC8" s="21" t="s">
        <v>53</v>
      </c>
      <c r="AD8" s="22" t="s">
        <v>54</v>
      </c>
      <c r="AE8" s="21"/>
      <c r="AF8" s="3"/>
      <c r="AG8" s="24" t="n">
        <f aca="false">MAX(N8,R8)</f>
        <v>23</v>
      </c>
      <c r="AH8" s="25" t="n">
        <f aca="false">MAX(O8,S8)</f>
        <v>1.8E-005</v>
      </c>
      <c r="AI8" s="26" t="n">
        <f aca="false">MAX(P8,T8)</f>
        <v>1.225</v>
      </c>
      <c r="AJ8" s="26"/>
      <c r="AK8" s="8" t="n">
        <f aca="false">A8</f>
        <v>6</v>
      </c>
      <c r="AL8" s="27" t="str">
        <f aca="false">B8</f>
        <v>Elbow</v>
      </c>
      <c r="AM8" s="27" t="str">
        <f aca="false">C8</f>
        <v>Gas-solid</v>
      </c>
      <c r="AN8" s="27" t="str">
        <f aca="false">D8</f>
        <v>V-H</v>
      </c>
      <c r="AO8" s="27" t="n">
        <f aca="false">E8</f>
        <v>90</v>
      </c>
      <c r="AP8" s="28" t="n">
        <f aca="false">G8</f>
        <v>1.5</v>
      </c>
      <c r="AQ8" s="29" t="n">
        <f aca="false">H8/(F8/1000)</f>
        <v>177.165354330709</v>
      </c>
      <c r="AR8" s="30" t="n">
        <v>1E-006</v>
      </c>
      <c r="AS8" s="29" t="n">
        <f aca="false">AG8/SQRT(9.81*(F8/1000))</f>
        <v>23.0380904140773</v>
      </c>
      <c r="AT8" s="29" t="n">
        <f aca="false">(AG8*AI8*(F8/1000))/AH8</f>
        <v>159032.222222222</v>
      </c>
      <c r="AU8" s="29" t="n">
        <f aca="false">((W8/10^6)^3*AI8*(X8-AI8)*9.81)/AH8^2</f>
        <v>41.4466033447266</v>
      </c>
      <c r="AV8" s="29" t="n">
        <f aca="false">(X8*((W8/10^6)^2)/(18*AH8))*AG8/(F8/1000)</f>
        <v>10.414957895888</v>
      </c>
      <c r="AW8" s="29" t="n">
        <f aca="false">AI8*(W8/10^6)*AG8/AH8</f>
        <v>117.395833333333</v>
      </c>
      <c r="AX8" s="31" t="n">
        <f aca="false">(W8/10^6)/(F8/1000)</f>
        <v>0.000738188976377953</v>
      </c>
      <c r="AY8" s="29" t="n">
        <f aca="false">AI8/X8</f>
        <v>0.000462264150943396</v>
      </c>
      <c r="AZ8" s="31" t="n">
        <f aca="false">(J8*10^9)/(M8*AG8^2)</f>
        <v>365.477466196284</v>
      </c>
      <c r="BA8" s="29" t="n">
        <f aca="false">Y8</f>
        <v>2.5E-005</v>
      </c>
      <c r="BB8" s="29" t="n">
        <f aca="false">MAX(Z8,1)</f>
        <v>1</v>
      </c>
      <c r="BC8" s="29" t="n">
        <f aca="false">AA8</f>
        <v>0.000295</v>
      </c>
      <c r="BD8" s="29" t="n">
        <f aca="false">0.8*BC8</f>
        <v>0.000236</v>
      </c>
      <c r="BE8" s="29" t="n">
        <f aca="false">BC8*1.2</f>
        <v>0.000354</v>
      </c>
      <c r="BF8" s="3" t="str">
        <f aca="false">AC8</f>
        <v>Alirez (2021)</v>
      </c>
    </row>
    <row r="9" customFormat="false" ht="12.8" hidden="false" customHeight="false" outlineLevel="0" collapsed="false">
      <c r="A9" s="13" t="n">
        <v>7</v>
      </c>
      <c r="B9" s="13" t="s">
        <v>49</v>
      </c>
      <c r="C9" s="13" t="s">
        <v>50</v>
      </c>
      <c r="D9" s="13" t="s">
        <v>51</v>
      </c>
      <c r="E9" s="13" t="n">
        <v>90</v>
      </c>
      <c r="F9" s="13" t="n">
        <v>101.6</v>
      </c>
      <c r="G9" s="13" t="n">
        <v>1.5</v>
      </c>
      <c r="H9" s="14" t="n">
        <v>18</v>
      </c>
      <c r="I9" s="13" t="s">
        <v>52</v>
      </c>
      <c r="J9" s="13" t="n">
        <v>1.5177</v>
      </c>
      <c r="K9" s="13" t="n">
        <v>155</v>
      </c>
      <c r="L9" s="13" t="n">
        <v>1.5177</v>
      </c>
      <c r="M9" s="13" t="n">
        <v>7850</v>
      </c>
      <c r="N9" s="13" t="n">
        <v>31</v>
      </c>
      <c r="O9" s="15" t="n">
        <v>1.8E-005</v>
      </c>
      <c r="P9" s="13" t="n">
        <v>1.225</v>
      </c>
      <c r="Q9" s="13" t="n">
        <v>0</v>
      </c>
      <c r="R9" s="13" t="n">
        <v>0</v>
      </c>
      <c r="S9" s="13" t="n">
        <v>0</v>
      </c>
      <c r="T9" s="13" t="n">
        <v>0</v>
      </c>
      <c r="U9" s="14" t="n">
        <f aca="false">(P9*N9+R9*T9)/(N9+R9)</f>
        <v>1.225</v>
      </c>
      <c r="V9" s="16" t="n">
        <f aca="false">(O9*N9+R9*S9*0.1)/(N9+R9)</f>
        <v>1.8E-005</v>
      </c>
      <c r="W9" s="13" t="n">
        <v>75</v>
      </c>
      <c r="X9" s="13" t="n">
        <v>2650</v>
      </c>
      <c r="Y9" s="18" t="n">
        <f aca="false">0.0025%</f>
        <v>2.5E-005</v>
      </c>
      <c r="Z9" s="13" t="n">
        <v>1</v>
      </c>
      <c r="AA9" s="19" t="n">
        <v>0.00114</v>
      </c>
      <c r="AB9" s="20"/>
      <c r="AC9" s="21" t="s">
        <v>53</v>
      </c>
      <c r="AD9" s="22" t="s">
        <v>54</v>
      </c>
      <c r="AE9" s="21"/>
      <c r="AF9" s="3"/>
      <c r="AG9" s="24" t="n">
        <f aca="false">MAX(N9,R9)</f>
        <v>31</v>
      </c>
      <c r="AH9" s="25" t="n">
        <f aca="false">MAX(O9,S9)</f>
        <v>1.8E-005</v>
      </c>
      <c r="AI9" s="26" t="n">
        <f aca="false">MAX(P9,T9)</f>
        <v>1.225</v>
      </c>
      <c r="AJ9" s="26"/>
      <c r="AK9" s="8" t="n">
        <f aca="false">A9</f>
        <v>7</v>
      </c>
      <c r="AL9" s="27" t="str">
        <f aca="false">B9</f>
        <v>Elbow</v>
      </c>
      <c r="AM9" s="27" t="str">
        <f aca="false">C9</f>
        <v>Gas-solid</v>
      </c>
      <c r="AN9" s="27" t="str">
        <f aca="false">D9</f>
        <v>V-H</v>
      </c>
      <c r="AO9" s="27" t="n">
        <f aca="false">E9</f>
        <v>90</v>
      </c>
      <c r="AP9" s="28" t="n">
        <f aca="false">G9</f>
        <v>1.5</v>
      </c>
      <c r="AQ9" s="29" t="n">
        <f aca="false">H9/(F9/1000)</f>
        <v>177.165354330709</v>
      </c>
      <c r="AR9" s="30" t="n">
        <v>1E-006</v>
      </c>
      <c r="AS9" s="29" t="n">
        <f aca="false">AG9/SQRT(9.81*(F9/1000))</f>
        <v>31.0513392537563</v>
      </c>
      <c r="AT9" s="29" t="n">
        <f aca="false">(AG9*AI9*(F9/1000))/AH9</f>
        <v>214347.777777778</v>
      </c>
      <c r="AU9" s="29" t="n">
        <f aca="false">((W9/10^6)^3*AI9*(X9-AI9)*9.81)/AH9^2</f>
        <v>41.4466033447266</v>
      </c>
      <c r="AV9" s="29" t="n">
        <f aca="false">(X9*((W9/10^6)^2)/(18*AH9))*AG9/(F9/1000)</f>
        <v>14.0375519466317</v>
      </c>
      <c r="AW9" s="29" t="n">
        <f aca="false">AI9*(W9/10^6)*AG9/AH9</f>
        <v>158.229166666667</v>
      </c>
      <c r="AX9" s="31" t="n">
        <f aca="false">(W9/10^6)/(F9/1000)</f>
        <v>0.000738188976377953</v>
      </c>
      <c r="AY9" s="29" t="n">
        <f aca="false">AI9/X9</f>
        <v>0.000462264150943396</v>
      </c>
      <c r="AZ9" s="31" t="n">
        <f aca="false">(J9*10^9)/(M9*AG9^2)</f>
        <v>201.18374570014</v>
      </c>
      <c r="BA9" s="29" t="n">
        <f aca="false">Y9</f>
        <v>2.5E-005</v>
      </c>
      <c r="BB9" s="29" t="n">
        <f aca="false">MAX(Z9,1)</f>
        <v>1</v>
      </c>
      <c r="BC9" s="29" t="n">
        <f aca="false">AA9</f>
        <v>0.00114</v>
      </c>
      <c r="BD9" s="29" t="n">
        <f aca="false">0.8*BC9</f>
        <v>0.000912</v>
      </c>
      <c r="BE9" s="29" t="n">
        <f aca="false">BC9*1.2</f>
        <v>0.001368</v>
      </c>
      <c r="BF9" s="3" t="str">
        <f aca="false">AC9</f>
        <v>Alirez (2021)</v>
      </c>
    </row>
    <row r="10" customFormat="false" ht="12.8" hidden="false" customHeight="false" outlineLevel="0" collapsed="false">
      <c r="A10" s="13" t="n">
        <v>8</v>
      </c>
      <c r="B10" s="13" t="s">
        <v>49</v>
      </c>
      <c r="C10" s="13" t="s">
        <v>50</v>
      </c>
      <c r="D10" s="13" t="s">
        <v>51</v>
      </c>
      <c r="E10" s="13" t="n">
        <v>90</v>
      </c>
      <c r="F10" s="13" t="n">
        <v>101.6</v>
      </c>
      <c r="G10" s="13" t="n">
        <v>1.5</v>
      </c>
      <c r="H10" s="14" t="n">
        <v>18</v>
      </c>
      <c r="I10" s="13" t="s">
        <v>52</v>
      </c>
      <c r="J10" s="13" t="n">
        <v>1.5177</v>
      </c>
      <c r="K10" s="13" t="n">
        <v>155</v>
      </c>
      <c r="L10" s="13" t="n">
        <v>1.5177</v>
      </c>
      <c r="M10" s="13" t="n">
        <v>7850</v>
      </c>
      <c r="N10" s="13" t="n">
        <v>34</v>
      </c>
      <c r="O10" s="15" t="n">
        <v>1.8E-005</v>
      </c>
      <c r="P10" s="13" t="n">
        <v>1.225</v>
      </c>
      <c r="Q10" s="13" t="n">
        <v>0</v>
      </c>
      <c r="R10" s="13" t="n">
        <v>0</v>
      </c>
      <c r="S10" s="13" t="n">
        <v>0</v>
      </c>
      <c r="T10" s="13" t="n">
        <v>0</v>
      </c>
      <c r="U10" s="14" t="n">
        <f aca="false">(P10*N10+R10*T10)/(N10+R10)</f>
        <v>1.225</v>
      </c>
      <c r="V10" s="16" t="n">
        <f aca="false">(O10*N10+R10*S10*0.1)/(N10+R10)</f>
        <v>1.8E-005</v>
      </c>
      <c r="W10" s="13" t="n">
        <v>75</v>
      </c>
      <c r="X10" s="13" t="n">
        <v>2650</v>
      </c>
      <c r="Y10" s="18" t="n">
        <f aca="false">0.0025%</f>
        <v>2.5E-005</v>
      </c>
      <c r="Z10" s="13" t="n">
        <v>1</v>
      </c>
      <c r="AA10" s="19" t="n">
        <v>0.00357</v>
      </c>
      <c r="AB10" s="20"/>
      <c r="AC10" s="21" t="s">
        <v>53</v>
      </c>
      <c r="AD10" s="22" t="s">
        <v>54</v>
      </c>
      <c r="AE10" s="21"/>
      <c r="AF10" s="3"/>
      <c r="AG10" s="24" t="n">
        <f aca="false">MAX(N10,R10)</f>
        <v>34</v>
      </c>
      <c r="AH10" s="25" t="n">
        <f aca="false">MAX(O10,S10)</f>
        <v>1.8E-005</v>
      </c>
      <c r="AI10" s="26" t="n">
        <f aca="false">MAX(P10,T10)</f>
        <v>1.225</v>
      </c>
      <c r="AJ10" s="26"/>
      <c r="AK10" s="8" t="n">
        <f aca="false">A10</f>
        <v>8</v>
      </c>
      <c r="AL10" s="27" t="str">
        <f aca="false">B10</f>
        <v>Elbow</v>
      </c>
      <c r="AM10" s="27" t="str">
        <f aca="false">C10</f>
        <v>Gas-solid</v>
      </c>
      <c r="AN10" s="27" t="str">
        <f aca="false">D10</f>
        <v>V-H</v>
      </c>
      <c r="AO10" s="27" t="n">
        <f aca="false">E10</f>
        <v>90</v>
      </c>
      <c r="AP10" s="28" t="n">
        <f aca="false">G10</f>
        <v>1.5</v>
      </c>
      <c r="AQ10" s="29" t="n">
        <f aca="false">H10/(F10/1000)</f>
        <v>177.165354330709</v>
      </c>
      <c r="AR10" s="30" t="n">
        <v>1E-006</v>
      </c>
      <c r="AS10" s="29" t="n">
        <f aca="false">AG10/SQRT(9.81*(F10/1000))</f>
        <v>34.056307568636</v>
      </c>
      <c r="AT10" s="29" t="n">
        <f aca="false">(AG10*AI10*(F10/1000))/AH10</f>
        <v>235091.111111111</v>
      </c>
      <c r="AU10" s="29" t="n">
        <f aca="false">((W10/10^6)^3*AI10*(X10-AI10)*9.81)/AH10^2</f>
        <v>41.4466033447266</v>
      </c>
      <c r="AV10" s="29" t="n">
        <f aca="false">(X10*((W10/10^6)^2)/(18*AH10))*AG10/(F10/1000)</f>
        <v>15.3960247156605</v>
      </c>
      <c r="AW10" s="29" t="n">
        <f aca="false">AI10*(W10/10^6)*AG10/AH10</f>
        <v>173.541666666667</v>
      </c>
      <c r="AX10" s="31" t="n">
        <f aca="false">(W10/10^6)/(F10/1000)</f>
        <v>0.000738188976377953</v>
      </c>
      <c r="AY10" s="29" t="n">
        <f aca="false">AI10/X10</f>
        <v>0.000462264150943396</v>
      </c>
      <c r="AZ10" s="31" t="n">
        <f aca="false">(J10*10^9)/(M10*AG10^2)</f>
        <v>167.247041191898</v>
      </c>
      <c r="BA10" s="29" t="n">
        <f aca="false">Y10</f>
        <v>2.5E-005</v>
      </c>
      <c r="BB10" s="29" t="n">
        <f aca="false">MAX(Z10,1)</f>
        <v>1</v>
      </c>
      <c r="BC10" s="29" t="n">
        <f aca="false">AA10</f>
        <v>0.00357</v>
      </c>
      <c r="BD10" s="29" t="n">
        <f aca="false">0.8*BC10</f>
        <v>0.002856</v>
      </c>
      <c r="BE10" s="29" t="n">
        <f aca="false">BC10*1.2</f>
        <v>0.004284</v>
      </c>
      <c r="BF10" s="3" t="str">
        <f aca="false">AC10</f>
        <v>Alirez (2021)</v>
      </c>
    </row>
    <row r="11" customFormat="false" ht="12.8" hidden="false" customHeight="false" outlineLevel="0" collapsed="false">
      <c r="A11" s="32" t="n">
        <v>9</v>
      </c>
      <c r="B11" s="32" t="s">
        <v>49</v>
      </c>
      <c r="C11" s="32" t="s">
        <v>50</v>
      </c>
      <c r="D11" s="32" t="s">
        <v>51</v>
      </c>
      <c r="E11" s="32" t="n">
        <v>90</v>
      </c>
      <c r="F11" s="32" t="n">
        <v>76.2</v>
      </c>
      <c r="G11" s="32" t="n">
        <v>1.5</v>
      </c>
      <c r="H11" s="33" t="n">
        <v>18</v>
      </c>
      <c r="I11" s="32" t="s">
        <v>52</v>
      </c>
      <c r="J11" s="32" t="n">
        <v>1.5177</v>
      </c>
      <c r="K11" s="32" t="n">
        <v>155</v>
      </c>
      <c r="L11" s="32" t="n">
        <v>1.5177</v>
      </c>
      <c r="M11" s="32" t="n">
        <v>7850</v>
      </c>
      <c r="N11" s="32" t="n">
        <v>49</v>
      </c>
      <c r="O11" s="34" t="n">
        <v>1.8E-005</v>
      </c>
      <c r="P11" s="32" t="n">
        <v>1.225</v>
      </c>
      <c r="Q11" s="32" t="n">
        <v>0</v>
      </c>
      <c r="R11" s="32" t="n">
        <v>0</v>
      </c>
      <c r="S11" s="32" t="n">
        <v>0</v>
      </c>
      <c r="T11" s="32" t="n">
        <v>0</v>
      </c>
      <c r="U11" s="33" t="n">
        <f aca="false">(P11*N11+R11*T11)/(N11+R11)</f>
        <v>1.225</v>
      </c>
      <c r="V11" s="35" t="n">
        <f aca="false">(O11*N11+R11*S11*0.1)/(N11+R11)</f>
        <v>1.8E-005</v>
      </c>
      <c r="W11" s="32" t="n">
        <v>75</v>
      </c>
      <c r="X11" s="32" t="n">
        <v>2650</v>
      </c>
      <c r="Y11" s="36" t="n">
        <v>0.0001</v>
      </c>
      <c r="Z11" s="32" t="n">
        <v>1</v>
      </c>
      <c r="AA11" s="37" t="n">
        <v>0.0046</v>
      </c>
      <c r="AB11" s="37"/>
      <c r="AC11" s="38" t="s">
        <v>55</v>
      </c>
      <c r="AD11" s="39" t="s">
        <v>54</v>
      </c>
      <c r="AE11" s="32"/>
      <c r="AF11" s="3"/>
      <c r="AG11" s="24" t="n">
        <f aca="false">MAX(N11,R11)</f>
        <v>49</v>
      </c>
      <c r="AH11" s="25" t="n">
        <f aca="false">MAX(O11,S11)</f>
        <v>1.8E-005</v>
      </c>
      <c r="AI11" s="26" t="n">
        <f aca="false">MAX(P11,T11)</f>
        <v>1.225</v>
      </c>
      <c r="AJ11" s="26"/>
      <c r="AK11" s="8" t="n">
        <f aca="false">A11</f>
        <v>9</v>
      </c>
      <c r="AL11" s="27" t="str">
        <f aca="false">B11</f>
        <v>Elbow</v>
      </c>
      <c r="AM11" s="27" t="str">
        <f aca="false">C11</f>
        <v>Gas-solid</v>
      </c>
      <c r="AN11" s="27" t="str">
        <f aca="false">D11</f>
        <v>V-H</v>
      </c>
      <c r="AO11" s="27" t="n">
        <f aca="false">E11</f>
        <v>90</v>
      </c>
      <c r="AP11" s="28" t="n">
        <f aca="false">G11</f>
        <v>1.5</v>
      </c>
      <c r="AQ11" s="29" t="n">
        <f aca="false">H11/(F11/1000)</f>
        <v>236.220472440945</v>
      </c>
      <c r="AR11" s="30" t="n">
        <v>1E-006</v>
      </c>
      <c r="AS11" s="29" t="n">
        <f aca="false">AG11/SQRT(9.81*(F11/1000))</f>
        <v>56.6740293397339</v>
      </c>
      <c r="AT11" s="29" t="n">
        <f aca="false">(AG11*AI11*(F11/1000))/AH11</f>
        <v>254105.833333333</v>
      </c>
      <c r="AU11" s="29" t="n">
        <f aca="false">((W11/10^6)^3*AI11*(X11-AI11)*9.81)/AH11^2</f>
        <v>41.4466033447266</v>
      </c>
      <c r="AV11" s="29" t="n">
        <f aca="false">(X11*((W11/10^6)^2)/(18*AH11))*AG11/(F11/1000)</f>
        <v>29.5845180810732</v>
      </c>
      <c r="AW11" s="29" t="n">
        <f aca="false">AI11*(W11/10^6)*AG11/AH11</f>
        <v>250.104166666667</v>
      </c>
      <c r="AX11" s="31" t="n">
        <f aca="false">(W11/10^6)/(F11/1000)</f>
        <v>0.000984251968503937</v>
      </c>
      <c r="AY11" s="29" t="n">
        <f aca="false">AI11/X11</f>
        <v>0.000462264150943396</v>
      </c>
      <c r="AZ11" s="31" t="n">
        <f aca="false">(J11*10^9)/(M11*AG11^2)</f>
        <v>80.5237732685691</v>
      </c>
      <c r="BA11" s="29" t="n">
        <f aca="false">Y11</f>
        <v>0.0001</v>
      </c>
      <c r="BB11" s="29" t="n">
        <f aca="false">MAX(Z11,1)</f>
        <v>1</v>
      </c>
      <c r="BC11" s="29" t="n">
        <f aca="false">AA11</f>
        <v>0.0046</v>
      </c>
      <c r="BD11" s="29" t="n">
        <f aca="false">0.8*BC11</f>
        <v>0.00368</v>
      </c>
      <c r="BE11" s="29" t="n">
        <f aca="false">BC11*1.2</f>
        <v>0.00552</v>
      </c>
      <c r="BF11" s="3" t="str">
        <f aca="false">AC11</f>
        <v>Haider (XXXXX)</v>
      </c>
    </row>
    <row r="12" customFormat="false" ht="12.8" hidden="false" customHeight="false" outlineLevel="0" collapsed="false">
      <c r="A12" s="32" t="n">
        <v>10</v>
      </c>
      <c r="B12" s="32" t="s">
        <v>49</v>
      </c>
      <c r="C12" s="32" t="s">
        <v>50</v>
      </c>
      <c r="D12" s="32" t="s">
        <v>51</v>
      </c>
      <c r="E12" s="32" t="n">
        <v>90</v>
      </c>
      <c r="F12" s="32" t="n">
        <v>76.2</v>
      </c>
      <c r="G12" s="32" t="n">
        <v>1.5</v>
      </c>
      <c r="H12" s="33" t="n">
        <v>18</v>
      </c>
      <c r="I12" s="32" t="s">
        <v>52</v>
      </c>
      <c r="J12" s="32" t="n">
        <v>1.5177</v>
      </c>
      <c r="K12" s="32" t="n">
        <v>155</v>
      </c>
      <c r="L12" s="32" t="n">
        <v>1.5177</v>
      </c>
      <c r="M12" s="32" t="n">
        <v>7850</v>
      </c>
      <c r="N12" s="32" t="n">
        <v>31</v>
      </c>
      <c r="O12" s="34" t="n">
        <v>1.8E-005</v>
      </c>
      <c r="P12" s="32" t="n">
        <v>1.225</v>
      </c>
      <c r="Q12" s="32" t="n">
        <v>0</v>
      </c>
      <c r="R12" s="32" t="n">
        <v>0</v>
      </c>
      <c r="S12" s="32" t="n">
        <v>0</v>
      </c>
      <c r="T12" s="32" t="n">
        <v>0</v>
      </c>
      <c r="U12" s="33" t="n">
        <f aca="false">(P12*N12+R12*T12)/(N12+R12)</f>
        <v>1.225</v>
      </c>
      <c r="V12" s="35" t="n">
        <f aca="false">(O12*N12+R12*S12*0.1)/(N12+R12)</f>
        <v>1.8E-005</v>
      </c>
      <c r="W12" s="32" t="n">
        <v>75</v>
      </c>
      <c r="X12" s="32" t="n">
        <v>2650</v>
      </c>
      <c r="Y12" s="36" t="n">
        <v>0.0001</v>
      </c>
      <c r="Z12" s="32" t="n">
        <v>1</v>
      </c>
      <c r="AA12" s="37" t="n">
        <f aca="false">AVERAGE(0.0018,0.0012)</f>
        <v>0.0015</v>
      </c>
      <c r="AB12" s="37"/>
      <c r="AC12" s="38" t="s">
        <v>55</v>
      </c>
      <c r="AD12" s="39" t="s">
        <v>54</v>
      </c>
      <c r="AE12" s="38"/>
      <c r="AF12" s="3"/>
      <c r="AG12" s="24" t="n">
        <f aca="false">MAX(N12,R12)</f>
        <v>31</v>
      </c>
      <c r="AH12" s="25" t="n">
        <f aca="false">MAX(O12,S12)</f>
        <v>1.8E-005</v>
      </c>
      <c r="AI12" s="26" t="n">
        <f aca="false">MAX(P12,T12)</f>
        <v>1.225</v>
      </c>
      <c r="AJ12" s="26"/>
      <c r="AK12" s="8" t="n">
        <f aca="false">A12</f>
        <v>10</v>
      </c>
      <c r="AL12" s="27" t="str">
        <f aca="false">B12</f>
        <v>Elbow</v>
      </c>
      <c r="AM12" s="27" t="str">
        <f aca="false">C12</f>
        <v>Gas-solid</v>
      </c>
      <c r="AN12" s="27" t="str">
        <f aca="false">D12</f>
        <v>V-H</v>
      </c>
      <c r="AO12" s="27" t="n">
        <f aca="false">E12</f>
        <v>90</v>
      </c>
      <c r="AP12" s="28" t="n">
        <f aca="false">G12</f>
        <v>1.5</v>
      </c>
      <c r="AQ12" s="29" t="n">
        <f aca="false">H12/(F12/1000)</f>
        <v>236.220472440945</v>
      </c>
      <c r="AR12" s="30" t="n">
        <v>1E-006</v>
      </c>
      <c r="AS12" s="29" t="n">
        <f aca="false">AG12/SQRT(9.81*(F12/1000))</f>
        <v>35.8549981537092</v>
      </c>
      <c r="AT12" s="29" t="n">
        <f aca="false">(AG12*AI12*(F12/1000))/AH12</f>
        <v>160760.833333333</v>
      </c>
      <c r="AU12" s="29" t="n">
        <f aca="false">((W12/10^6)^3*AI12*(X12-AI12)*9.81)/AH12^2</f>
        <v>41.4466033447266</v>
      </c>
      <c r="AV12" s="29" t="n">
        <f aca="false">(X12*((W12/10^6)^2)/(18*AH12))*AG12/(F12/1000)</f>
        <v>18.7167359288422</v>
      </c>
      <c r="AW12" s="29" t="n">
        <f aca="false">AI12*(W12/10^6)*AG12/AH12</f>
        <v>158.229166666667</v>
      </c>
      <c r="AX12" s="31" t="n">
        <f aca="false">(W12/10^6)/(F12/1000)</f>
        <v>0.000984251968503937</v>
      </c>
      <c r="AY12" s="29" t="n">
        <f aca="false">AI12/X12</f>
        <v>0.000462264150943396</v>
      </c>
      <c r="AZ12" s="31" t="n">
        <f aca="false">(J12*10^9)/(M12*AG12^2)</f>
        <v>201.18374570014</v>
      </c>
      <c r="BA12" s="29" t="n">
        <f aca="false">Y12</f>
        <v>0.0001</v>
      </c>
      <c r="BB12" s="29" t="n">
        <f aca="false">MAX(Z12,1)</f>
        <v>1</v>
      </c>
      <c r="BC12" s="29" t="n">
        <f aca="false">AA12</f>
        <v>0.0015</v>
      </c>
      <c r="BD12" s="29" t="n">
        <f aca="false">0.8*BC12</f>
        <v>0.0012</v>
      </c>
      <c r="BE12" s="29" t="n">
        <f aca="false">BC12*1.2</f>
        <v>0.0018</v>
      </c>
      <c r="BF12" s="40" t="str">
        <f aca="false">AC12</f>
        <v>Haider (XXXXX)</v>
      </c>
    </row>
    <row r="13" customFormat="false" ht="12.8" hidden="false" customHeight="false" outlineLevel="0" collapsed="false">
      <c r="A13" s="32" t="n">
        <v>11</v>
      </c>
      <c r="B13" s="32" t="s">
        <v>49</v>
      </c>
      <c r="C13" s="32" t="s">
        <v>50</v>
      </c>
      <c r="D13" s="32" t="s">
        <v>51</v>
      </c>
      <c r="E13" s="32" t="n">
        <v>90</v>
      </c>
      <c r="F13" s="32" t="n">
        <v>76.2</v>
      </c>
      <c r="G13" s="32" t="n">
        <v>1.5</v>
      </c>
      <c r="H13" s="33" t="n">
        <v>18</v>
      </c>
      <c r="I13" s="32" t="s">
        <v>52</v>
      </c>
      <c r="J13" s="32" t="n">
        <v>1.5177</v>
      </c>
      <c r="K13" s="32" t="n">
        <v>155</v>
      </c>
      <c r="L13" s="32" t="n">
        <v>1.5177</v>
      </c>
      <c r="M13" s="32" t="n">
        <v>7850</v>
      </c>
      <c r="N13" s="32" t="n">
        <v>23</v>
      </c>
      <c r="O13" s="34" t="n">
        <v>1.8E-005</v>
      </c>
      <c r="P13" s="32" t="n">
        <v>1.225</v>
      </c>
      <c r="Q13" s="32" t="n">
        <v>0</v>
      </c>
      <c r="R13" s="32" t="n">
        <v>0</v>
      </c>
      <c r="S13" s="32" t="n">
        <v>0</v>
      </c>
      <c r="T13" s="32" t="n">
        <v>0</v>
      </c>
      <c r="U13" s="33" t="n">
        <f aca="false">(P13*N13+R13*T13)/(N13+R13)</f>
        <v>1.225</v>
      </c>
      <c r="V13" s="41" t="n">
        <f aca="false">(O13*N13+R13*S13*0.1)/(N13+R13)</f>
        <v>1.8E-005</v>
      </c>
      <c r="W13" s="32" t="n">
        <v>75</v>
      </c>
      <c r="X13" s="32" t="n">
        <v>2650</v>
      </c>
      <c r="Y13" s="36" t="n">
        <v>0.0001</v>
      </c>
      <c r="Z13" s="32" t="n">
        <v>1</v>
      </c>
      <c r="AA13" s="37" t="n">
        <f aca="false">AVERAGE(0.00117,0.00231)</f>
        <v>0.00174</v>
      </c>
      <c r="AB13" s="37"/>
      <c r="AC13" s="38" t="s">
        <v>55</v>
      </c>
      <c r="AD13" s="39" t="s">
        <v>54</v>
      </c>
      <c r="AE13" s="38"/>
      <c r="AF13" s="3"/>
      <c r="AG13" s="24" t="n">
        <f aca="false">MAX(N13,R13)</f>
        <v>23</v>
      </c>
      <c r="AH13" s="25" t="n">
        <f aca="false">MAX(O13,S13)</f>
        <v>1.8E-005</v>
      </c>
      <c r="AI13" s="26" t="n">
        <f aca="false">MAX(P13,T13)</f>
        <v>1.225</v>
      </c>
      <c r="AJ13" s="26"/>
      <c r="AK13" s="8" t="n">
        <f aca="false">A13</f>
        <v>11</v>
      </c>
      <c r="AL13" s="27" t="str">
        <f aca="false">B13</f>
        <v>Elbow</v>
      </c>
      <c r="AM13" s="27" t="str">
        <f aca="false">C13</f>
        <v>Gas-solid</v>
      </c>
      <c r="AN13" s="27" t="str">
        <f aca="false">D13</f>
        <v>V-H</v>
      </c>
      <c r="AO13" s="27" t="n">
        <f aca="false">E13</f>
        <v>90</v>
      </c>
      <c r="AP13" s="28" t="n">
        <f aca="false">G13</f>
        <v>1.5</v>
      </c>
      <c r="AQ13" s="29" t="n">
        <f aca="false">H13/(F13/1000)</f>
        <v>236.220472440945</v>
      </c>
      <c r="AR13" s="30" t="n">
        <v>1E-006</v>
      </c>
      <c r="AS13" s="29" t="n">
        <f aca="false">AG13/SQRT(9.81*(F13/1000))</f>
        <v>26.6020954043649</v>
      </c>
      <c r="AT13" s="29" t="n">
        <f aca="false">(AG13*AI13*(F13/1000))/AH13</f>
        <v>119274.166666667</v>
      </c>
      <c r="AU13" s="29" t="n">
        <f aca="false">((W13/10^6)^3*AI13*(X13-AI13)*9.81)/AH13^2</f>
        <v>41.4466033447266</v>
      </c>
      <c r="AV13" s="29" t="n">
        <f aca="false">(X13*((W13/10^6)^2)/(18*AH13))*AG13/(F13/1000)</f>
        <v>13.8866105278507</v>
      </c>
      <c r="AW13" s="29" t="n">
        <f aca="false">AI13*(W13/10^6)*AG13/AH13</f>
        <v>117.395833333333</v>
      </c>
      <c r="AX13" s="31" t="n">
        <f aca="false">(W13/10^6)/(F13/1000)</f>
        <v>0.000984251968503937</v>
      </c>
      <c r="AY13" s="29" t="n">
        <f aca="false">AI13/X13</f>
        <v>0.000462264150943396</v>
      </c>
      <c r="AZ13" s="31" t="n">
        <f aca="false">(J13*10^9)/(M13*AG13^2)</f>
        <v>365.477466196284</v>
      </c>
      <c r="BA13" s="29" t="n">
        <f aca="false">Y13</f>
        <v>0.0001</v>
      </c>
      <c r="BB13" s="29" t="n">
        <f aca="false">MAX(Z13,1)</f>
        <v>1</v>
      </c>
      <c r="BC13" s="29" t="n">
        <f aca="false">AA13</f>
        <v>0.00174</v>
      </c>
      <c r="BD13" s="29" t="n">
        <f aca="false">0.8*BC13</f>
        <v>0.001392</v>
      </c>
      <c r="BE13" s="29" t="n">
        <f aca="false">BC13*1.2</f>
        <v>0.002088</v>
      </c>
      <c r="BF13" s="3" t="str">
        <f aca="false">AC13</f>
        <v>Haider (XXXXX)</v>
      </c>
    </row>
    <row r="14" customFormat="false" ht="12.8" hidden="false" customHeight="false" outlineLevel="0" collapsed="false">
      <c r="A14" s="32" t="n">
        <v>12</v>
      </c>
      <c r="B14" s="32" t="s">
        <v>49</v>
      </c>
      <c r="C14" s="32" t="s">
        <v>50</v>
      </c>
      <c r="D14" s="32" t="s">
        <v>51</v>
      </c>
      <c r="E14" s="32" t="n">
        <v>90</v>
      </c>
      <c r="F14" s="32" t="n">
        <v>76.2</v>
      </c>
      <c r="G14" s="32" t="n">
        <v>1.5</v>
      </c>
      <c r="H14" s="33" t="n">
        <v>18</v>
      </c>
      <c r="I14" s="32" t="s">
        <v>52</v>
      </c>
      <c r="J14" s="32" t="n">
        <v>1.5177</v>
      </c>
      <c r="K14" s="32" t="n">
        <v>155</v>
      </c>
      <c r="L14" s="32" t="n">
        <v>1.5177</v>
      </c>
      <c r="M14" s="32" t="n">
        <v>7850</v>
      </c>
      <c r="N14" s="32" t="n">
        <v>15</v>
      </c>
      <c r="O14" s="34" t="n">
        <v>1.8E-005</v>
      </c>
      <c r="P14" s="32" t="n">
        <v>1.225</v>
      </c>
      <c r="Q14" s="32" t="n">
        <v>0</v>
      </c>
      <c r="R14" s="32" t="n">
        <v>0</v>
      </c>
      <c r="S14" s="32" t="n">
        <v>0</v>
      </c>
      <c r="T14" s="32" t="n">
        <v>0</v>
      </c>
      <c r="U14" s="33" t="n">
        <f aca="false">(P14*N14+R14*T14)/(N14+R14)</f>
        <v>1.225</v>
      </c>
      <c r="V14" s="41" t="n">
        <f aca="false">(O14*N14+R14*S14*0.1)/(N14+R14)</f>
        <v>1.8E-005</v>
      </c>
      <c r="W14" s="32" t="n">
        <v>75</v>
      </c>
      <c r="X14" s="32" t="n">
        <v>2650</v>
      </c>
      <c r="Y14" s="36" t="n">
        <v>0.0001</v>
      </c>
      <c r="Z14" s="32" t="n">
        <v>1</v>
      </c>
      <c r="AA14" s="37" t="n">
        <f aca="false">AVERAGE(0.000586,0.000393)</f>
        <v>0.0004895</v>
      </c>
      <c r="AB14" s="37"/>
      <c r="AC14" s="38" t="s">
        <v>55</v>
      </c>
      <c r="AD14" s="39" t="s">
        <v>54</v>
      </c>
      <c r="AE14" s="38"/>
      <c r="AF14" s="3"/>
      <c r="AG14" s="24" t="n">
        <f aca="false">MAX(N14,R14)</f>
        <v>15</v>
      </c>
      <c r="AH14" s="25" t="n">
        <f aca="false">MAX(O14,S14)</f>
        <v>1.8E-005</v>
      </c>
      <c r="AI14" s="26" t="n">
        <f aca="false">MAX(P14,T14)</f>
        <v>1.225</v>
      </c>
      <c r="AJ14" s="26"/>
      <c r="AK14" s="8" t="n">
        <f aca="false">A14</f>
        <v>12</v>
      </c>
      <c r="AL14" s="27" t="str">
        <f aca="false">B14</f>
        <v>Elbow</v>
      </c>
      <c r="AM14" s="27" t="str">
        <f aca="false">C14</f>
        <v>Gas-solid</v>
      </c>
      <c r="AN14" s="27" t="str">
        <f aca="false">D14</f>
        <v>V-H</v>
      </c>
      <c r="AO14" s="27" t="n">
        <f aca="false">E14</f>
        <v>90</v>
      </c>
      <c r="AP14" s="28" t="n">
        <f aca="false">G14</f>
        <v>1.5</v>
      </c>
      <c r="AQ14" s="29" t="n">
        <f aca="false">H14/(F14/1000)</f>
        <v>236.220472440945</v>
      </c>
      <c r="AR14" s="30" t="n">
        <v>1E-006</v>
      </c>
      <c r="AS14" s="29" t="n">
        <f aca="false">AG14/SQRT(9.81*(F14/1000))</f>
        <v>17.3491926550206</v>
      </c>
      <c r="AT14" s="29" t="n">
        <f aca="false">(AG14*AI14*(F14/1000))/AH14</f>
        <v>77787.5</v>
      </c>
      <c r="AU14" s="29" t="n">
        <f aca="false">((W14/10^6)^3*AI14*(X14-AI14)*9.81)/AH14^2</f>
        <v>41.4466033447266</v>
      </c>
      <c r="AV14" s="29" t="n">
        <f aca="false">(X14*((W14/10^6)^2)/(18*AH14))*AG14/(F14/1000)</f>
        <v>9.05648512685914</v>
      </c>
      <c r="AW14" s="29" t="n">
        <f aca="false">AI14*(W14/10^6)*AG14/AH14</f>
        <v>76.5625</v>
      </c>
      <c r="AX14" s="31" t="n">
        <f aca="false">(W14/10^6)/(F14/1000)</f>
        <v>0.000984251968503937</v>
      </c>
      <c r="AY14" s="29" t="n">
        <f aca="false">AI14/X14</f>
        <v>0.000462264150943396</v>
      </c>
      <c r="AZ14" s="31" t="n">
        <f aca="false">(J14*10^9)/(M14*AG14^2)</f>
        <v>859.278131634819</v>
      </c>
      <c r="BA14" s="29" t="n">
        <f aca="false">Y14</f>
        <v>0.0001</v>
      </c>
      <c r="BB14" s="29" t="n">
        <f aca="false">MAX(Z14,1)</f>
        <v>1</v>
      </c>
      <c r="BC14" s="29" t="n">
        <f aca="false">AA14</f>
        <v>0.0004895</v>
      </c>
      <c r="BD14" s="29" t="n">
        <f aca="false">0.8*BC14</f>
        <v>0.0003916</v>
      </c>
      <c r="BE14" s="29" t="n">
        <f aca="false">BC14*1.2</f>
        <v>0.0005874</v>
      </c>
      <c r="BF14" s="3" t="str">
        <f aca="false">AC14</f>
        <v>Haider (XXXXX)</v>
      </c>
    </row>
    <row r="15" customFormat="false" ht="12.8" hidden="false" customHeight="false" outlineLevel="0" collapsed="false">
      <c r="A15" s="32" t="n">
        <v>13</v>
      </c>
      <c r="B15" s="32" t="s">
        <v>49</v>
      </c>
      <c r="C15" s="32" t="s">
        <v>50</v>
      </c>
      <c r="D15" s="32" t="s">
        <v>51</v>
      </c>
      <c r="E15" s="32" t="n">
        <v>90</v>
      </c>
      <c r="F15" s="32" t="n">
        <v>76.2</v>
      </c>
      <c r="G15" s="32" t="n">
        <v>1.5</v>
      </c>
      <c r="H15" s="33" t="n">
        <v>18</v>
      </c>
      <c r="I15" s="32" t="s">
        <v>52</v>
      </c>
      <c r="J15" s="32" t="n">
        <v>1.5177</v>
      </c>
      <c r="K15" s="32" t="n">
        <v>155</v>
      </c>
      <c r="L15" s="32" t="n">
        <v>1.5177</v>
      </c>
      <c r="M15" s="32" t="n">
        <v>7850</v>
      </c>
      <c r="N15" s="32" t="n">
        <v>31</v>
      </c>
      <c r="O15" s="34" t="n">
        <v>1.8E-005</v>
      </c>
      <c r="P15" s="32" t="n">
        <v>1.225</v>
      </c>
      <c r="Q15" s="32" t="n">
        <v>0</v>
      </c>
      <c r="R15" s="32" t="n">
        <v>0</v>
      </c>
      <c r="S15" s="32" t="n">
        <v>0</v>
      </c>
      <c r="T15" s="32" t="n">
        <v>0</v>
      </c>
      <c r="U15" s="33" t="n">
        <f aca="false">(P15*N15+R15*T15)/(N15+R15)</f>
        <v>1.225</v>
      </c>
      <c r="V15" s="35" t="n">
        <f aca="false">(O15*N15+R15*S15*0.1)/(N15+R15)</f>
        <v>1.8E-005</v>
      </c>
      <c r="W15" s="32" t="n">
        <v>300</v>
      </c>
      <c r="X15" s="32" t="n">
        <v>2650</v>
      </c>
      <c r="Y15" s="36" t="n">
        <v>0.0001</v>
      </c>
      <c r="Z15" s="32" t="n">
        <v>1</v>
      </c>
      <c r="AA15" s="37" t="n">
        <f aca="false">AVERAGE(0.00329,0.00342,0.0036,0.00239,0.00225,0.00232,0.00369)</f>
        <v>0.00299428571428571</v>
      </c>
      <c r="AB15" s="37"/>
      <c r="AC15" s="38" t="s">
        <v>55</v>
      </c>
      <c r="AD15" s="39" t="s">
        <v>54</v>
      </c>
      <c r="AE15" s="38"/>
      <c r="AF15" s="3"/>
      <c r="AG15" s="24" t="n">
        <f aca="false">MAX(N15,R15)</f>
        <v>31</v>
      </c>
      <c r="AH15" s="25" t="n">
        <f aca="false">MAX(O15,S15)</f>
        <v>1.8E-005</v>
      </c>
      <c r="AI15" s="26" t="n">
        <f aca="false">MAX(P15,T15)</f>
        <v>1.225</v>
      </c>
      <c r="AJ15" s="26"/>
      <c r="AK15" s="8" t="n">
        <f aca="false">A15</f>
        <v>13</v>
      </c>
      <c r="AL15" s="27" t="str">
        <f aca="false">B15</f>
        <v>Elbow</v>
      </c>
      <c r="AM15" s="27" t="str">
        <f aca="false">C15</f>
        <v>Gas-solid</v>
      </c>
      <c r="AN15" s="27" t="str">
        <f aca="false">D15</f>
        <v>V-H</v>
      </c>
      <c r="AO15" s="27" t="n">
        <f aca="false">E15</f>
        <v>90</v>
      </c>
      <c r="AP15" s="28" t="n">
        <f aca="false">G15</f>
        <v>1.5</v>
      </c>
      <c r="AQ15" s="29" t="n">
        <f aca="false">H15/(F15/1000)</f>
        <v>236.220472440945</v>
      </c>
      <c r="AR15" s="30" t="n">
        <v>1E-006</v>
      </c>
      <c r="AS15" s="29" t="n">
        <f aca="false">AG15/SQRT(9.81*(F15/1000))</f>
        <v>35.8549981537092</v>
      </c>
      <c r="AT15" s="29" t="n">
        <f aca="false">(AG15*AI15*(F15/1000))/AH15</f>
        <v>160760.833333333</v>
      </c>
      <c r="AU15" s="29" t="n">
        <f aca="false">((W15/10^6)^3*AI15*(X15-AI15)*9.81)/AH15^2</f>
        <v>2652.5826140625</v>
      </c>
      <c r="AV15" s="29" t="n">
        <f aca="false">(X15*((W15/10^6)^2)/(18*AH15))*AG15/(F15/1000)</f>
        <v>299.467774861476</v>
      </c>
      <c r="AW15" s="29" t="n">
        <f aca="false">AI15*(W15/10^6)*AG15/AH15</f>
        <v>632.916666666667</v>
      </c>
      <c r="AX15" s="31" t="n">
        <f aca="false">(W15/10^6)/(F15/1000)</f>
        <v>0.00393700787401575</v>
      </c>
      <c r="AY15" s="29" t="n">
        <f aca="false">AI15/X15</f>
        <v>0.000462264150943396</v>
      </c>
      <c r="AZ15" s="31" t="n">
        <f aca="false">(J15*10^9)/(M15*AG15^2)</f>
        <v>201.18374570014</v>
      </c>
      <c r="BA15" s="29" t="n">
        <f aca="false">Y15</f>
        <v>0.0001</v>
      </c>
      <c r="BB15" s="29" t="n">
        <f aca="false">MAX(Z15,1)</f>
        <v>1</v>
      </c>
      <c r="BC15" s="29" t="n">
        <f aca="false">AA15</f>
        <v>0.00299428571428571</v>
      </c>
      <c r="BD15" s="29" t="n">
        <f aca="false">0.8*BC15</f>
        <v>0.00239542857142857</v>
      </c>
      <c r="BE15" s="29" t="n">
        <f aca="false">BC15*1.2</f>
        <v>0.00359314285714286</v>
      </c>
      <c r="BF15" s="3" t="str">
        <f aca="false">AC15</f>
        <v>Haider (XXXXX)</v>
      </c>
    </row>
    <row r="16" customFormat="false" ht="12.8" hidden="false" customHeight="false" outlineLevel="0" collapsed="false">
      <c r="A16" s="32" t="n">
        <v>14</v>
      </c>
      <c r="B16" s="32" t="s">
        <v>49</v>
      </c>
      <c r="C16" s="32" t="s">
        <v>50</v>
      </c>
      <c r="D16" s="32" t="s">
        <v>51</v>
      </c>
      <c r="E16" s="32" t="n">
        <v>90</v>
      </c>
      <c r="F16" s="32" t="n">
        <v>76.2</v>
      </c>
      <c r="G16" s="32" t="n">
        <v>1.5</v>
      </c>
      <c r="H16" s="33" t="n">
        <v>18</v>
      </c>
      <c r="I16" s="32" t="s">
        <v>52</v>
      </c>
      <c r="J16" s="32" t="n">
        <v>1.5177</v>
      </c>
      <c r="K16" s="32" t="n">
        <v>155</v>
      </c>
      <c r="L16" s="32" t="n">
        <v>1.5177</v>
      </c>
      <c r="M16" s="32" t="n">
        <v>7850</v>
      </c>
      <c r="N16" s="32" t="n">
        <v>23</v>
      </c>
      <c r="O16" s="34" t="n">
        <v>1.8E-005</v>
      </c>
      <c r="P16" s="32" t="n">
        <v>1.225</v>
      </c>
      <c r="Q16" s="32" t="n">
        <v>0</v>
      </c>
      <c r="R16" s="32" t="n">
        <v>0</v>
      </c>
      <c r="S16" s="32" t="n">
        <v>0</v>
      </c>
      <c r="T16" s="32" t="n">
        <v>0</v>
      </c>
      <c r="U16" s="33" t="n">
        <f aca="false">(P16*N16+R16*T16)/(N16+R16)</f>
        <v>1.225</v>
      </c>
      <c r="V16" s="41" t="n">
        <f aca="false">(O16*N16+R16*S16*0.1)/(N16+R16)</f>
        <v>1.8E-005</v>
      </c>
      <c r="W16" s="32" t="n">
        <v>300</v>
      </c>
      <c r="X16" s="32" t="n">
        <v>2650</v>
      </c>
      <c r="Y16" s="36" t="n">
        <v>0.0001</v>
      </c>
      <c r="Z16" s="32" t="n">
        <v>1</v>
      </c>
      <c r="AA16" s="37" t="n">
        <f aca="false">AVERAGE(0.00318,0.00285,0.00193)</f>
        <v>0.00265333333333333</v>
      </c>
      <c r="AB16" s="37"/>
      <c r="AC16" s="38" t="s">
        <v>55</v>
      </c>
      <c r="AD16" s="39" t="s">
        <v>54</v>
      </c>
      <c r="AE16" s="38"/>
      <c r="AF16" s="3"/>
      <c r="AG16" s="24" t="n">
        <f aca="false">MAX(N16,R16)</f>
        <v>23</v>
      </c>
      <c r="AH16" s="25" t="n">
        <f aca="false">MAX(O16,S16)</f>
        <v>1.8E-005</v>
      </c>
      <c r="AI16" s="26" t="n">
        <f aca="false">MAX(P16,T16)</f>
        <v>1.225</v>
      </c>
      <c r="AJ16" s="26"/>
      <c r="AK16" s="8" t="n">
        <f aca="false">A16</f>
        <v>14</v>
      </c>
      <c r="AL16" s="27" t="str">
        <f aca="false">B16</f>
        <v>Elbow</v>
      </c>
      <c r="AM16" s="27" t="str">
        <f aca="false">C16</f>
        <v>Gas-solid</v>
      </c>
      <c r="AN16" s="27" t="str">
        <f aca="false">D16</f>
        <v>V-H</v>
      </c>
      <c r="AO16" s="27" t="n">
        <f aca="false">E16</f>
        <v>90</v>
      </c>
      <c r="AP16" s="28" t="n">
        <f aca="false">G16</f>
        <v>1.5</v>
      </c>
      <c r="AQ16" s="29" t="n">
        <f aca="false">H16/(F16/1000)</f>
        <v>236.220472440945</v>
      </c>
      <c r="AR16" s="30" t="n">
        <v>1E-006</v>
      </c>
      <c r="AS16" s="29" t="n">
        <f aca="false">AG16/SQRT(9.81*(F16/1000))</f>
        <v>26.6020954043649</v>
      </c>
      <c r="AT16" s="29" t="n">
        <f aca="false">(AG16*AI16*(F16/1000))/AH16</f>
        <v>119274.166666667</v>
      </c>
      <c r="AU16" s="29" t="n">
        <f aca="false">((W16/10^6)^3*AI16*(X16-AI16)*9.81)/AH16^2</f>
        <v>2652.5826140625</v>
      </c>
      <c r="AV16" s="29" t="n">
        <f aca="false">(X16*((W16/10^6)^2)/(18*AH16))*AG16/(F16/1000)</f>
        <v>222.185768445611</v>
      </c>
      <c r="AW16" s="29" t="n">
        <f aca="false">AI16*(W16/10^6)*AG16/AH16</f>
        <v>469.583333333333</v>
      </c>
      <c r="AX16" s="31" t="n">
        <f aca="false">(W16/10^6)/(F16/1000)</f>
        <v>0.00393700787401575</v>
      </c>
      <c r="AY16" s="29" t="n">
        <f aca="false">AI16/X16</f>
        <v>0.000462264150943396</v>
      </c>
      <c r="AZ16" s="31" t="n">
        <f aca="false">(J16*10^9)/(M16*AG16^2)</f>
        <v>365.477466196284</v>
      </c>
      <c r="BA16" s="29" t="n">
        <f aca="false">Y16</f>
        <v>0.0001</v>
      </c>
      <c r="BB16" s="29" t="n">
        <f aca="false">MAX(Z16,1)</f>
        <v>1</v>
      </c>
      <c r="BC16" s="29" t="n">
        <f aca="false">AA16</f>
        <v>0.00265333333333333</v>
      </c>
      <c r="BD16" s="29" t="n">
        <f aca="false">0.8*BC16</f>
        <v>0.00212266666666667</v>
      </c>
      <c r="BE16" s="29" t="n">
        <f aca="false">BC16*1.2</f>
        <v>0.003184</v>
      </c>
      <c r="BF16" s="3" t="str">
        <f aca="false">AC16</f>
        <v>Haider (XXXXX)</v>
      </c>
    </row>
    <row r="17" customFormat="false" ht="12.8" hidden="false" customHeight="false" outlineLevel="0" collapsed="false">
      <c r="A17" s="32" t="n">
        <v>15</v>
      </c>
      <c r="B17" s="32" t="s">
        <v>49</v>
      </c>
      <c r="C17" s="32" t="s">
        <v>50</v>
      </c>
      <c r="D17" s="32" t="s">
        <v>51</v>
      </c>
      <c r="E17" s="32" t="n">
        <v>90</v>
      </c>
      <c r="F17" s="32" t="n">
        <v>76.2</v>
      </c>
      <c r="G17" s="32" t="n">
        <v>1.5</v>
      </c>
      <c r="H17" s="33" t="n">
        <v>18</v>
      </c>
      <c r="I17" s="32" t="s">
        <v>52</v>
      </c>
      <c r="J17" s="32" t="n">
        <v>1.5177</v>
      </c>
      <c r="K17" s="32" t="n">
        <v>155</v>
      </c>
      <c r="L17" s="32" t="n">
        <v>1.5177</v>
      </c>
      <c r="M17" s="32" t="n">
        <v>7850</v>
      </c>
      <c r="N17" s="32" t="n">
        <v>15</v>
      </c>
      <c r="O17" s="34" t="n">
        <v>1.8E-005</v>
      </c>
      <c r="P17" s="32" t="n">
        <v>1.225</v>
      </c>
      <c r="Q17" s="32" t="n">
        <v>0</v>
      </c>
      <c r="R17" s="32" t="n">
        <v>0</v>
      </c>
      <c r="S17" s="32" t="n">
        <v>0</v>
      </c>
      <c r="T17" s="32" t="n">
        <v>0</v>
      </c>
      <c r="U17" s="33" t="n">
        <f aca="false">(P17*N17+R17*T17)/(N17+R17)</f>
        <v>1.225</v>
      </c>
      <c r="V17" s="41" t="n">
        <f aca="false">(O17*N17+R17*S17*0.1)/(N17+R17)</f>
        <v>1.8E-005</v>
      </c>
      <c r="W17" s="32" t="n">
        <v>300</v>
      </c>
      <c r="X17" s="32" t="n">
        <v>2650</v>
      </c>
      <c r="Y17" s="36" t="n">
        <v>0.0001</v>
      </c>
      <c r="Z17" s="32" t="n">
        <v>1</v>
      </c>
      <c r="AA17" s="37" t="n">
        <f aca="false">AVERAGE(0.00118,0.00128)</f>
        <v>0.00123</v>
      </c>
      <c r="AB17" s="37"/>
      <c r="AC17" s="38" t="s">
        <v>55</v>
      </c>
      <c r="AD17" s="39" t="s">
        <v>54</v>
      </c>
      <c r="AE17" s="38"/>
      <c r="AF17" s="3"/>
      <c r="AG17" s="24" t="n">
        <f aca="false">MAX(N17,R17)</f>
        <v>15</v>
      </c>
      <c r="AH17" s="25" t="n">
        <f aca="false">MAX(O17,S17)</f>
        <v>1.8E-005</v>
      </c>
      <c r="AI17" s="26" t="n">
        <f aca="false">MAX(P17,T17)</f>
        <v>1.225</v>
      </c>
      <c r="AJ17" s="26"/>
      <c r="AK17" s="8" t="n">
        <f aca="false">A17</f>
        <v>15</v>
      </c>
      <c r="AL17" s="27" t="str">
        <f aca="false">B17</f>
        <v>Elbow</v>
      </c>
      <c r="AM17" s="27" t="str">
        <f aca="false">C17</f>
        <v>Gas-solid</v>
      </c>
      <c r="AN17" s="27" t="str">
        <f aca="false">D17</f>
        <v>V-H</v>
      </c>
      <c r="AO17" s="27" t="n">
        <f aca="false">E17</f>
        <v>90</v>
      </c>
      <c r="AP17" s="28" t="n">
        <f aca="false">G17</f>
        <v>1.5</v>
      </c>
      <c r="AQ17" s="29" t="n">
        <f aca="false">H17/(F17/1000)</f>
        <v>236.220472440945</v>
      </c>
      <c r="AR17" s="30" t="n">
        <v>1E-006</v>
      </c>
      <c r="AS17" s="29" t="n">
        <f aca="false">AG17/SQRT(9.81*(F17/1000))</f>
        <v>17.3491926550206</v>
      </c>
      <c r="AT17" s="29" t="n">
        <f aca="false">(AG17*AI17*(F17/1000))/AH17</f>
        <v>77787.5</v>
      </c>
      <c r="AU17" s="29" t="n">
        <f aca="false">((W17/10^6)^3*AI17*(X17-AI17)*9.81)/AH17^2</f>
        <v>2652.5826140625</v>
      </c>
      <c r="AV17" s="29" t="n">
        <f aca="false">(X17*((W17/10^6)^2)/(18*AH17))*AG17/(F17/1000)</f>
        <v>144.903762029746</v>
      </c>
      <c r="AW17" s="29" t="n">
        <f aca="false">AI17*(W17/10^6)*AG17/AH17</f>
        <v>306.25</v>
      </c>
      <c r="AX17" s="31" t="n">
        <f aca="false">(W17/10^6)/(F17/1000)</f>
        <v>0.00393700787401575</v>
      </c>
      <c r="AY17" s="29" t="n">
        <f aca="false">AI17/X17</f>
        <v>0.000462264150943396</v>
      </c>
      <c r="AZ17" s="31" t="n">
        <f aca="false">(J17*10^9)/(M17*AG17^2)</f>
        <v>859.278131634819</v>
      </c>
      <c r="BA17" s="29" t="n">
        <f aca="false">Y17</f>
        <v>0.0001</v>
      </c>
      <c r="BB17" s="29" t="n">
        <f aca="false">MAX(Z17,1)</f>
        <v>1</v>
      </c>
      <c r="BC17" s="29" t="n">
        <f aca="false">AA17</f>
        <v>0.00123</v>
      </c>
      <c r="BD17" s="29" t="n">
        <f aca="false">0.8*BC17</f>
        <v>0.000984</v>
      </c>
      <c r="BE17" s="29" t="n">
        <f aca="false">BC17*1.2</f>
        <v>0.001476</v>
      </c>
      <c r="BF17" s="3" t="str">
        <f aca="false">AC17</f>
        <v>Haider (XXXXX)</v>
      </c>
    </row>
  </sheetData>
  <conditionalFormatting sqref="AP3:BE17">
    <cfRule type="cellIs" priority="2" operator="lessThanOr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15257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2022-02-16T10:14:36Z</dcterms:created>
  <dc:creator>Isa Mohammed</dc:creator>
  <dc:description/>
  <dc:language>en-GB</dc:language>
  <cp:lastModifiedBy/>
  <dcterms:modified xsi:type="dcterms:W3CDTF">2025-07-27T12:04:45Z</dcterms:modified>
  <cp:revision>1303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