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\\Mac\Home\Library\CloudStorage\GoogleDrive-augustine.fan@signalplus.com\My Drive\Spreadsheets\"/>
    </mc:Choice>
  </mc:AlternateContent>
  <xr:revisionPtr revIDLastSave="0" documentId="13_ncr:1_{F195B1E7-7328-46CC-B1C8-10D8170AEEE9}" xr6:coauthVersionLast="47" xr6:coauthVersionMax="47" xr10:uidLastSave="{00000000-0000-0000-0000-000000000000}"/>
  <bookViews>
    <workbookView xWindow="24443" yWindow="803" windowWidth="22522" windowHeight="17969" activeTab="1" xr2:uid="{0E843113-446E-45C4-93B5-935A0CEAADE5}"/>
  </bookViews>
  <sheets>
    <sheet name="Factors" sheetId="5" r:id="rId1"/>
    <sheet name="Example" sheetId="4" r:id="rId2"/>
    <sheet name="Version 2" sheetId="3" r:id="rId3"/>
    <sheet name="Version 1" sheetId="2" r:id="rId4"/>
    <sheet name="IRR" sheetId="1" r:id="rId5"/>
  </sheets>
  <definedNames>
    <definedName name="Historical_Wgt" localSheetId="2">'Version 2'!$L$4</definedName>
    <definedName name="Historical_Wgt">'Version 1'!$K$4</definedName>
    <definedName name="LeadDays" localSheetId="2">'Version 2'!$L$7</definedName>
    <definedName name="LeadDays">'Version 1'!$K$7</definedName>
    <definedName name="Sharpe_Wgt" localSheetId="2">'Version 2'!$L$3</definedName>
    <definedName name="Sharpe_Wgt">'Version 1'!$K$3</definedName>
    <definedName name="SharpePeriod" localSheetId="2">'Version 2'!$L$8</definedName>
    <definedName name="SharpePeriod">'Version 1'!$K$8</definedName>
    <definedName name="Sortino_Wgt" localSheetId="2">'Version 2'!#REF!</definedName>
    <definedName name="Sortino_Wgt">'Version 1'!#REF!</definedName>
    <definedName name="Today_Wgt" localSheetId="2">'Version 2'!$L$5</definedName>
    <definedName name="Today_Wgt">'Version 1'!$K$5</definedName>
  </definedNames>
  <calcPr calcId="191028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4" i="4" l="1"/>
  <c r="L33" i="4"/>
  <c r="L32" i="4"/>
  <c r="L31" i="4"/>
  <c r="L30" i="4"/>
  <c r="L29" i="4"/>
  <c r="L28" i="4"/>
  <c r="L27" i="4"/>
  <c r="L26" i="4"/>
  <c r="L25" i="4"/>
  <c r="L24" i="4"/>
  <c r="L23" i="4"/>
  <c r="L22" i="4"/>
  <c r="L21" i="4"/>
  <c r="I23" i="5"/>
  <c r="I14" i="5"/>
  <c r="I15" i="5"/>
  <c r="I16" i="5"/>
  <c r="I17" i="5"/>
  <c r="I18" i="5"/>
  <c r="I19" i="5"/>
  <c r="I20" i="5"/>
  <c r="I21" i="5"/>
  <c r="I22" i="5"/>
  <c r="T6" i="4"/>
  <c r="T7" i="4" s="1"/>
  <c r="T8" i="4" s="1"/>
  <c r="T9" i="4" s="1"/>
  <c r="T10" i="4" s="1"/>
  <c r="T11" i="4" s="1"/>
  <c r="T12" i="4" s="1"/>
  <c r="T13" i="4" s="1"/>
  <c r="T14" i="4" s="1"/>
  <c r="T15" i="4" s="1"/>
  <c r="T16" i="4" s="1"/>
  <c r="T17" i="4" s="1"/>
  <c r="T18" i="4" s="1"/>
  <c r="T19" i="4" s="1"/>
  <c r="T20" i="4" s="1"/>
  <c r="T21" i="4" s="1"/>
  <c r="T22" i="4" s="1"/>
  <c r="T23" i="4" s="1"/>
  <c r="T24" i="4" s="1"/>
  <c r="T25" i="4" s="1"/>
  <c r="T26" i="4" s="1"/>
  <c r="T27" i="4" s="1"/>
  <c r="T28" i="4" s="1"/>
  <c r="T29" i="4" s="1"/>
  <c r="T30" i="4" s="1"/>
  <c r="T31" i="4" s="1"/>
  <c r="T32" i="4" s="1"/>
  <c r="T33" i="4" s="1"/>
  <c r="T34" i="4" s="1"/>
  <c r="L14" i="3" l="1"/>
  <c r="Y14" i="3"/>
  <c r="AL14" i="3"/>
  <c r="AY14" i="3"/>
  <c r="BL14" i="3"/>
  <c r="O6" i="4" l="1"/>
  <c r="P5" i="4"/>
  <c r="J5" i="4"/>
  <c r="BJ14" i="3"/>
  <c r="AW14" i="3"/>
  <c r="AJ14" i="3"/>
  <c r="W14" i="3"/>
  <c r="O7" i="4" l="1"/>
  <c r="P7" i="4" s="1"/>
  <c r="P6" i="4"/>
  <c r="J14" i="3"/>
  <c r="C6" i="4"/>
  <c r="F35" i="4"/>
  <c r="E35" i="4"/>
  <c r="H5" i="4"/>
  <c r="D6" i="4" s="1"/>
  <c r="G5" i="4"/>
  <c r="B5" i="4"/>
  <c r="B6" i="4" s="1"/>
  <c r="B7" i="4" s="1"/>
  <c r="D5" i="3"/>
  <c r="BF44" i="3"/>
  <c r="BE44" i="3"/>
  <c r="BH43" i="3"/>
  <c r="BG43" i="3"/>
  <c r="BH42" i="3"/>
  <c r="BG42" i="3"/>
  <c r="BH41" i="3"/>
  <c r="BG41" i="3"/>
  <c r="BH40" i="3"/>
  <c r="BG40" i="3"/>
  <c r="BH39" i="3"/>
  <c r="BG39" i="3"/>
  <c r="BH38" i="3"/>
  <c r="BG38" i="3"/>
  <c r="BH37" i="3"/>
  <c r="BG37" i="3"/>
  <c r="BH36" i="3"/>
  <c r="BG36" i="3"/>
  <c r="BH35" i="3"/>
  <c r="BG35" i="3"/>
  <c r="BH34" i="3"/>
  <c r="BG34" i="3"/>
  <c r="BH33" i="3"/>
  <c r="BG33" i="3"/>
  <c r="BH32" i="3"/>
  <c r="BG32" i="3"/>
  <c r="BH31" i="3"/>
  <c r="BG31" i="3"/>
  <c r="BH30" i="3"/>
  <c r="BG30" i="3"/>
  <c r="BH29" i="3"/>
  <c r="BG29" i="3"/>
  <c r="BH28" i="3"/>
  <c r="BG28" i="3"/>
  <c r="BH27" i="3"/>
  <c r="BG27" i="3"/>
  <c r="BH26" i="3"/>
  <c r="BG26" i="3"/>
  <c r="BH25" i="3"/>
  <c r="BG25" i="3"/>
  <c r="BH24" i="3"/>
  <c r="BG24" i="3"/>
  <c r="BH23" i="3"/>
  <c r="BG23" i="3"/>
  <c r="BH22" i="3"/>
  <c r="BG22" i="3"/>
  <c r="BH21" i="3"/>
  <c r="BG21" i="3"/>
  <c r="BH20" i="3"/>
  <c r="BG20" i="3"/>
  <c r="BH19" i="3"/>
  <c r="BG19" i="3"/>
  <c r="BH18" i="3"/>
  <c r="BG18" i="3"/>
  <c r="BH17" i="3"/>
  <c r="BG17" i="3"/>
  <c r="BH16" i="3"/>
  <c r="BG16" i="3"/>
  <c r="BH15" i="3"/>
  <c r="BG15" i="3"/>
  <c r="BH14" i="3"/>
  <c r="BG14" i="3"/>
  <c r="BI14" i="3" s="1"/>
  <c r="BB14" i="3"/>
  <c r="BB15" i="3" s="1"/>
  <c r="AS44" i="3"/>
  <c r="AR44" i="3"/>
  <c r="AT15" i="3"/>
  <c r="AU14" i="3"/>
  <c r="AU15" i="3" s="1"/>
  <c r="AT14" i="3"/>
  <c r="AV14" i="3" s="1"/>
  <c r="AO14" i="3"/>
  <c r="AO15" i="3" s="1"/>
  <c r="AF44" i="3"/>
  <c r="AB14" i="3"/>
  <c r="AB15" i="3" s="1"/>
  <c r="S44" i="3"/>
  <c r="O14" i="3"/>
  <c r="O15" i="3" s="1"/>
  <c r="B14" i="3"/>
  <c r="B15" i="3" s="1"/>
  <c r="D4" i="3"/>
  <c r="D3" i="3"/>
  <c r="BM15" i="2"/>
  <c r="BM16" i="2"/>
  <c r="BM17" i="2"/>
  <c r="BM18" i="2"/>
  <c r="BM19" i="2"/>
  <c r="BM20" i="2"/>
  <c r="BM21" i="2"/>
  <c r="BM22" i="2"/>
  <c r="BM23" i="2"/>
  <c r="BM24" i="2"/>
  <c r="BM25" i="2"/>
  <c r="BM26" i="2"/>
  <c r="BM27" i="2"/>
  <c r="BM28" i="2"/>
  <c r="BM29" i="2"/>
  <c r="BM30" i="2"/>
  <c r="BM31" i="2"/>
  <c r="BM32" i="2"/>
  <c r="BM33" i="2"/>
  <c r="BM34" i="2"/>
  <c r="BM35" i="2"/>
  <c r="BM36" i="2"/>
  <c r="BM37" i="2"/>
  <c r="BM38" i="2"/>
  <c r="BM39" i="2"/>
  <c r="BM40" i="2"/>
  <c r="BM41" i="2"/>
  <c r="BM42" i="2"/>
  <c r="BM43" i="2"/>
  <c r="BM14" i="2"/>
  <c r="BL14" i="2"/>
  <c r="AY14" i="2"/>
  <c r="AL14" i="2"/>
  <c r="Y14" i="2"/>
  <c r="L14" i="2"/>
  <c r="CM14" i="2"/>
  <c r="CM15" i="2"/>
  <c r="CM16" i="2"/>
  <c r="CM17" i="2"/>
  <c r="CM18" i="2"/>
  <c r="CM19" i="2"/>
  <c r="CM20" i="2"/>
  <c r="CM21" i="2"/>
  <c r="CM22" i="2"/>
  <c r="CM23" i="2"/>
  <c r="CM24" i="2"/>
  <c r="CM25" i="2"/>
  <c r="CM26" i="2"/>
  <c r="CM27" i="2"/>
  <c r="CM28" i="2"/>
  <c r="CM29" i="2"/>
  <c r="CM30" i="2"/>
  <c r="CM31" i="2"/>
  <c r="CM32" i="2"/>
  <c r="CM33" i="2"/>
  <c r="CM34" i="2"/>
  <c r="CM35" i="2"/>
  <c r="CM36" i="2"/>
  <c r="CM37" i="2"/>
  <c r="CM38" i="2"/>
  <c r="CM39" i="2"/>
  <c r="CM40" i="2"/>
  <c r="CM41" i="2"/>
  <c r="CM42" i="2"/>
  <c r="CM43" i="2"/>
  <c r="CM44" i="2"/>
  <c r="E9" i="2"/>
  <c r="CF44" i="2"/>
  <c r="CE44" i="2"/>
  <c r="CH43" i="2"/>
  <c r="CG43" i="2"/>
  <c r="CH42" i="2"/>
  <c r="CG42" i="2"/>
  <c r="CH41" i="2"/>
  <c r="CG41" i="2"/>
  <c r="CH40" i="2"/>
  <c r="CG40" i="2"/>
  <c r="CH39" i="2"/>
  <c r="CG39" i="2"/>
  <c r="CH38" i="2"/>
  <c r="CG38" i="2"/>
  <c r="CH37" i="2"/>
  <c r="CG37" i="2"/>
  <c r="CH36" i="2"/>
  <c r="CG36" i="2"/>
  <c r="CH35" i="2"/>
  <c r="CG35" i="2"/>
  <c r="CH34" i="2"/>
  <c r="CG34" i="2"/>
  <c r="CH33" i="2"/>
  <c r="CG33" i="2"/>
  <c r="CH32" i="2"/>
  <c r="CG32" i="2"/>
  <c r="CH31" i="2"/>
  <c r="CG31" i="2"/>
  <c r="CH30" i="2"/>
  <c r="CG30" i="2"/>
  <c r="CH29" i="2"/>
  <c r="CG29" i="2"/>
  <c r="CH28" i="2"/>
  <c r="CG28" i="2"/>
  <c r="CH27" i="2"/>
  <c r="CG27" i="2"/>
  <c r="CH26" i="2"/>
  <c r="CG26" i="2"/>
  <c r="CH25" i="2"/>
  <c r="CG25" i="2"/>
  <c r="CH24" i="2"/>
  <c r="CG24" i="2"/>
  <c r="CH23" i="2"/>
  <c r="CG23" i="2"/>
  <c r="CH22" i="2"/>
  <c r="CG22" i="2"/>
  <c r="CH21" i="2"/>
  <c r="CG21" i="2"/>
  <c r="CH20" i="2"/>
  <c r="CG20" i="2"/>
  <c r="CH19" i="2"/>
  <c r="CG19" i="2"/>
  <c r="CH18" i="2"/>
  <c r="CG18" i="2"/>
  <c r="CH17" i="2"/>
  <c r="CG17" i="2"/>
  <c r="CH16" i="2"/>
  <c r="CG16" i="2"/>
  <c r="CH15" i="2"/>
  <c r="CG15" i="2"/>
  <c r="CL14" i="2"/>
  <c r="CJ14" i="2"/>
  <c r="CH14" i="2"/>
  <c r="CG14" i="2"/>
  <c r="CI14" i="2"/>
  <c r="CK14" i="2"/>
  <c r="CB14" i="2"/>
  <c r="CB15" i="2" s="1"/>
  <c r="BZ14" i="2"/>
  <c r="BZ15" i="2"/>
  <c r="BZ16" i="2"/>
  <c r="BZ17" i="2"/>
  <c r="BZ18" i="2"/>
  <c r="BZ19" i="2"/>
  <c r="BZ20" i="2"/>
  <c r="BZ21" i="2"/>
  <c r="BZ22" i="2"/>
  <c r="BZ23" i="2"/>
  <c r="BZ24" i="2"/>
  <c r="BZ25" i="2"/>
  <c r="BZ26" i="2"/>
  <c r="BZ27" i="2"/>
  <c r="BZ28" i="2"/>
  <c r="BZ29" i="2"/>
  <c r="BZ30" i="2"/>
  <c r="BZ31" i="2"/>
  <c r="BZ32" i="2"/>
  <c r="BZ33" i="2"/>
  <c r="BZ34" i="2"/>
  <c r="BZ35" i="2"/>
  <c r="BZ36" i="2"/>
  <c r="BZ37" i="2"/>
  <c r="BZ38" i="2"/>
  <c r="BZ39" i="2"/>
  <c r="BZ40" i="2"/>
  <c r="BZ41" i="2"/>
  <c r="BZ42" i="2"/>
  <c r="BZ43" i="2"/>
  <c r="BY14" i="2"/>
  <c r="BW14" i="2"/>
  <c r="AZ14" i="2"/>
  <c r="AR14" i="2" s="1"/>
  <c r="AZ15" i="2"/>
  <c r="AZ16" i="2"/>
  <c r="AZ17" i="2"/>
  <c r="AZ18" i="2"/>
  <c r="AZ19" i="2"/>
  <c r="AZ20" i="2"/>
  <c r="AZ21" i="2"/>
  <c r="AZ22" i="2"/>
  <c r="AZ23" i="2"/>
  <c r="AZ24" i="2"/>
  <c r="AZ25" i="2"/>
  <c r="AZ26" i="2"/>
  <c r="AZ27" i="2"/>
  <c r="AZ28" i="2"/>
  <c r="AZ29" i="2"/>
  <c r="AZ30" i="2"/>
  <c r="AZ31" i="2"/>
  <c r="AZ32" i="2"/>
  <c r="AZ33" i="2"/>
  <c r="AZ34" i="2"/>
  <c r="AZ35" i="2"/>
  <c r="AZ36" i="2"/>
  <c r="AZ37" i="2"/>
  <c r="AZ38" i="2"/>
  <c r="AZ39" i="2"/>
  <c r="AZ40" i="2"/>
  <c r="AZ41" i="2"/>
  <c r="AZ42" i="2"/>
  <c r="AZ43" i="2"/>
  <c r="BJ14" i="2"/>
  <c r="AW14" i="2"/>
  <c r="AM14" i="2"/>
  <c r="AE14" i="2" s="1"/>
  <c r="AG14" i="2" s="1"/>
  <c r="AI14" i="2" s="1"/>
  <c r="AK14" i="2" s="1"/>
  <c r="AM15" i="2"/>
  <c r="AE15" i="2" s="1"/>
  <c r="AM16" i="2"/>
  <c r="AE16" i="2" s="1"/>
  <c r="AM17" i="2"/>
  <c r="AM18" i="2"/>
  <c r="AE18" i="2" s="1"/>
  <c r="AM19" i="2"/>
  <c r="AE19" i="2" s="1"/>
  <c r="AM20" i="2"/>
  <c r="AE20" i="2" s="1"/>
  <c r="AM21" i="2"/>
  <c r="AE21" i="2" s="1"/>
  <c r="AM22" i="2"/>
  <c r="AE22" i="2" s="1"/>
  <c r="AM23" i="2"/>
  <c r="AE23" i="2" s="1"/>
  <c r="AM24" i="2"/>
  <c r="AE24" i="2" s="1"/>
  <c r="AM25" i="2"/>
  <c r="AE25" i="2" s="1"/>
  <c r="AM26" i="2"/>
  <c r="AE26" i="2" s="1"/>
  <c r="AM27" i="2"/>
  <c r="AE27" i="2" s="1"/>
  <c r="AM28" i="2"/>
  <c r="AE28" i="2" s="1"/>
  <c r="AM29" i="2"/>
  <c r="AE29" i="2" s="1"/>
  <c r="AM30" i="2"/>
  <c r="AE30" i="2" s="1"/>
  <c r="AM31" i="2"/>
  <c r="AE31" i="2" s="1"/>
  <c r="AM32" i="2"/>
  <c r="AE32" i="2" s="1"/>
  <c r="AM33" i="2"/>
  <c r="AE33" i="2" s="1"/>
  <c r="AM34" i="2"/>
  <c r="AE34" i="2" s="1"/>
  <c r="AM35" i="2"/>
  <c r="AE35" i="2" s="1"/>
  <c r="AM36" i="2"/>
  <c r="AE36" i="2" s="1"/>
  <c r="AM37" i="2"/>
  <c r="AE37" i="2" s="1"/>
  <c r="AM38" i="2"/>
  <c r="AE38" i="2" s="1"/>
  <c r="AM39" i="2"/>
  <c r="AE39" i="2" s="1"/>
  <c r="AM40" i="2"/>
  <c r="AE40" i="2" s="1"/>
  <c r="AM41" i="2"/>
  <c r="AE41" i="2" s="1"/>
  <c r="AM42" i="2"/>
  <c r="AE42" i="2" s="1"/>
  <c r="AM43" i="2"/>
  <c r="AE43" i="2" s="1"/>
  <c r="Z14" i="2"/>
  <c r="R14" i="2" s="1"/>
  <c r="Z15" i="2"/>
  <c r="R15" i="2" s="1"/>
  <c r="Z16" i="2"/>
  <c r="R16" i="2" s="1"/>
  <c r="Z17" i="2"/>
  <c r="R17" i="2" s="1"/>
  <c r="Z18" i="2"/>
  <c r="R18" i="2" s="1"/>
  <c r="Z19" i="2"/>
  <c r="R19" i="2" s="1"/>
  <c r="Z20" i="2"/>
  <c r="R20" i="2" s="1"/>
  <c r="Z21" i="2"/>
  <c r="R21" i="2" s="1"/>
  <c r="Z22" i="2"/>
  <c r="R22" i="2" s="1"/>
  <c r="Z23" i="2"/>
  <c r="R23" i="2" s="1"/>
  <c r="Z24" i="2"/>
  <c r="R24" i="2" s="1"/>
  <c r="Z25" i="2"/>
  <c r="R25" i="2" s="1"/>
  <c r="Z26" i="2"/>
  <c r="R26" i="2" s="1"/>
  <c r="Z27" i="2"/>
  <c r="R27" i="2" s="1"/>
  <c r="Z28" i="2"/>
  <c r="R28" i="2" s="1"/>
  <c r="Z29" i="2"/>
  <c r="R29" i="2" s="1"/>
  <c r="Z30" i="2"/>
  <c r="R30" i="2" s="1"/>
  <c r="Z31" i="2"/>
  <c r="R31" i="2" s="1"/>
  <c r="Z32" i="2"/>
  <c r="R32" i="2" s="1"/>
  <c r="Z33" i="2"/>
  <c r="R33" i="2" s="1"/>
  <c r="Z34" i="2"/>
  <c r="R34" i="2" s="1"/>
  <c r="Z35" i="2"/>
  <c r="R35" i="2" s="1"/>
  <c r="Z36" i="2"/>
  <c r="R36" i="2" s="1"/>
  <c r="Z37" i="2"/>
  <c r="R37" i="2" s="1"/>
  <c r="Z38" i="2"/>
  <c r="R38" i="2" s="1"/>
  <c r="Z39" i="2"/>
  <c r="R39" i="2" s="1"/>
  <c r="Z40" i="2"/>
  <c r="R40" i="2" s="1"/>
  <c r="Z41" i="2"/>
  <c r="R41" i="2" s="1"/>
  <c r="Z42" i="2"/>
  <c r="R42" i="2" s="1"/>
  <c r="Z43" i="2"/>
  <c r="R43" i="2" s="1"/>
  <c r="AJ14" i="2"/>
  <c r="W14" i="2"/>
  <c r="J14" i="2"/>
  <c r="M14" i="2"/>
  <c r="E14" i="2" s="1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BZ44" i="2"/>
  <c r="E8" i="2"/>
  <c r="CG44" i="2"/>
  <c r="CI15" i="2"/>
  <c r="BM44" i="2"/>
  <c r="E7" i="2"/>
  <c r="CI16" i="2"/>
  <c r="CK15" i="2"/>
  <c r="CI17" i="2"/>
  <c r="CK16" i="2"/>
  <c r="CK17" i="2"/>
  <c r="CI18" i="2"/>
  <c r="CK18" i="2"/>
  <c r="CI19" i="2"/>
  <c r="CI20" i="2"/>
  <c r="CK19" i="2"/>
  <c r="CI21" i="2"/>
  <c r="CK20" i="2"/>
  <c r="CK21" i="2"/>
  <c r="CI22" i="2"/>
  <c r="CK22" i="2"/>
  <c r="CI23" i="2"/>
  <c r="CI24" i="2"/>
  <c r="CK23" i="2"/>
  <c r="CI25" i="2"/>
  <c r="CK24" i="2"/>
  <c r="CK25" i="2"/>
  <c r="CI26" i="2"/>
  <c r="CK26" i="2"/>
  <c r="CI27" i="2"/>
  <c r="CI28" i="2"/>
  <c r="CK27" i="2"/>
  <c r="CI29" i="2"/>
  <c r="CK28" i="2"/>
  <c r="CK29" i="2"/>
  <c r="CI30" i="2"/>
  <c r="CK30" i="2"/>
  <c r="CI31" i="2"/>
  <c r="CI32" i="2"/>
  <c r="CK31" i="2"/>
  <c r="CI33" i="2"/>
  <c r="CK32" i="2"/>
  <c r="CK33" i="2"/>
  <c r="CI34" i="2"/>
  <c r="CK34" i="2"/>
  <c r="CI35" i="2"/>
  <c r="CI36" i="2"/>
  <c r="CK35" i="2"/>
  <c r="CI37" i="2"/>
  <c r="CK36" i="2"/>
  <c r="CK37" i="2"/>
  <c r="CI38" i="2"/>
  <c r="CK38" i="2"/>
  <c r="CI39" i="2"/>
  <c r="CI40" i="2"/>
  <c r="CK39" i="2"/>
  <c r="CI41" i="2"/>
  <c r="CK40" i="2"/>
  <c r="CK41" i="2"/>
  <c r="CI42" i="2"/>
  <c r="CK42" i="2"/>
  <c r="CI43" i="2"/>
  <c r="CK43" i="2"/>
  <c r="H9" i="2" s="1"/>
  <c r="F9" i="2"/>
  <c r="BS44" i="2"/>
  <c r="BR44" i="2"/>
  <c r="BU14" i="2"/>
  <c r="BT14" i="2"/>
  <c r="BV14" i="2"/>
  <c r="BO14" i="2"/>
  <c r="BO15" i="2" s="1"/>
  <c r="K5" i="2"/>
  <c r="D4" i="2"/>
  <c r="S43" i="2"/>
  <c r="S42" i="2"/>
  <c r="S41" i="2"/>
  <c r="S40" i="2"/>
  <c r="S39" i="2"/>
  <c r="S38" i="2"/>
  <c r="S37" i="2"/>
  <c r="S36" i="2"/>
  <c r="S35" i="2"/>
  <c r="S34" i="2"/>
  <c r="S33" i="2"/>
  <c r="S32" i="2"/>
  <c r="S31" i="2"/>
  <c r="S30" i="2"/>
  <c r="S29" i="2"/>
  <c r="S28" i="2"/>
  <c r="S27" i="2"/>
  <c r="S26" i="2"/>
  <c r="S25" i="2"/>
  <c r="S24" i="2"/>
  <c r="S23" i="2"/>
  <c r="S22" i="2"/>
  <c r="S21" i="2"/>
  <c r="S20" i="2"/>
  <c r="S19" i="2"/>
  <c r="S18" i="2"/>
  <c r="S17" i="2"/>
  <c r="S16" i="2"/>
  <c r="S15" i="2"/>
  <c r="S14" i="2"/>
  <c r="O14" i="2"/>
  <c r="O15" i="2" s="1"/>
  <c r="D3" i="2"/>
  <c r="D7" i="2"/>
  <c r="D6" i="2"/>
  <c r="D5" i="2"/>
  <c r="BF44" i="2"/>
  <c r="BB14" i="2"/>
  <c r="BB15" i="2" s="1"/>
  <c r="AO14" i="2"/>
  <c r="AO15" i="2" s="1"/>
  <c r="AO16" i="2" s="1"/>
  <c r="AO17" i="2" s="1"/>
  <c r="AB14" i="2"/>
  <c r="AB15" i="2" s="1"/>
  <c r="B14" i="2"/>
  <c r="B15" i="2" s="1"/>
  <c r="C15" i="2" s="1"/>
  <c r="J15" i="2" s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K30" i="1" s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M31" i="1"/>
  <c r="B5" i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X14" i="2"/>
  <c r="BT44" i="2"/>
  <c r="BU15" i="2"/>
  <c r="BT15" i="2"/>
  <c r="BV15" i="2"/>
  <c r="BE44" i="2"/>
  <c r="BG44" i="2"/>
  <c r="BH14" i="2"/>
  <c r="BD15" i="2"/>
  <c r="BG14" i="2"/>
  <c r="BI14" i="2"/>
  <c r="AS44" i="2"/>
  <c r="AF44" i="2"/>
  <c r="BX15" i="2"/>
  <c r="BK14" i="2"/>
  <c r="BU16" i="2"/>
  <c r="BT16" i="2"/>
  <c r="BV16" i="2"/>
  <c r="BH15" i="2"/>
  <c r="BD16" i="2"/>
  <c r="BG15" i="2"/>
  <c r="BX16" i="2"/>
  <c r="BI15" i="2"/>
  <c r="BU17" i="2"/>
  <c r="BT17" i="2"/>
  <c r="BV17" i="2"/>
  <c r="BH16" i="2"/>
  <c r="BD17" i="2"/>
  <c r="BG16" i="2"/>
  <c r="BX17" i="2"/>
  <c r="BI16" i="2"/>
  <c r="BK15" i="2"/>
  <c r="BU18" i="2"/>
  <c r="BT18" i="2"/>
  <c r="BV18" i="2"/>
  <c r="BH17" i="2"/>
  <c r="BD18" i="2"/>
  <c r="BG17" i="2"/>
  <c r="BX18" i="2"/>
  <c r="BI17" i="2"/>
  <c r="BK16" i="2"/>
  <c r="BU19" i="2"/>
  <c r="BT19" i="2"/>
  <c r="BV19" i="2"/>
  <c r="BH18" i="2"/>
  <c r="BD19" i="2"/>
  <c r="BG18" i="2"/>
  <c r="BX19" i="2"/>
  <c r="BI18" i="2"/>
  <c r="BK17" i="2"/>
  <c r="BU20" i="2"/>
  <c r="BT20" i="2"/>
  <c r="BV20" i="2"/>
  <c r="BH19" i="2"/>
  <c r="BD20" i="2"/>
  <c r="BG19" i="2"/>
  <c r="BX20" i="2"/>
  <c r="BK18" i="2"/>
  <c r="BI19" i="2"/>
  <c r="BU21" i="2"/>
  <c r="BT21" i="2"/>
  <c r="BV21" i="2"/>
  <c r="BH20" i="2"/>
  <c r="BD21" i="2"/>
  <c r="BG20" i="2"/>
  <c r="BX21" i="2"/>
  <c r="BK19" i="2"/>
  <c r="BI20" i="2"/>
  <c r="BU22" i="2"/>
  <c r="BT22" i="2"/>
  <c r="BV22" i="2"/>
  <c r="BH21" i="2"/>
  <c r="BD22" i="2"/>
  <c r="BG21" i="2"/>
  <c r="BX22" i="2"/>
  <c r="BK20" i="2"/>
  <c r="BI21" i="2"/>
  <c r="BU23" i="2"/>
  <c r="BT23" i="2"/>
  <c r="BV23" i="2"/>
  <c r="BH22" i="2"/>
  <c r="BD23" i="2"/>
  <c r="BG22" i="2"/>
  <c r="BX23" i="2"/>
  <c r="BI22" i="2"/>
  <c r="BK21" i="2"/>
  <c r="BU24" i="2"/>
  <c r="BT24" i="2"/>
  <c r="BV24" i="2"/>
  <c r="BH23" i="2"/>
  <c r="BD24" i="2"/>
  <c r="BG23" i="2"/>
  <c r="BX24" i="2"/>
  <c r="BK22" i="2"/>
  <c r="BI23" i="2"/>
  <c r="BU25" i="2"/>
  <c r="BT25" i="2"/>
  <c r="BV25" i="2"/>
  <c r="BH24" i="2"/>
  <c r="BD25" i="2"/>
  <c r="BG24" i="2"/>
  <c r="BX25" i="2"/>
  <c r="BK23" i="2"/>
  <c r="BI24" i="2"/>
  <c r="BU26" i="2"/>
  <c r="BT26" i="2"/>
  <c r="BV26" i="2"/>
  <c r="BH25" i="2"/>
  <c r="BD26" i="2"/>
  <c r="BG25" i="2"/>
  <c r="BX26" i="2"/>
  <c r="BI25" i="2"/>
  <c r="BK24" i="2"/>
  <c r="BU27" i="2"/>
  <c r="BT27" i="2"/>
  <c r="BV27" i="2"/>
  <c r="BH26" i="2"/>
  <c r="BD27" i="2"/>
  <c r="BG26" i="2"/>
  <c r="BX27" i="2"/>
  <c r="BI26" i="2"/>
  <c r="BK25" i="2"/>
  <c r="BU28" i="2"/>
  <c r="BT28" i="2"/>
  <c r="BV28" i="2"/>
  <c r="BH27" i="2"/>
  <c r="BD28" i="2"/>
  <c r="BG27" i="2"/>
  <c r="BX28" i="2"/>
  <c r="BI27" i="2"/>
  <c r="BK26" i="2"/>
  <c r="BU29" i="2"/>
  <c r="BT29" i="2"/>
  <c r="BV29" i="2"/>
  <c r="BH28" i="2"/>
  <c r="BD29" i="2"/>
  <c r="BG28" i="2"/>
  <c r="BX29" i="2"/>
  <c r="BI28" i="2"/>
  <c r="BK27" i="2"/>
  <c r="BU30" i="2"/>
  <c r="BT30" i="2"/>
  <c r="BV30" i="2"/>
  <c r="BH29" i="2"/>
  <c r="BD30" i="2"/>
  <c r="BG29" i="2"/>
  <c r="BX30" i="2"/>
  <c r="BK28" i="2"/>
  <c r="BI29" i="2"/>
  <c r="BU31" i="2"/>
  <c r="BT31" i="2"/>
  <c r="BV31" i="2"/>
  <c r="BG30" i="2"/>
  <c r="BH30" i="2"/>
  <c r="BD31" i="2"/>
  <c r="BX31" i="2"/>
  <c r="BK29" i="2"/>
  <c r="BI30" i="2"/>
  <c r="BU32" i="2"/>
  <c r="BT32" i="2"/>
  <c r="BV32" i="2"/>
  <c r="BG31" i="2"/>
  <c r="BH31" i="2"/>
  <c r="BD32" i="2"/>
  <c r="BX32" i="2"/>
  <c r="BI31" i="2"/>
  <c r="BK30" i="2"/>
  <c r="BU33" i="2"/>
  <c r="BT33" i="2"/>
  <c r="BV33" i="2"/>
  <c r="BG32" i="2"/>
  <c r="BH32" i="2"/>
  <c r="BD33" i="2"/>
  <c r="BX33" i="2"/>
  <c r="BK31" i="2"/>
  <c r="BI32" i="2"/>
  <c r="BU34" i="2"/>
  <c r="BT34" i="2"/>
  <c r="BV34" i="2"/>
  <c r="BG33" i="2"/>
  <c r="BH33" i="2"/>
  <c r="BD34" i="2"/>
  <c r="BX34" i="2"/>
  <c r="BK32" i="2"/>
  <c r="BI33" i="2"/>
  <c r="BU35" i="2"/>
  <c r="BT35" i="2"/>
  <c r="BV35" i="2"/>
  <c r="BH34" i="2"/>
  <c r="BD35" i="2"/>
  <c r="BG34" i="2"/>
  <c r="BX35" i="2"/>
  <c r="BI34" i="2"/>
  <c r="BK33" i="2"/>
  <c r="BU36" i="2"/>
  <c r="BT36" i="2"/>
  <c r="BV36" i="2"/>
  <c r="BG35" i="2"/>
  <c r="BH35" i="2"/>
  <c r="BD36" i="2"/>
  <c r="BX36" i="2"/>
  <c r="BK34" i="2"/>
  <c r="BI35" i="2"/>
  <c r="BU37" i="2"/>
  <c r="BT37" i="2"/>
  <c r="BV37" i="2"/>
  <c r="BG36" i="2"/>
  <c r="BH36" i="2"/>
  <c r="BD37" i="2"/>
  <c r="BX37" i="2"/>
  <c r="BI36" i="2"/>
  <c r="BK35" i="2"/>
  <c r="BU38" i="2"/>
  <c r="BT38" i="2"/>
  <c r="BV38" i="2"/>
  <c r="BH37" i="2"/>
  <c r="BD38" i="2"/>
  <c r="BG37" i="2"/>
  <c r="BX38" i="2"/>
  <c r="BK36" i="2"/>
  <c r="BI37" i="2"/>
  <c r="BU39" i="2"/>
  <c r="BT39" i="2"/>
  <c r="BV39" i="2"/>
  <c r="BG38" i="2"/>
  <c r="BH38" i="2"/>
  <c r="BD39" i="2"/>
  <c r="BX39" i="2"/>
  <c r="BI38" i="2"/>
  <c r="BK37" i="2"/>
  <c r="BU40" i="2"/>
  <c r="BT40" i="2"/>
  <c r="BV40" i="2"/>
  <c r="BG39" i="2"/>
  <c r="BH39" i="2"/>
  <c r="BD40" i="2"/>
  <c r="BX40" i="2"/>
  <c r="BK38" i="2"/>
  <c r="BI39" i="2"/>
  <c r="BU41" i="2"/>
  <c r="BT41" i="2"/>
  <c r="BV41" i="2"/>
  <c r="BH40" i="2"/>
  <c r="BD41" i="2"/>
  <c r="BG40" i="2"/>
  <c r="BX41" i="2"/>
  <c r="BK39" i="2"/>
  <c r="BI40" i="2"/>
  <c r="BU42" i="2"/>
  <c r="BT42" i="2"/>
  <c r="BV42" i="2"/>
  <c r="BG41" i="2"/>
  <c r="BH41" i="2"/>
  <c r="BD42" i="2"/>
  <c r="BX42" i="2"/>
  <c r="BK40" i="2"/>
  <c r="BI41" i="2"/>
  <c r="BU43" i="2"/>
  <c r="BT43" i="2"/>
  <c r="BV43" i="2"/>
  <c r="BG42" i="2"/>
  <c r="BH42" i="2"/>
  <c r="BD43" i="2"/>
  <c r="BX43" i="2"/>
  <c r="F8" i="2"/>
  <c r="BI42" i="2"/>
  <c r="BK41" i="2"/>
  <c r="BG43" i="2"/>
  <c r="BH43" i="2"/>
  <c r="BK42" i="2"/>
  <c r="BI43" i="2"/>
  <c r="BK43" i="2"/>
  <c r="F7" i="2"/>
  <c r="Q5" i="4" l="1"/>
  <c r="I5" i="4"/>
  <c r="J6" i="4"/>
  <c r="O8" i="4"/>
  <c r="C7" i="4"/>
  <c r="G7" i="3"/>
  <c r="H7" i="3" s="1"/>
  <c r="E7" i="3"/>
  <c r="H6" i="4"/>
  <c r="D7" i="4" s="1"/>
  <c r="G6" i="4"/>
  <c r="Q6" i="4" s="1"/>
  <c r="B8" i="4"/>
  <c r="G14" i="3"/>
  <c r="I14" i="3" s="1"/>
  <c r="BB16" i="3"/>
  <c r="BC15" i="3"/>
  <c r="BL15" i="3" s="1"/>
  <c r="AO16" i="3"/>
  <c r="AP15" i="3"/>
  <c r="AY15" i="3" s="1"/>
  <c r="AU16" i="3"/>
  <c r="AT16" i="3"/>
  <c r="AC15" i="3"/>
  <c r="AL15" i="3" s="1"/>
  <c r="AB16" i="3"/>
  <c r="AE44" i="3"/>
  <c r="AH14" i="3"/>
  <c r="AD15" i="3" s="1"/>
  <c r="AH15" i="3" s="1"/>
  <c r="AD16" i="3" s="1"/>
  <c r="AH16" i="3" s="1"/>
  <c r="AD17" i="3" s="1"/>
  <c r="AH17" i="3" s="1"/>
  <c r="AD18" i="3" s="1"/>
  <c r="AG14" i="3"/>
  <c r="AI14" i="3" s="1"/>
  <c r="K25" i="1"/>
  <c r="O8" i="1"/>
  <c r="AZ44" i="2"/>
  <c r="C7" i="1"/>
  <c r="S44" i="2"/>
  <c r="F44" i="3"/>
  <c r="K27" i="1"/>
  <c r="K19" i="1"/>
  <c r="K17" i="1"/>
  <c r="K9" i="1"/>
  <c r="K23" i="1"/>
  <c r="K29" i="1"/>
  <c r="O13" i="1"/>
  <c r="G5" i="1"/>
  <c r="I5" i="1" s="1"/>
  <c r="K28" i="1"/>
  <c r="B16" i="3"/>
  <c r="C15" i="3"/>
  <c r="L15" i="3" s="1"/>
  <c r="P15" i="3"/>
  <c r="Y15" i="3" s="1"/>
  <c r="O16" i="3"/>
  <c r="O9" i="1"/>
  <c r="H14" i="3"/>
  <c r="L15" i="2"/>
  <c r="K24" i="1"/>
  <c r="K16" i="1"/>
  <c r="K8" i="1"/>
  <c r="F44" i="2"/>
  <c r="AO18" i="2"/>
  <c r="AP18" i="2" s="1"/>
  <c r="AP17" i="2"/>
  <c r="AY17" i="2" s="1"/>
  <c r="K20" i="1"/>
  <c r="O16" i="1"/>
  <c r="O12" i="1"/>
  <c r="AP15" i="2"/>
  <c r="AY15" i="2" s="1"/>
  <c r="O5" i="1"/>
  <c r="K21" i="1"/>
  <c r="K13" i="1"/>
  <c r="O7" i="1"/>
  <c r="AR44" i="2"/>
  <c r="AT44" i="2" s="1"/>
  <c r="AT14" i="2"/>
  <c r="AV14" i="2" s="1"/>
  <c r="AU14" i="2"/>
  <c r="AQ15" i="2" s="1"/>
  <c r="AT15" i="2" s="1"/>
  <c r="C12" i="1"/>
  <c r="C8" i="1"/>
  <c r="K5" i="1"/>
  <c r="AP16" i="2"/>
  <c r="O17" i="1"/>
  <c r="G14" i="2"/>
  <c r="I14" i="2" s="1"/>
  <c r="P15" i="2"/>
  <c r="W15" i="2" s="1"/>
  <c r="R44" i="2"/>
  <c r="BP15" i="2"/>
  <c r="H14" i="2"/>
  <c r="D15" i="2" s="1"/>
  <c r="Z44" i="2"/>
  <c r="AM44" i="2"/>
  <c r="C11" i="1"/>
  <c r="B16" i="2"/>
  <c r="U14" i="2"/>
  <c r="Q15" i="2" s="1"/>
  <c r="H5" i="1"/>
  <c r="D6" i="1" s="1"/>
  <c r="H6" i="1" s="1"/>
  <c r="D7" i="1" s="1"/>
  <c r="K12" i="1"/>
  <c r="K26" i="1"/>
  <c r="K22" i="1"/>
  <c r="K18" i="1"/>
  <c r="O14" i="1"/>
  <c r="B18" i="1"/>
  <c r="C17" i="1"/>
  <c r="C16" i="1"/>
  <c r="C15" i="1"/>
  <c r="C13" i="1"/>
  <c r="C14" i="1"/>
  <c r="K10" i="1"/>
  <c r="O10" i="1"/>
  <c r="K6" i="1"/>
  <c r="O6" i="1"/>
  <c r="BC15" i="2"/>
  <c r="BB16" i="2"/>
  <c r="E31" i="1"/>
  <c r="K14" i="1"/>
  <c r="O15" i="1"/>
  <c r="K15" i="1"/>
  <c r="K11" i="1"/>
  <c r="O11" i="1"/>
  <c r="K7" i="1"/>
  <c r="F31" i="1"/>
  <c r="AH14" i="2"/>
  <c r="AD15" i="2" s="1"/>
  <c r="C9" i="1"/>
  <c r="CC15" i="2"/>
  <c r="CB16" i="2"/>
  <c r="C10" i="1"/>
  <c r="C6" i="1"/>
  <c r="AB16" i="2"/>
  <c r="AC15" i="2"/>
  <c r="O16" i="2"/>
  <c r="BO16" i="2"/>
  <c r="M44" i="2"/>
  <c r="T14" i="2"/>
  <c r="V14" i="2" s="1"/>
  <c r="AE17" i="2"/>
  <c r="I6" i="4" l="1"/>
  <c r="AH18" i="3"/>
  <c r="AD19" i="3" s="1"/>
  <c r="AG18" i="3"/>
  <c r="AV15" i="3"/>
  <c r="BI15" i="3"/>
  <c r="P8" i="4"/>
  <c r="O9" i="4"/>
  <c r="W15" i="3"/>
  <c r="AJ15" i="3"/>
  <c r="C8" i="4"/>
  <c r="J7" i="4"/>
  <c r="BJ15" i="3"/>
  <c r="AW15" i="3"/>
  <c r="J15" i="3"/>
  <c r="G7" i="4"/>
  <c r="Q7" i="4" s="1"/>
  <c r="H7" i="4"/>
  <c r="D8" i="4" s="1"/>
  <c r="B9" i="4"/>
  <c r="BB17" i="3"/>
  <c r="BC16" i="3"/>
  <c r="BL16" i="3" s="1"/>
  <c r="AU17" i="3"/>
  <c r="AT17" i="3"/>
  <c r="AP16" i="3"/>
  <c r="AY16" i="3" s="1"/>
  <c r="AO17" i="3"/>
  <c r="AG16" i="3"/>
  <c r="AG15" i="3"/>
  <c r="AI15" i="3" s="1"/>
  <c r="AG17" i="3"/>
  <c r="AC16" i="3"/>
  <c r="AL16" i="3" s="1"/>
  <c r="AB17" i="3"/>
  <c r="D15" i="3"/>
  <c r="G6" i="1"/>
  <c r="I6" i="1" s="1"/>
  <c r="AW15" i="2"/>
  <c r="AW17" i="2"/>
  <c r="J5" i="1"/>
  <c r="J31" i="1" s="1"/>
  <c r="AW18" i="2"/>
  <c r="AY18" i="2"/>
  <c r="AO19" i="2"/>
  <c r="AO20" i="2" s="1"/>
  <c r="Y15" i="2"/>
  <c r="R44" i="3"/>
  <c r="T14" i="3"/>
  <c r="V14" i="3" s="1"/>
  <c r="U14" i="3"/>
  <c r="Q15" i="3" s="1"/>
  <c r="O17" i="3"/>
  <c r="P16" i="3"/>
  <c r="Y16" i="3" s="1"/>
  <c r="B17" i="3"/>
  <c r="C16" i="3"/>
  <c r="L16" i="3" s="1"/>
  <c r="H7" i="1"/>
  <c r="D8" i="1" s="1"/>
  <c r="G7" i="1"/>
  <c r="I7" i="1" s="1"/>
  <c r="AX14" i="2"/>
  <c r="AV15" i="2"/>
  <c r="AX15" i="2" s="1"/>
  <c r="BY15" i="2"/>
  <c r="BW15" i="2"/>
  <c r="U15" i="2"/>
  <c r="Q16" i="2" s="1"/>
  <c r="T15" i="2"/>
  <c r="V15" i="2" s="1"/>
  <c r="AY16" i="2"/>
  <c r="AW16" i="2"/>
  <c r="AU15" i="2"/>
  <c r="AQ16" i="2" s="1"/>
  <c r="AU16" i="2" s="1"/>
  <c r="AQ17" i="2" s="1"/>
  <c r="B17" i="2"/>
  <c r="C16" i="2"/>
  <c r="E15" i="2"/>
  <c r="G15" i="2" s="1"/>
  <c r="I15" i="2" s="1"/>
  <c r="K14" i="2"/>
  <c r="BO17" i="2"/>
  <c r="BP16" i="2"/>
  <c r="AE44" i="2"/>
  <c r="BB17" i="2"/>
  <c r="BC16" i="2"/>
  <c r="B19" i="1"/>
  <c r="C18" i="1"/>
  <c r="AG15" i="2"/>
  <c r="AI15" i="2" s="1"/>
  <c r="AH15" i="2"/>
  <c r="AD16" i="2" s="1"/>
  <c r="G31" i="1"/>
  <c r="BL15" i="2"/>
  <c r="BJ15" i="2"/>
  <c r="X14" i="2"/>
  <c r="AL15" i="2"/>
  <c r="AJ15" i="2"/>
  <c r="CB17" i="2"/>
  <c r="CC16" i="2"/>
  <c r="P16" i="2"/>
  <c r="O17" i="2"/>
  <c r="AB17" i="2"/>
  <c r="AC16" i="2"/>
  <c r="CJ15" i="2"/>
  <c r="CL15" i="2"/>
  <c r="K31" i="1"/>
  <c r="I7" i="4" l="1"/>
  <c r="AH19" i="3"/>
  <c r="AD20" i="3" s="1"/>
  <c r="AG19" i="3"/>
  <c r="AV16" i="3"/>
  <c r="AI16" i="3"/>
  <c r="BI16" i="3"/>
  <c r="O10" i="4"/>
  <c r="P9" i="4"/>
  <c r="W16" i="3"/>
  <c r="AJ16" i="3"/>
  <c r="C9" i="4"/>
  <c r="J8" i="4"/>
  <c r="BJ16" i="3"/>
  <c r="AW16" i="3"/>
  <c r="J16" i="3"/>
  <c r="H8" i="4"/>
  <c r="D9" i="4" s="1"/>
  <c r="G8" i="4"/>
  <c r="Q8" i="4" s="1"/>
  <c r="B10" i="4"/>
  <c r="BB18" i="3"/>
  <c r="BC17" i="3"/>
  <c r="BL17" i="3" s="1"/>
  <c r="AO18" i="3"/>
  <c r="AP17" i="3"/>
  <c r="AY17" i="3" s="1"/>
  <c r="AU18" i="3"/>
  <c r="AT18" i="3"/>
  <c r="AC17" i="3"/>
  <c r="AL17" i="3" s="1"/>
  <c r="AB18" i="3"/>
  <c r="H15" i="3"/>
  <c r="G15" i="3"/>
  <c r="I15" i="3" s="1"/>
  <c r="J6" i="1"/>
  <c r="AP19" i="2"/>
  <c r="AY19" i="2" s="1"/>
  <c r="J7" i="1"/>
  <c r="AT16" i="2"/>
  <c r="AV16" i="2" s="1"/>
  <c r="AX16" i="2" s="1"/>
  <c r="O18" i="3"/>
  <c r="P17" i="3"/>
  <c r="Y17" i="3" s="1"/>
  <c r="U15" i="3"/>
  <c r="Q16" i="3" s="1"/>
  <c r="T15" i="3"/>
  <c r="V15" i="3" s="1"/>
  <c r="B18" i="3"/>
  <c r="C17" i="3"/>
  <c r="L17" i="3" s="1"/>
  <c r="K32" i="1"/>
  <c r="K15" i="2"/>
  <c r="J16" i="2"/>
  <c r="L16" i="2"/>
  <c r="B18" i="2"/>
  <c r="C17" i="2"/>
  <c r="H15" i="2"/>
  <c r="D16" i="2" s="1"/>
  <c r="U16" i="2"/>
  <c r="Q17" i="2" s="1"/>
  <c r="T16" i="2"/>
  <c r="V16" i="2" s="1"/>
  <c r="AO21" i="2"/>
  <c r="AP20" i="2"/>
  <c r="H8" i="1"/>
  <c r="D9" i="1" s="1"/>
  <c r="G8" i="1"/>
  <c r="P17" i="2"/>
  <c r="O18" i="2"/>
  <c r="CB18" i="2"/>
  <c r="CC17" i="2"/>
  <c r="X15" i="2"/>
  <c r="Y16" i="2"/>
  <c r="W16" i="2"/>
  <c r="B20" i="1"/>
  <c r="C19" i="1"/>
  <c r="BY16" i="2"/>
  <c r="BW16" i="2"/>
  <c r="AL16" i="2"/>
  <c r="AJ16" i="2"/>
  <c r="AU17" i="2"/>
  <c r="AQ18" i="2" s="1"/>
  <c r="AT17" i="2"/>
  <c r="AG16" i="2"/>
  <c r="AI16" i="2" s="1"/>
  <c r="AH16" i="2"/>
  <c r="AD17" i="2" s="1"/>
  <c r="BL16" i="2"/>
  <c r="BJ16" i="2"/>
  <c r="BP17" i="2"/>
  <c r="BO18" i="2"/>
  <c r="AB18" i="2"/>
  <c r="AC17" i="2"/>
  <c r="CJ16" i="2"/>
  <c r="CL16" i="2"/>
  <c r="AK15" i="2"/>
  <c r="BB18" i="2"/>
  <c r="BC17" i="2"/>
  <c r="I8" i="4" l="1"/>
  <c r="AH20" i="3"/>
  <c r="AD21" i="3" s="1"/>
  <c r="AG20" i="3"/>
  <c r="AI17" i="3"/>
  <c r="BI17" i="3"/>
  <c r="AV17" i="3"/>
  <c r="O11" i="4"/>
  <c r="P10" i="4"/>
  <c r="W17" i="3"/>
  <c r="AJ17" i="3"/>
  <c r="C10" i="4"/>
  <c r="J9" i="4"/>
  <c r="BJ17" i="3"/>
  <c r="AW17" i="3"/>
  <c r="J17" i="3"/>
  <c r="G9" i="4"/>
  <c r="Q9" i="4" s="1"/>
  <c r="H9" i="4"/>
  <c r="D10" i="4" s="1"/>
  <c r="B11" i="4"/>
  <c r="BB19" i="3"/>
  <c r="BC18" i="3"/>
  <c r="BL18" i="3" s="1"/>
  <c r="AT19" i="3"/>
  <c r="AU19" i="3"/>
  <c r="AO19" i="3"/>
  <c r="AP18" i="3"/>
  <c r="AY18" i="3" s="1"/>
  <c r="AC18" i="3"/>
  <c r="AL18" i="3" s="1"/>
  <c r="AB19" i="3"/>
  <c r="D16" i="3"/>
  <c r="G16" i="3" s="1"/>
  <c r="I16" i="3" s="1"/>
  <c r="AW19" i="2"/>
  <c r="B19" i="3"/>
  <c r="C18" i="3"/>
  <c r="L18" i="3" s="1"/>
  <c r="U16" i="3"/>
  <c r="Q17" i="3" s="1"/>
  <c r="T16" i="3"/>
  <c r="O19" i="3"/>
  <c r="P18" i="3"/>
  <c r="Y18" i="3" s="1"/>
  <c r="AO22" i="2"/>
  <c r="AP21" i="2"/>
  <c r="I8" i="1"/>
  <c r="J8" i="1"/>
  <c r="G9" i="1"/>
  <c r="I9" i="1" s="1"/>
  <c r="H9" i="1"/>
  <c r="D10" i="1" s="1"/>
  <c r="U17" i="2"/>
  <c r="Q18" i="2" s="1"/>
  <c r="T17" i="2"/>
  <c r="V17" i="2" s="1"/>
  <c r="L17" i="2"/>
  <c r="J17" i="2"/>
  <c r="AY20" i="2"/>
  <c r="AW20" i="2"/>
  <c r="E16" i="2"/>
  <c r="G16" i="2" s="1"/>
  <c r="I16" i="2" s="1"/>
  <c r="C18" i="2"/>
  <c r="B19" i="2"/>
  <c r="BB19" i="2"/>
  <c r="BC18" i="2"/>
  <c r="AL17" i="2"/>
  <c r="AJ17" i="2"/>
  <c r="AB19" i="2"/>
  <c r="AC18" i="2"/>
  <c r="BW17" i="2"/>
  <c r="BY17" i="2"/>
  <c r="AH17" i="2"/>
  <c r="AD18" i="2" s="1"/>
  <c r="AG17" i="2"/>
  <c r="AI17" i="2" s="1"/>
  <c r="AT18" i="2"/>
  <c r="AU18" i="2"/>
  <c r="AQ19" i="2" s="1"/>
  <c r="AV17" i="2"/>
  <c r="CL17" i="2"/>
  <c r="CJ17" i="2"/>
  <c r="O19" i="2"/>
  <c r="P18" i="2"/>
  <c r="BO19" i="2"/>
  <c r="BP18" i="2"/>
  <c r="AK16" i="2"/>
  <c r="BJ17" i="2"/>
  <c r="BL17" i="2"/>
  <c r="CB19" i="2"/>
  <c r="CC18" i="2"/>
  <c r="Y17" i="2"/>
  <c r="W17" i="2"/>
  <c r="B21" i="1"/>
  <c r="C20" i="1"/>
  <c r="X16" i="2"/>
  <c r="I9" i="4" l="1"/>
  <c r="AH21" i="3"/>
  <c r="AD22" i="3" s="1"/>
  <c r="AG21" i="3"/>
  <c r="AV18" i="3"/>
  <c r="BI18" i="3"/>
  <c r="AI18" i="3"/>
  <c r="O12" i="4"/>
  <c r="P11" i="4"/>
  <c r="W18" i="3"/>
  <c r="AJ18" i="3"/>
  <c r="C11" i="4"/>
  <c r="J10" i="4"/>
  <c r="BJ18" i="3"/>
  <c r="AW18" i="3"/>
  <c r="J18" i="3"/>
  <c r="H10" i="4"/>
  <c r="D11" i="4" s="1"/>
  <c r="G10" i="4"/>
  <c r="Q10" i="4" s="1"/>
  <c r="B12" i="4"/>
  <c r="V16" i="3"/>
  <c r="BB20" i="3"/>
  <c r="BC19" i="3"/>
  <c r="BL19" i="3" s="1"/>
  <c r="AO20" i="3"/>
  <c r="AP19" i="3"/>
  <c r="AY19" i="3" s="1"/>
  <c r="AU20" i="3"/>
  <c r="AT20" i="3"/>
  <c r="AC19" i="3"/>
  <c r="AL19" i="3" s="1"/>
  <c r="AB20" i="3"/>
  <c r="H16" i="3"/>
  <c r="D17" i="3" s="1"/>
  <c r="H16" i="2"/>
  <c r="D17" i="2" s="1"/>
  <c r="E17" i="2" s="1"/>
  <c r="G17" i="2" s="1"/>
  <c r="I17" i="2" s="1"/>
  <c r="J9" i="1"/>
  <c r="O20" i="3"/>
  <c r="P19" i="3"/>
  <c r="Y19" i="3" s="1"/>
  <c r="U17" i="3"/>
  <c r="Q18" i="3" s="1"/>
  <c r="T17" i="3"/>
  <c r="B20" i="3"/>
  <c r="C19" i="3"/>
  <c r="L19" i="3" s="1"/>
  <c r="G10" i="1"/>
  <c r="H10" i="1"/>
  <c r="D11" i="1" s="1"/>
  <c r="L18" i="2"/>
  <c r="J18" i="2"/>
  <c r="U18" i="2"/>
  <c r="Q19" i="2" s="1"/>
  <c r="T18" i="2"/>
  <c r="V18" i="2" s="1"/>
  <c r="K16" i="2"/>
  <c r="AW21" i="2"/>
  <c r="AY21" i="2"/>
  <c r="B20" i="2"/>
  <c r="C19" i="2"/>
  <c r="AP22" i="2"/>
  <c r="AO23" i="2"/>
  <c r="AK17" i="2"/>
  <c r="AU19" i="2"/>
  <c r="AQ20" i="2" s="1"/>
  <c r="AT19" i="2"/>
  <c r="AJ18" i="2"/>
  <c r="AL18" i="2"/>
  <c r="BL18" i="2"/>
  <c r="BJ18" i="2"/>
  <c r="CB20" i="2"/>
  <c r="CC19" i="2"/>
  <c r="C21" i="1"/>
  <c r="B22" i="1"/>
  <c r="BW18" i="2"/>
  <c r="BY18" i="2"/>
  <c r="W18" i="2"/>
  <c r="Y18" i="2"/>
  <c r="AG18" i="2"/>
  <c r="AI18" i="2" s="1"/>
  <c r="AH18" i="2"/>
  <c r="AD19" i="2" s="1"/>
  <c r="AB20" i="2"/>
  <c r="AC19" i="2"/>
  <c r="BC19" i="2"/>
  <c r="BB20" i="2"/>
  <c r="X17" i="2"/>
  <c r="CJ18" i="2"/>
  <c r="CL18" i="2"/>
  <c r="BO20" i="2"/>
  <c r="BP19" i="2"/>
  <c r="O20" i="2"/>
  <c r="P19" i="2"/>
  <c r="AV18" i="2"/>
  <c r="AX17" i="2"/>
  <c r="I10" i="4" l="1"/>
  <c r="AH22" i="3"/>
  <c r="AD23" i="3" s="1"/>
  <c r="AG22" i="3"/>
  <c r="BI19" i="3"/>
  <c r="AI19" i="3"/>
  <c r="AV19" i="3"/>
  <c r="P12" i="4"/>
  <c r="O13" i="4"/>
  <c r="W19" i="3"/>
  <c r="AJ19" i="3"/>
  <c r="C12" i="4"/>
  <c r="J11" i="4"/>
  <c r="BJ19" i="3"/>
  <c r="AW19" i="3"/>
  <c r="J19" i="3"/>
  <c r="V17" i="3"/>
  <c r="H11" i="4"/>
  <c r="D12" i="4" s="1"/>
  <c r="G11" i="4"/>
  <c r="Q11" i="4" s="1"/>
  <c r="B13" i="4"/>
  <c r="BB21" i="3"/>
  <c r="BC20" i="3"/>
  <c r="BL20" i="3" s="1"/>
  <c r="AP20" i="3"/>
  <c r="AY20" i="3" s="1"/>
  <c r="AO21" i="3"/>
  <c r="AU21" i="3"/>
  <c r="AT21" i="3"/>
  <c r="AC20" i="3"/>
  <c r="AL20" i="3" s="1"/>
  <c r="AB21" i="3"/>
  <c r="G17" i="3"/>
  <c r="I17" i="3" s="1"/>
  <c r="H17" i="2"/>
  <c r="D18" i="2" s="1"/>
  <c r="E18" i="2" s="1"/>
  <c r="G18" i="2" s="1"/>
  <c r="I18" i="2" s="1"/>
  <c r="O21" i="3"/>
  <c r="P20" i="3"/>
  <c r="Y20" i="3" s="1"/>
  <c r="B21" i="3"/>
  <c r="C20" i="3"/>
  <c r="L20" i="3" s="1"/>
  <c r="U18" i="3"/>
  <c r="Q19" i="3" s="1"/>
  <c r="T18" i="3"/>
  <c r="K17" i="2"/>
  <c r="AP23" i="2"/>
  <c r="AO24" i="2"/>
  <c r="AY22" i="2"/>
  <c r="AW22" i="2"/>
  <c r="J19" i="2"/>
  <c r="L19" i="2"/>
  <c r="G11" i="1"/>
  <c r="I11" i="1" s="1"/>
  <c r="H11" i="1"/>
  <c r="D12" i="1" s="1"/>
  <c r="C20" i="2"/>
  <c r="B21" i="2"/>
  <c r="T19" i="2"/>
  <c r="V19" i="2" s="1"/>
  <c r="U19" i="2"/>
  <c r="Q20" i="2" s="1"/>
  <c r="J10" i="1"/>
  <c r="I10" i="1"/>
  <c r="AL19" i="2"/>
  <c r="AJ19" i="2"/>
  <c r="W19" i="2"/>
  <c r="Y19" i="2"/>
  <c r="AV19" i="2"/>
  <c r="AX18" i="2"/>
  <c r="O21" i="2"/>
  <c r="P20" i="2"/>
  <c r="BL19" i="2"/>
  <c r="BJ19" i="2"/>
  <c r="BY19" i="2"/>
  <c r="BW19" i="2"/>
  <c r="X18" i="2"/>
  <c r="CL19" i="2"/>
  <c r="CJ19" i="2"/>
  <c r="AK18" i="2"/>
  <c r="BP20" i="2"/>
  <c r="BO21" i="2"/>
  <c r="AB21" i="2"/>
  <c r="AC20" i="2"/>
  <c r="CB21" i="2"/>
  <c r="CC20" i="2"/>
  <c r="AU20" i="2"/>
  <c r="AQ21" i="2" s="1"/>
  <c r="AT20" i="2"/>
  <c r="BB21" i="2"/>
  <c r="BC20" i="2"/>
  <c r="AH19" i="2"/>
  <c r="AD20" i="2" s="1"/>
  <c r="AG19" i="2"/>
  <c r="AI19" i="2" s="1"/>
  <c r="C22" i="1"/>
  <c r="B23" i="1"/>
  <c r="I11" i="4" l="1"/>
  <c r="AG23" i="3"/>
  <c r="AH23" i="3"/>
  <c r="AD24" i="3" s="1"/>
  <c r="AV20" i="3"/>
  <c r="BI20" i="3"/>
  <c r="AI20" i="3"/>
  <c r="P13" i="4"/>
  <c r="O14" i="4"/>
  <c r="W20" i="3"/>
  <c r="AJ20" i="3"/>
  <c r="C13" i="4"/>
  <c r="J12" i="4"/>
  <c r="BJ20" i="3"/>
  <c r="AW20" i="3"/>
  <c r="J20" i="3"/>
  <c r="V18" i="3"/>
  <c r="B14" i="4"/>
  <c r="G12" i="4"/>
  <c r="Q12" i="4" s="1"/>
  <c r="H12" i="4"/>
  <c r="D13" i="4" s="1"/>
  <c r="BC21" i="3"/>
  <c r="BB22" i="3"/>
  <c r="AU22" i="3"/>
  <c r="AT22" i="3"/>
  <c r="AO22" i="3"/>
  <c r="AP21" i="3"/>
  <c r="AC21" i="3"/>
  <c r="AB22" i="3"/>
  <c r="H17" i="3"/>
  <c r="J11" i="1"/>
  <c r="O22" i="3"/>
  <c r="P21" i="3"/>
  <c r="U19" i="3"/>
  <c r="Q20" i="3" s="1"/>
  <c r="T19" i="3"/>
  <c r="B22" i="3"/>
  <c r="C21" i="3"/>
  <c r="K18" i="2"/>
  <c r="U20" i="2"/>
  <c r="Q21" i="2" s="1"/>
  <c r="T20" i="2"/>
  <c r="V20" i="2" s="1"/>
  <c r="G12" i="1"/>
  <c r="H12" i="1"/>
  <c r="D13" i="1" s="1"/>
  <c r="AO25" i="2"/>
  <c r="AP24" i="2"/>
  <c r="H18" i="2"/>
  <c r="D19" i="2" s="1"/>
  <c r="AW23" i="2"/>
  <c r="AY23" i="2"/>
  <c r="B22" i="2"/>
  <c r="C21" i="2"/>
  <c r="L20" i="2"/>
  <c r="J20" i="2"/>
  <c r="AK19" i="2"/>
  <c r="CB22" i="2"/>
  <c r="CC21" i="2"/>
  <c r="BY20" i="2"/>
  <c r="BW20" i="2"/>
  <c r="X19" i="2"/>
  <c r="AG20" i="2"/>
  <c r="AI20" i="2" s="1"/>
  <c r="AH20" i="2"/>
  <c r="AD21" i="2" s="1"/>
  <c r="AL20" i="2"/>
  <c r="AJ20" i="2"/>
  <c r="AX19" i="2"/>
  <c r="AV20" i="2"/>
  <c r="AU21" i="2"/>
  <c r="AQ22" i="2" s="1"/>
  <c r="AT21" i="2"/>
  <c r="AB22" i="2"/>
  <c r="AC21" i="2"/>
  <c r="W20" i="2"/>
  <c r="Y20" i="2"/>
  <c r="B24" i="1"/>
  <c r="C23" i="1"/>
  <c r="BL20" i="2"/>
  <c r="BJ20" i="2"/>
  <c r="BB22" i="2"/>
  <c r="BC21" i="2"/>
  <c r="CL20" i="2"/>
  <c r="CJ20" i="2"/>
  <c r="BP21" i="2"/>
  <c r="BO22" i="2"/>
  <c r="P21" i="2"/>
  <c r="O22" i="2"/>
  <c r="I12" i="4" l="1"/>
  <c r="AG24" i="3"/>
  <c r="AH24" i="3"/>
  <c r="AD25" i="3" s="1"/>
  <c r="BI21" i="3"/>
  <c r="BL21" i="3" s="1"/>
  <c r="AI21" i="3"/>
  <c r="AL21" i="3" s="1"/>
  <c r="AV21" i="3"/>
  <c r="AY21" i="3" s="1"/>
  <c r="O15" i="4"/>
  <c r="P14" i="4"/>
  <c r="AJ21" i="3"/>
  <c r="BJ21" i="3"/>
  <c r="AW21" i="3"/>
  <c r="C14" i="4"/>
  <c r="J13" i="4"/>
  <c r="V19" i="3"/>
  <c r="W21" i="3"/>
  <c r="J21" i="3"/>
  <c r="H13" i="4"/>
  <c r="D14" i="4" s="1"/>
  <c r="G13" i="4"/>
  <c r="Q13" i="4" s="1"/>
  <c r="B15" i="4"/>
  <c r="BC22" i="3"/>
  <c r="BB23" i="3"/>
  <c r="AO23" i="3"/>
  <c r="AP22" i="3"/>
  <c r="AU23" i="3"/>
  <c r="AT23" i="3"/>
  <c r="AC22" i="3"/>
  <c r="AB23" i="3"/>
  <c r="D18" i="3"/>
  <c r="G18" i="3" s="1"/>
  <c r="I18" i="3" s="1"/>
  <c r="U20" i="3"/>
  <c r="Q21" i="3" s="1"/>
  <c r="T20" i="3"/>
  <c r="B23" i="3"/>
  <c r="C22" i="3"/>
  <c r="O23" i="3"/>
  <c r="P22" i="3"/>
  <c r="C22" i="2"/>
  <c r="B23" i="2"/>
  <c r="AY24" i="2"/>
  <c r="AW24" i="2"/>
  <c r="AP25" i="2"/>
  <c r="AO26" i="2"/>
  <c r="T21" i="2"/>
  <c r="V21" i="2" s="1"/>
  <c r="U21" i="2"/>
  <c r="Q22" i="2" s="1"/>
  <c r="G13" i="1"/>
  <c r="H13" i="1"/>
  <c r="D14" i="1" s="1"/>
  <c r="L21" i="2"/>
  <c r="J21" i="2"/>
  <c r="E19" i="2"/>
  <c r="G19" i="2" s="1"/>
  <c r="I19" i="2" s="1"/>
  <c r="J12" i="1"/>
  <c r="I12" i="1"/>
  <c r="AK20" i="2"/>
  <c r="W21" i="2"/>
  <c r="Y21" i="2"/>
  <c r="BL21" i="2"/>
  <c r="BJ21" i="2"/>
  <c r="AT22" i="2"/>
  <c r="AU22" i="2"/>
  <c r="AQ23" i="2" s="1"/>
  <c r="AG21" i="2"/>
  <c r="AI21" i="2" s="1"/>
  <c r="AH21" i="2"/>
  <c r="AD22" i="2" s="1"/>
  <c r="CJ21" i="2"/>
  <c r="CL21" i="2"/>
  <c r="BB23" i="2"/>
  <c r="BC22" i="2"/>
  <c r="B25" i="1"/>
  <c r="C24" i="1"/>
  <c r="AL21" i="2"/>
  <c r="AJ21" i="2"/>
  <c r="AV21" i="2"/>
  <c r="AX20" i="2"/>
  <c r="X20" i="2"/>
  <c r="CC22" i="2"/>
  <c r="CB23" i="2"/>
  <c r="BO23" i="2"/>
  <c r="BP22" i="2"/>
  <c r="AB23" i="2"/>
  <c r="AC22" i="2"/>
  <c r="O23" i="2"/>
  <c r="P22" i="2"/>
  <c r="BY21" i="2"/>
  <c r="BW21" i="2"/>
  <c r="I13" i="4" l="1"/>
  <c r="AG25" i="3"/>
  <c r="AH25" i="3"/>
  <c r="AD26" i="3" s="1"/>
  <c r="AI22" i="3"/>
  <c r="AL22" i="3" s="1"/>
  <c r="AV22" i="3"/>
  <c r="AY22" i="3" s="1"/>
  <c r="BI22" i="3"/>
  <c r="BL22" i="3" s="1"/>
  <c r="O16" i="4"/>
  <c r="P15" i="4"/>
  <c r="AJ22" i="3"/>
  <c r="BJ22" i="3"/>
  <c r="AW22" i="3"/>
  <c r="C15" i="4"/>
  <c r="J14" i="4"/>
  <c r="V20" i="3"/>
  <c r="W22" i="3"/>
  <c r="J22" i="3"/>
  <c r="H14" i="4"/>
  <c r="D15" i="4" s="1"/>
  <c r="G14" i="4"/>
  <c r="Q14" i="4" s="1"/>
  <c r="B16" i="4"/>
  <c r="R11" i="4"/>
  <c r="BC23" i="3"/>
  <c r="BB24" i="3"/>
  <c r="AO24" i="3"/>
  <c r="AP23" i="3"/>
  <c r="AT24" i="3"/>
  <c r="AU24" i="3"/>
  <c r="AB24" i="3"/>
  <c r="AC23" i="3"/>
  <c r="H18" i="3"/>
  <c r="D19" i="3" s="1"/>
  <c r="H19" i="3" s="1"/>
  <c r="D20" i="3" s="1"/>
  <c r="B24" i="3"/>
  <c r="C23" i="3"/>
  <c r="U21" i="3"/>
  <c r="Q22" i="3" s="1"/>
  <c r="T21" i="3"/>
  <c r="O24" i="3"/>
  <c r="P23" i="3"/>
  <c r="U22" i="2"/>
  <c r="Q23" i="2" s="1"/>
  <c r="T22" i="2"/>
  <c r="V22" i="2" s="1"/>
  <c r="H19" i="2"/>
  <c r="D20" i="2" s="1"/>
  <c r="H14" i="1"/>
  <c r="D15" i="1" s="1"/>
  <c r="G14" i="1"/>
  <c r="AO27" i="2"/>
  <c r="AP26" i="2"/>
  <c r="C23" i="2"/>
  <c r="B24" i="2"/>
  <c r="K19" i="2"/>
  <c r="I13" i="1"/>
  <c r="J13" i="1"/>
  <c r="AW25" i="2"/>
  <c r="AY25" i="2"/>
  <c r="L22" i="2"/>
  <c r="J22" i="2"/>
  <c r="AK21" i="2"/>
  <c r="CL22" i="2"/>
  <c r="CJ22" i="2"/>
  <c r="BL22" i="2"/>
  <c r="BJ22" i="2"/>
  <c r="W22" i="2"/>
  <c r="Y22" i="2"/>
  <c r="BW22" i="2"/>
  <c r="BY22" i="2"/>
  <c r="BC23" i="2"/>
  <c r="BB24" i="2"/>
  <c r="AU23" i="2"/>
  <c r="AQ24" i="2" s="1"/>
  <c r="AT23" i="2"/>
  <c r="O24" i="2"/>
  <c r="P23" i="2"/>
  <c r="AL22" i="2"/>
  <c r="AJ22" i="2"/>
  <c r="BO24" i="2"/>
  <c r="BP23" i="2"/>
  <c r="X21" i="2"/>
  <c r="AV22" i="2"/>
  <c r="AX21" i="2"/>
  <c r="AH22" i="2"/>
  <c r="AD23" i="2" s="1"/>
  <c r="AG22" i="2"/>
  <c r="AI22" i="2" s="1"/>
  <c r="AB24" i="2"/>
  <c r="AC23" i="2"/>
  <c r="CC23" i="2"/>
  <c r="CB24" i="2"/>
  <c r="C25" i="1"/>
  <c r="B26" i="1"/>
  <c r="I14" i="4" l="1"/>
  <c r="AG26" i="3"/>
  <c r="AH26" i="3"/>
  <c r="AD27" i="3" s="1"/>
  <c r="AI23" i="3"/>
  <c r="AL23" i="3" s="1"/>
  <c r="BI23" i="3"/>
  <c r="BL23" i="3" s="1"/>
  <c r="AV23" i="3"/>
  <c r="AY23" i="3" s="1"/>
  <c r="P16" i="4"/>
  <c r="O17" i="4"/>
  <c r="AJ23" i="3"/>
  <c r="BJ23" i="3"/>
  <c r="AW23" i="3"/>
  <c r="C16" i="4"/>
  <c r="J15" i="4"/>
  <c r="R12" i="4"/>
  <c r="W23" i="3"/>
  <c r="J23" i="3"/>
  <c r="G15" i="4"/>
  <c r="Q15" i="4" s="1"/>
  <c r="H15" i="4"/>
  <c r="D16" i="4" s="1"/>
  <c r="B17" i="4"/>
  <c r="BC24" i="3"/>
  <c r="BB25" i="3"/>
  <c r="AU25" i="3"/>
  <c r="AT25" i="3"/>
  <c r="AO25" i="3"/>
  <c r="AP24" i="3"/>
  <c r="AB25" i="3"/>
  <c r="AC24" i="3"/>
  <c r="V21" i="3"/>
  <c r="Y21" i="3" s="1"/>
  <c r="H20" i="3"/>
  <c r="G19" i="3"/>
  <c r="I19" i="3" s="1"/>
  <c r="U22" i="3"/>
  <c r="Q23" i="3" s="1"/>
  <c r="T22" i="3"/>
  <c r="O25" i="3"/>
  <c r="P24" i="3"/>
  <c r="B25" i="3"/>
  <c r="C24" i="3"/>
  <c r="L23" i="2"/>
  <c r="J23" i="2"/>
  <c r="H15" i="1"/>
  <c r="D16" i="1" s="1"/>
  <c r="G15" i="1"/>
  <c r="AY26" i="2"/>
  <c r="AW26" i="2"/>
  <c r="E20" i="2"/>
  <c r="G20" i="2" s="1"/>
  <c r="I20" i="2" s="1"/>
  <c r="AO28" i="2"/>
  <c r="AP27" i="2"/>
  <c r="C24" i="2"/>
  <c r="B25" i="2"/>
  <c r="I14" i="1"/>
  <c r="J14" i="1"/>
  <c r="T23" i="2"/>
  <c r="V23" i="2" s="1"/>
  <c r="U23" i="2"/>
  <c r="Q24" i="2" s="1"/>
  <c r="AK22" i="2"/>
  <c r="AV23" i="2"/>
  <c r="AX22" i="2"/>
  <c r="BO25" i="2"/>
  <c r="BP24" i="2"/>
  <c r="B27" i="1"/>
  <c r="C26" i="1"/>
  <c r="AJ23" i="2"/>
  <c r="AL23" i="2"/>
  <c r="Y23" i="2"/>
  <c r="W23" i="2"/>
  <c r="AU24" i="2"/>
  <c r="AQ25" i="2" s="1"/>
  <c r="AT24" i="2"/>
  <c r="AB25" i="2"/>
  <c r="AC24" i="2"/>
  <c r="AH23" i="2"/>
  <c r="AD24" i="2" s="1"/>
  <c r="AG23" i="2"/>
  <c r="AI23" i="2" s="1"/>
  <c r="X22" i="2"/>
  <c r="P24" i="2"/>
  <c r="O25" i="2"/>
  <c r="BB25" i="2"/>
  <c r="BC24" i="2"/>
  <c r="CB25" i="2"/>
  <c r="CC24" i="2"/>
  <c r="BW23" i="2"/>
  <c r="BY23" i="2"/>
  <c r="BJ23" i="2"/>
  <c r="BL23" i="2"/>
  <c r="CL23" i="2"/>
  <c r="CJ23" i="2"/>
  <c r="I15" i="4" l="1"/>
  <c r="R14" i="4"/>
  <c r="AG27" i="3"/>
  <c r="AH27" i="3"/>
  <c r="AD28" i="3" s="1"/>
  <c r="AI24" i="3"/>
  <c r="AL24" i="3" s="1"/>
  <c r="AV24" i="3"/>
  <c r="AY24" i="3" s="1"/>
  <c r="BI24" i="3"/>
  <c r="BL24" i="3" s="1"/>
  <c r="P17" i="4"/>
  <c r="O18" i="4"/>
  <c r="R13" i="4"/>
  <c r="AJ24" i="3"/>
  <c r="BJ24" i="3"/>
  <c r="AW24" i="3"/>
  <c r="C17" i="4"/>
  <c r="J16" i="4"/>
  <c r="J24" i="3"/>
  <c r="W24" i="3"/>
  <c r="H16" i="4"/>
  <c r="D17" i="4" s="1"/>
  <c r="G16" i="4"/>
  <c r="B18" i="4"/>
  <c r="BC25" i="3"/>
  <c r="BB26" i="3"/>
  <c r="AU26" i="3"/>
  <c r="AT26" i="3"/>
  <c r="AO26" i="3"/>
  <c r="AP25" i="3"/>
  <c r="AC25" i="3"/>
  <c r="AB26" i="3"/>
  <c r="V22" i="3"/>
  <c r="Y22" i="3" s="1"/>
  <c r="G20" i="3"/>
  <c r="I20" i="3" s="1"/>
  <c r="D21" i="3"/>
  <c r="U23" i="3"/>
  <c r="Q24" i="3" s="1"/>
  <c r="T23" i="3"/>
  <c r="B26" i="3"/>
  <c r="C25" i="3"/>
  <c r="O26" i="3"/>
  <c r="P25" i="3"/>
  <c r="H20" i="2"/>
  <c r="D21" i="2" s="1"/>
  <c r="E21" i="2" s="1"/>
  <c r="G21" i="2" s="1"/>
  <c r="I21" i="2" s="1"/>
  <c r="T24" i="2"/>
  <c r="V24" i="2" s="1"/>
  <c r="U24" i="2"/>
  <c r="Q25" i="2" s="1"/>
  <c r="C25" i="2"/>
  <c r="B26" i="2"/>
  <c r="K20" i="2"/>
  <c r="J15" i="1"/>
  <c r="I15" i="1"/>
  <c r="L24" i="2"/>
  <c r="J24" i="2"/>
  <c r="G16" i="1"/>
  <c r="H16" i="1"/>
  <c r="D17" i="1" s="1"/>
  <c r="AY27" i="2"/>
  <c r="AW27" i="2"/>
  <c r="AO29" i="2"/>
  <c r="AP28" i="2"/>
  <c r="AK23" i="2"/>
  <c r="CJ24" i="2"/>
  <c r="CL24" i="2"/>
  <c r="BL24" i="2"/>
  <c r="BJ24" i="2"/>
  <c r="CB26" i="2"/>
  <c r="CC25" i="2"/>
  <c r="BB26" i="2"/>
  <c r="BC25" i="2"/>
  <c r="AG24" i="2"/>
  <c r="AI24" i="2" s="1"/>
  <c r="AH24" i="2"/>
  <c r="AD25" i="2" s="1"/>
  <c r="AX23" i="2"/>
  <c r="AV24" i="2"/>
  <c r="O26" i="2"/>
  <c r="P25" i="2"/>
  <c r="AL24" i="2"/>
  <c r="AJ24" i="2"/>
  <c r="BY24" i="2"/>
  <c r="BW24" i="2"/>
  <c r="W24" i="2"/>
  <c r="Y24" i="2"/>
  <c r="X23" i="2"/>
  <c r="AB26" i="2"/>
  <c r="AC25" i="2"/>
  <c r="AT25" i="2"/>
  <c r="AU25" i="2"/>
  <c r="AQ26" i="2" s="1"/>
  <c r="C27" i="1"/>
  <c r="B28" i="1"/>
  <c r="BO26" i="2"/>
  <c r="BP25" i="2"/>
  <c r="I16" i="4" l="1"/>
  <c r="R15" i="4"/>
  <c r="AG28" i="3"/>
  <c r="AH28" i="3"/>
  <c r="AD29" i="3" s="1"/>
  <c r="AI25" i="3"/>
  <c r="AL25" i="3" s="1"/>
  <c r="AV25" i="3"/>
  <c r="AY25" i="3" s="1"/>
  <c r="BI25" i="3"/>
  <c r="BL25" i="3" s="1"/>
  <c r="Q16" i="4"/>
  <c r="O19" i="4"/>
  <c r="P18" i="4"/>
  <c r="AJ25" i="3"/>
  <c r="BJ25" i="3"/>
  <c r="AW25" i="3"/>
  <c r="C18" i="4"/>
  <c r="J17" i="4"/>
  <c r="W25" i="3"/>
  <c r="J25" i="3"/>
  <c r="G17" i="4"/>
  <c r="H17" i="4"/>
  <c r="D18" i="4" s="1"/>
  <c r="B19" i="4"/>
  <c r="BC26" i="3"/>
  <c r="BB27" i="3"/>
  <c r="AU27" i="3"/>
  <c r="AT27" i="3"/>
  <c r="AO27" i="3"/>
  <c r="AP26" i="3"/>
  <c r="AC26" i="3"/>
  <c r="AB27" i="3"/>
  <c r="V23" i="3"/>
  <c r="Y23" i="3" s="1"/>
  <c r="H21" i="3"/>
  <c r="D22" i="3" s="1"/>
  <c r="O27" i="3"/>
  <c r="P26" i="3"/>
  <c r="B27" i="3"/>
  <c r="C26" i="3"/>
  <c r="U24" i="3"/>
  <c r="Q25" i="3" s="1"/>
  <c r="T24" i="3"/>
  <c r="K21" i="2"/>
  <c r="H21" i="2"/>
  <c r="D22" i="2" s="1"/>
  <c r="E22" i="2" s="1"/>
  <c r="B27" i="2"/>
  <c r="C26" i="2"/>
  <c r="J25" i="2"/>
  <c r="L25" i="2"/>
  <c r="G17" i="1"/>
  <c r="H17" i="1"/>
  <c r="D18" i="1" s="1"/>
  <c r="U25" i="2"/>
  <c r="Q26" i="2" s="1"/>
  <c r="T25" i="2"/>
  <c r="V25" i="2" s="1"/>
  <c r="AP29" i="2"/>
  <c r="AO30" i="2"/>
  <c r="I16" i="1"/>
  <c r="J16" i="1"/>
  <c r="AK24" i="2"/>
  <c r="BY25" i="2"/>
  <c r="BW25" i="2"/>
  <c r="Y25" i="2"/>
  <c r="W25" i="2"/>
  <c r="AV25" i="2"/>
  <c r="AX24" i="2"/>
  <c r="BO27" i="2"/>
  <c r="BP26" i="2"/>
  <c r="AG25" i="2"/>
  <c r="AI25" i="2" s="1"/>
  <c r="AH25" i="2"/>
  <c r="AD26" i="2" s="1"/>
  <c r="BL25" i="2"/>
  <c r="BJ25" i="2"/>
  <c r="CL25" i="2"/>
  <c r="CJ25" i="2"/>
  <c r="AB27" i="2"/>
  <c r="AC26" i="2"/>
  <c r="AU26" i="2"/>
  <c r="AQ27" i="2" s="1"/>
  <c r="AT26" i="2"/>
  <c r="O27" i="2"/>
  <c r="P26" i="2"/>
  <c r="C28" i="1"/>
  <c r="B29" i="1"/>
  <c r="X24" i="2"/>
  <c r="AJ25" i="2"/>
  <c r="AL25" i="2"/>
  <c r="BB27" i="2"/>
  <c r="BC26" i="2"/>
  <c r="CB27" i="2"/>
  <c r="CC26" i="2"/>
  <c r="I17" i="4" l="1"/>
  <c r="R16" i="4"/>
  <c r="AG29" i="3"/>
  <c r="AH29" i="3"/>
  <c r="AD30" i="3" s="1"/>
  <c r="AI26" i="3"/>
  <c r="AL26" i="3" s="1"/>
  <c r="AV26" i="3"/>
  <c r="AY26" i="3" s="1"/>
  <c r="BI26" i="3"/>
  <c r="BL26" i="3" s="1"/>
  <c r="Q17" i="4"/>
  <c r="O20" i="4"/>
  <c r="P19" i="4"/>
  <c r="AJ26" i="3"/>
  <c r="BJ26" i="3"/>
  <c r="AW26" i="3"/>
  <c r="C19" i="4"/>
  <c r="J18" i="4"/>
  <c r="W26" i="3"/>
  <c r="J26" i="3"/>
  <c r="B20" i="4"/>
  <c r="H18" i="4"/>
  <c r="D19" i="4" s="1"/>
  <c r="G18" i="4"/>
  <c r="Q18" i="4" s="1"/>
  <c r="BC27" i="3"/>
  <c r="BB28" i="3"/>
  <c r="AT28" i="3"/>
  <c r="AU28" i="3"/>
  <c r="AP27" i="3"/>
  <c r="AO28" i="3"/>
  <c r="AB28" i="3"/>
  <c r="AC27" i="3"/>
  <c r="V24" i="3"/>
  <c r="Y24" i="3" s="1"/>
  <c r="H22" i="3"/>
  <c r="D23" i="3" s="1"/>
  <c r="G21" i="3"/>
  <c r="I21" i="3" s="1"/>
  <c r="L21" i="3" s="1"/>
  <c r="U25" i="3"/>
  <c r="Q26" i="3" s="1"/>
  <c r="T25" i="3"/>
  <c r="B28" i="3"/>
  <c r="C27" i="3"/>
  <c r="O28" i="3"/>
  <c r="P27" i="3"/>
  <c r="I17" i="1"/>
  <c r="J17" i="1"/>
  <c r="C27" i="2"/>
  <c r="B28" i="2"/>
  <c r="H22" i="2"/>
  <c r="D23" i="2" s="1"/>
  <c r="G22" i="2"/>
  <c r="I22" i="2" s="1"/>
  <c r="U26" i="2"/>
  <c r="Q27" i="2" s="1"/>
  <c r="T26" i="2"/>
  <c r="V26" i="2" s="1"/>
  <c r="AO31" i="2"/>
  <c r="AP30" i="2"/>
  <c r="O18" i="1"/>
  <c r="H18" i="1"/>
  <c r="D19" i="1" s="1"/>
  <c r="G18" i="1"/>
  <c r="J26" i="2"/>
  <c r="L26" i="2"/>
  <c r="AK25" i="2"/>
  <c r="CB28" i="2"/>
  <c r="CC27" i="2"/>
  <c r="AU27" i="2"/>
  <c r="AQ28" i="2" s="1"/>
  <c r="AT27" i="2"/>
  <c r="BO28" i="2"/>
  <c r="BP27" i="2"/>
  <c r="AG26" i="2"/>
  <c r="AI26" i="2" s="1"/>
  <c r="AH26" i="2"/>
  <c r="AD27" i="2" s="1"/>
  <c r="AX25" i="2"/>
  <c r="AV26" i="2"/>
  <c r="BL26" i="2"/>
  <c r="BJ26" i="2"/>
  <c r="Y26" i="2"/>
  <c r="W26" i="2"/>
  <c r="AL26" i="2"/>
  <c r="AJ26" i="2"/>
  <c r="BC27" i="2"/>
  <c r="BB28" i="2"/>
  <c r="X25" i="2"/>
  <c r="P27" i="2"/>
  <c r="O28" i="2"/>
  <c r="AC27" i="2"/>
  <c r="AB28" i="2"/>
  <c r="CJ26" i="2"/>
  <c r="CL26" i="2"/>
  <c r="C29" i="1"/>
  <c r="B30" i="1"/>
  <c r="BY26" i="2"/>
  <c r="BW26" i="2"/>
  <c r="I18" i="4" l="1"/>
  <c r="AG30" i="3"/>
  <c r="AH30" i="3"/>
  <c r="AD31" i="3" s="1"/>
  <c r="AI27" i="3"/>
  <c r="AL27" i="3" s="1"/>
  <c r="AV27" i="3"/>
  <c r="AY27" i="3" s="1"/>
  <c r="BI27" i="3"/>
  <c r="BL27" i="3" s="1"/>
  <c r="P20" i="4"/>
  <c r="O21" i="4"/>
  <c r="R17" i="4"/>
  <c r="AJ27" i="3"/>
  <c r="BJ27" i="3"/>
  <c r="AW27" i="3"/>
  <c r="C20" i="4"/>
  <c r="J19" i="4"/>
  <c r="J27" i="3"/>
  <c r="W27" i="3"/>
  <c r="G19" i="4"/>
  <c r="Q19" i="4" s="1"/>
  <c r="H19" i="4"/>
  <c r="D20" i="4" s="1"/>
  <c r="B21" i="4"/>
  <c r="BC28" i="3"/>
  <c r="BB29" i="3"/>
  <c r="AO29" i="3"/>
  <c r="AP28" i="3"/>
  <c r="AU29" i="3"/>
  <c r="AT29" i="3"/>
  <c r="AB29" i="3"/>
  <c r="AC28" i="3"/>
  <c r="V25" i="3"/>
  <c r="Y25" i="3" s="1"/>
  <c r="G23" i="3"/>
  <c r="G22" i="3"/>
  <c r="I22" i="3" s="1"/>
  <c r="L22" i="3" s="1"/>
  <c r="U26" i="3"/>
  <c r="Q27" i="3" s="1"/>
  <c r="T26" i="3"/>
  <c r="O29" i="3"/>
  <c r="P28" i="3"/>
  <c r="B29" i="3"/>
  <c r="C28" i="3"/>
  <c r="H19" i="1"/>
  <c r="D20" i="1" s="1"/>
  <c r="G19" i="1"/>
  <c r="C28" i="2"/>
  <c r="B29" i="2"/>
  <c r="T27" i="2"/>
  <c r="V27" i="2" s="1"/>
  <c r="U27" i="2"/>
  <c r="Q28" i="2" s="1"/>
  <c r="L27" i="2"/>
  <c r="J27" i="2"/>
  <c r="K22" i="2"/>
  <c r="J18" i="1"/>
  <c r="I18" i="1"/>
  <c r="AP31" i="2"/>
  <c r="AO32" i="2"/>
  <c r="E23" i="2"/>
  <c r="G23" i="2" s="1"/>
  <c r="I23" i="2" s="1"/>
  <c r="AK26" i="2"/>
  <c r="C30" i="1"/>
  <c r="L30" i="1" s="1"/>
  <c r="P28" i="2"/>
  <c r="O29" i="2"/>
  <c r="BB29" i="2"/>
  <c r="BC28" i="2"/>
  <c r="AV27" i="2"/>
  <c r="AX26" i="2"/>
  <c r="Y27" i="2"/>
  <c r="W27" i="2"/>
  <c r="BJ27" i="2"/>
  <c r="BL27" i="2"/>
  <c r="AH27" i="2"/>
  <c r="AD28" i="2" s="1"/>
  <c r="AG27" i="2"/>
  <c r="AI27" i="2" s="1"/>
  <c r="AT28" i="2"/>
  <c r="AU28" i="2"/>
  <c r="AQ29" i="2" s="1"/>
  <c r="AB29" i="2"/>
  <c r="AC28" i="2"/>
  <c r="BW27" i="2"/>
  <c r="BY27" i="2"/>
  <c r="CJ27" i="2"/>
  <c r="CL27" i="2"/>
  <c r="AL27" i="2"/>
  <c r="AJ27" i="2"/>
  <c r="X26" i="2"/>
  <c r="BO29" i="2"/>
  <c r="BP28" i="2"/>
  <c r="CB29" i="2"/>
  <c r="CC28" i="2"/>
  <c r="I19" i="4" l="1"/>
  <c r="AG31" i="3"/>
  <c r="AH31" i="3"/>
  <c r="AD32" i="3" s="1"/>
  <c r="AI28" i="3"/>
  <c r="AL28" i="3" s="1"/>
  <c r="AV28" i="3"/>
  <c r="AY28" i="3" s="1"/>
  <c r="BI28" i="3"/>
  <c r="BL28" i="3" s="1"/>
  <c r="I23" i="3"/>
  <c r="L23" i="3" s="1"/>
  <c r="P21" i="4"/>
  <c r="O22" i="4"/>
  <c r="AJ28" i="3"/>
  <c r="BJ28" i="3"/>
  <c r="AW28" i="3"/>
  <c r="C21" i="4"/>
  <c r="J20" i="4"/>
  <c r="W28" i="3"/>
  <c r="J28" i="3"/>
  <c r="R18" i="4"/>
  <c r="B22" i="4"/>
  <c r="G20" i="4"/>
  <c r="Q20" i="4" s="1"/>
  <c r="H20" i="4"/>
  <c r="D21" i="4" s="1"/>
  <c r="BC29" i="3"/>
  <c r="BB30" i="3"/>
  <c r="AO30" i="3"/>
  <c r="AP29" i="3"/>
  <c r="AU30" i="3"/>
  <c r="AT30" i="3"/>
  <c r="AC29" i="3"/>
  <c r="AB30" i="3"/>
  <c r="V26" i="3"/>
  <c r="Y26" i="3" s="1"/>
  <c r="H23" i="3"/>
  <c r="D24" i="3" s="1"/>
  <c r="H24" i="3" s="1"/>
  <c r="D25" i="3" s="1"/>
  <c r="O30" i="3"/>
  <c r="P29" i="3"/>
  <c r="U27" i="3"/>
  <c r="Q28" i="3" s="1"/>
  <c r="T27" i="3"/>
  <c r="B30" i="3"/>
  <c r="C29" i="3"/>
  <c r="K23" i="2"/>
  <c r="H23" i="2"/>
  <c r="D24" i="2" s="1"/>
  <c r="C29" i="2"/>
  <c r="B30" i="2"/>
  <c r="AO33" i="2"/>
  <c r="AP32" i="2"/>
  <c r="T28" i="2"/>
  <c r="V28" i="2" s="1"/>
  <c r="U28" i="2"/>
  <c r="Q29" i="2" s="1"/>
  <c r="I19" i="1"/>
  <c r="J19" i="1"/>
  <c r="G20" i="1"/>
  <c r="H20" i="1"/>
  <c r="D21" i="1" s="1"/>
  <c r="AK27" i="2"/>
  <c r="CJ28" i="2"/>
  <c r="CL28" i="2" s="1"/>
  <c r="X27" i="2"/>
  <c r="AG28" i="2"/>
  <c r="AI28" i="2" s="1"/>
  <c r="AH28" i="2"/>
  <c r="AD29" i="2" s="1"/>
  <c r="BJ28" i="2"/>
  <c r="BL28" i="2" s="1"/>
  <c r="AU29" i="2"/>
  <c r="AQ30" i="2" s="1"/>
  <c r="AT29" i="2"/>
  <c r="AW29" i="2" s="1"/>
  <c r="BB30" i="2"/>
  <c r="BC29" i="2"/>
  <c r="CB30" i="2"/>
  <c r="CC29" i="2"/>
  <c r="AB30" i="2"/>
  <c r="AC29" i="2"/>
  <c r="AW28" i="2"/>
  <c r="P29" i="2"/>
  <c r="O30" i="2"/>
  <c r="BO30" i="2"/>
  <c r="BP29" i="2"/>
  <c r="BW28" i="2"/>
  <c r="BY28" i="2" s="1"/>
  <c r="AX27" i="2"/>
  <c r="AV28" i="2"/>
  <c r="I20" i="4" l="1"/>
  <c r="R19" i="4"/>
  <c r="AG32" i="3"/>
  <c r="AH32" i="3"/>
  <c r="AD33" i="3" s="1"/>
  <c r="AI29" i="3"/>
  <c r="AL29" i="3" s="1"/>
  <c r="AV29" i="3"/>
  <c r="AY29" i="3" s="1"/>
  <c r="BI29" i="3"/>
  <c r="BL29" i="3" s="1"/>
  <c r="O23" i="4"/>
  <c r="P22" i="4"/>
  <c r="AJ29" i="3"/>
  <c r="BJ29" i="3"/>
  <c r="AW29" i="3"/>
  <c r="C22" i="4"/>
  <c r="J21" i="4"/>
  <c r="J29" i="3"/>
  <c r="W29" i="3"/>
  <c r="H21" i="4"/>
  <c r="D22" i="4" s="1"/>
  <c r="G21" i="4"/>
  <c r="B23" i="4"/>
  <c r="BC30" i="3"/>
  <c r="BB31" i="3"/>
  <c r="AT31" i="3"/>
  <c r="AU31" i="3"/>
  <c r="AO31" i="3"/>
  <c r="AP30" i="3"/>
  <c r="AC30" i="3"/>
  <c r="AB31" i="3"/>
  <c r="V27" i="3"/>
  <c r="Y27" i="3" s="1"/>
  <c r="G24" i="3"/>
  <c r="I24" i="3" s="1"/>
  <c r="L24" i="3" s="1"/>
  <c r="H25" i="3"/>
  <c r="W28" i="2"/>
  <c r="U28" i="3"/>
  <c r="Q29" i="3" s="1"/>
  <c r="T28" i="3"/>
  <c r="B31" i="3"/>
  <c r="C30" i="3"/>
  <c r="O31" i="3"/>
  <c r="P30" i="3"/>
  <c r="J20" i="1"/>
  <c r="I20" i="1"/>
  <c r="E24" i="2"/>
  <c r="G24" i="2" s="1"/>
  <c r="I24" i="2" s="1"/>
  <c r="AO34" i="2"/>
  <c r="AP33" i="2"/>
  <c r="H21" i="1"/>
  <c r="D22" i="1" s="1"/>
  <c r="G21" i="1"/>
  <c r="T29" i="2"/>
  <c r="W29" i="2" s="1"/>
  <c r="U29" i="2"/>
  <c r="Q30" i="2" s="1"/>
  <c r="C30" i="2"/>
  <c r="B31" i="2"/>
  <c r="AK28" i="2"/>
  <c r="BW29" i="2"/>
  <c r="BY29" i="2" s="1"/>
  <c r="O31" i="2"/>
  <c r="P30" i="2"/>
  <c r="AB31" i="2"/>
  <c r="AC30" i="2"/>
  <c r="CC30" i="2"/>
  <c r="CB31" i="2"/>
  <c r="AT30" i="2"/>
  <c r="AU30" i="2"/>
  <c r="AQ31" i="2" s="1"/>
  <c r="BB31" i="2"/>
  <c r="BC30" i="2"/>
  <c r="AG29" i="2"/>
  <c r="AI29" i="2" s="1"/>
  <c r="AH29" i="2"/>
  <c r="AD30" i="2" s="1"/>
  <c r="X28" i="2"/>
  <c r="AJ28" i="2"/>
  <c r="BJ29" i="2"/>
  <c r="BL29" i="2" s="1"/>
  <c r="AV29" i="2"/>
  <c r="AX28" i="2"/>
  <c r="AY28" i="2" s="1"/>
  <c r="BP30" i="2"/>
  <c r="BO31" i="2"/>
  <c r="CJ29" i="2"/>
  <c r="CL29" i="2" s="1"/>
  <c r="I21" i="4" l="1"/>
  <c r="R20" i="4"/>
  <c r="AG33" i="3"/>
  <c r="AH33" i="3"/>
  <c r="AD34" i="3" s="1"/>
  <c r="AI30" i="3"/>
  <c r="AL30" i="3" s="1"/>
  <c r="AV30" i="3"/>
  <c r="AY30" i="3" s="1"/>
  <c r="BI30" i="3"/>
  <c r="BL30" i="3" s="1"/>
  <c r="O24" i="4"/>
  <c r="P23" i="4"/>
  <c r="Q21" i="4"/>
  <c r="AJ30" i="3"/>
  <c r="BJ30" i="3"/>
  <c r="AW30" i="3"/>
  <c r="C23" i="4"/>
  <c r="J22" i="4"/>
  <c r="J30" i="3"/>
  <c r="W30" i="3"/>
  <c r="B24" i="4"/>
  <c r="H22" i="4"/>
  <c r="D23" i="4" s="1"/>
  <c r="G22" i="4"/>
  <c r="Q22" i="4" s="1"/>
  <c r="BC31" i="3"/>
  <c r="BB32" i="3"/>
  <c r="AT32" i="3"/>
  <c r="AU32" i="3"/>
  <c r="AO32" i="3"/>
  <c r="AP31" i="3"/>
  <c r="AC31" i="3"/>
  <c r="AB32" i="3"/>
  <c r="V28" i="3"/>
  <c r="Y28" i="3" s="1"/>
  <c r="G25" i="3"/>
  <c r="I25" i="3" s="1"/>
  <c r="L25" i="3" s="1"/>
  <c r="D26" i="3"/>
  <c r="Y28" i="2"/>
  <c r="H24" i="2"/>
  <c r="D25" i="2" s="1"/>
  <c r="E25" i="2" s="1"/>
  <c r="G25" i="2" s="1"/>
  <c r="I25" i="2" s="1"/>
  <c r="AJ29" i="2"/>
  <c r="V29" i="2"/>
  <c r="X29" i="2" s="1"/>
  <c r="Y29" i="2" s="1"/>
  <c r="O32" i="3"/>
  <c r="P31" i="3"/>
  <c r="U29" i="3"/>
  <c r="Q30" i="3" s="1"/>
  <c r="T29" i="3"/>
  <c r="B32" i="3"/>
  <c r="C31" i="3"/>
  <c r="B32" i="2"/>
  <c r="C31" i="2"/>
  <c r="I21" i="1"/>
  <c r="J21" i="1"/>
  <c r="G22" i="1"/>
  <c r="H22" i="1"/>
  <c r="D23" i="1" s="1"/>
  <c r="K24" i="2"/>
  <c r="T30" i="2"/>
  <c r="U30" i="2"/>
  <c r="Q31" i="2" s="1"/>
  <c r="AO35" i="2"/>
  <c r="AP34" i="2"/>
  <c r="AK29" i="2"/>
  <c r="BJ30" i="2"/>
  <c r="BL30" i="2" s="1"/>
  <c r="CJ30" i="2"/>
  <c r="CL30" i="2" s="1"/>
  <c r="O32" i="2"/>
  <c r="P31" i="2"/>
  <c r="BO32" i="2"/>
  <c r="BP31" i="2"/>
  <c r="CC31" i="2"/>
  <c r="CB32" i="2"/>
  <c r="AT31" i="2"/>
  <c r="AU31" i="2"/>
  <c r="AQ32" i="2" s="1"/>
  <c r="BW30" i="2"/>
  <c r="BY30" i="2" s="1"/>
  <c r="AX29" i="2"/>
  <c r="AY29" i="2" s="1"/>
  <c r="AV30" i="2"/>
  <c r="BB32" i="2"/>
  <c r="BC31" i="2"/>
  <c r="AH30" i="2"/>
  <c r="AD31" i="2" s="1"/>
  <c r="AG30" i="2"/>
  <c r="AI30" i="2" s="1"/>
  <c r="AW30" i="2"/>
  <c r="AB32" i="2"/>
  <c r="AC31" i="2"/>
  <c r="AL28" i="2"/>
  <c r="I22" i="4" l="1"/>
  <c r="AG34" i="3"/>
  <c r="AH34" i="3"/>
  <c r="AD35" i="3" s="1"/>
  <c r="AI31" i="3"/>
  <c r="AL31" i="3" s="1"/>
  <c r="AV31" i="3"/>
  <c r="AY31" i="3" s="1"/>
  <c r="BI31" i="3"/>
  <c r="BL31" i="3" s="1"/>
  <c r="P24" i="4"/>
  <c r="O25" i="4"/>
  <c r="AJ31" i="3"/>
  <c r="BJ31" i="3"/>
  <c r="AW31" i="3"/>
  <c r="C24" i="4"/>
  <c r="J23" i="4"/>
  <c r="J31" i="3"/>
  <c r="W31" i="3"/>
  <c r="G23" i="4"/>
  <c r="Q23" i="4" s="1"/>
  <c r="H23" i="4"/>
  <c r="D24" i="4" s="1"/>
  <c r="B25" i="4"/>
  <c r="BC32" i="3"/>
  <c r="BB33" i="3"/>
  <c r="AU33" i="3"/>
  <c r="AT33" i="3"/>
  <c r="AO33" i="3"/>
  <c r="AP32" i="3"/>
  <c r="AC32" i="3"/>
  <c r="AB33" i="3"/>
  <c r="V29" i="3"/>
  <c r="Y29" i="3" s="1"/>
  <c r="H26" i="3"/>
  <c r="D27" i="3" s="1"/>
  <c r="V30" i="2"/>
  <c r="X30" i="2" s="1"/>
  <c r="AL29" i="2"/>
  <c r="B33" i="3"/>
  <c r="C32" i="3"/>
  <c r="U30" i="3"/>
  <c r="Q31" i="3" s="1"/>
  <c r="T30" i="3"/>
  <c r="O33" i="3"/>
  <c r="P32" i="3"/>
  <c r="W30" i="2"/>
  <c r="U31" i="2"/>
  <c r="Q32" i="2" s="1"/>
  <c r="T31" i="2"/>
  <c r="W31" i="2" s="1"/>
  <c r="G23" i="1"/>
  <c r="H23" i="1"/>
  <c r="D24" i="1" s="1"/>
  <c r="I22" i="1"/>
  <c r="J22" i="1"/>
  <c r="K25" i="2"/>
  <c r="AO36" i="2"/>
  <c r="AP35" i="2"/>
  <c r="H25" i="2"/>
  <c r="D26" i="2" s="1"/>
  <c r="B33" i="2"/>
  <c r="C32" i="2"/>
  <c r="AK30" i="2"/>
  <c r="AG31" i="2"/>
  <c r="AI31" i="2" s="1"/>
  <c r="AH31" i="2"/>
  <c r="AD32" i="2" s="1"/>
  <c r="AX30" i="2"/>
  <c r="AY30" i="2" s="1"/>
  <c r="AV31" i="2"/>
  <c r="AJ30" i="2"/>
  <c r="CJ31" i="2"/>
  <c r="CL31" i="2" s="1"/>
  <c r="BW31" i="2"/>
  <c r="BY31" i="2" s="1"/>
  <c r="BP32" i="2"/>
  <c r="BO33" i="2"/>
  <c r="BJ31" i="2"/>
  <c r="BL31" i="2" s="1"/>
  <c r="AT32" i="2"/>
  <c r="AU32" i="2"/>
  <c r="AQ33" i="2" s="1"/>
  <c r="AB33" i="2"/>
  <c r="AC32" i="2"/>
  <c r="BB33" i="2"/>
  <c r="BC32" i="2"/>
  <c r="AW31" i="2"/>
  <c r="CB33" i="2"/>
  <c r="CC32" i="2"/>
  <c r="O33" i="2"/>
  <c r="P32" i="2"/>
  <c r="I23" i="4" l="1"/>
  <c r="AG35" i="3"/>
  <c r="AH35" i="3"/>
  <c r="AD36" i="3" s="1"/>
  <c r="AI32" i="3"/>
  <c r="AL32" i="3" s="1"/>
  <c r="AV32" i="3"/>
  <c r="AY32" i="3" s="1"/>
  <c r="BI32" i="3"/>
  <c r="BL32" i="3" s="1"/>
  <c r="R22" i="4"/>
  <c r="O26" i="4"/>
  <c r="P25" i="4"/>
  <c r="AJ32" i="3"/>
  <c r="BJ32" i="3"/>
  <c r="AW32" i="3"/>
  <c r="C25" i="4"/>
  <c r="J24" i="4"/>
  <c r="W32" i="3"/>
  <c r="J32" i="3"/>
  <c r="H24" i="4"/>
  <c r="D25" i="4" s="1"/>
  <c r="G24" i="4"/>
  <c r="Q24" i="4" s="1"/>
  <c r="B26" i="4"/>
  <c r="BC33" i="3"/>
  <c r="BB34" i="3"/>
  <c r="AU34" i="3"/>
  <c r="AT34" i="3"/>
  <c r="AO34" i="3"/>
  <c r="AP33" i="3"/>
  <c r="AB34" i="3"/>
  <c r="AC33" i="3"/>
  <c r="V30" i="3"/>
  <c r="Y30" i="3" s="1"/>
  <c r="H27" i="3"/>
  <c r="G26" i="3"/>
  <c r="I26" i="3" s="1"/>
  <c r="L26" i="3" s="1"/>
  <c r="Y30" i="2"/>
  <c r="AJ31" i="2"/>
  <c r="V31" i="2"/>
  <c r="X31" i="2" s="1"/>
  <c r="Y31" i="2" s="1"/>
  <c r="B34" i="3"/>
  <c r="C33" i="3"/>
  <c r="U31" i="3"/>
  <c r="Q32" i="3" s="1"/>
  <c r="T31" i="3"/>
  <c r="O34" i="3"/>
  <c r="P33" i="3"/>
  <c r="C33" i="2"/>
  <c r="B34" i="2"/>
  <c r="G24" i="1"/>
  <c r="H24" i="1"/>
  <c r="D25" i="1" s="1"/>
  <c r="E26" i="2"/>
  <c r="G26" i="2" s="1"/>
  <c r="I23" i="1"/>
  <c r="J23" i="1"/>
  <c r="AO37" i="2"/>
  <c r="AP36" i="2"/>
  <c r="U32" i="2"/>
  <c r="Q33" i="2" s="1"/>
  <c r="T32" i="2"/>
  <c r="W32" i="2" s="1"/>
  <c r="CJ32" i="2"/>
  <c r="CL32" i="2" s="1"/>
  <c r="O34" i="2"/>
  <c r="P33" i="2"/>
  <c r="BJ32" i="2"/>
  <c r="BL32" i="2" s="1"/>
  <c r="AT33" i="2"/>
  <c r="AU33" i="2"/>
  <c r="AQ34" i="2" s="1"/>
  <c r="AV32" i="2"/>
  <c r="AX31" i="2"/>
  <c r="AY31" i="2" s="1"/>
  <c r="BO34" i="2"/>
  <c r="BP33" i="2"/>
  <c r="AK31" i="2"/>
  <c r="BB34" i="2"/>
  <c r="BC33" i="2"/>
  <c r="AW32" i="2"/>
  <c r="CB34" i="2"/>
  <c r="CC33" i="2"/>
  <c r="AB34" i="2"/>
  <c r="AC33" i="2"/>
  <c r="BW32" i="2"/>
  <c r="BY32" i="2" s="1"/>
  <c r="AG32" i="2"/>
  <c r="AJ32" i="2" s="1"/>
  <c r="AH32" i="2"/>
  <c r="AD33" i="2" s="1"/>
  <c r="AL30" i="2"/>
  <c r="I24" i="4" l="1"/>
  <c r="AG36" i="3"/>
  <c r="AH36" i="3"/>
  <c r="AD37" i="3" s="1"/>
  <c r="AI33" i="3"/>
  <c r="AL33" i="3" s="1"/>
  <c r="AV33" i="3"/>
  <c r="AY33" i="3" s="1"/>
  <c r="BI33" i="3"/>
  <c r="BL33" i="3" s="1"/>
  <c r="O27" i="4"/>
  <c r="P26" i="4"/>
  <c r="AJ33" i="3"/>
  <c r="BJ33" i="3"/>
  <c r="AW33" i="3"/>
  <c r="C26" i="4"/>
  <c r="J25" i="4"/>
  <c r="J33" i="3"/>
  <c r="W33" i="3"/>
  <c r="B27" i="4"/>
  <c r="H25" i="4"/>
  <c r="D26" i="4" s="1"/>
  <c r="G25" i="4"/>
  <c r="Q25" i="4" s="1"/>
  <c r="BC34" i="3"/>
  <c r="BB35" i="3"/>
  <c r="AO35" i="3"/>
  <c r="AP34" i="3"/>
  <c r="AT35" i="3"/>
  <c r="AU35" i="3"/>
  <c r="AB35" i="3"/>
  <c r="AC34" i="3"/>
  <c r="V31" i="3"/>
  <c r="Y31" i="3" s="1"/>
  <c r="G27" i="3"/>
  <c r="I27" i="3" s="1"/>
  <c r="L27" i="3" s="1"/>
  <c r="D28" i="3"/>
  <c r="AL31" i="2"/>
  <c r="V32" i="2"/>
  <c r="O35" i="3"/>
  <c r="P34" i="3"/>
  <c r="B35" i="3"/>
  <c r="C34" i="3"/>
  <c r="U32" i="3"/>
  <c r="Q33" i="3" s="1"/>
  <c r="T32" i="3"/>
  <c r="H25" i="1"/>
  <c r="D26" i="1" s="1"/>
  <c r="G25" i="1"/>
  <c r="U33" i="2"/>
  <c r="Q34" i="2" s="1"/>
  <c r="T33" i="2"/>
  <c r="W33" i="2" s="1"/>
  <c r="I24" i="1"/>
  <c r="J24" i="1"/>
  <c r="H26" i="2"/>
  <c r="D27" i="2" s="1"/>
  <c r="C34" i="2"/>
  <c r="B35" i="2"/>
  <c r="AO38" i="2"/>
  <c r="AP37" i="2"/>
  <c r="I26" i="2"/>
  <c r="AI32" i="2"/>
  <c r="AT34" i="2"/>
  <c r="AU34" i="2"/>
  <c r="AQ35" i="2" s="1"/>
  <c r="P34" i="2"/>
  <c r="O35" i="2"/>
  <c r="AH33" i="2"/>
  <c r="AD34" i="2" s="1"/>
  <c r="AG33" i="2"/>
  <c r="AJ33" i="2" s="1"/>
  <c r="AW33" i="2"/>
  <c r="CJ33" i="2"/>
  <c r="CL33" i="2" s="1"/>
  <c r="BJ33" i="2"/>
  <c r="BL33" i="2" s="1"/>
  <c r="BW33" i="2"/>
  <c r="BY33" i="2" s="1"/>
  <c r="AB35" i="2"/>
  <c r="AC34" i="2"/>
  <c r="CB35" i="2"/>
  <c r="CC34" i="2"/>
  <c r="BC34" i="2"/>
  <c r="BB35" i="2"/>
  <c r="BP34" i="2"/>
  <c r="BO35" i="2"/>
  <c r="AX32" i="2"/>
  <c r="AY32" i="2" s="1"/>
  <c r="AV33" i="2"/>
  <c r="I25" i="4" l="1"/>
  <c r="AH37" i="3"/>
  <c r="AD38" i="3" s="1"/>
  <c r="AG37" i="3"/>
  <c r="AI34" i="3"/>
  <c r="AL34" i="3" s="1"/>
  <c r="AV34" i="3"/>
  <c r="AY34" i="3" s="1"/>
  <c r="BI34" i="3"/>
  <c r="BL34" i="3" s="1"/>
  <c r="P27" i="4"/>
  <c r="O28" i="4"/>
  <c r="AJ34" i="3"/>
  <c r="BJ34" i="3"/>
  <c r="AW34" i="3"/>
  <c r="C27" i="4"/>
  <c r="J26" i="4"/>
  <c r="J34" i="3"/>
  <c r="W34" i="3"/>
  <c r="H26" i="4"/>
  <c r="D27" i="4" s="1"/>
  <c r="G26" i="4"/>
  <c r="Q26" i="4" s="1"/>
  <c r="B28" i="4"/>
  <c r="BC35" i="3"/>
  <c r="BB36" i="3"/>
  <c r="AU36" i="3"/>
  <c r="AT36" i="3"/>
  <c r="AO36" i="3"/>
  <c r="AP35" i="3"/>
  <c r="AC35" i="3"/>
  <c r="AB36" i="3"/>
  <c r="V32" i="3"/>
  <c r="Y32" i="3" s="1"/>
  <c r="G28" i="3"/>
  <c r="I28" i="3" s="1"/>
  <c r="L28" i="3" s="1"/>
  <c r="V33" i="2"/>
  <c r="X33" i="2" s="1"/>
  <c r="Y33" i="2" s="1"/>
  <c r="X32" i="2"/>
  <c r="Y32" i="2" s="1"/>
  <c r="U33" i="3"/>
  <c r="Q34" i="3" s="1"/>
  <c r="T33" i="3"/>
  <c r="B36" i="3"/>
  <c r="C35" i="3"/>
  <c r="O36" i="3"/>
  <c r="P35" i="3"/>
  <c r="E27" i="2"/>
  <c r="G27" i="2" s="1"/>
  <c r="I27" i="2" s="1"/>
  <c r="T34" i="2"/>
  <c r="U34" i="2"/>
  <c r="Q35" i="2" s="1"/>
  <c r="AP38" i="2"/>
  <c r="AO39" i="2"/>
  <c r="J25" i="1"/>
  <c r="I25" i="1"/>
  <c r="K26" i="2"/>
  <c r="C35" i="2"/>
  <c r="B36" i="2"/>
  <c r="H26" i="1"/>
  <c r="D27" i="1" s="1"/>
  <c r="G26" i="1"/>
  <c r="AV34" i="2"/>
  <c r="AX33" i="2"/>
  <c r="AY33" i="2" s="1"/>
  <c r="BB36" i="2"/>
  <c r="BC35" i="2"/>
  <c r="BJ34" i="2"/>
  <c r="BL34" i="2" s="1"/>
  <c r="AB36" i="2"/>
  <c r="AC35" i="2"/>
  <c r="CJ34" i="2"/>
  <c r="CL34" i="2" s="1"/>
  <c r="AT35" i="2"/>
  <c r="AU35" i="2"/>
  <c r="AQ36" i="2" s="1"/>
  <c r="BP35" i="2"/>
  <c r="BO36" i="2"/>
  <c r="BW34" i="2"/>
  <c r="BY34" i="2" s="1"/>
  <c r="CB36" i="2"/>
  <c r="CC35" i="2"/>
  <c r="AG34" i="2"/>
  <c r="AJ34" i="2" s="1"/>
  <c r="AH34" i="2"/>
  <c r="AD35" i="2" s="1"/>
  <c r="AW34" i="2"/>
  <c r="P35" i="2"/>
  <c r="O36" i="2"/>
  <c r="AK32" i="2"/>
  <c r="AL32" i="2" s="1"/>
  <c r="AI33" i="2"/>
  <c r="I26" i="4" l="1"/>
  <c r="AG38" i="3"/>
  <c r="AH38" i="3"/>
  <c r="AD39" i="3" s="1"/>
  <c r="AI35" i="3"/>
  <c r="AL35" i="3" s="1"/>
  <c r="AV35" i="3"/>
  <c r="AY35" i="3" s="1"/>
  <c r="BI35" i="3"/>
  <c r="BL35" i="3" s="1"/>
  <c r="O29" i="4"/>
  <c r="P28" i="4"/>
  <c r="AJ35" i="3"/>
  <c r="BJ35" i="3"/>
  <c r="AW35" i="3"/>
  <c r="C28" i="4"/>
  <c r="J27" i="4"/>
  <c r="J35" i="3"/>
  <c r="W35" i="3"/>
  <c r="B29" i="4"/>
  <c r="G27" i="4"/>
  <c r="Q27" i="4" s="1"/>
  <c r="H27" i="4"/>
  <c r="D28" i="4" s="1"/>
  <c r="BC36" i="3"/>
  <c r="BB37" i="3"/>
  <c r="AU37" i="3"/>
  <c r="AT37" i="3"/>
  <c r="AO37" i="3"/>
  <c r="AP36" i="3"/>
  <c r="AC36" i="3"/>
  <c r="AB37" i="3"/>
  <c r="V33" i="3"/>
  <c r="Y33" i="3" s="1"/>
  <c r="H28" i="3"/>
  <c r="D29" i="3" s="1"/>
  <c r="V34" i="2"/>
  <c r="X34" i="2" s="1"/>
  <c r="W34" i="2"/>
  <c r="O37" i="3"/>
  <c r="P36" i="3"/>
  <c r="U34" i="3"/>
  <c r="Q35" i="3" s="1"/>
  <c r="T34" i="3"/>
  <c r="B37" i="3"/>
  <c r="C36" i="3"/>
  <c r="H27" i="2"/>
  <c r="D28" i="2" s="1"/>
  <c r="E28" i="2" s="1"/>
  <c r="B37" i="2"/>
  <c r="C36" i="2"/>
  <c r="U35" i="2"/>
  <c r="Q36" i="2" s="1"/>
  <c r="T35" i="2"/>
  <c r="W35" i="2" s="1"/>
  <c r="I26" i="1"/>
  <c r="J26" i="1"/>
  <c r="K27" i="2"/>
  <c r="AP39" i="2"/>
  <c r="AO40" i="2"/>
  <c r="H27" i="1"/>
  <c r="D28" i="1" s="1"/>
  <c r="G27" i="1"/>
  <c r="BP36" i="2"/>
  <c r="BO37" i="2"/>
  <c r="BJ35" i="2"/>
  <c r="BL35" i="2" s="1"/>
  <c r="BW35" i="2"/>
  <c r="BY35" i="2" s="1"/>
  <c r="BB37" i="2"/>
  <c r="BC36" i="2"/>
  <c r="AG35" i="2"/>
  <c r="AJ35" i="2" s="1"/>
  <c r="AH35" i="2"/>
  <c r="AD36" i="2" s="1"/>
  <c r="CJ35" i="2"/>
  <c r="CL35" i="2" s="1"/>
  <c r="AT36" i="2"/>
  <c r="AU36" i="2"/>
  <c r="AQ37" i="2" s="1"/>
  <c r="AK33" i="2"/>
  <c r="AL33" i="2" s="1"/>
  <c r="AI34" i="2"/>
  <c r="P36" i="2"/>
  <c r="O37" i="2"/>
  <c r="CB37" i="2"/>
  <c r="CC36" i="2"/>
  <c r="AW35" i="2"/>
  <c r="AB37" i="2"/>
  <c r="AC36" i="2"/>
  <c r="AX34" i="2"/>
  <c r="AY34" i="2" s="1"/>
  <c r="AV35" i="2"/>
  <c r="I27" i="4" l="1"/>
  <c r="AG39" i="3"/>
  <c r="AH39" i="3"/>
  <c r="AD40" i="3" s="1"/>
  <c r="AI36" i="3"/>
  <c r="AL36" i="3" s="1"/>
  <c r="AV36" i="3"/>
  <c r="AY36" i="3" s="1"/>
  <c r="BI36" i="3"/>
  <c r="BL36" i="3" s="1"/>
  <c r="P29" i="4"/>
  <c r="O30" i="4"/>
  <c r="AJ36" i="3"/>
  <c r="BJ36" i="3"/>
  <c r="AW36" i="3"/>
  <c r="C29" i="4"/>
  <c r="J28" i="4"/>
  <c r="J36" i="3"/>
  <c r="W36" i="3"/>
  <c r="H28" i="4"/>
  <c r="D29" i="4" s="1"/>
  <c r="G28" i="4"/>
  <c r="Q28" i="4" s="1"/>
  <c r="B30" i="4"/>
  <c r="BC37" i="3"/>
  <c r="BB38" i="3"/>
  <c r="AO38" i="3"/>
  <c r="AP37" i="3"/>
  <c r="AU38" i="3"/>
  <c r="AT38" i="3"/>
  <c r="AB38" i="3"/>
  <c r="AC37" i="3"/>
  <c r="V34" i="3"/>
  <c r="Y34" i="3" s="1"/>
  <c r="G29" i="3"/>
  <c r="I29" i="3" s="1"/>
  <c r="L29" i="3" s="1"/>
  <c r="Y34" i="2"/>
  <c r="V35" i="2"/>
  <c r="X35" i="2" s="1"/>
  <c r="Y35" i="2" s="1"/>
  <c r="G28" i="2"/>
  <c r="I28" i="2" s="1"/>
  <c r="K28" i="2" s="1"/>
  <c r="H28" i="2"/>
  <c r="D29" i="2" s="1"/>
  <c r="E29" i="2" s="1"/>
  <c r="G29" i="2" s="1"/>
  <c r="U35" i="3"/>
  <c r="Q36" i="3" s="1"/>
  <c r="T35" i="3"/>
  <c r="O38" i="3"/>
  <c r="P37" i="3"/>
  <c r="B38" i="3"/>
  <c r="C37" i="3"/>
  <c r="T36" i="2"/>
  <c r="W36" i="2" s="1"/>
  <c r="U36" i="2"/>
  <c r="Q37" i="2" s="1"/>
  <c r="I27" i="1"/>
  <c r="J27" i="1"/>
  <c r="AP40" i="2"/>
  <c r="AO41" i="2"/>
  <c r="G28" i="1"/>
  <c r="H28" i="1"/>
  <c r="D29" i="1" s="1"/>
  <c r="B38" i="2"/>
  <c r="C37" i="2"/>
  <c r="AW36" i="2"/>
  <c r="BB38" i="2"/>
  <c r="BC37" i="2"/>
  <c r="AG36" i="2"/>
  <c r="AJ36" i="2" s="1"/>
  <c r="AH36" i="2"/>
  <c r="AD37" i="2" s="1"/>
  <c r="CJ36" i="2"/>
  <c r="CL36" i="2" s="1"/>
  <c r="O38" i="2"/>
  <c r="P37" i="2"/>
  <c r="AK34" i="2"/>
  <c r="AL34" i="2" s="1"/>
  <c r="AI35" i="2"/>
  <c r="BO38" i="2"/>
  <c r="BP37" i="2"/>
  <c r="AC37" i="2"/>
  <c r="AB38" i="2"/>
  <c r="AV36" i="2"/>
  <c r="AX35" i="2"/>
  <c r="AY35" i="2" s="1"/>
  <c r="CB38" i="2"/>
  <c r="CC37" i="2"/>
  <c r="AU37" i="2"/>
  <c r="AQ38" i="2" s="1"/>
  <c r="AT37" i="2"/>
  <c r="AW37" i="2" s="1"/>
  <c r="BJ36" i="2"/>
  <c r="BL36" i="2" s="1"/>
  <c r="BW36" i="2"/>
  <c r="BY36" i="2" s="1"/>
  <c r="I28" i="4" l="1"/>
  <c r="AG40" i="3"/>
  <c r="AH40" i="3"/>
  <c r="AD41" i="3" s="1"/>
  <c r="AI37" i="3"/>
  <c r="AL37" i="3" s="1"/>
  <c r="AV37" i="3"/>
  <c r="AY37" i="3" s="1"/>
  <c r="BI37" i="3"/>
  <c r="BL37" i="3" s="1"/>
  <c r="O31" i="4"/>
  <c r="P30" i="4"/>
  <c r="AJ37" i="3"/>
  <c r="BJ37" i="3"/>
  <c r="AW37" i="3"/>
  <c r="C30" i="4"/>
  <c r="J29" i="4"/>
  <c r="W37" i="3"/>
  <c r="J37" i="3"/>
  <c r="B31" i="4"/>
  <c r="H29" i="4"/>
  <c r="D30" i="4" s="1"/>
  <c r="G29" i="4"/>
  <c r="Q29" i="4" s="1"/>
  <c r="BC38" i="3"/>
  <c r="BB39" i="3"/>
  <c r="AT39" i="3"/>
  <c r="AU39" i="3"/>
  <c r="AO39" i="3"/>
  <c r="AP38" i="3"/>
  <c r="AB39" i="3"/>
  <c r="AC38" i="3"/>
  <c r="V35" i="3"/>
  <c r="Y35" i="3" s="1"/>
  <c r="H29" i="3"/>
  <c r="D30" i="3" s="1"/>
  <c r="J28" i="2"/>
  <c r="L28" i="2" s="1"/>
  <c r="B39" i="3"/>
  <c r="C38" i="3"/>
  <c r="O39" i="3"/>
  <c r="P38" i="3"/>
  <c r="U36" i="3"/>
  <c r="Q37" i="3" s="1"/>
  <c r="T36" i="3"/>
  <c r="V36" i="2"/>
  <c r="X36" i="2" s="1"/>
  <c r="Y36" i="2" s="1"/>
  <c r="AO42" i="2"/>
  <c r="AP41" i="2"/>
  <c r="T37" i="2"/>
  <c r="W37" i="2" s="1"/>
  <c r="U37" i="2"/>
  <c r="Q38" i="2" s="1"/>
  <c r="H29" i="2"/>
  <c r="D30" i="2" s="1"/>
  <c r="B39" i="2"/>
  <c r="C38" i="2"/>
  <c r="J29" i="2"/>
  <c r="H29" i="1"/>
  <c r="D30" i="1" s="1"/>
  <c r="G29" i="1"/>
  <c r="I29" i="1" s="1"/>
  <c r="I29" i="2"/>
  <c r="I28" i="1"/>
  <c r="J28" i="1"/>
  <c r="BW37" i="2"/>
  <c r="BY37" i="2" s="1"/>
  <c r="AU38" i="2"/>
  <c r="AQ39" i="2" s="1"/>
  <c r="AT38" i="2"/>
  <c r="AW38" i="2" s="1"/>
  <c r="CC38" i="2"/>
  <c r="CB39" i="2"/>
  <c r="AV37" i="2"/>
  <c r="AX36" i="2"/>
  <c r="AY36" i="2" s="1"/>
  <c r="BJ37" i="2"/>
  <c r="BL37" i="2" s="1"/>
  <c r="P38" i="2"/>
  <c r="O39" i="2"/>
  <c r="BC38" i="2"/>
  <c r="BB39" i="2"/>
  <c r="AG37" i="2"/>
  <c r="AJ37" i="2" s="1"/>
  <c r="AH37" i="2"/>
  <c r="AD38" i="2" s="1"/>
  <c r="AI36" i="2"/>
  <c r="AK35" i="2"/>
  <c r="AL35" i="2" s="1"/>
  <c r="CJ37" i="2"/>
  <c r="CL37" i="2" s="1"/>
  <c r="AB39" i="2"/>
  <c r="AC38" i="2"/>
  <c r="BO39" i="2"/>
  <c r="BP38" i="2"/>
  <c r="I29" i="4" l="1"/>
  <c r="AH41" i="3"/>
  <c r="AD42" i="3" s="1"/>
  <c r="AG41" i="3"/>
  <c r="AI38" i="3"/>
  <c r="AL38" i="3" s="1"/>
  <c r="AV38" i="3"/>
  <c r="AY38" i="3" s="1"/>
  <c r="BI38" i="3"/>
  <c r="BL38" i="3" s="1"/>
  <c r="P31" i="4"/>
  <c r="O32" i="4"/>
  <c r="AJ38" i="3"/>
  <c r="BJ38" i="3"/>
  <c r="AW38" i="3"/>
  <c r="C31" i="4"/>
  <c r="J30" i="4"/>
  <c r="W38" i="3"/>
  <c r="J38" i="3"/>
  <c r="R29" i="4"/>
  <c r="H30" i="4"/>
  <c r="D31" i="4" s="1"/>
  <c r="G30" i="4"/>
  <c r="Q30" i="4" s="1"/>
  <c r="B32" i="4"/>
  <c r="BC39" i="3"/>
  <c r="BB40" i="3"/>
  <c r="AO40" i="3"/>
  <c r="AP39" i="3"/>
  <c r="AU40" i="3"/>
  <c r="AT40" i="3"/>
  <c r="AC39" i="3"/>
  <c r="AB40" i="3"/>
  <c r="V36" i="3"/>
  <c r="Y36" i="3" s="1"/>
  <c r="V37" i="2"/>
  <c r="X37" i="2" s="1"/>
  <c r="Y37" i="2" s="1"/>
  <c r="U37" i="3"/>
  <c r="Q38" i="3" s="1"/>
  <c r="T37" i="3"/>
  <c r="O40" i="3"/>
  <c r="P39" i="3"/>
  <c r="B40" i="3"/>
  <c r="C39" i="3"/>
  <c r="K29" i="2"/>
  <c r="L29" i="2" s="1"/>
  <c r="C39" i="2"/>
  <c r="B40" i="2"/>
  <c r="E30" i="2"/>
  <c r="G30" i="2" s="1"/>
  <c r="I30" i="2" s="1"/>
  <c r="AO43" i="2"/>
  <c r="AP43" i="2" s="1"/>
  <c r="AP42" i="2"/>
  <c r="H30" i="1"/>
  <c r="G30" i="1"/>
  <c r="T38" i="2"/>
  <c r="U38" i="2"/>
  <c r="Q39" i="2" s="1"/>
  <c r="J29" i="1"/>
  <c r="BW38" i="2"/>
  <c r="BY38" i="2" s="1"/>
  <c r="BO40" i="2"/>
  <c r="BP39" i="2"/>
  <c r="AH38" i="2"/>
  <c r="AD39" i="2" s="1"/>
  <c r="AG38" i="2"/>
  <c r="AJ38" i="2" s="1"/>
  <c r="BB40" i="2"/>
  <c r="BC39" i="2"/>
  <c r="CC39" i="2"/>
  <c r="CB40" i="2"/>
  <c r="AI37" i="2"/>
  <c r="AK36" i="2"/>
  <c r="AL36" i="2" s="1"/>
  <c r="BL38" i="2"/>
  <c r="BJ38" i="2"/>
  <c r="CJ38" i="2"/>
  <c r="CL38" i="2" s="1"/>
  <c r="P39" i="2"/>
  <c r="O40" i="2"/>
  <c r="AC39" i="2"/>
  <c r="AB40" i="2"/>
  <c r="AV38" i="2"/>
  <c r="AX37" i="2"/>
  <c r="AY37" i="2" s="1"/>
  <c r="AT39" i="2"/>
  <c r="AW39" i="2" s="1"/>
  <c r="AU39" i="2"/>
  <c r="AQ40" i="2" s="1"/>
  <c r="I30" i="4" l="1"/>
  <c r="AH42" i="3"/>
  <c r="AD43" i="3" s="1"/>
  <c r="AG42" i="3"/>
  <c r="AI39" i="3"/>
  <c r="AL39" i="3" s="1"/>
  <c r="AV39" i="3"/>
  <c r="AY39" i="3" s="1"/>
  <c r="BI39" i="3"/>
  <c r="BL39" i="3" s="1"/>
  <c r="O33" i="4"/>
  <c r="P32" i="4"/>
  <c r="AJ39" i="3"/>
  <c r="BJ39" i="3"/>
  <c r="AW39" i="3"/>
  <c r="C32" i="4"/>
  <c r="J31" i="4"/>
  <c r="W39" i="3"/>
  <c r="J39" i="3"/>
  <c r="R30" i="4"/>
  <c r="B33" i="4"/>
  <c r="G31" i="4"/>
  <c r="Q31" i="4" s="1"/>
  <c r="H31" i="4"/>
  <c r="D32" i="4" s="1"/>
  <c r="BC40" i="3"/>
  <c r="BB41" i="3"/>
  <c r="AO41" i="3"/>
  <c r="AP40" i="3"/>
  <c r="AU41" i="3"/>
  <c r="AT41" i="3"/>
  <c r="AC40" i="3"/>
  <c r="AB41" i="3"/>
  <c r="V37" i="3"/>
  <c r="Y37" i="3" s="1"/>
  <c r="G30" i="3"/>
  <c r="I30" i="3" s="1"/>
  <c r="L30" i="3" s="1"/>
  <c r="H30" i="3"/>
  <c r="D31" i="3" s="1"/>
  <c r="V38" i="2"/>
  <c r="X38" i="2" s="1"/>
  <c r="W38" i="2"/>
  <c r="O41" i="3"/>
  <c r="P40" i="3"/>
  <c r="B41" i="3"/>
  <c r="C40" i="3"/>
  <c r="U38" i="3"/>
  <c r="Q39" i="3" s="1"/>
  <c r="T38" i="3"/>
  <c r="H30" i="2"/>
  <c r="D31" i="2" s="1"/>
  <c r="E31" i="2" s="1"/>
  <c r="G31" i="2" s="1"/>
  <c r="I31" i="2" s="1"/>
  <c r="K30" i="2"/>
  <c r="U39" i="2"/>
  <c r="Q40" i="2" s="1"/>
  <c r="T39" i="2"/>
  <c r="C40" i="2"/>
  <c r="B41" i="2"/>
  <c r="I30" i="1"/>
  <c r="J30" i="1"/>
  <c r="J30" i="2"/>
  <c r="AT40" i="2"/>
  <c r="AW40" i="2" s="1"/>
  <c r="AU40" i="2"/>
  <c r="AQ41" i="2" s="1"/>
  <c r="AB41" i="2"/>
  <c r="AC40" i="2"/>
  <c r="P40" i="2"/>
  <c r="O41" i="2"/>
  <c r="BW39" i="2"/>
  <c r="BY39" i="2" s="1"/>
  <c r="AK37" i="2"/>
  <c r="AL37" i="2" s="1"/>
  <c r="AI38" i="2"/>
  <c r="AH39" i="2"/>
  <c r="AD40" i="2" s="1"/>
  <c r="AG39" i="2"/>
  <c r="AJ39" i="2" s="1"/>
  <c r="BP40" i="2"/>
  <c r="BO41" i="2"/>
  <c r="CB41" i="2"/>
  <c r="CC40" i="2"/>
  <c r="BJ39" i="2"/>
  <c r="BL39" i="2" s="1"/>
  <c r="AX38" i="2"/>
  <c r="AY38" i="2" s="1"/>
  <c r="AV39" i="2"/>
  <c r="CJ39" i="2"/>
  <c r="CL39" i="2" s="1"/>
  <c r="BC40" i="2"/>
  <c r="BB41" i="2"/>
  <c r="I31" i="4" l="1"/>
  <c r="AH43" i="3"/>
  <c r="AG43" i="3"/>
  <c r="G5" i="3" s="1"/>
  <c r="H5" i="3" s="1"/>
  <c r="AI40" i="3"/>
  <c r="AL40" i="3" s="1"/>
  <c r="AV40" i="3"/>
  <c r="AY40" i="3" s="1"/>
  <c r="BI40" i="3"/>
  <c r="BL40" i="3" s="1"/>
  <c r="O34" i="4"/>
  <c r="P33" i="4"/>
  <c r="AJ40" i="3"/>
  <c r="BJ40" i="3"/>
  <c r="AW40" i="3"/>
  <c r="C33" i="4"/>
  <c r="J32" i="4"/>
  <c r="J40" i="3"/>
  <c r="W40" i="3"/>
  <c r="H32" i="4"/>
  <c r="D33" i="4" s="1"/>
  <c r="G32" i="4"/>
  <c r="Q32" i="4" s="1"/>
  <c r="B34" i="4"/>
  <c r="R31" i="4"/>
  <c r="BC41" i="3"/>
  <c r="BB42" i="3"/>
  <c r="AU42" i="3"/>
  <c r="AT42" i="3"/>
  <c r="AO42" i="3"/>
  <c r="AP41" i="3"/>
  <c r="AB42" i="3"/>
  <c r="AC41" i="3"/>
  <c r="V38" i="3"/>
  <c r="Y38" i="3" s="1"/>
  <c r="H31" i="3"/>
  <c r="Y38" i="2"/>
  <c r="V39" i="2"/>
  <c r="X39" i="2" s="1"/>
  <c r="H31" i="2"/>
  <c r="D32" i="2" s="1"/>
  <c r="E32" i="2" s="1"/>
  <c r="G32" i="2" s="1"/>
  <c r="U39" i="3"/>
  <c r="Q40" i="3" s="1"/>
  <c r="T39" i="3"/>
  <c r="B42" i="3"/>
  <c r="C41" i="3"/>
  <c r="O42" i="3"/>
  <c r="P41" i="3"/>
  <c r="J31" i="2"/>
  <c r="L30" i="2"/>
  <c r="W39" i="2"/>
  <c r="K31" i="2"/>
  <c r="U40" i="2"/>
  <c r="Q41" i="2" s="1"/>
  <c r="T40" i="2"/>
  <c r="W40" i="2" s="1"/>
  <c r="B42" i="2"/>
  <c r="C41" i="2"/>
  <c r="CB42" i="2"/>
  <c r="CC41" i="2"/>
  <c r="BC41" i="2"/>
  <c r="BB42" i="2"/>
  <c r="AX39" i="2"/>
  <c r="AY39" i="2" s="1"/>
  <c r="AV40" i="2"/>
  <c r="BJ40" i="2"/>
  <c r="BL40" i="2" s="1"/>
  <c r="CJ40" i="2"/>
  <c r="CL40" i="2" s="1"/>
  <c r="BW40" i="2"/>
  <c r="BY40" i="2" s="1"/>
  <c r="AB42" i="2"/>
  <c r="AC41" i="2"/>
  <c r="O42" i="2"/>
  <c r="P41" i="2"/>
  <c r="AH40" i="2"/>
  <c r="AD41" i="2" s="1"/>
  <c r="AG40" i="2"/>
  <c r="AJ40" i="2" s="1"/>
  <c r="BO42" i="2"/>
  <c r="BP41" i="2"/>
  <c r="AK38" i="2"/>
  <c r="AL38" i="2" s="1"/>
  <c r="AI39" i="2"/>
  <c r="AU41" i="2"/>
  <c r="AQ42" i="2" s="1"/>
  <c r="AT41" i="2"/>
  <c r="AW41" i="2" s="1"/>
  <c r="I32" i="4" l="1"/>
  <c r="E5" i="3"/>
  <c r="AI41" i="3"/>
  <c r="AL41" i="3" s="1"/>
  <c r="AV41" i="3"/>
  <c r="AY41" i="3" s="1"/>
  <c r="BI41" i="3"/>
  <c r="BL41" i="3" s="1"/>
  <c r="P34" i="4"/>
  <c r="Q34" i="4"/>
  <c r="AJ41" i="3"/>
  <c r="BJ41" i="3"/>
  <c r="AW41" i="3"/>
  <c r="C34" i="4"/>
  <c r="J33" i="4"/>
  <c r="J41" i="3"/>
  <c r="W41" i="3"/>
  <c r="R32" i="4"/>
  <c r="H33" i="4"/>
  <c r="D34" i="4" s="1"/>
  <c r="G33" i="4"/>
  <c r="Q33" i="4" s="1"/>
  <c r="BC42" i="3"/>
  <c r="BB43" i="3"/>
  <c r="BC43" i="3" s="1"/>
  <c r="AT43" i="3"/>
  <c r="AU43" i="3"/>
  <c r="AO43" i="3"/>
  <c r="AP43" i="3" s="1"/>
  <c r="AP42" i="3"/>
  <c r="AB43" i="3"/>
  <c r="AC43" i="3" s="1"/>
  <c r="AC42" i="3"/>
  <c r="V39" i="3"/>
  <c r="Y39" i="3" s="1"/>
  <c r="G31" i="3"/>
  <c r="I31" i="3" s="1"/>
  <c r="L31" i="3" s="1"/>
  <c r="D32" i="3"/>
  <c r="L31" i="2"/>
  <c r="Y39" i="2"/>
  <c r="B43" i="3"/>
  <c r="C43" i="3" s="1"/>
  <c r="C42" i="3"/>
  <c r="O43" i="3"/>
  <c r="P43" i="3" s="1"/>
  <c r="P42" i="3"/>
  <c r="U40" i="3"/>
  <c r="Q41" i="3" s="1"/>
  <c r="T40" i="3"/>
  <c r="V40" i="2"/>
  <c r="X40" i="2" s="1"/>
  <c r="Y40" i="2" s="1"/>
  <c r="C42" i="2"/>
  <c r="B43" i="2"/>
  <c r="C43" i="2" s="1"/>
  <c r="T41" i="2"/>
  <c r="W41" i="2" s="1"/>
  <c r="U41" i="2"/>
  <c r="Q42" i="2" s="1"/>
  <c r="H32" i="2"/>
  <c r="D33" i="2" s="1"/>
  <c r="J32" i="2"/>
  <c r="I32" i="2"/>
  <c r="K32" i="2" s="1"/>
  <c r="BB43" i="2"/>
  <c r="BC43" i="2" s="1"/>
  <c r="BC42" i="2"/>
  <c r="AI40" i="2"/>
  <c r="AK39" i="2"/>
  <c r="AL39" i="2" s="1"/>
  <c r="BJ41" i="2"/>
  <c r="BL41" i="2" s="1"/>
  <c r="AX40" i="2"/>
  <c r="AY40" i="2" s="1"/>
  <c r="AV41" i="2"/>
  <c r="CJ41" i="2"/>
  <c r="CL41" i="2" s="1"/>
  <c r="AG41" i="2"/>
  <c r="AJ41" i="2" s="1"/>
  <c r="AH41" i="2"/>
  <c r="AD42" i="2" s="1"/>
  <c r="O43" i="2"/>
  <c r="P43" i="2" s="1"/>
  <c r="P42" i="2"/>
  <c r="BW41" i="2"/>
  <c r="BY41" i="2" s="1"/>
  <c r="AU42" i="2"/>
  <c r="AQ43" i="2" s="1"/>
  <c r="AT42" i="2"/>
  <c r="AW42" i="2" s="1"/>
  <c r="BP42" i="2"/>
  <c r="BO43" i="2"/>
  <c r="BP43" i="2" s="1"/>
  <c r="AC42" i="2"/>
  <c r="AB43" i="2"/>
  <c r="AC43" i="2" s="1"/>
  <c r="CB43" i="2"/>
  <c r="CC43" i="2" s="1"/>
  <c r="CC42" i="2"/>
  <c r="I33" i="4" l="1"/>
  <c r="AI42" i="3"/>
  <c r="AI43" i="3" s="1"/>
  <c r="AL43" i="3" s="1"/>
  <c r="AV42" i="3"/>
  <c r="AV43" i="3" s="1"/>
  <c r="AY43" i="3" s="1"/>
  <c r="BI42" i="3"/>
  <c r="BL42" i="3" s="1"/>
  <c r="R34" i="4"/>
  <c r="J34" i="4"/>
  <c r="AJ42" i="3"/>
  <c r="AJ43" i="3"/>
  <c r="BJ43" i="3"/>
  <c r="BJ42" i="3"/>
  <c r="AW43" i="3"/>
  <c r="AW42" i="3"/>
  <c r="J43" i="3"/>
  <c r="W42" i="3"/>
  <c r="W43" i="3"/>
  <c r="J42" i="3"/>
  <c r="G6" i="3"/>
  <c r="H6" i="3" s="1"/>
  <c r="E6" i="3"/>
  <c r="H34" i="4"/>
  <c r="G34" i="4"/>
  <c r="R33" i="4"/>
  <c r="V40" i="3"/>
  <c r="Y40" i="3" s="1"/>
  <c r="H32" i="3"/>
  <c r="L32" i="2"/>
  <c r="U41" i="3"/>
  <c r="Q42" i="3" s="1"/>
  <c r="T41" i="3"/>
  <c r="V41" i="2"/>
  <c r="X41" i="2" s="1"/>
  <c r="Y41" i="2" s="1"/>
  <c r="E33" i="2"/>
  <c r="G33" i="2" s="1"/>
  <c r="T42" i="2"/>
  <c r="W42" i="2" s="1"/>
  <c r="U42" i="2"/>
  <c r="Q43" i="2" s="1"/>
  <c r="BW42" i="2"/>
  <c r="BY42" i="2" s="1"/>
  <c r="BJ42" i="2"/>
  <c r="BL42" i="2" s="1"/>
  <c r="CJ42" i="2"/>
  <c r="CL42" i="2" s="1"/>
  <c r="CJ43" i="2"/>
  <c r="AH42" i="2"/>
  <c r="AD43" i="2" s="1"/>
  <c r="AG42" i="2"/>
  <c r="AX41" i="2"/>
  <c r="AY41" i="2" s="1"/>
  <c r="AV42" i="2"/>
  <c r="BJ43" i="2"/>
  <c r="BL43" i="2" s="1"/>
  <c r="G7" i="2" s="1"/>
  <c r="AT43" i="2"/>
  <c r="AW43" i="2" s="1"/>
  <c r="AU43" i="2"/>
  <c r="BW43" i="2"/>
  <c r="BY43" i="2" s="1"/>
  <c r="G8" i="2" s="1"/>
  <c r="AK40" i="2"/>
  <c r="AL40" i="2" s="1"/>
  <c r="AI41" i="2"/>
  <c r="I34" i="4" l="1"/>
  <c r="AL42" i="3"/>
  <c r="AY42" i="3"/>
  <c r="BI43" i="3"/>
  <c r="F7" i="3" s="1"/>
  <c r="BK43" i="3"/>
  <c r="AK43" i="3"/>
  <c r="AX43" i="3"/>
  <c r="K34" i="4"/>
  <c r="F5" i="3"/>
  <c r="V41" i="3"/>
  <c r="Y41" i="3" s="1"/>
  <c r="G32" i="3"/>
  <c r="I32" i="3" s="1"/>
  <c r="L32" i="3" s="1"/>
  <c r="D33" i="3"/>
  <c r="CJ44" i="2"/>
  <c r="V42" i="2"/>
  <c r="X42" i="2" s="1"/>
  <c r="Y42" i="2" s="1"/>
  <c r="U42" i="3"/>
  <c r="Q43" i="3" s="1"/>
  <c r="T42" i="3"/>
  <c r="U43" i="2"/>
  <c r="T43" i="2"/>
  <c r="W43" i="2" s="1"/>
  <c r="H4" i="2" s="1"/>
  <c r="I33" i="2"/>
  <c r="K33" i="2" s="1"/>
  <c r="J33" i="2"/>
  <c r="H33" i="2"/>
  <c r="D34" i="2" s="1"/>
  <c r="H7" i="2"/>
  <c r="BJ44" i="2"/>
  <c r="AV43" i="2"/>
  <c r="AX42" i="2"/>
  <c r="AY42" i="2" s="1"/>
  <c r="CL43" i="2"/>
  <c r="G9" i="2" s="1"/>
  <c r="AJ42" i="2"/>
  <c r="H6" i="2"/>
  <c r="AW44" i="2"/>
  <c r="H8" i="2"/>
  <c r="BW44" i="2"/>
  <c r="AI42" i="2"/>
  <c r="AK41" i="2"/>
  <c r="AL41" i="2" s="1"/>
  <c r="AH43" i="2"/>
  <c r="AG43" i="2"/>
  <c r="AJ43" i="2" s="1"/>
  <c r="H5" i="2" s="1"/>
  <c r="M34" i="4" l="1"/>
  <c r="BL43" i="3"/>
  <c r="F6" i="3"/>
  <c r="V42" i="3"/>
  <c r="Y42" i="3" s="1"/>
  <c r="H33" i="3"/>
  <c r="V43" i="2"/>
  <c r="X43" i="2" s="1"/>
  <c r="Y43" i="2" s="1"/>
  <c r="G4" i="2" s="1"/>
  <c r="U43" i="3"/>
  <c r="T43" i="3"/>
  <c r="X43" i="3" s="1"/>
  <c r="L33" i="2"/>
  <c r="E34" i="2"/>
  <c r="G34" i="2" s="1"/>
  <c r="AI43" i="2"/>
  <c r="AK42" i="2"/>
  <c r="AL42" i="2" s="1"/>
  <c r="F6" i="2"/>
  <c r="AX43" i="2"/>
  <c r="AY43" i="2" s="1"/>
  <c r="G6" i="2" s="1"/>
  <c r="G4" i="3" l="1"/>
  <c r="H4" i="3" s="1"/>
  <c r="V43" i="3"/>
  <c r="Y43" i="3" s="1"/>
  <c r="G33" i="3"/>
  <c r="I33" i="3" s="1"/>
  <c r="L33" i="3" s="1"/>
  <c r="D34" i="3"/>
  <c r="F4" i="2"/>
  <c r="H34" i="2"/>
  <c r="D35" i="2" s="1"/>
  <c r="E35" i="2" s="1"/>
  <c r="G35" i="2" s="1"/>
  <c r="J35" i="2" s="1"/>
  <c r="I34" i="2"/>
  <c r="J34" i="2"/>
  <c r="AK43" i="2"/>
  <c r="AL43" i="2" s="1"/>
  <c r="G5" i="2" s="1"/>
  <c r="F5" i="2"/>
  <c r="H34" i="3" l="1"/>
  <c r="K34" i="2"/>
  <c r="L34" i="2" s="1"/>
  <c r="I35" i="2"/>
  <c r="H35" i="2"/>
  <c r="D36" i="2" s="1"/>
  <c r="G34" i="3" l="1"/>
  <c r="I34" i="3" s="1"/>
  <c r="L34" i="3" s="1"/>
  <c r="D35" i="3"/>
  <c r="E36" i="2"/>
  <c r="G36" i="2" s="1"/>
  <c r="I36" i="2" s="1"/>
  <c r="K35" i="2"/>
  <c r="L35" i="2" s="1"/>
  <c r="H35" i="3" l="1"/>
  <c r="K36" i="2"/>
  <c r="H36" i="2"/>
  <c r="D37" i="2" s="1"/>
  <c r="J36" i="2"/>
  <c r="G35" i="3" l="1"/>
  <c r="I35" i="3" s="1"/>
  <c r="L35" i="3" s="1"/>
  <c r="D36" i="3"/>
  <c r="L36" i="2"/>
  <c r="E37" i="2"/>
  <c r="G37" i="2" s="1"/>
  <c r="H37" i="2" l="1"/>
  <c r="D38" i="2" s="1"/>
  <c r="E38" i="2" s="1"/>
  <c r="G38" i="2" s="1"/>
  <c r="J38" i="2" s="1"/>
  <c r="I37" i="2"/>
  <c r="J37" i="2"/>
  <c r="G36" i="3" l="1"/>
  <c r="I36" i="3" s="1"/>
  <c r="L36" i="3" s="1"/>
  <c r="H36" i="3"/>
  <c r="K37" i="2"/>
  <c r="L37" i="2" s="1"/>
  <c r="I38" i="2"/>
  <c r="H38" i="2"/>
  <c r="D39" i="2" s="1"/>
  <c r="D37" i="3" l="1"/>
  <c r="E39" i="2"/>
  <c r="H39" i="2" s="1"/>
  <c r="D40" i="2" s="1"/>
  <c r="K38" i="2"/>
  <c r="L38" i="2" s="1"/>
  <c r="G37" i="3" l="1"/>
  <c r="I37" i="3" s="1"/>
  <c r="L37" i="3" s="1"/>
  <c r="E40" i="2"/>
  <c r="G40" i="2" s="1"/>
  <c r="G39" i="2"/>
  <c r="H37" i="3" l="1"/>
  <c r="J39" i="2"/>
  <c r="J40" i="2"/>
  <c r="I39" i="2"/>
  <c r="H40" i="2"/>
  <c r="D41" i="2" s="1"/>
  <c r="D38" i="3" l="1"/>
  <c r="E41" i="2"/>
  <c r="I40" i="2"/>
  <c r="K39" i="2"/>
  <c r="L39" i="2" s="1"/>
  <c r="G38" i="3" l="1"/>
  <c r="I38" i="3" s="1"/>
  <c r="L38" i="3" s="1"/>
  <c r="K40" i="2"/>
  <c r="L40" i="2" s="1"/>
  <c r="G41" i="2"/>
  <c r="I41" i="2" s="1"/>
  <c r="H41" i="2"/>
  <c r="D42" i="2" s="1"/>
  <c r="H38" i="3" l="1"/>
  <c r="E42" i="2"/>
  <c r="K41" i="2"/>
  <c r="J41" i="2"/>
  <c r="D39" i="3" l="1"/>
  <c r="L41" i="2"/>
  <c r="G42" i="2"/>
  <c r="H42" i="2"/>
  <c r="D43" i="2" s="1"/>
  <c r="G39" i="3" l="1"/>
  <c r="I39" i="3" s="1"/>
  <c r="L39" i="3" s="1"/>
  <c r="E43" i="2"/>
  <c r="H43" i="2" s="1"/>
  <c r="J42" i="2"/>
  <c r="I42" i="2"/>
  <c r="H39" i="3" l="1"/>
  <c r="K42" i="2"/>
  <c r="L42" i="2" s="1"/>
  <c r="G43" i="2"/>
  <c r="J43" i="2" s="1"/>
  <c r="H3" i="2" s="1"/>
  <c r="E44" i="2"/>
  <c r="D40" i="3" l="1"/>
  <c r="I43" i="2"/>
  <c r="F3" i="2" s="1"/>
  <c r="H40" i="3" l="1"/>
  <c r="K43" i="2"/>
  <c r="L43" i="2" s="1"/>
  <c r="G3" i="2" s="1"/>
  <c r="D41" i="3" l="1"/>
  <c r="G40" i="3"/>
  <c r="I40" i="3" s="1"/>
  <c r="L40" i="3" s="1"/>
  <c r="I41" i="3" l="1"/>
  <c r="L41" i="3" s="1"/>
  <c r="H41" i="3"/>
  <c r="G41" i="3"/>
  <c r="D42" i="3" l="1"/>
  <c r="H42" i="3" l="1"/>
  <c r="G42" i="3"/>
  <c r="I42" i="3" s="1"/>
  <c r="L42" i="3" s="1"/>
  <c r="D43" i="3" l="1"/>
  <c r="H43" i="3" l="1"/>
  <c r="G43" i="3" l="1"/>
  <c r="E44" i="3"/>
  <c r="K43" i="3" l="1"/>
  <c r="I43" i="3"/>
  <c r="L43" i="3" s="1"/>
  <c r="Z43" i="3"/>
  <c r="G3" i="3"/>
  <c r="H3" i="3" s="1"/>
  <c r="AZ43" i="3"/>
  <c r="F4" i="3"/>
  <c r="G46" i="3"/>
  <c r="AM43" i="3" l="1"/>
  <c r="I5" i="3" s="1"/>
  <c r="I4" i="3"/>
  <c r="M43" i="3"/>
  <c r="I3" i="3" s="1"/>
  <c r="F3" i="3"/>
  <c r="BM43" i="3"/>
  <c r="I7" i="3" s="1"/>
  <c r="I6" i="3"/>
  <c r="G47" i="3"/>
  <c r="R5" i="4" l="1"/>
  <c r="R6" i="4" l="1"/>
  <c r="R8" i="4"/>
  <c r="R7" i="4"/>
  <c r="R21" i="4" l="1"/>
  <c r="R10" i="4"/>
  <c r="R23" i="4"/>
  <c r="R9" i="4"/>
  <c r="R24" i="4" l="1"/>
  <c r="R25" i="4" l="1"/>
  <c r="R26" i="4"/>
  <c r="R2" i="4" s="1"/>
  <c r="U4" i="4" s="1"/>
  <c r="R27" i="4" l="1"/>
  <c r="R28" i="4" l="1"/>
</calcChain>
</file>

<file path=xl/sharedStrings.xml><?xml version="1.0" encoding="utf-8"?>
<sst xmlns="http://schemas.openxmlformats.org/spreadsheetml/2006/main" count="234" uniqueCount="63">
  <si>
    <t>Starting</t>
  </si>
  <si>
    <t>Return</t>
  </si>
  <si>
    <t>$Return</t>
  </si>
  <si>
    <t>Ending</t>
  </si>
  <si>
    <t>Inflows</t>
  </si>
  <si>
    <t>Rand</t>
  </si>
  <si>
    <t>Day</t>
  </si>
  <si>
    <t>Date</t>
  </si>
  <si>
    <t>Index Value</t>
  </si>
  <si>
    <t>XIRR</t>
  </si>
  <si>
    <t>Total</t>
  </si>
  <si>
    <t>IRR Gains</t>
  </si>
  <si>
    <t>Sharpe</t>
  </si>
  <si>
    <t>Adj. Index</t>
  </si>
  <si>
    <t>Sharpe Weight</t>
  </si>
  <si>
    <t>Big Early Returns, Then Flat</t>
  </si>
  <si>
    <t>Net Big Returns, But Volatile</t>
  </si>
  <si>
    <t>High Sharpe, Small Gains</t>
  </si>
  <si>
    <t>Random Walk #1</t>
  </si>
  <si>
    <t>Random Walk #2</t>
  </si>
  <si>
    <t>Ranked Importance</t>
  </si>
  <si>
    <t>First 30 Days of MMBot</t>
  </si>
  <si>
    <t>Today's Weight</t>
  </si>
  <si>
    <t>Historical Weight</t>
  </si>
  <si>
    <t>MMBot, First 30 Days</t>
  </si>
  <si>
    <t>Index Gains</t>
  </si>
  <si>
    <t>Leading Days</t>
  </si>
  <si>
    <t>Win Ratio</t>
  </si>
  <si>
    <t>Sharpe Period</t>
  </si>
  <si>
    <t>MMBot, Random 30 Days</t>
  </si>
  <si>
    <t>Adj. Value</t>
  </si>
  <si>
    <t>30d_Sharpe</t>
  </si>
  <si>
    <t>LTD Index</t>
  </si>
  <si>
    <t>Good 30 Days of MMBot</t>
  </si>
  <si>
    <t>Day Weight</t>
  </si>
  <si>
    <t>Index</t>
  </si>
  <si>
    <t>exp avg</t>
  </si>
  <si>
    <t>arithmetic avg</t>
  </si>
  <si>
    <t>Wgt. Avg.Return</t>
  </si>
  <si>
    <t>Max 7d DD</t>
  </si>
  <si>
    <t>Ranking</t>
  </si>
  <si>
    <t>Measure</t>
  </si>
  <si>
    <t>Av. Return</t>
  </si>
  <si>
    <t>Weight</t>
  </si>
  <si>
    <t>(8-30)</t>
  </si>
  <si>
    <t>7d DD</t>
  </si>
  <si>
    <t>Measurement Date</t>
  </si>
  <si>
    <t>Score</t>
  </si>
  <si>
    <t>Day 30 Measurement</t>
  </si>
  <si>
    <t>First 30 Days of Bot</t>
  </si>
  <si>
    <t>Good 30 Days of Bot</t>
  </si>
  <si>
    <t>Max 14d DD</t>
  </si>
  <si>
    <t>WA Return</t>
  </si>
  <si>
    <t>Adjustment Factor</t>
  </si>
  <si>
    <t>AUM / Wallet Size (USDT)</t>
  </si>
  <si>
    <t>Maintenance Margin %</t>
  </si>
  <si>
    <t>&lt;50% of Equity Balance</t>
  </si>
  <si>
    <t>50-80% of Equity Balance</t>
  </si>
  <si>
    <t>&gt;80% of Equity Balance</t>
  </si>
  <si>
    <t>Score Adjustment</t>
  </si>
  <si>
    <t>Score * 80%</t>
  </si>
  <si>
    <t>Score * 50%</t>
  </si>
  <si>
    <t>Unmodified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</si>
</sst>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_(* #,##0_);_(* \(#,##0\);_(* &quot;-&quot;??_);_(@_)"/>
    <numFmt numFmtId="165" formatCode="ddmmmyy"/>
    <numFmt numFmtId="166" formatCode="0.00%;[Red]\(0.00%\)"/>
    <numFmt numFmtId="167" formatCode="_(* #,##0.0000_);_(* \(#,##0.0000\);_(* &quot;-&quot;??_);_(@_)"/>
    <numFmt numFmtId="168" formatCode="0.00\x;[Red]\(0.00\x\)"/>
    <numFmt numFmtId="169" formatCode="_(* #,##0.000_);_(* \(#,##0.000\);_(* &quot;-&quot;??_);_(@_)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FF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b/>
      <u/>
      <sz val="11"/>
      <color rgb="FFC00000"/>
      <name val="Aptos Narrow"/>
      <family val="2"/>
      <scheme val="minor"/>
    </font>
    <font>
      <b/>
      <sz val="11"/>
      <name val="Aptos Narrow"/>
      <family val="2"/>
      <scheme val="minor"/>
    </font>
    <font>
      <b/>
      <sz val="13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7499923703726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3">
    <xf numFmtId="0" fontId="0" fillId="0" borderId="0" xfId="0"/>
    <xf numFmtId="9" fontId="0" fillId="0" borderId="0" xfId="2" applyFont="1"/>
    <xf numFmtId="10" fontId="0" fillId="0" borderId="0" xfId="2" applyNumberFormat="1" applyFont="1"/>
    <xf numFmtId="164" fontId="0" fillId="0" borderId="0" xfId="1" applyNumberFormat="1" applyFont="1"/>
    <xf numFmtId="164" fontId="0" fillId="0" borderId="0" xfId="0" applyNumberFormat="1"/>
    <xf numFmtId="43" fontId="0" fillId="0" borderId="0" xfId="0" applyNumberFormat="1"/>
    <xf numFmtId="165" fontId="0" fillId="0" borderId="0" xfId="0" applyNumberFormat="1"/>
    <xf numFmtId="166" fontId="0" fillId="0" borderId="0" xfId="2" applyNumberFormat="1" applyFont="1"/>
    <xf numFmtId="38" fontId="0" fillId="0" borderId="0" xfId="1" applyNumberFormat="1" applyFont="1"/>
    <xf numFmtId="0" fontId="0" fillId="0" borderId="0" xfId="1" applyNumberFormat="1" applyFont="1"/>
    <xf numFmtId="167" fontId="0" fillId="0" borderId="0" xfId="1" applyNumberFormat="1" applyFont="1"/>
    <xf numFmtId="0" fontId="5" fillId="0" borderId="0" xfId="0" applyFont="1"/>
    <xf numFmtId="9" fontId="3" fillId="0" borderId="0" xfId="0" applyNumberFormat="1" applyFont="1"/>
    <xf numFmtId="9" fontId="6" fillId="0" borderId="0" xfId="0" applyNumberFormat="1" applyFont="1"/>
    <xf numFmtId="167" fontId="0" fillId="0" borderId="0" xfId="0" applyNumberFormat="1"/>
    <xf numFmtId="0" fontId="2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43" fontId="2" fillId="0" borderId="0" xfId="1" applyFont="1"/>
    <xf numFmtId="43" fontId="1" fillId="0" borderId="0" xfId="1" applyFont="1"/>
    <xf numFmtId="0" fontId="4" fillId="0" borderId="0" xfId="0" applyFont="1" applyAlignment="1">
      <alignment horizontal="left"/>
    </xf>
    <xf numFmtId="40" fontId="0" fillId="0" borderId="0" xfId="1" applyNumberFormat="1" applyFont="1"/>
    <xf numFmtId="164" fontId="3" fillId="0" borderId="0" xfId="1" applyNumberFormat="1" applyFont="1"/>
    <xf numFmtId="9" fontId="3" fillId="0" borderId="0" xfId="2" applyFont="1"/>
    <xf numFmtId="43" fontId="2" fillId="0" borderId="0" xfId="1" applyFont="1" applyAlignment="1">
      <alignment horizontal="right"/>
    </xf>
    <xf numFmtId="40" fontId="0" fillId="0" borderId="0" xfId="1" applyNumberFormat="1" applyFont="1" applyAlignment="1">
      <alignment horizontal="right"/>
    </xf>
    <xf numFmtId="9" fontId="0" fillId="0" borderId="0" xfId="0" applyNumberFormat="1"/>
    <xf numFmtId="9" fontId="2" fillId="0" borderId="0" xfId="0" applyNumberFormat="1" applyFont="1"/>
    <xf numFmtId="38" fontId="1" fillId="0" borderId="0" xfId="0" applyNumberFormat="1" applyFont="1"/>
    <xf numFmtId="38" fontId="0" fillId="0" borderId="0" xfId="0" applyNumberFormat="1"/>
    <xf numFmtId="166" fontId="0" fillId="0" borderId="0" xfId="0" applyNumberFormat="1"/>
    <xf numFmtId="43" fontId="0" fillId="0" borderId="0" xfId="1" applyFont="1"/>
    <xf numFmtId="168" fontId="2" fillId="0" borderId="0" xfId="1" applyNumberFormat="1" applyFont="1" applyAlignment="1"/>
    <xf numFmtId="168" fontId="2" fillId="2" borderId="0" xfId="1" applyNumberFormat="1" applyFont="1" applyFill="1" applyAlignment="1"/>
    <xf numFmtId="0" fontId="0" fillId="0" borderId="0" xfId="0" applyAlignment="1">
      <alignment horizontal="center"/>
    </xf>
    <xf numFmtId="0" fontId="0" fillId="0" borderId="1" xfId="0" applyBorder="1"/>
    <xf numFmtId="10" fontId="0" fillId="0" borderId="2" xfId="2" applyNumberFormat="1" applyFont="1" applyBorder="1"/>
    <xf numFmtId="0" fontId="0" fillId="0" borderId="3" xfId="0" applyBorder="1"/>
    <xf numFmtId="166" fontId="0" fillId="0" borderId="4" xfId="0" applyNumberFormat="1" applyBorder="1"/>
    <xf numFmtId="0" fontId="4" fillId="0" borderId="0" xfId="0" applyFont="1"/>
    <xf numFmtId="166" fontId="0" fillId="0" borderId="0" xfId="2" applyNumberFormat="1" applyFont="1" applyFill="1" applyBorder="1"/>
    <xf numFmtId="169" fontId="0" fillId="0" borderId="0" xfId="1" applyNumberFormat="1" applyFont="1"/>
    <xf numFmtId="0" fontId="3" fillId="2" borderId="0" xfId="0" applyFont="1" applyFill="1"/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166" fontId="0" fillId="0" borderId="0" xfId="2" applyNumberFormat="1" applyFont="1" applyBorder="1"/>
    <xf numFmtId="0" fontId="4" fillId="0" borderId="0" xfId="0" applyFont="1" applyAlignment="1">
      <alignment horizontal="center"/>
    </xf>
    <xf numFmtId="169" fontId="2" fillId="0" borderId="0" xfId="1" applyNumberFormat="1" applyFont="1"/>
    <xf numFmtId="43" fontId="7" fillId="3" borderId="0" xfId="2" applyNumberFormat="1" applyFont="1" applyFill="1" applyAlignment="1">
      <alignment horizontal="center"/>
    </xf>
    <xf numFmtId="43" fontId="0" fillId="4" borderId="0" xfId="0" applyNumberFormat="1" applyFill="1"/>
    <xf numFmtId="40" fontId="0" fillId="0" borderId="0" xfId="1" applyNumberFormat="1" applyFont="1" applyAlignment="1">
      <alignment horizontal="center"/>
    </xf>
    <xf numFmtId="166" fontId="0" fillId="3" borderId="0" xfId="2" applyNumberFormat="1" applyFont="1" applyFill="1"/>
    <xf numFmtId="164" fontId="0" fillId="0" borderId="0" xfId="1" applyNumberFormat="1" applyFont="1" applyAlignment="1">
      <alignment horizontal="center"/>
    </xf>
    <xf numFmtId="167" fontId="0" fillId="0" borderId="0" xfId="1" applyNumberFormat="1" applyFont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263"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6" formatCode="#,##0_);[Red]\(#,##0\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8" formatCode="0.00\x;[Red]\(0.00\x\)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6" formatCode="0.00%;[Red]\(0.00%\)"/>
    </dxf>
    <dxf>
      <numFmt numFmtId="166" formatCode="0.00%;[Red]\(0.00%\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6" formatCode="0.00%;[Red]\(0.00%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6" formatCode="#,##0_);[Red]\(#,##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(* #,##0_);_(* \(#,##0\);_(* &quot;-&quot;??_);_(@_)"/>
    </dxf>
    <dxf>
      <numFmt numFmtId="165" formatCode="ddmmmyy"/>
    </dxf>
    <dxf>
      <numFmt numFmtId="35" formatCode="_(* #,##0.00_);_(* \(#,##0.00\);_(* &quot;-&quot;??_);_(@_)"/>
    </dxf>
    <dxf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6" formatCode="#,##0_);[Red]\(#,##0\)"/>
    </dxf>
    <dxf>
      <numFmt numFmtId="164" formatCode="_(* #,##0_);_(* \(#,##0\);_(* &quot;-&quot;??_);_(@_)"/>
    </dxf>
    <dxf>
      <numFmt numFmtId="6" formatCode="#,##0_);[Red]\(#,##0\)"/>
    </dxf>
    <dxf>
      <numFmt numFmtId="35" formatCode="_(* #,##0.00_);_(* \(#,##0.00\);_(* &quot;-&quot;??_);_(@_)"/>
    </dxf>
    <dxf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6" formatCode="0.00%;[Red]\(0.00%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6" formatCode="#,##0_);[Red]\(#,##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(* #,##0_);_(* \(#,##0\);_(* &quot;-&quot;??_);_(@_)"/>
    </dxf>
    <dxf>
      <numFmt numFmtId="165" formatCode="ddmmm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3" formatCode="0%"/>
    </dxf>
    <dxf>
      <numFmt numFmtId="0" formatCode="General"/>
    </dxf>
    <dxf>
      <numFmt numFmtId="164" formatCode="_(* #,##0_);_(* \(#,##0\);_(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5" formatCode="_(* #,##0.00_);_(* \(#,##0.00\);_(* &quot;-&quot;??_);_(@_)"/>
    </dxf>
    <dxf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8" formatCode="#,##0.00_);[Red]\(#,##0.00\)"/>
    </dxf>
    <dxf>
      <numFmt numFmtId="164" formatCode="_(* #,##0_);_(* \(#,##0\);_(* &quot;-&quot;??_);_(@_)"/>
    </dxf>
    <dxf>
      <numFmt numFmtId="8" formatCode="#,##0.00_);[Red]\(#,##0.00\)"/>
    </dxf>
    <dxf>
      <numFmt numFmtId="35" formatCode="_(* #,##0.00_);_(* \(#,##0.00\);_(* &quot;-&quot;??_);_(@_)"/>
    </dxf>
    <dxf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6" formatCode="0.00%;[Red]\(0.00%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6" formatCode="#,##0_);[Red]\(#,##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(* #,##0_);_(* \(#,##0\);_(* &quot;-&quot;??_);_(@_)"/>
    </dxf>
    <dxf>
      <numFmt numFmtId="165" formatCode="ddmmm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3" formatCode="0%"/>
    </dxf>
    <dxf>
      <numFmt numFmtId="0" formatCode="General"/>
    </dxf>
    <dxf>
      <numFmt numFmtId="164" formatCode="_(* #,##0_);_(* \(#,##0\);_(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5" formatCode="_(* #,##0.00_);_(* \(#,##0.00\);_(* &quot;-&quot;??_);_(@_)"/>
    </dxf>
    <dxf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8" formatCode="#,##0.00_);[Red]\(#,##0.00\)"/>
    </dxf>
    <dxf>
      <numFmt numFmtId="164" formatCode="_(* #,##0_);_(* \(#,##0\);_(* &quot;-&quot;??_);_(@_)"/>
    </dxf>
    <dxf>
      <numFmt numFmtId="8" formatCode="#,##0.00_);[Red]\(#,##0.00\)"/>
    </dxf>
    <dxf>
      <numFmt numFmtId="35" formatCode="_(* #,##0.00_);_(* \(#,##0.00\);_(* &quot;-&quot;??_);_(@_)"/>
    </dxf>
    <dxf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6" formatCode="0.00%;[Red]\(0.00%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6" formatCode="#,##0_);[Red]\(#,##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(* #,##0_);_(* \(#,##0\);_(* &quot;-&quot;??_);_(@_)"/>
    </dxf>
    <dxf>
      <numFmt numFmtId="165" formatCode="ddmmm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3" formatCode="0%"/>
    </dxf>
    <dxf>
      <numFmt numFmtId="0" formatCode="General"/>
    </dxf>
    <dxf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5" formatCode="_(* #,##0.00_);_(* \(#,##0.00\);_(* &quot;-&quot;??_);_(@_)"/>
    </dxf>
    <dxf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8" formatCode="#,##0.00_);[Red]\(#,##0.00\)"/>
    </dxf>
    <dxf>
      <numFmt numFmtId="164" formatCode="_(* #,##0_);_(* \(#,##0\);_(* &quot;-&quot;??_);_(@_)"/>
    </dxf>
    <dxf>
      <numFmt numFmtId="8" formatCode="#,##0.00_);[Red]\(#,##0.00\)"/>
    </dxf>
    <dxf>
      <numFmt numFmtId="35" formatCode="_(* #,##0.00_);_(* \(#,##0.00\);_(* &quot;-&quot;??_);_(@_)"/>
    </dxf>
    <dxf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6" formatCode="0.00%;[Red]\(0.00%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6" formatCode="#,##0_);[Red]\(#,##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6" formatCode="#,##0_);[Red]\(#,##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(* #,##0_);_(* \(#,##0\);_(* &quot;-&quot;??_);_(@_)"/>
    </dxf>
    <dxf>
      <numFmt numFmtId="165" formatCode="ddmmm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3" formatCode="0%"/>
    </dxf>
    <dxf>
      <numFmt numFmtId="0" formatCode="General"/>
    </dxf>
    <dxf>
      <numFmt numFmtId="164" formatCode="_(* #,##0_);_(* \(#,##0\);_(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5" formatCode="_(* #,##0.00_);_(* \(#,##0.00\);_(* &quot;-&quot;??_);_(@_)"/>
    </dxf>
    <dxf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8" formatCode="#,##0.00_);[Red]\(#,##0.00\)"/>
    </dxf>
    <dxf>
      <numFmt numFmtId="164" formatCode="_(* #,##0_);_(* \(#,##0\);_(* &quot;-&quot;??_);_(@_)"/>
    </dxf>
    <dxf>
      <numFmt numFmtId="8" formatCode="#,##0.00_);[Red]\(#,##0.00\)"/>
    </dxf>
    <dxf>
      <numFmt numFmtId="35" formatCode="_(* #,##0.00_);_(* \(#,##0.00\);_(* &quot;-&quot;??_);_(@_)"/>
    </dxf>
    <dxf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6" formatCode="0.00%;[Red]\(0.00%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6" formatCode="#,##0_);[Red]\(#,##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(* #,##0_);_(* \(#,##0\);_(* &quot;-&quot;??_);_(@_)"/>
    </dxf>
    <dxf>
      <numFmt numFmtId="165" formatCode="ddmmm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3" formatCode="0%"/>
    </dxf>
    <dxf>
      <numFmt numFmtId="0" formatCode="General"/>
    </dxf>
    <dxf>
      <numFmt numFmtId="164" formatCode="_(* #,##0_);_(* \(#,##0\);_(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5" formatCode="_(* #,##0.00_);_(* \(#,##0.00\);_(* &quot;-&quot;??_);_(@_)"/>
      <alignment horizontal="right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8" formatCode="#,##0.00_);[Red]\(#,##0.00\)"/>
    </dxf>
    <dxf>
      <numFmt numFmtId="164" formatCode="_(* #,##0_);_(* \(#,##0\);_(* &quot;-&quot;??_);_(@_)"/>
    </dxf>
    <dxf>
      <numFmt numFmtId="8" formatCode="#,##0.00_);[Red]\(#,##0.00\)"/>
    </dxf>
    <dxf>
      <numFmt numFmtId="35" formatCode="_(* #,##0.00_);_(* \(#,##0.00\);_(* &quot;-&quot;??_);_(@_)"/>
    </dxf>
    <dxf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6" formatCode="0.00%;[Red]\(0.00%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6" formatCode="#,##0_);[Red]\(#,##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(* #,##0_);_(* \(#,##0\);_(* &quot;-&quot;??_);_(@_)"/>
    </dxf>
    <dxf>
      <numFmt numFmtId="165" formatCode="ddmmm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3" formatCode="0%"/>
    </dxf>
    <dxf>
      <numFmt numFmtId="0" formatCode="General"/>
    </dxf>
    <dxf>
      <numFmt numFmtId="164" formatCode="_(* #,##0_);_(* \(#,##0\);_(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5" formatCode="_(* #,##0.00_);_(* \(#,##0.00\);_(* &quot;-&quot;??_);_(@_)"/>
    </dxf>
    <dxf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8" formatCode="#,##0.00_);[Red]\(#,##0.00\)"/>
    </dxf>
    <dxf>
      <numFmt numFmtId="164" formatCode="_(* #,##0_);_(* \(#,##0\);_(* &quot;-&quot;??_);_(@_)"/>
    </dxf>
    <dxf>
      <numFmt numFmtId="8" formatCode="#,##0.00_);[Red]\(#,##0.00\)"/>
    </dxf>
    <dxf>
      <numFmt numFmtId="35" formatCode="_(* #,##0.00_);_(* \(#,##0.00\);_(* &quot;-&quot;??_);_(@_)"/>
    </dxf>
    <dxf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6" formatCode="0.00%;[Red]\(0.00%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6" formatCode="#,##0_);[Red]\(#,##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(* #,##0_);_(* \(#,##0\);_(* &quot;-&quot;??_);_(@_)"/>
    </dxf>
    <dxf>
      <numFmt numFmtId="165" formatCode="ddmmm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3" formatCode="0%"/>
    </dxf>
    <dxf>
      <numFmt numFmtId="0" formatCode="General"/>
    </dxf>
    <dxf>
      <numFmt numFmtId="164" formatCode="_(* #,##0_);_(* \(#,##0\);_(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5" formatCode="_(* #,##0.00_);_(* \(#,##0.00\);_(* &quot;-&quot;??_);_(@_)"/>
    </dxf>
    <dxf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8" formatCode="#,##0.00_);[Red]\(#,##0.00\)"/>
    </dxf>
    <dxf>
      <numFmt numFmtId="164" formatCode="_(* #,##0_);_(* \(#,##0\);_(* &quot;-&quot;??_);_(@_)"/>
    </dxf>
    <dxf>
      <numFmt numFmtId="8" formatCode="#,##0.00_);[Red]\(#,##0.00\)"/>
    </dxf>
    <dxf>
      <numFmt numFmtId="35" formatCode="_(* #,##0.00_);_(* \(#,##0.00\);_(* &quot;-&quot;??_);_(@_)"/>
    </dxf>
    <dxf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6" formatCode="0.00%;[Red]\(0.00%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6" formatCode="#,##0_);[Red]\(#,##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6" formatCode="#,##0_);[Red]\(#,##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(* #,##0_);_(* \(#,##0\);_(* &quot;-&quot;??_);_(@_)"/>
    </dxf>
    <dxf>
      <numFmt numFmtId="165" formatCode="ddmmmyy"/>
    </dxf>
    <dxf>
      <numFmt numFmtId="13" formatCode="0%"/>
    </dxf>
    <dxf>
      <numFmt numFmtId="168" formatCode="0.00\x;[Red]\(0.00\x\)"/>
    </dxf>
    <dxf>
      <numFmt numFmtId="164" formatCode="_(* #,##0_);_(* \(#,##0\);_(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6" formatCode="0.00%;[Red]\(0.00%\)"/>
    </dxf>
    <dxf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6" formatCode="0.00%;[Red]\(0.00%\)"/>
    </dxf>
    <dxf>
      <numFmt numFmtId="164" formatCode="_(* #,##0_);_(* \(#,##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6" formatCode="0.00%;[Red]\(0.00%\)"/>
    </dxf>
    <dxf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(* #,##0_);_(* \(#,##0\);_(* &quot;-&quot;??_);_(@_)"/>
    </dxf>
    <dxf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6" formatCode="#,##0_);[Red]\(#,##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(* #,##0_);_(* \(#,##0\);_(* &quot;-&quot;??_);_(@_)"/>
    </dxf>
    <dxf>
      <numFmt numFmtId="165" formatCode="ddmmmyy"/>
    </dxf>
    <dxf>
      <numFmt numFmtId="13" formatCode="0%"/>
    </dxf>
    <dxf>
      <numFmt numFmtId="168" formatCode="0.00\x;[Red]\(0.00\x\)"/>
    </dxf>
    <dxf>
      <numFmt numFmtId="164" formatCode="_(* #,##0_);_(* \(#,##0\);_(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6" formatCode="0.00%;[Red]\(0.00%\)"/>
    </dxf>
    <dxf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6" formatCode="0.00%;[Red]\(0.00%\)"/>
    </dxf>
    <dxf>
      <numFmt numFmtId="164" formatCode="_(* #,##0_);_(* \(#,##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6" formatCode="0.00%;[Red]\(0.00%\)"/>
    </dxf>
    <dxf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(* #,##0_);_(* \(#,##0\);_(* &quot;-&quot;??_);_(@_)"/>
    </dxf>
    <dxf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6" formatCode="#,##0_);[Red]\(#,##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(* #,##0_);_(* \(#,##0\);_(* &quot;-&quot;??_);_(@_)"/>
    </dxf>
    <dxf>
      <numFmt numFmtId="165" formatCode="ddmmmyy"/>
    </dxf>
    <dxf>
      <numFmt numFmtId="13" formatCode="0%"/>
    </dxf>
    <dxf>
      <numFmt numFmtId="168" formatCode="0.00\x;[Red]\(0.00\x\)"/>
    </dxf>
    <dxf>
      <numFmt numFmtId="164" formatCode="_(* #,##0_);_(* \(#,##0\);_(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6" formatCode="0.00%;[Red]\(0.00%\)"/>
    </dxf>
    <dxf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6" formatCode="0.00%;[Red]\(0.00%\)"/>
    </dxf>
    <dxf>
      <numFmt numFmtId="164" formatCode="_(* #,##0_);_(* \(#,##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6" formatCode="0.00%;[Red]\(0.00%\)"/>
    </dxf>
    <dxf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(* #,##0_);_(* \(#,##0\);_(* &quot;-&quot;??_);_(@_)"/>
    </dxf>
    <dxf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6" formatCode="#,##0_);[Red]\(#,##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(* #,##0_);_(* \(#,##0\);_(* &quot;-&quot;??_);_(@_)"/>
    </dxf>
    <dxf>
      <numFmt numFmtId="165" formatCode="ddmmmyy"/>
    </dxf>
    <dxf>
      <numFmt numFmtId="13" formatCode="0%"/>
    </dxf>
    <dxf>
      <numFmt numFmtId="168" formatCode="0.00\x;[Red]\(0.00\x\)"/>
    </dxf>
    <dxf>
      <numFmt numFmtId="164" formatCode="_(* #,##0_);_(* \(#,##0\);_(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6" formatCode="0.00%;[Red]\(0.00%\)"/>
    </dxf>
    <dxf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6" formatCode="0.00%;[Red]\(0.00%\)"/>
    </dxf>
    <dxf>
      <numFmt numFmtId="164" formatCode="_(* #,##0_);_(* \(#,##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6" formatCode="0.00%;[Red]\(0.00%\)"/>
    </dxf>
    <dxf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(* #,##0_);_(* \(#,##0\);_(* &quot;-&quot;??_);_(@_)"/>
    </dxf>
    <dxf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6" formatCode="#,##0_);[Red]\(#,##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(* #,##0_);_(* \(#,##0\);_(* &quot;-&quot;??_);_(@_)"/>
    </dxf>
    <dxf>
      <numFmt numFmtId="165" formatCode="ddmmmyy"/>
    </dxf>
    <dxf>
      <numFmt numFmtId="164" formatCode="_(* #,##0_);_(* \(#,##0\);_(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8" formatCode="0.00\x;[Red]\(0.00\x\)"/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6" formatCode="0.00%;[Red]\(0.00%\)"/>
    </dxf>
    <dxf>
      <numFmt numFmtId="164" formatCode="_(* #,##0_);_(* \(#,##0\);_(* &quot;-&quot;??_);_(@_)"/>
    </dxf>
    <dxf>
      <numFmt numFmtId="166" formatCode="0.00%;[Red]\(0.00%\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6" formatCode="0.00%;[Red]\(0.00%\)"/>
    </dxf>
    <dxf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(* #,##0_);_(* \(#,##0\);_(* &quot;-&quot;??_);_(@_)"/>
    </dxf>
    <dxf>
      <numFmt numFmtId="6" formatCode="#,##0_);[Red]\(#,##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6" formatCode="#,##0_);[Red]\(#,##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(* #,##0_);_(* \(#,##0\);_(* &quot;-&quot;??_);_(@_)"/>
    </dxf>
    <dxf>
      <numFmt numFmtId="165" formatCode="ddmmm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7" formatCode="_(* #,##0.0000_);_(* \(#,##0.00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(* #,##0_);_(* \(#,##0\);_(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7" formatCode="_(* #,##0.0000_);_(* \(#,##0.00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AUm </a:t>
            </a:r>
            <a:r>
              <a:rPr lang="en-US" baseline="0"/>
              <a:t>Adjustment factor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Factors!$I$13</c:f>
              <c:strCache>
                <c:ptCount val="1"/>
                <c:pt idx="0">
                  <c:v>Adjustment Factor</c:v>
                </c:pt>
              </c:strCache>
            </c:strRef>
          </c:tx>
          <c:spPr>
            <a:ln w="28575" cap="rnd">
              <a:solidFill>
                <a:schemeClr val="lt1">
                  <a:alpha val="50000"/>
                </a:schemeClr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6"/>
            <c:spPr>
              <a:solidFill>
                <a:schemeClr val="accent1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xVal>
            <c:numRef>
              <c:f>Factors!$H$14:$H$23</c:f>
              <c:numCache>
                <c:formatCode>_(* #,##0_);_(* \(#,##0\);_(* "-"??_);_(@_)</c:formatCode>
                <c:ptCount val="10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200000</c:v>
                </c:pt>
                <c:pt idx="4">
                  <c:v>500000</c:v>
                </c:pt>
                <c:pt idx="5">
                  <c:v>1000000</c:v>
                </c:pt>
                <c:pt idx="6">
                  <c:v>5000000</c:v>
                </c:pt>
                <c:pt idx="7">
                  <c:v>10000000</c:v>
                </c:pt>
                <c:pt idx="8">
                  <c:v>50000000</c:v>
                </c:pt>
                <c:pt idx="9">
                  <c:v>100000000</c:v>
                </c:pt>
              </c:numCache>
            </c:numRef>
          </c:xVal>
          <c:yVal>
            <c:numRef>
              <c:f>Factors!$I$14:$I$23</c:f>
              <c:numCache>
                <c:formatCode>_(* #,##0.0000_);_(* \(#,##0.0000\);_(* "-"??_);_(@_)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1.3465735902799727</c:v>
                </c:pt>
                <c:pt idx="4">
                  <c:v>1.8047189562170503</c:v>
                </c:pt>
                <c:pt idx="5">
                  <c:v>2.151292546497023</c:v>
                </c:pt>
                <c:pt idx="6">
                  <c:v>2.9560115027140732</c:v>
                </c:pt>
                <c:pt idx="7">
                  <c:v>3.3025850929940459</c:v>
                </c:pt>
                <c:pt idx="8">
                  <c:v>4.1073040492110957</c:v>
                </c:pt>
                <c:pt idx="9">
                  <c:v>4.4538776394910684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E86-4364-9677-680CF3B3C1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1093599"/>
        <c:axId val="1071094079"/>
      </c:scatterChart>
      <c:valAx>
        <c:axId val="1071093599"/>
        <c:scaling>
          <c:orientation val="minMax"/>
          <c:max val="100000000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AUM / Wallet Size (USDT)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alpha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1094079"/>
        <c:crosses val="autoZero"/>
        <c:crossBetween val="midCat"/>
      </c:valAx>
      <c:valAx>
        <c:axId val="1071094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Score Adjustment Factor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_);\(#,##0.0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10935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180975</xdr:colOff>
      <xdr:row>11</xdr:row>
      <xdr:rowOff>166686</xdr:rowOff>
    </xdr:from>
    <xdr:to>
      <xdr:col>17</xdr:col>
      <xdr:colOff>523875</xdr:colOff>
      <xdr:row>29</xdr:row>
      <xdr:rowOff>114299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67A25BD-0B6D-473E-0F4D-347E113A94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C5B1F82-477C-4469-8B63-09C6E1EA6F72}" name="Table14" displayName="Table14" ref="H13:I23" totalsRowShown="0" headerRowDxfId="262" dataDxfId="261" dataCellStyle="Comma">
  <autoFilter ref="H13:I23" xr:uid="{7C5B1F82-477C-4469-8B63-09C6E1EA6F72}">
    <filterColumn colId="0" hiddenButton="1"/>
    <filterColumn colId="1" hiddenButton="1"/>
  </autoFilter>
  <tableColumns count="2">
    <tableColumn id="1" xr3:uid="{226F231A-C3A4-4DD7-801B-D5CCA68F17A4}" name="AUM / Wallet Size (USDT)" dataDxfId="260" dataCellStyle="Comma"/>
    <tableColumn id="2" xr3:uid="{1ED27634-28BD-45E6-ACA1-BCF53FED2C1E}" name="Adjustment Factor" dataDxfId="259" dataCellStyle="Comma">
      <calculatedColumnFormula>1*(1+LN(SQRT(MAX(1,H14/100000))))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9A410F42-BC72-4CC6-B3BD-7566461C57A5}" name="Table1418" displayName="Table1418" ref="B2:C5" totalsRowShown="0" headerRowDxfId="258" dataDxfId="257" dataCellStyle="Comma">
  <autoFilter ref="B2:C5" xr:uid="{9A410F42-BC72-4CC6-B3BD-7566461C57A5}">
    <filterColumn colId="0" hiddenButton="1"/>
    <filterColumn colId="1" hiddenButton="1"/>
  </autoFilter>
  <tableColumns count="2">
    <tableColumn id="1" xr3:uid="{B67BE3C8-11F5-4B33-B07E-7178CCBD2328}" name="Maintenance Margin %" dataDxfId="256" dataCellStyle="Comma"/>
    <tableColumn id="2" xr3:uid="{CCB9F93B-C723-4926-AB6C-D2BE9C6D3EC0}" name="Score Adjustment" dataDxfId="255" dataCellStyle="Comma">
      <calculatedColumnFormula>1*(1+LN(SQRT(MAX(1,B3/100000))))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3FA3A852-5210-4D40-9DC5-A0D2858CAB83}" name="Table131016" displayName="Table131016" ref="B4:M35" totalsRowCount="1">
  <autoFilter ref="B4:M34" xr:uid="{3FA3A852-5210-4D40-9DC5-A0D2858CAB8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7F7EB25C-93E2-4FF2-8C0A-B69690516344}" name="Date" totalsRowLabel="Total" dataDxfId="16">
      <calculatedColumnFormula>B4+1</calculatedColumnFormula>
    </tableColumn>
    <tableColumn id="2" xr3:uid="{307F5A3B-DCCB-4211-B3F1-F5D093B2697B}" name="Day">
      <calculatedColumnFormula>B5-$B$14+1</calculatedColumnFormula>
    </tableColumn>
    <tableColumn id="3" xr3:uid="{58747E36-80D8-48B0-9F84-9F0759EA7CED}" name="Starting" dataDxfId="15" dataCellStyle="Comma">
      <calculatedColumnFormula>H4</calculatedColumnFormula>
    </tableColumn>
    <tableColumn id="4" xr3:uid="{391125B5-10B9-48AB-891D-F50CB99FE3FF}" name="$Return" totalsRowFunction="sum" dataDxfId="14" totalsRowDxfId="5" dataCellStyle="Comma"/>
    <tableColumn id="5" xr3:uid="{8E6983F9-C95F-4C3E-B7AF-9BBF82CCA029}" name="Inflows" totalsRowFunction="sum" dataDxfId="13" totalsRowDxfId="4" dataCellStyle="Comma"/>
    <tableColumn id="6" xr3:uid="{95480F1A-F057-4B1B-846F-C5F40F91804F}" name="Return" dataDxfId="12" totalsRowDxfId="3" dataCellStyle="Percent">
      <calculatedColumnFormula>Table131016[[#This Row],[$Return]]/AVERAGE(Table131016[[#This Row],[Starting]],Table131016[[#This Row],[Starting]]+Table131016[[#This Row],[Inflows]])</calculatedColumnFormula>
    </tableColumn>
    <tableColumn id="8" xr3:uid="{2EEDBA8B-75FB-4B22-9FCD-8E1E8DB57EDB}" name="Ending" dataDxfId="11">
      <calculatedColumnFormula>D5+E5+F5</calculatedColumnFormula>
    </tableColumn>
    <tableColumn id="7" xr3:uid="{ECE55A07-4EEE-45F1-9A9D-584E9C68F548}" name="Index" dataDxfId="10" dataCellStyle="Comma">
      <calculatedColumnFormula>IF(Table131016[[#This Row],[Day]]=1,100*(1+Table131016[[#This Row],[Return]]),I4*(1+Table131016[[#This Row],[Return]]))</calculatedColumnFormula>
    </tableColumn>
    <tableColumn id="9" xr3:uid="{136BE18D-6483-4E8F-8154-0F54DD6BEB21}" name="Day Weight" dataDxfId="9">
      <calculatedColumnFormula>EXP(-((30-Table131016[[#This Row],[Day]])/30))</calculatedColumnFormula>
    </tableColumn>
    <tableColumn id="11" xr3:uid="{38930E02-8ECE-4CB2-BCD4-49285C78B57D}" name="WA Return" dataDxfId="8" totalsRowDxfId="2" dataCellStyle="Percent">
      <calculatedColumnFormula>SUMPRODUCT($G$5:G5,$J$5:J5)/SUM(Table131016[Day Weight])</calculatedColumnFormula>
    </tableColumn>
    <tableColumn id="18" xr3:uid="{0BFCFEF8-D02F-42A5-89BE-461F720F693A}" name="Max 14d DD" dataDxfId="7" totalsRowDxfId="1" dataCellStyle="Percent">
      <calculatedColumnFormula>IF(Table131016[[#This Row],[Day]]&lt;=7,"",IF(I5&lt;MAX(#REF!),I5/MAX(#REF!)-1,-1%))</calculatedColumnFormula>
    </tableColumn>
    <tableColumn id="15" xr3:uid="{2546776E-3A7F-4A04-939F-9A20DC376540}" name="Ranking" dataDxfId="6" totalsRowDxfId="0" dataCellStyle="Comma">
      <calculatedColumnFormula>IF(Table131016[[#This Row],[Day]]&lt;=7,"NM",ABS(#REF!/Table131016[[#This Row],[Max 14d DD]]))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FCBCA83-DCFF-4E4A-9A6E-170D3A9ACD21}" name="Table1310" displayName="Table1310" ref="B13:M44" totalsRowCount="1">
  <autoFilter ref="B13:M43" xr:uid="{EB6F6861-5078-4F72-A80D-ADF4F44162C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578B01D2-1E42-4472-9C64-856F236DB71A}" name="Date" totalsRowLabel="Total" dataDxfId="254">
      <calculatedColumnFormula>B13+1</calculatedColumnFormula>
    </tableColumn>
    <tableColumn id="2" xr3:uid="{7DBD9CE7-863D-4BB1-B9AB-6317C2451B88}" name="Day">
      <calculatedColumnFormula>B14-$B$14+1</calculatedColumnFormula>
    </tableColumn>
    <tableColumn id="3" xr3:uid="{A6C76D2C-D63E-4B7D-8E72-A93882FE991B}" name="Starting" dataDxfId="253" dataCellStyle="Comma">
      <calculatedColumnFormula>H13</calculatedColumnFormula>
    </tableColumn>
    <tableColumn id="4" xr3:uid="{6867BE50-7B9F-4D28-8608-DFA5ED8A485A}" name="$Return" totalsRowFunction="sum" dataDxfId="252" totalsRowDxfId="251" dataCellStyle="Comma"/>
    <tableColumn id="5" xr3:uid="{B18AD9BC-F301-4C48-973D-DF71FDDF2A15}" name="Inflows" totalsRowFunction="sum" dataDxfId="250" totalsRowDxfId="249" dataCellStyle="Comma"/>
    <tableColumn id="6" xr3:uid="{A052039A-1D01-4A81-9D17-4618865B9ED7}" name="Return" dataDxfId="248" totalsRowDxfId="247" dataCellStyle="Percent">
      <calculatedColumnFormula>Table1310[[#This Row],[$Return]]/AVERAGE(Table1310[[#This Row],[Starting]],Table1310[[#This Row],[Starting]]+Table1310[[#This Row],[Inflows]])</calculatedColumnFormula>
    </tableColumn>
    <tableColumn id="8" xr3:uid="{7BAF2B65-837E-40E0-8DFE-8585EFCB8724}" name="Ending" dataDxfId="246">
      <calculatedColumnFormula>D14+E14+F14</calculatedColumnFormula>
    </tableColumn>
    <tableColumn id="7" xr3:uid="{C837EDB1-D4B0-4935-9001-8F794985B38A}" name="Index" dataDxfId="245" dataCellStyle="Comma">
      <calculatedColumnFormula>IF(Table1310[[#This Row],[Day]]=1,100*(1+Table1310[[#This Row],[Return]]),I13*(1+Table1310[[#This Row],[Return]]))</calculatedColumnFormula>
    </tableColumn>
    <tableColumn id="9" xr3:uid="{130D896A-668F-4D51-9350-F71091815E04}" name="Day Weight" dataDxfId="244">
      <calculatedColumnFormula>EXP(-((30-Table1310[[#This Row],[Day]])/30))</calculatedColumnFormula>
    </tableColumn>
    <tableColumn id="11" xr3:uid="{F26105E9-AED3-4BCB-8D20-8A8D8D73E39A}" name="Wgt. Avg.Return" dataDxfId="243" totalsRowDxfId="242" dataCellStyle="Percent">
      <calculatedColumnFormula>SUMPRODUCT(Table1310[Return],Table1310[Day Weight])/SUM(Table1310[Day Weight])</calculatedColumnFormula>
    </tableColumn>
    <tableColumn id="18" xr3:uid="{EA68539D-0653-4245-83D1-98324C354586}" name="Max 7d DD" dataDxfId="241" totalsRowDxfId="240" dataCellStyle="Percent">
      <calculatedColumnFormula>IF(Table1310[[#This Row],[Day]]&lt;=7,"",MIN(IF(I14&gt;=MAX(I7:I13),IFERROR(AVERAGE(L7:L13),-1%),I14/MAX(I7:I13)-1),-1%))</calculatedColumnFormula>
    </tableColumn>
    <tableColumn id="15" xr3:uid="{2645FE4D-2F54-4489-BAA2-0B99EFFDC98A}" name="Ranking" dataDxfId="239" totalsRowDxfId="238" dataCellStyle="Comma">
      <calculatedColumnFormula>IF(Table1310[[#This Row],[Day]]&lt;=7,"NM",ABS(#REF!/Table1310[[#This Row],[Max 7d DD]]))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6B4DFD6-37D8-4D61-A356-1A7CEE35F9BB}" name="Table13411" displayName="Table13411" ref="O13:Z44" totalsRowCount="1">
  <autoFilter ref="O13:Z43" xr:uid="{4F3BBC76-2154-4F0A-B8D0-C8B46EF26F1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30FC18E2-AC79-4E04-800C-7830F6BE484E}" name="Date" totalsRowLabel="Total" dataDxfId="237">
      <calculatedColumnFormula>O13+1</calculatedColumnFormula>
    </tableColumn>
    <tableColumn id="2" xr3:uid="{9DB6F8F2-359F-494A-84FC-88C47D635F2C}" name="Day">
      <calculatedColumnFormula>O14-$B$14+1</calculatedColumnFormula>
    </tableColumn>
    <tableColumn id="3" xr3:uid="{7615CD7C-0890-4A8D-B4E6-8AD3A2EFE6A1}" name="Starting" dataDxfId="236" dataCellStyle="Comma">
      <calculatedColumnFormula>U13</calculatedColumnFormula>
    </tableColumn>
    <tableColumn id="4" xr3:uid="{AB712644-7F71-410C-9136-A56018FC3EFC}" name="$Return" totalsRowFunction="sum" dataDxfId="235" totalsRowDxfId="234" dataCellStyle="Comma"/>
    <tableColumn id="5" xr3:uid="{EEB0C13D-BEDF-4E37-A656-B1AD2B5544A3}" name="Inflows" totalsRowFunction="sum" dataDxfId="233" totalsRowDxfId="232" dataCellStyle="Comma"/>
    <tableColumn id="6" xr3:uid="{6D25F786-9231-4E93-9712-2D7A1EB253B7}" name="Return" dataDxfId="231" totalsRowDxfId="230" dataCellStyle="Percent">
      <calculatedColumnFormula>Table13411[[#This Row],[$Return]]/AVERAGE(Table13411[[#This Row],[Starting]],Table13411[[#This Row],[Starting]]+Table13411[[#This Row],[Inflows]])</calculatedColumnFormula>
    </tableColumn>
    <tableColumn id="8" xr3:uid="{DCA08614-7A39-4FB4-B0B4-69F0BFAA8727}" name="Ending" dataDxfId="229">
      <calculatedColumnFormula>Q14+R14+S14</calculatedColumnFormula>
    </tableColumn>
    <tableColumn id="9" xr3:uid="{3FB184BE-E3D6-436F-BE8B-A5FC4711D6F9}" name="Index" dataDxfId="228">
      <calculatedColumnFormula>IF(Table1310[[#This Row],[Day]]=1,100,V13*(1+Table1310[[#This Row],[Return]]))</calculatedColumnFormula>
    </tableColumn>
    <tableColumn id="11" xr3:uid="{1419AD58-6367-427F-BFEF-F6BB96F3849B}" name="Day Weight" dataDxfId="227" totalsRowDxfId="226" dataCellStyle="Comma">
      <calculatedColumnFormula>EXP(-((30-Table13411[[#This Row],[Day]])/30))</calculatedColumnFormula>
    </tableColumn>
    <tableColumn id="17" xr3:uid="{23D6EA78-D229-461E-B71C-928A74A3FD86}" name="Wgt. Avg.Return" dataDxfId="225" totalsRowDxfId="224" dataCellStyle="Comma">
      <calculatedColumnFormula>SUMPRODUCT(Table13411[Return],Table13411[Day Weight])/SUM(Table13411[Day Weight])</calculatedColumnFormula>
    </tableColumn>
    <tableColumn id="15" xr3:uid="{472D0206-BF3A-40C8-833E-B38074D433EF}" name="Max 7d DD" dataDxfId="223" totalsRowDxfId="222" dataCellStyle="Comma">
      <calculatedColumnFormula>IF(Table13411[[#This Row],[Day]]&lt;=7,"",MIN(IF(V14&gt;=MAX(V7:V13),IFERROR(AVERAGE(Y7:Y13),-1%),V14/MAX(V7:V13)-1),-1%))</calculatedColumnFormula>
    </tableColumn>
    <tableColumn id="10" xr3:uid="{AF89B172-D793-4614-A194-AA217115B567}" name="Ranking" dataDxfId="221" totalsRowDxfId="220">
      <calculatedColumnFormula>IF(Table1310[[#This Row],[Day]]&lt;=7,"NM",Table1310[[#This Row],[Wgt. Avg.Return]]/ABS(Table1310[[#This Row],[Max 7d DD]]))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833A494-6E6C-423E-886F-F9B8DB8937C8}" name="Table1341112" displayName="Table1341112" ref="AB13:AM44" totalsRowCount="1">
  <tableColumns count="12">
    <tableColumn id="1" xr3:uid="{46113EF6-3FD1-4D7D-9B62-02A219A6892F}" name="Date" totalsRowLabel="Total" dataDxfId="219">
      <calculatedColumnFormula>AB13+1</calculatedColumnFormula>
    </tableColumn>
    <tableColumn id="2" xr3:uid="{792AC508-65FD-4E2C-9EB5-5B27D0E9C3BA}" name="Day">
      <calculatedColumnFormula>AB14-$B$14+1</calculatedColumnFormula>
    </tableColumn>
    <tableColumn id="3" xr3:uid="{0CD28E71-C21B-4BE2-89A6-D23C734250B2}" name="Starting" dataDxfId="218" dataCellStyle="Comma">
      <calculatedColumnFormula>AH13</calculatedColumnFormula>
    </tableColumn>
    <tableColumn id="4" xr3:uid="{2A0FFA61-029B-4C90-8E43-92F6EC80E8E4}" name="$Return" totalsRowFunction="sum" dataDxfId="217" totalsRowDxfId="216" dataCellStyle="Comma"/>
    <tableColumn id="5" xr3:uid="{BBD461E9-1004-4888-9BC2-0344A364CFFB}" name="Inflows" totalsRowFunction="sum" dataDxfId="215" totalsRowDxfId="214" dataCellStyle="Comma">
      <calculatedColumnFormula>RANDBETWEEN(0,100)</calculatedColumnFormula>
    </tableColumn>
    <tableColumn id="6" xr3:uid="{9C270195-1FF8-4AEF-8E13-2B261BC9DD7B}" name="Return" dataDxfId="213" totalsRowDxfId="212" dataCellStyle="Percent">
      <calculatedColumnFormula>Table1341112[[#This Row],[$Return]]/AVERAGE(Table1341112[[#This Row],[Starting]],Table1341112[[#This Row],[Starting]]+Table1341112[[#This Row],[Inflows]])</calculatedColumnFormula>
    </tableColumn>
    <tableColumn id="8" xr3:uid="{EBFA5D49-D80B-470B-B767-3420FF1D6742}" name="Ending" dataDxfId="211">
      <calculatedColumnFormula>AD14+AE14+AF14</calculatedColumnFormula>
    </tableColumn>
    <tableColumn id="9" xr3:uid="{D12437A2-78A1-4D56-AE64-4C05B0056821}" name="Index" dataDxfId="210">
      <calculatedColumnFormula>IF(Table1341112[[#This Row],[Day]]=1,100*(1+Table1341112[[#This Row],[Return]]),AI13*(1+Table1341112[[#This Row],[Return]]))</calculatedColumnFormula>
    </tableColumn>
    <tableColumn id="11" xr3:uid="{6353F16A-1440-430F-A25C-967302D538C0}" name="Day Weight" dataDxfId="209" totalsRowDxfId="208" dataCellStyle="Comma">
      <calculatedColumnFormula>EXP(-((30-Table1341112[[#This Row],[Day]])/30))</calculatedColumnFormula>
    </tableColumn>
    <tableColumn id="17" xr3:uid="{9E45567B-AB8F-4AD6-9A7B-DFCA3EDEBD24}" name="Wgt. Avg.Return" dataDxfId="207" totalsRowDxfId="206" dataCellStyle="Comma">
      <calculatedColumnFormula>SUMPRODUCT(Table1341112[Return],Table1341112[Day Weight])/SUM(Table1341112[Day Weight])</calculatedColumnFormula>
    </tableColumn>
    <tableColumn id="15" xr3:uid="{014FBC3F-87B0-4CEF-A2E5-1274511F26BB}" name="Max 7d DD" dataDxfId="205" totalsRowDxfId="204" dataCellStyle="Comma">
      <calculatedColumnFormula>IF(Table1341112[[#This Row],[Day]]&lt;=7,"",MIN(IF(AI14&gt;=MAX(AI7:AI13),IFERROR(AVERAGE(AL7:AL13),-1%),AI14/MAX(AI7:AI13)-1),-1%))</calculatedColumnFormula>
    </tableColumn>
    <tableColumn id="10" xr3:uid="{653878D2-FBAE-4A67-A5E6-A683515297CA}" name="Ranking" dataDxfId="203" totalsRowDxfId="202">
      <calculatedColumnFormula>IF(Table1310[[#This Row],[Day]]&lt;=7,"NM",Table1310[[#This Row],[Wgt. Avg.Return]]/ABS(Table1310[[#This Row],[Max 7d DD]]))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E5E7225-F0DA-46B1-B102-75D61B73EF66}" name="Table134111213" displayName="Table134111213" ref="AO13:AZ44" totalsRowCount="1">
  <tableColumns count="12">
    <tableColumn id="1" xr3:uid="{09C48555-BAE4-48C5-80AA-4587FE706C82}" name="Date" totalsRowLabel="Total" dataDxfId="201">
      <calculatedColumnFormula>AO13+1</calculatedColumnFormula>
    </tableColumn>
    <tableColumn id="2" xr3:uid="{890597B7-C2B2-4C74-B97F-0E0AFF2EFC98}" name="Day">
      <calculatedColumnFormula>AO14-$B$14+1</calculatedColumnFormula>
    </tableColumn>
    <tableColumn id="3" xr3:uid="{6CEE6529-E5A5-4F98-9AAA-33DE5B900CD5}" name="Starting" dataDxfId="200" dataCellStyle="Comma"/>
    <tableColumn id="4" xr3:uid="{5FFA6D4C-26E3-420B-B2A1-41A8272CC98A}" name="$Return" totalsRowFunction="sum" dataDxfId="199" totalsRowDxfId="198" dataCellStyle="Comma"/>
    <tableColumn id="5" xr3:uid="{D0F4DE9F-EB16-499B-A304-40EF92595AA7}" name="Inflows" totalsRowFunction="sum" dataDxfId="197" totalsRowDxfId="196" dataCellStyle="Comma"/>
    <tableColumn id="6" xr3:uid="{43D77C73-9F19-40EC-A48E-9B882C19BA8C}" name="Return" dataDxfId="195" totalsRowDxfId="194" dataCellStyle="Percent">
      <calculatedColumnFormula>Table134111213[[#This Row],[$Return]]/AVERAGE(Table134111213[[#This Row],[Starting]],Table134111213[[#This Row],[Starting]]+Table134111213[[#This Row],[Inflows]])</calculatedColumnFormula>
    </tableColumn>
    <tableColumn id="8" xr3:uid="{4CBF34DC-82A3-4225-BA9B-3A89C4415FFC}" name="Ending" dataDxfId="193">
      <calculatedColumnFormula>AQ14+AR14+AS14</calculatedColumnFormula>
    </tableColumn>
    <tableColumn id="9" xr3:uid="{F75725FB-7D67-48E5-9289-AA094B021FE5}" name="Index" dataDxfId="192">
      <calculatedColumnFormula>IF(Table134111213[[#This Row],[Day]]=1,100*(1+Table134111213[[#This Row],[Return]]),AV13*(1+Table134111213[[#This Row],[Return]]))</calculatedColumnFormula>
    </tableColumn>
    <tableColumn id="11" xr3:uid="{22CB7FA1-C59D-452C-85CE-F1E60C2E1E06}" name="Day Weight" dataDxfId="191" totalsRowDxfId="190" dataCellStyle="Comma">
      <calculatedColumnFormula>EXP(-((30-Table134111213[[#This Row],[Day]])/30))</calculatedColumnFormula>
    </tableColumn>
    <tableColumn id="17" xr3:uid="{13EEA633-C79D-4E38-A26D-96F71512E199}" name="Wgt. Avg.Return" dataDxfId="189" totalsRowDxfId="188" dataCellStyle="Comma">
      <calculatedColumnFormula>SUMPRODUCT(Table134111213[Return],Table134111213[Day Weight])/SUM(Table134111213[Day Weight])</calculatedColumnFormula>
    </tableColumn>
    <tableColumn id="15" xr3:uid="{54206834-C8C3-48B6-B043-59B270CAF3F0}" name="Max 7d DD" dataDxfId="187" totalsRowDxfId="186" dataCellStyle="Comma">
      <calculatedColumnFormula>IF(Table134111213[[#This Row],[Day]]&lt;=7,"",MIN(IF(AV14&gt;=MAX(AV7:AV13),IFERROR(AVERAGE(AY7:AY13),-1%),AV14/MAX(AV7:AV13)-1),-1%))</calculatedColumnFormula>
    </tableColumn>
    <tableColumn id="10" xr3:uid="{7C743351-D6CD-48F9-A30C-DB5824BAEE05}" name="Ranking" dataDxfId="185" totalsRowDxfId="184">
      <calculatedColumnFormula>IF(Table1310[[#This Row],[Day]]&lt;=7,"NM",Table1310[[#This Row],[Wgt. Avg.Return]]/ABS(Table1310[[#This Row],[Max 7d DD]]))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F87A19A-D9F1-45B3-B5C6-F3D8629823A4}" name="Table13411121314" displayName="Table13411121314" ref="BB13:BM44" totalsRowCount="1">
  <tableColumns count="12">
    <tableColumn id="1" xr3:uid="{0493E166-2D03-4C15-97C6-3735BC197F0A}" name="Date" totalsRowLabel="Total" dataDxfId="183">
      <calculatedColumnFormula>BB13+1</calculatedColumnFormula>
    </tableColumn>
    <tableColumn id="2" xr3:uid="{7B6CDEE5-1B6F-4A27-8825-44F1634D6AE7}" name="Day">
      <calculatedColumnFormula>BB14-$B$14+1</calculatedColumnFormula>
    </tableColumn>
    <tableColumn id="3" xr3:uid="{0BA8545A-2437-41A8-AA75-D0EF650005EB}" name="Starting" dataDxfId="182" dataCellStyle="Comma"/>
    <tableColumn id="4" xr3:uid="{626E3E1B-7CB2-4194-847E-A5863E0708E7}" name="$Return" totalsRowFunction="sum" dataDxfId="181" totalsRowDxfId="180" dataCellStyle="Comma"/>
    <tableColumn id="5" xr3:uid="{F5C5A9DC-3485-469E-836D-8DFA5C33B9D1}" name="Inflows" totalsRowFunction="sum" dataDxfId="179" totalsRowDxfId="178" dataCellStyle="Comma"/>
    <tableColumn id="6" xr3:uid="{55E9A528-251A-46D9-8436-2B0D99D790DF}" name="Return" dataDxfId="177" totalsRowDxfId="176" dataCellStyle="Percent">
      <calculatedColumnFormula>Table13411121314[[#This Row],[$Return]]/AVERAGE(Table13411121314[[#This Row],[Starting]],Table13411121314[[#This Row],[Starting]]+Table13411121314[[#This Row],[Inflows]])</calculatedColumnFormula>
    </tableColumn>
    <tableColumn id="8" xr3:uid="{D944C0D2-3095-48FF-B1C2-17FFCF119613}" name="Ending" dataDxfId="175">
      <calculatedColumnFormula>BD14+BE14+BF14</calculatedColumnFormula>
    </tableColumn>
    <tableColumn id="9" xr3:uid="{EFC68C57-9887-4AED-865C-8F0AB0D153F3}" name="Index" dataDxfId="174">
      <calculatedColumnFormula>IF(Table13411121314[[#This Row],[Day]]=1,100*(1+Table13411121314[[#This Row],[Return]]),BI13*(1+Table13411121314[[#This Row],[Return]]))</calculatedColumnFormula>
    </tableColumn>
    <tableColumn id="11" xr3:uid="{B2C2D9FE-80E4-4BC1-81AC-132E2575EF2A}" name="Day Weight" dataDxfId="173" totalsRowDxfId="172" dataCellStyle="Comma">
      <calculatedColumnFormula>EXP(-((30-Table13411121314[[#This Row],[Day]])/30))</calculatedColumnFormula>
    </tableColumn>
    <tableColumn id="17" xr3:uid="{76BDFD36-5208-465E-BB4F-40DE82ED4DF3}" name="Wgt. Avg.Return" dataDxfId="171" totalsRowDxfId="170" dataCellStyle="Comma">
      <calculatedColumnFormula>SUMPRODUCT(Table13411121314[Return],Table13411121314[Day Weight])/SUM(Table13411121314[Day Weight])</calculatedColumnFormula>
    </tableColumn>
    <tableColumn id="15" xr3:uid="{3ED0C314-1DCD-4C0C-931E-A53A78F48FDF}" name="Max 7d DD" dataDxfId="169" totalsRowDxfId="168" dataCellStyle="Comma">
      <calculatedColumnFormula>IF(Table13411121314[[#This Row],[Day]]&lt;=7,"",MIN(IF(BI14&gt;=MAX(BI7:BI13),IFERROR(AVERAGE(BL7:BL13),-1%),BI14/MAX(BI7:BI13)-1),-1%))</calculatedColumnFormula>
    </tableColumn>
    <tableColumn id="10" xr3:uid="{7C9A50A3-5050-49D7-8D8D-1A59D45BAF3E}" name="Ranking" dataDxfId="167" totalsRowDxfId="166">
      <calculatedColumnFormula>IF(Table1310[[#This Row],[Day]]&lt;=7,"NM",Table1310[[#This Row],[Wgt. Avg.Return]]/ABS(Table1310[[#This Row],[Max 7d DD]]))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F6C7C7B-3676-4337-B5BC-F0648FD4B432}" name="Table13" displayName="Table13" ref="B13:M44" totalsRowCount="1">
  <autoFilter ref="B13:M43" xr:uid="{EB6F6861-5078-4F72-A80D-ADF4F44162C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5887AF66-754D-4ED8-BB3E-DE95E7D8EE27}" name="Date" totalsRowLabel="Total" dataDxfId="165">
      <calculatedColumnFormula>B13+1</calculatedColumnFormula>
    </tableColumn>
    <tableColumn id="2" xr3:uid="{EEDB7B3C-80D7-4897-AD19-BEDAC39C49FC}" name="Day">
      <calculatedColumnFormula>B14-$B$14+1</calculatedColumnFormula>
    </tableColumn>
    <tableColumn id="3" xr3:uid="{12F0FBF2-9C38-48F9-9C67-B6BE565CEDDD}" name="Starting" dataDxfId="164" totalsRowDxfId="163" dataCellStyle="Comma">
      <calculatedColumnFormula>H13</calculatedColumnFormula>
    </tableColumn>
    <tableColumn id="4" xr3:uid="{00EFC17F-EEC3-4D1A-BC44-7724B914FC6F}" name="$Return" totalsRowFunction="sum" dataDxfId="162" totalsRowDxfId="161" dataCellStyle="Comma" totalsRowCellStyle="Comma">
      <calculatedColumnFormula>RANDBETWEEN(0,RAND()/10*Table13[[#This Row],[Starting]])*Table13[[#This Row],[Rand]]</calculatedColumnFormula>
    </tableColumn>
    <tableColumn id="5" xr3:uid="{727B4798-B976-4B40-A7B0-8810D78D2D2E}" name="Inflows" totalsRowFunction="sum" dataDxfId="160" totalsRowDxfId="159" dataCellStyle="Comma">
      <calculatedColumnFormula>RANDBETWEEN(0,1000)</calculatedColumnFormula>
    </tableColumn>
    <tableColumn id="6" xr3:uid="{044249C4-30EB-4472-8FE5-2830D5F019B8}" name="Return" dataDxfId="158" totalsRowDxfId="157" dataCellStyle="Percent">
      <calculatedColumnFormula>Table13[[#This Row],[$Return]]/AVERAGE(Table13[[#This Row],[Starting]],Table13[[#This Row],[Starting]]+Table13[[#This Row],[Inflows]])</calculatedColumnFormula>
    </tableColumn>
    <tableColumn id="8" xr3:uid="{30A46EDA-97CE-4B3E-9E0B-B0CDCBC866ED}" name="Ending" dataDxfId="156">
      <calculatedColumnFormula>D14+E14+F14</calculatedColumnFormula>
    </tableColumn>
    <tableColumn id="9" xr3:uid="{350DC293-F3FB-4361-9DC2-B7BA048C2279}" name="Index Value" dataDxfId="155">
      <calculatedColumnFormula>100*(1+Table13[[#This Row],[Return]])</calculatedColumnFormula>
    </tableColumn>
    <tableColumn id="11" xr3:uid="{394D4647-59BB-40BE-98D7-9CFB62E2F8B7}" name="30d_Sharpe" dataDxfId="154" totalsRowDxfId="153" dataCellStyle="Comma">
      <calculatedColumnFormula>IF(Table13[[#This Row],[Day]]&lt;LeadDays,"NM",(AVERAGE(G$14:G14)/STDEV(G$14:G14)*SQRT(SharpePeriod)))</calculatedColumnFormula>
    </tableColumn>
    <tableColumn id="18" xr3:uid="{392BCB81-12E0-46D7-9A9A-EA656256D79B}" name="Index Gains" dataDxfId="152" totalsRowDxfId="151" dataCellStyle="Comma">
      <calculatedColumnFormula>Table13[[#This Row],[Index Value]]-100</calculatedColumnFormula>
    </tableColumn>
    <tableColumn id="15" xr3:uid="{579E7499-D482-4A3C-A5DF-8F9371D26BDA}" name="Adj. Index" dataDxfId="150" totalsRowDxfId="149" dataCellStyle="Comma">
      <calculatedColumnFormula>IF(Table13[[#This Row],[Day]]&lt;LeadDays,"NM",IF(Table13[[#This Row],[Index Gains]]&lt;0,Table13[[#This Row],[Index Value]],(Table13[[#This Row],[Index Gains]]*Table13[[#This Row],[30d_Sharpe]]*Sharpe_Wgt+Table13[[#This Row],[Index Gains]]*(1-Sharpe_Wgt))+100)*Historical_Wgt+(100*(1+Table13[[#This Row],[Return]])*Today_Wgt))</calculatedColumnFormula>
    </tableColumn>
    <tableColumn id="10" xr3:uid="{981F5310-5C51-47EF-A955-4F7F4538E87D}" name="Rand" totalsRowFunction="custom" dataDxfId="148" totalsRowDxfId="147">
      <calculatedColumnFormula>IF(RAND()&lt;$E$3,1,-1)</calculatedColumnFormula>
      <totalsRowFormula>COUNTIF(Table13[Rand],1)/COUNT(Table13[Rand])</totalsRow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3BBC76-2154-4F0A-B8D0-C8B46EF26F19}" name="Table134" displayName="Table134" ref="AB13:AM44" totalsRowCount="1">
  <autoFilter ref="AB13:AM43" xr:uid="{4F3BBC76-2154-4F0A-B8D0-C8B46EF26F1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458A9DA3-8F98-4E53-8A3E-92D2A40D92CA}" name="Date" totalsRowLabel="Total" dataDxfId="146">
      <calculatedColumnFormula>AB13+1</calculatedColumnFormula>
    </tableColumn>
    <tableColumn id="2" xr3:uid="{A5E6B1B8-407E-43CA-B755-D1AD28D633B7}" name="Day">
      <calculatedColumnFormula>AB14-$B$14+1</calculatedColumnFormula>
    </tableColumn>
    <tableColumn id="3" xr3:uid="{93D2DDF9-ED12-430F-9973-47538311C684}" name="Starting" dataDxfId="145" totalsRowDxfId="144" dataCellStyle="Comma">
      <calculatedColumnFormula>AH13</calculatedColumnFormula>
    </tableColumn>
    <tableColumn id="4" xr3:uid="{7446C184-C3B7-4AE4-B962-4793FAD66F9B}" name="$Return" totalsRowFunction="sum" dataDxfId="143" totalsRowDxfId="142" dataCellStyle="Comma">
      <calculatedColumnFormula>RANDBETWEEN(0,1000)*Table134[[#This Row],[Rand]]</calculatedColumnFormula>
    </tableColumn>
    <tableColumn id="5" xr3:uid="{9FCC92C6-F951-4D22-9053-D9E739D3D58D}" name="Inflows" totalsRowFunction="sum" dataDxfId="141" totalsRowDxfId="140" dataCellStyle="Comma">
      <calculatedColumnFormula>RANDBETWEEN(0,100)</calculatedColumnFormula>
    </tableColumn>
    <tableColumn id="6" xr3:uid="{A2AA53A0-B76A-490E-99A5-F585AB47B953}" name="Return" dataDxfId="139" totalsRowDxfId="138" dataCellStyle="Percent">
      <calculatedColumnFormula>Table134[[#This Row],[$Return]]/AVERAGE(Table134[[#This Row],[Starting]],Table134[[#This Row],[Starting]]+Table134[[#This Row],[Inflows]])</calculatedColumnFormula>
    </tableColumn>
    <tableColumn id="8" xr3:uid="{D96AD766-6E29-418C-8AFF-1461B1FF5321}" name="Ending" dataDxfId="137">
      <calculatedColumnFormula>AD14+AE14+AF14</calculatedColumnFormula>
    </tableColumn>
    <tableColumn id="9" xr3:uid="{61DBBD69-6118-46AA-9DDA-6EA87302953F}" name="Index Value" dataDxfId="136">
      <calculatedColumnFormula>IFERROR(AI13*(1+Table134[[#This Row],[Return]]),100*(1+Table134[[#This Row],[Return]]))</calculatedColumnFormula>
    </tableColumn>
    <tableColumn id="11" xr3:uid="{8945EFE4-1196-4891-BC8E-AF79F44E1457}" name="30d_Sharpe" dataDxfId="135" totalsRowDxfId="134" dataCellStyle="Comma">
      <calculatedColumnFormula>IF(Table134[[#This Row],[Day]]&lt;LeadDays,"NM",(AVERAGE(AG$14:AG14)/STDEV(AG$14:AG14)*SQRT(SharpePeriod)))</calculatedColumnFormula>
    </tableColumn>
    <tableColumn id="17" xr3:uid="{DDC5BBA5-ECB1-46AC-8315-C4886BA4C280}" name="Index Gains" dataDxfId="133" totalsRowDxfId="132" dataCellStyle="Comma">
      <calculatedColumnFormula>Table134[[#This Row],[Index Value]]-100</calculatedColumnFormula>
    </tableColumn>
    <tableColumn id="15" xr3:uid="{6FE0534C-E4E8-43EE-A376-543000666C6D}" name="Adj. Index" dataDxfId="131" totalsRowDxfId="130" dataCellStyle="Comma">
      <calculatedColumnFormula>IF(Table137[[#This Row],[Day]]&lt;LeadDays,"NM",IF(Table137[[#This Row],[Index Gains]]&lt;0,Table137[[#This Row],[Index Value]],(Table137[[#This Row],[Index Gains]]*Table137[[#This Row],[30d_Sharpe]]*Sharpe_Wgt+Table137[[#This Row],[Index Gains]]*(1-Sharpe_Wgt))+100)*Historical_Wgt+(100*(1+Table137[[#This Row],[Return]])*Today_Wgt))</calculatedColumnFormula>
    </tableColumn>
    <tableColumn id="10" xr3:uid="{BFADB7DA-3AA3-4FC5-8F20-E90B92F7D2D3}" name="Rand" totalsRowFunction="custom" dataDxfId="129" totalsRowDxfId="128">
      <calculatedColumnFormula>IF(RAND()&lt;$E$5,1,-1)</calculatedColumnFormula>
      <totalsRowFormula>COUNTIF(Table134[Rand],1)/COUNT(Table134[Rand])</totalsRow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96C2B7E-D010-4E0B-95E0-060708425AC2}" name="Table1345" displayName="Table1345" ref="AO13:AZ44" totalsRowCount="1">
  <autoFilter ref="AO13:AZ43" xr:uid="{296C2B7E-D010-4E0B-95E0-060708425AC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AB9BF964-8481-4E5E-906C-956CE50B18C6}" name="Date" totalsRowLabel="Total" dataDxfId="127">
      <calculatedColumnFormula>AO13+1</calculatedColumnFormula>
    </tableColumn>
    <tableColumn id="2" xr3:uid="{478FD8CE-5F9E-4764-99FD-348F8D0A3FBC}" name="Day">
      <calculatedColumnFormula>AO14-$B$14+1</calculatedColumnFormula>
    </tableColumn>
    <tableColumn id="3" xr3:uid="{3C3706A3-8089-43E7-A1D5-2477E7196851}" name="Starting" dataDxfId="126" totalsRowDxfId="125" dataCellStyle="Comma">
      <calculatedColumnFormula>AU13</calculatedColumnFormula>
    </tableColumn>
    <tableColumn id="4" xr3:uid="{7B676585-D21C-4453-A321-AC95E5D21E1F}" name="$Return" totalsRowFunction="sum" dataDxfId="124" totalsRowDxfId="123" dataCellStyle="Comma">
      <calculatedColumnFormula>RANDBETWEEN(0,1000)*Table1345[[#This Row],[Rand]]</calculatedColumnFormula>
    </tableColumn>
    <tableColumn id="5" xr3:uid="{F55B8A64-7FF9-4E61-933F-764B2EEE1939}" name="Inflows" totalsRowFunction="sum" dataDxfId="122" totalsRowDxfId="121" dataCellStyle="Comma">
      <calculatedColumnFormula>RANDBETWEEN(0,100)</calculatedColumnFormula>
    </tableColumn>
    <tableColumn id="6" xr3:uid="{7D76209F-DB75-4D1C-9C99-4E77DF86EABE}" name="Return" totalsRowFunction="custom" dataDxfId="120" totalsRowDxfId="119" dataCellStyle="Percent">
      <calculatedColumnFormula>Table1345[[#This Row],[$Return]]/AVERAGE(Table1345[[#This Row],[Starting]],Table1345[[#This Row],[Starting]]+Table1345[[#This Row],[Inflows]])</calculatedColumnFormula>
      <totalsRowFormula>Table1345[[#Totals],[$Return]]-Table1345[[#Totals],[Inflows]]</totalsRowFormula>
    </tableColumn>
    <tableColumn id="8" xr3:uid="{C066C0EC-EFC6-461A-BF26-CFA4557C57AB}" name="Ending" dataDxfId="118">
      <calculatedColumnFormula>AQ14+AR14+AS14</calculatedColumnFormula>
    </tableColumn>
    <tableColumn id="9" xr3:uid="{36950F46-1492-4A81-803C-C6445A16B465}" name="Index Value" dataDxfId="117">
      <calculatedColumnFormula>IFERROR(AV13*(1+Table1345[[#This Row],[Return]]),100*(1+Table1345[[#This Row],[Return]]))</calculatedColumnFormula>
    </tableColumn>
    <tableColumn id="11" xr3:uid="{2C6252A0-CCC8-47B3-89EB-EE645D71568A}" name="30d_Sharpe" totalsRowFunction="sum" dataDxfId="116" totalsRowDxfId="115" dataCellStyle="Comma">
      <calculatedColumnFormula>IF(Table1345[[#This Row],[Day]]&lt;LeadDays,"NM",(AVERAGE(AT$14:AT14)/STDEV(AT$14:AT14)*SQRT(SharpePeriod)))</calculatedColumnFormula>
    </tableColumn>
    <tableColumn id="15" xr3:uid="{F625BE51-2421-43CC-8DB6-B3C5BA87F875}" name="Index Gains" dataDxfId="114" totalsRowDxfId="113" dataCellStyle="Comma">
      <calculatedColumnFormula>Table1345[[#This Row],[Index Value]]-100</calculatedColumnFormula>
    </tableColumn>
    <tableColumn id="18" xr3:uid="{5B8A1482-43A8-47E5-A3CB-4507BCC086E1}" name="Adj. Index" dataDxfId="112" totalsRowDxfId="111" dataCellStyle="Comma">
      <calculatedColumnFormula>IF(Table134[[#This Row],[Day]]&lt;LeadDays,"NM",IF(Table134[[#This Row],[Index Gains]]&lt;0,Table134[[#This Row],[Index Value]],(Table134[[#This Row],[Index Gains]]*Table134[[#This Row],[30d_Sharpe]]*Sharpe_Wgt+Table134[[#This Row],[Index Gains]]*(1-Sharpe_Wgt))+100)*Historical_Wgt+(100*(1+Table134[[#This Row],[Return]])*Today_Wgt))</calculatedColumnFormula>
    </tableColumn>
    <tableColumn id="10" xr3:uid="{4BEB82E3-B800-44A5-876F-13620FD742D0}" name="Rand" totalsRowFunction="custom" dataDxfId="110" totalsRowDxfId="109">
      <calculatedColumnFormula>IF(RAND()&lt;$E$6,1,-1)</calculatedColumnFormula>
      <totalsRowFormula>COUNTIF(Table1345[Rand],1)/COUNT(Table1345[Rand])</totalsRowFormula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E57E73E-5ECC-4290-ACFE-F66A719472C4}" name="Table13456" displayName="Table13456" ref="BB13:BM44" totalsRowCount="1">
  <autoFilter ref="BB13:BM43" xr:uid="{FE57E73E-5ECC-4290-ACFE-F66A719472C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5ACA5A80-3573-49F4-BECE-5BA02606E483}" name="Date" totalsRowLabel="Total" dataDxfId="108">
      <calculatedColumnFormula>BB13+1</calculatedColumnFormula>
    </tableColumn>
    <tableColumn id="2" xr3:uid="{BBD6C41B-6B47-424A-BA75-33F97DF5BDF4}" name="Day">
      <calculatedColumnFormula>BB14-$B$14+1</calculatedColumnFormula>
    </tableColumn>
    <tableColumn id="3" xr3:uid="{0699FF52-E8A7-4C1C-8877-9D1ECBE48B1C}" name="Starting" dataDxfId="107" totalsRowDxfId="106" dataCellStyle="Comma">
      <calculatedColumnFormula>BH13</calculatedColumnFormula>
    </tableColumn>
    <tableColumn id="4" xr3:uid="{F5E0D621-3DDE-4835-9CCA-9829956B3557}" name="$Return" totalsRowFunction="sum" dataDxfId="105" totalsRowDxfId="104" dataCellStyle="Comma">
      <calculatedColumnFormula>RANDBETWEEN(0,1000)*Table13456[[#This Row],[Rand]]</calculatedColumnFormula>
    </tableColumn>
    <tableColumn id="5" xr3:uid="{F460EFD6-C180-4693-AF83-C1AF899FBA0B}" name="Inflows" totalsRowFunction="sum" dataDxfId="103" totalsRowDxfId="102" dataCellStyle="Comma">
      <calculatedColumnFormula>RANDBETWEEN(0,100)</calculatedColumnFormula>
    </tableColumn>
    <tableColumn id="6" xr3:uid="{FBE0A449-B83C-4981-87E2-04DF9E30642B}" name="Return" totalsRowFunction="custom" dataDxfId="101" totalsRowDxfId="100" dataCellStyle="Percent">
      <calculatedColumnFormula>Table13456[[#This Row],[$Return]]/AVERAGE(Table13456[[#This Row],[Starting]],Table13456[[#This Row],[Starting]]+Table13456[[#This Row],[Inflows]])</calculatedColumnFormula>
      <totalsRowFormula>Table13456[[#Totals],[$Return]]-Table13456[[#Totals],[Inflows]]</totalsRowFormula>
    </tableColumn>
    <tableColumn id="8" xr3:uid="{B145BC14-57DE-4DF9-A9FA-D15408FE3A45}" name="Ending" dataDxfId="99">
      <calculatedColumnFormula>BD14+BE14+BF14</calculatedColumnFormula>
    </tableColumn>
    <tableColumn id="9" xr3:uid="{20B59BA1-26A2-4AEA-B901-A289DC4DA4AD}" name="Index Value" dataDxfId="98">
      <calculatedColumnFormula>IFERROR(BI13*(1+Table13456[[#This Row],[Return]]),100*(1+Table13456[[#This Row],[Return]]))</calculatedColumnFormula>
    </tableColumn>
    <tableColumn id="11" xr3:uid="{80D581F3-FA45-42B3-91EB-F91686DF6DBF}" name="30d_Sharpe" totalsRowFunction="sum" dataDxfId="97" totalsRowDxfId="96" dataCellStyle="Comma">
      <calculatedColumnFormula>IF(Table13456[[#This Row],[Day]]&lt;LeadDays,"NM",(AVERAGE(BG$14:BG14)/STDEV(BG$14:BG14)*SQRT(SharpePeriod)))</calculatedColumnFormula>
    </tableColumn>
    <tableColumn id="17" xr3:uid="{AE0885F8-9AF6-4241-AB88-DE67A064AB89}" name="Index Gains" dataDxfId="95" totalsRowDxfId="94" dataCellStyle="Comma">
      <calculatedColumnFormula>Table13456[[#This Row],[Index Value]]-100</calculatedColumnFormula>
    </tableColumn>
    <tableColumn id="15" xr3:uid="{28504C61-4912-47F6-B6E4-1DFB10CD1F3E}" name="Adj. Index" dataDxfId="93" totalsRowDxfId="92" dataCellStyle="Comma">
      <calculatedColumnFormula>IF(Table1345[[#This Row],[Day]]&lt;LeadDays,"NM",IF(Table1345[[#This Row],[Index Gains]]&lt;0,Table1345[[#This Row],[Index Value]],(Table1345[[#This Row],[Index Gains]]*Table1345[[#This Row],[30d_Sharpe]]*Sharpe_Wgt+Table1345[[#This Row],[Index Gains]]*(1-Sharpe_Wgt))+100)*Historical_Wgt+(100*(1+Table1345[[#This Row],[Return]])*Today_Wgt))</calculatedColumnFormula>
    </tableColumn>
    <tableColumn id="10" xr3:uid="{119D079A-88C9-4A30-825B-ACFAB2C4FB55}" name="Rand" totalsRowFunction="custom" dataDxfId="91" totalsRowDxfId="90">
      <calculatedColumnFormula>IF(Table13456[[#This Row],[$Return]]&gt;=0,1,-1)</calculatedColumnFormula>
      <totalsRowFormula>COUNTIF(Table13456[Rand],1)/COUNT(Table13456[Rand])</totalsRowFormula>
    </tableColumn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087077D-B2A2-4CDA-B923-23113335F11E}" name="Table137" displayName="Table137" ref="O13:Z44" totalsRowCount="1">
  <autoFilter ref="O13:Z43" xr:uid="{D087077D-B2A2-4CDA-B923-23113335F11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43D4F80C-7C8F-485C-A77A-0779F1080814}" name="Date" totalsRowLabel="Total" dataDxfId="89">
      <calculatedColumnFormula>O13+1</calculatedColumnFormula>
    </tableColumn>
    <tableColumn id="2" xr3:uid="{56B935F4-3FA3-44C5-99AE-50B30CCFD45B}" name="Day">
      <calculatedColumnFormula>O14-$B$14+1</calculatedColumnFormula>
    </tableColumn>
    <tableColumn id="3" xr3:uid="{1342C608-76C9-496E-8815-D3FEDB7CFCF9}" name="Starting" dataDxfId="88" totalsRowDxfId="87" dataCellStyle="Comma">
      <calculatedColumnFormula>U13</calculatedColumnFormula>
    </tableColumn>
    <tableColumn id="4" xr3:uid="{3AE6B32C-1B02-43CE-8901-66FCCD056991}" name="$Return" totalsRowFunction="sum" dataDxfId="86" totalsRowDxfId="85" dataCellStyle="Comma" totalsRowCellStyle="Comma">
      <calculatedColumnFormula>RANDBETWEEN(0,10000)*Table137[[#This Row],[Rand]]</calculatedColumnFormula>
    </tableColumn>
    <tableColumn id="5" xr3:uid="{F83C508D-EBAF-48BE-9E15-9BAE2478E1A4}" name="Inflows" totalsRowFunction="sum" dataDxfId="84" totalsRowDxfId="83" dataCellStyle="Comma">
      <calculatedColumnFormula>RANDBETWEEN(0,1000)</calculatedColumnFormula>
    </tableColumn>
    <tableColumn id="6" xr3:uid="{73748642-0A0D-430B-8A39-4A31C203E8D8}" name="Return" dataDxfId="82" totalsRowDxfId="81" dataCellStyle="Percent">
      <calculatedColumnFormula>Table137[[#This Row],[$Return]]/AVERAGE(Table137[[#This Row],[Starting]],Table137[[#This Row],[Starting]]+Table137[[#This Row],[Inflows]])</calculatedColumnFormula>
    </tableColumn>
    <tableColumn id="8" xr3:uid="{91005474-B28F-4A7E-B72F-1670C2A00A21}" name="Ending" dataDxfId="80">
      <calculatedColumnFormula>Q14+R14+S14</calculatedColumnFormula>
    </tableColumn>
    <tableColumn id="9" xr3:uid="{C7E3C580-3DCF-4B4D-8597-5ED6D053ACA4}" name="Index Value" dataDxfId="79">
      <calculatedColumnFormula>IFERROR(V13*(1+Table137[[#This Row],[Return]]),100*(1+Table137[[#This Row],[Return]]))</calculatedColumnFormula>
    </tableColumn>
    <tableColumn id="11" xr3:uid="{A8A13B4E-B9B9-4026-A1CA-3DDEB8D9136D}" name="30d_Sharpe" dataDxfId="78" totalsRowDxfId="77" dataCellStyle="Comma">
      <calculatedColumnFormula>IF(Table137[[#This Row],[Day]]&lt;LeadDays,"NM",(AVERAGE(T$14:T14)/STDEV(T$14:T14)*SQRT(SharpePeriod)))</calculatedColumnFormula>
    </tableColumn>
    <tableColumn id="17" xr3:uid="{158C2EF1-9EBD-4FF1-A6C7-A52F26658CF0}" name="Index Gains" dataDxfId="76" totalsRowDxfId="75" dataCellStyle="Percent">
      <calculatedColumnFormula>Table137[[#This Row],[Index Value]]-100</calculatedColumnFormula>
    </tableColumn>
    <tableColumn id="16" xr3:uid="{90672F6A-006B-4D2F-BA26-D5A0D97AB759}" name="Adj. Index" dataDxfId="74" totalsRowDxfId="73" dataCellStyle="Comma">
      <calculatedColumnFormula>IF(Table137[[#This Row],[Day]]&lt;LeadDays,"NM",IF(Table137[[#This Row],[Index Gains]]&lt;0,Table137[[#This Row],[Index Value]],(Table137[[#This Row],[Index Gains]]*Table137[[#This Row],[30d_Sharpe]]*Sharpe_Wgt+Table137[[#This Row],[Index Gains]]*(1-Sharpe_Wgt))+100)*Historical_Wgt+(100*(1+Table137[[#This Row],[Return]])*Today_Wgt))</calculatedColumnFormula>
    </tableColumn>
    <tableColumn id="10" xr3:uid="{8A0A1D0B-7A81-4837-B017-A4C21178E3D1}" name="Rand" totalsRowFunction="custom" dataDxfId="72" totalsRowDxfId="71">
      <calculatedColumnFormula>IF(RAND()&lt;$E$4,1,-1)</calculatedColumnFormula>
      <totalsRowFormula>COUNTIF(Table137[Rand],1)/COUNT(Table137[Rand])</totalsRowFormula>
    </tableColumn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E8711CB-41CE-4429-AA5A-850CC390FDBC}" name="Table134568" displayName="Table134568" ref="BO13:BZ44" totalsRowCount="1">
  <autoFilter ref="BO13:BZ43" xr:uid="{AE8711CB-41CE-4429-AA5A-850CC390FDB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55764415-4B78-4108-8EB7-C5DCEC702852}" name="Date" totalsRowLabel="Total" dataDxfId="70">
      <calculatedColumnFormula>BO13+1</calculatedColumnFormula>
    </tableColumn>
    <tableColumn id="2" xr3:uid="{1E4AC156-A120-4DC0-B9E1-F489E36DC226}" name="Day">
      <calculatedColumnFormula>BO14-$B$14+1</calculatedColumnFormula>
    </tableColumn>
    <tableColumn id="3" xr3:uid="{5E676056-0B35-4D28-8523-FDC54B6D7CAB}" name="Starting" dataDxfId="69" totalsRowDxfId="68" dataCellStyle="Comma"/>
    <tableColumn id="4" xr3:uid="{AE294636-11C6-4B79-97F2-AF6354B733E0}" name="$Return" totalsRowFunction="sum" dataDxfId="67" totalsRowDxfId="66" dataCellStyle="Comma"/>
    <tableColumn id="5" xr3:uid="{F6664B88-C43D-483C-8524-B8ABD7FC8A66}" name="Inflows" totalsRowFunction="sum" dataDxfId="65" totalsRowDxfId="64" dataCellStyle="Comma"/>
    <tableColumn id="6" xr3:uid="{15019A90-AA81-40CD-B70A-7C6474B72272}" name="Return" totalsRowFunction="custom" dataDxfId="63" totalsRowDxfId="62" dataCellStyle="Percent">
      <calculatedColumnFormula>Table134568[[#This Row],[$Return]]/AVERAGE(Table134568[[#This Row],[Starting]],Table134568[[#This Row],[Starting]]+Table134568[[#This Row],[Inflows]])</calculatedColumnFormula>
      <totalsRowFormula>Table134568[[#Totals],[$Return]]-Table134568[[#Totals],[Inflows]]</totalsRowFormula>
    </tableColumn>
    <tableColumn id="8" xr3:uid="{6E75DF70-4ACE-49DB-8E99-077CF4605A08}" name="Ending" dataDxfId="61">
      <calculatedColumnFormula>BQ14+BR14+BS14</calculatedColumnFormula>
    </tableColumn>
    <tableColumn id="9" xr3:uid="{6F0B1416-9305-417C-998D-DE6927861523}" name="Index Value" dataDxfId="60">
      <calculatedColumnFormula>IFERROR(BV13*(1+Table134568[[#This Row],[Return]]),100*(1+Table134568[[#This Row],[Return]]))</calculatedColumnFormula>
    </tableColumn>
    <tableColumn id="11" xr3:uid="{978D93D6-5C32-4AD9-8E62-5C4EADD22B31}" name="30d_Sharpe" totalsRowFunction="sum" dataDxfId="59" totalsRowDxfId="58" dataCellStyle="Comma">
      <calculatedColumnFormula>IF(Table134568[[#This Row],[Day]]&lt;LeadDays,"NM",(AVERAGE(BT$14:BT14)/STDEV(BT$14:BT14)*SQRT(SharpePeriod)))</calculatedColumnFormula>
    </tableColumn>
    <tableColumn id="17" xr3:uid="{667A7345-4A6C-4DB9-88A4-C9A37F15E095}" name="Index Gains" dataDxfId="57" totalsRowDxfId="56" dataCellStyle="Comma">
      <calculatedColumnFormula>Table134568[[#This Row],[Index Value]]-100</calculatedColumnFormula>
    </tableColumn>
    <tableColumn id="15" xr3:uid="{AE1FEDDD-D8B7-4065-B353-41EC613F43A7}" name="Adj. Index" dataDxfId="55" totalsRowDxfId="54" dataCellStyle="Comma">
      <calculatedColumnFormula>IF(Table134568[[#This Row],[Day]]&lt;LeadDays,"NM",IF(Table134568[[#This Row],[Index Gains]]&lt;0,Table134568[[#This Row],[Index Value]],(Table134568[[#This Row],[Index Gains]]*Table134568[[#This Row],[30d_Sharpe]]*Sharpe_Wgt+Table134568[[#This Row],[Index Gains]]*(1-Sharpe_Wgt))+100))</calculatedColumnFormula>
    </tableColumn>
    <tableColumn id="10" xr3:uid="{368528AA-1A89-4B02-A896-71DAE27D8ECD}" name="Rand" totalsRowFunction="custom" dataDxfId="53" totalsRowDxfId="52">
      <calculatedColumnFormula>IF(Table134568[[#This Row],[$Return]]&gt;=0,1,-1)</calculatedColumnFormula>
      <totalsRowFormula>COUNTIF(Table134568[Rand],1)/COUNT(Table134568[Rand])</totalsRowFormula>
    </tableColumn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270768E-4EB5-40BC-AD19-2DCA9029312B}" name="Table1345689" displayName="Table1345689" ref="CB13:CM44" totalsRowCount="1">
  <autoFilter ref="CB13:CM43" xr:uid="{9270768E-4EB5-40BC-AD19-2DCA9029312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BBDCBE85-5F28-4F2D-AF44-91F7EEFA5919}" name="Date" totalsRowLabel="Total" dataDxfId="51">
      <calculatedColumnFormula>CB13+1</calculatedColumnFormula>
    </tableColumn>
    <tableColumn id="2" xr3:uid="{CB82B395-99D7-49A7-8D2B-BB980B8675CE}" name="Day">
      <calculatedColumnFormula>CB14-$B$14+1</calculatedColumnFormula>
    </tableColumn>
    <tableColumn id="3" xr3:uid="{74ADCFE0-9FFE-4F15-80CC-4559A8B59B89}" name="Starting" dataDxfId="50" totalsRowDxfId="49" dataCellStyle="Comma"/>
    <tableColumn id="4" xr3:uid="{636036EA-3A5A-4BC8-8436-207C24342AE6}" name="$Return" totalsRowFunction="sum" dataDxfId="48" totalsRowDxfId="47" dataCellStyle="Comma"/>
    <tableColumn id="5" xr3:uid="{DD938946-BACD-4FB9-97B6-A04D7E1D9667}" name="Inflows" totalsRowFunction="sum" dataDxfId="46" totalsRowDxfId="45" dataCellStyle="Comma"/>
    <tableColumn id="6" xr3:uid="{575B68DC-7ED7-4D0C-AB75-25E3B01CE4E5}" name="Return" totalsRowFunction="custom" dataDxfId="44" totalsRowDxfId="43" dataCellStyle="Percent">
      <calculatedColumnFormula>Table1345689[[#This Row],[$Return]]/AVERAGE(Table1345689[[#This Row],[Starting]],Table1345689[[#This Row],[Starting]]+Table1345689[[#This Row],[Inflows]])</calculatedColumnFormula>
      <totalsRowFormula>Table1345689[[#Totals],[$Return]]-Table1345689[[#Totals],[Inflows]]</totalsRowFormula>
    </tableColumn>
    <tableColumn id="8" xr3:uid="{4DD740FF-342D-4099-8580-B6607819AB39}" name="Ending" dataDxfId="42">
      <calculatedColumnFormula>CD14+CE14+CF14</calculatedColumnFormula>
    </tableColumn>
    <tableColumn id="9" xr3:uid="{F77E3359-3497-44A2-A7C8-13E1979AE9A6}" name="Index Value" dataDxfId="41">
      <calculatedColumnFormula>IFERROR(CI13*(1+Table1345689[[#This Row],[Return]]),100*(1+Table1345689[[#This Row],[Return]]))</calculatedColumnFormula>
    </tableColumn>
    <tableColumn id="11" xr3:uid="{2526E3B5-3723-469A-9D9C-829E7512E0FB}" name="30d_Sharpe" totalsRowFunction="sum" dataDxfId="40" totalsRowDxfId="39" dataCellStyle="Comma">
      <calculatedColumnFormula>IF(Table1345689[[#This Row],[Day]]&lt;LeadDays,"NM",(AVERAGE(CG$14:CG14)/STDEV(CG$14:CG14)*SQRT(SharpePeriod)))</calculatedColumnFormula>
    </tableColumn>
    <tableColumn id="17" xr3:uid="{D80CBA21-211B-4EF2-870A-1CC8F9118D85}" name="Index Gains" dataDxfId="38" totalsRowDxfId="37" dataCellStyle="Comma">
      <calculatedColumnFormula>Table1345689[[#This Row],[Index Value]]-100</calculatedColumnFormula>
    </tableColumn>
    <tableColumn id="15" xr3:uid="{08A72AA1-44F3-45B5-9D31-0081E83F941D}" name="Adj. Index" dataDxfId="36" totalsRowDxfId="35" dataCellStyle="Comma">
      <calculatedColumnFormula>IF(Table1345689[[#This Row],[Day]]&lt;LeadDays,"NM",IF(Table1345689[[#This Row],[Index Gains]]&lt;0,Table1345689[[#This Row],[Index Value]],(Table1345689[[#This Row],[Index Gains]]*Table1345689[[#This Row],[30d_Sharpe]]*Sharpe_Wgt+Table1345689[[#This Row],[Index Gains]]*(1-Sharpe_Wgt))+100))</calculatedColumnFormula>
    </tableColumn>
    <tableColumn id="10" xr3:uid="{1E6EB33C-27B5-40A5-B0E5-D88E386FE7C5}" name="Rand" totalsRowFunction="custom" dataDxfId="34" totalsRowDxfId="33">
      <calculatedColumnFormula>IF(Table1345689[[#This Row],[$Return]]&gt;=0,1,-1)</calculatedColumnFormula>
      <totalsRowFormula>COUNTIF(Table1345689[Rand],1)/COUNT(Table1345689[Rand])</totalsRowFormula>
    </tableColumn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6F6861-5078-4F72-A80D-ADF4F44162C5}" name="Table1" displayName="Table1" ref="B4:M31" totalsRowCount="1">
  <autoFilter ref="B4:M30" xr:uid="{EB6F6861-5078-4F72-A80D-ADF4F44162C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724AF65A-7D3D-4907-8A3A-4E4C9455CD3F}" name="Date" totalsRowLabel="Total" dataDxfId="32">
      <calculatedColumnFormula>B4+1</calculatedColumnFormula>
    </tableColumn>
    <tableColumn id="2" xr3:uid="{5E2310F4-C546-485A-B065-E6C4128C8E0B}" name="Day">
      <calculatedColumnFormula>B5-$B$5+1</calculatedColumnFormula>
    </tableColumn>
    <tableColumn id="3" xr3:uid="{03D5C613-5A5E-401E-9A97-00ADAD2FCC7C}" name="Starting" dataDxfId="31" totalsRowDxfId="30" dataCellStyle="Comma">
      <calculatedColumnFormula>H4</calculatedColumnFormula>
    </tableColumn>
    <tableColumn id="4" xr3:uid="{64AA2D6D-5947-4F88-A325-550948EC318A}" name="$Return" totalsRowFunction="sum" dataDxfId="29" totalsRowDxfId="28" dataCellStyle="Comma">
      <calculatedColumnFormula>RANDBETWEEN(0,10000)*Table1[[#This Row],[Rand]]</calculatedColumnFormula>
    </tableColumn>
    <tableColumn id="5" xr3:uid="{DEFE9D6A-2B7F-41E1-8E8A-9B1524514D94}" name="Inflows" totalsRowFunction="sum" dataDxfId="27" totalsRowDxfId="26" dataCellStyle="Comma">
      <calculatedColumnFormula>RANDBETWEEN(0,1000)</calculatedColumnFormula>
    </tableColumn>
    <tableColumn id="6" xr3:uid="{5C25B8D9-2D02-4D01-878E-6741D6C4C1EE}" name="Return" totalsRowFunction="custom" dataDxfId="25" totalsRowDxfId="24" dataCellStyle="Percent">
      <calculatedColumnFormula>Table1[[#This Row],[$Return]]/AVERAGE(Table1[[#This Row],[Starting]],Table1[[#This Row],[Starting]]+Table1[[#This Row],[Inflows]])</calculatedColumnFormula>
      <totalsRowFormula>Table1[[#Totals],[$Return]]-Table1[[#Totals],[Inflows]]</totalsRowFormula>
    </tableColumn>
    <tableColumn id="8" xr3:uid="{A3EA78A7-094A-4090-B1A3-F4566452CD44}" name="Ending" dataDxfId="23">
      <calculatedColumnFormula>D5+E5+F5</calculatedColumnFormula>
    </tableColumn>
    <tableColumn id="9" xr3:uid="{E22B0765-60B6-4291-ACD2-F3320CB13FE5}" name="Index Value" dataDxfId="22">
      <calculatedColumnFormula>100*(1+Table1[[#This Row],[Return]])</calculatedColumnFormula>
    </tableColumn>
    <tableColumn id="11" xr3:uid="{2A75C5A3-67CE-421B-9C82-71C6BB909D18}" name="Sharpe" totalsRowFunction="sum" dataDxfId="21" totalsRowDxfId="20" dataCellStyle="Comma">
      <calculatedColumnFormula>AVERAGE($G$5:G5)/STDEV($G$5:G5)</calculatedColumnFormula>
    </tableColumn>
    <tableColumn id="14" xr3:uid="{3B28048B-DD9C-4C6F-B69C-B3913B8F8045}" name="IRR Gains" totalsRowFunction="sum" dataDxfId="19" totalsRowDxfId="18" dataCellStyle="Comma">
      <calculatedColumnFormula>-Table1[[#This Row],[Starting]]-Table1[[#This Row],[Inflows]]+Table1[[#This Row],[$Return]]</calculatedColumnFormula>
    </tableColumn>
    <tableColumn id="13" xr3:uid="{53CB08F1-3CCC-414B-B2AD-69F1B9F96E6D}" name="XIRR" dataDxfId="17"/>
    <tableColumn id="10" xr3:uid="{11437AFA-5016-42E9-AB50-6079CD8C25D4}" name="Rand" totalsRowFunction="custom">
      <totalsRowFormula>COUNTIF(Table1[Rand],-1)</totalsRow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7" Type="http://schemas.openxmlformats.org/officeDocument/2006/relationships/table" Target="../tables/table15.xml"/><Relationship Id="rId2" Type="http://schemas.openxmlformats.org/officeDocument/2006/relationships/table" Target="../tables/table10.xml"/><Relationship Id="rId1" Type="http://schemas.openxmlformats.org/officeDocument/2006/relationships/table" Target="../tables/table9.xml"/><Relationship Id="rId6" Type="http://schemas.openxmlformats.org/officeDocument/2006/relationships/table" Target="../tables/table14.xml"/><Relationship Id="rId5" Type="http://schemas.openxmlformats.org/officeDocument/2006/relationships/table" Target="../tables/table13.xml"/><Relationship Id="rId4" Type="http://schemas.openxmlformats.org/officeDocument/2006/relationships/table" Target="../tables/table1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211C4-8D01-4285-A71C-E80471D7E445}">
  <dimension ref="B2:I23"/>
  <sheetViews>
    <sheetView showGridLines="0" workbookViewId="0">
      <selection activeCell="D13" sqref="D13"/>
    </sheetView>
  </sheetViews>
  <sheetFormatPr defaultRowHeight="14.25" x14ac:dyDescent="0.45"/>
  <cols>
    <col min="2" max="3" width="24.86328125" customWidth="1"/>
    <col min="8" max="8" width="27.73046875" customWidth="1"/>
    <col min="9" max="9" width="19.59765625" customWidth="1"/>
  </cols>
  <sheetData>
    <row r="2" spans="2:9" x14ac:dyDescent="0.45">
      <c r="B2" s="33" t="s">
        <v>55</v>
      </c>
      <c r="C2" s="33" t="s">
        <v>59</v>
      </c>
    </row>
    <row r="3" spans="2:9" x14ac:dyDescent="0.45">
      <c r="B3" s="51" t="s">
        <v>56</v>
      </c>
      <c r="C3" s="52" t="s">
        <v>62</v>
      </c>
    </row>
    <row r="4" spans="2:9" x14ac:dyDescent="0.45">
      <c r="B4" s="51" t="s">
        <v>57</v>
      </c>
      <c r="C4" s="52" t="s">
        <v>60</v>
      </c>
    </row>
    <row r="5" spans="2:9" x14ac:dyDescent="0.45">
      <c r="B5" s="51" t="s">
        <v>58</v>
      </c>
      <c r="C5" s="52" t="s">
        <v>61</v>
      </c>
    </row>
    <row r="13" spans="2:9" x14ac:dyDescent="0.45">
      <c r="H13" s="42" t="s">
        <v>54</v>
      </c>
      <c r="I13" s="42" t="s">
        <v>53</v>
      </c>
    </row>
    <row r="14" spans="2:9" x14ac:dyDescent="0.45">
      <c r="H14" s="3">
        <v>10000</v>
      </c>
      <c r="I14" s="10">
        <f t="shared" ref="I14:I23" si="0">1*(1+LN(SQRT(MAX(1,H14/100000))))</f>
        <v>1</v>
      </c>
    </row>
    <row r="15" spans="2:9" x14ac:dyDescent="0.45">
      <c r="H15" s="3">
        <v>50000</v>
      </c>
      <c r="I15" s="10">
        <f t="shared" si="0"/>
        <v>1</v>
      </c>
    </row>
    <row r="16" spans="2:9" x14ac:dyDescent="0.45">
      <c r="H16" s="3">
        <v>100000</v>
      </c>
      <c r="I16" s="10">
        <f t="shared" si="0"/>
        <v>1</v>
      </c>
    </row>
    <row r="17" spans="8:9" x14ac:dyDescent="0.45">
      <c r="H17" s="3">
        <v>200000</v>
      </c>
      <c r="I17" s="10">
        <f t="shared" si="0"/>
        <v>1.3465735902799727</v>
      </c>
    </row>
    <row r="18" spans="8:9" x14ac:dyDescent="0.45">
      <c r="H18" s="3">
        <v>500000</v>
      </c>
      <c r="I18" s="10">
        <f t="shared" si="0"/>
        <v>1.8047189562170503</v>
      </c>
    </row>
    <row r="19" spans="8:9" x14ac:dyDescent="0.45">
      <c r="H19" s="3">
        <v>1000000</v>
      </c>
      <c r="I19" s="10">
        <f t="shared" si="0"/>
        <v>2.151292546497023</v>
      </c>
    </row>
    <row r="20" spans="8:9" x14ac:dyDescent="0.45">
      <c r="H20" s="3">
        <v>5000000</v>
      </c>
      <c r="I20" s="10">
        <f t="shared" si="0"/>
        <v>2.9560115027140732</v>
      </c>
    </row>
    <row r="21" spans="8:9" x14ac:dyDescent="0.45">
      <c r="H21" s="3">
        <v>10000000</v>
      </c>
      <c r="I21" s="10">
        <f t="shared" si="0"/>
        <v>3.3025850929940459</v>
      </c>
    </row>
    <row r="22" spans="8:9" x14ac:dyDescent="0.45">
      <c r="H22" s="3">
        <v>50000000</v>
      </c>
      <c r="I22" s="10">
        <f t="shared" si="0"/>
        <v>4.1073040492110957</v>
      </c>
    </row>
    <row r="23" spans="8:9" x14ac:dyDescent="0.45">
      <c r="H23" s="3">
        <v>100000000</v>
      </c>
      <c r="I23" s="10">
        <f t="shared" si="0"/>
        <v>4.4538776394910684</v>
      </c>
    </row>
  </sheetData>
  <pageMargins left="0.7" right="0.7" top="0.75" bottom="0.75" header="0.3" footer="0.3"/>
  <ignoredErrors>
    <ignoredError sqref="C3:C5" calculatedColumn="1"/>
  </ignoredErrors>
  <drawing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03BAF-4749-405A-8133-B79F25571682}">
  <dimension ref="B1:U35"/>
  <sheetViews>
    <sheetView showGridLines="0" tabSelected="1" workbookViewId="0">
      <selection activeCell="P32" sqref="P32"/>
    </sheetView>
  </sheetViews>
  <sheetFormatPr defaultRowHeight="14.25" x14ac:dyDescent="0.45"/>
  <cols>
    <col min="11" max="12" width="11.86328125" customWidth="1"/>
    <col min="21" max="21" width="16.73046875" customWidth="1"/>
  </cols>
  <sheetData>
    <row r="1" spans="2:21" x14ac:dyDescent="0.45">
      <c r="P1" s="42" t="s">
        <v>44</v>
      </c>
      <c r="R1" s="43" t="s">
        <v>47</v>
      </c>
    </row>
    <row r="2" spans="2:21" ht="17.25" x14ac:dyDescent="0.55000000000000004">
      <c r="O2" s="15" t="s">
        <v>46</v>
      </c>
      <c r="P2" s="41">
        <v>22</v>
      </c>
      <c r="R2" s="47">
        <f>(SUMPRODUCT($P$5:$P$34,$Q$5:$Q$34)/SUM($P$5:$P$34))/ABS(_xlfn.XLOOKUP($P$2,$O$5:$O$34,$R$5:$R$34))</f>
        <v>0.35521609860934383</v>
      </c>
    </row>
    <row r="3" spans="2:21" x14ac:dyDescent="0.45">
      <c r="B3" s="11" t="s">
        <v>48</v>
      </c>
      <c r="L3" s="29"/>
      <c r="T3" s="43" t="s">
        <v>6</v>
      </c>
    </row>
    <row r="4" spans="2:21" x14ac:dyDescent="0.45">
      <c r="B4" t="s">
        <v>7</v>
      </c>
      <c r="C4" t="s">
        <v>6</v>
      </c>
      <c r="D4" t="s">
        <v>0</v>
      </c>
      <c r="E4" t="s">
        <v>2</v>
      </c>
      <c r="F4" t="s">
        <v>4</v>
      </c>
      <c r="G4" t="s">
        <v>1</v>
      </c>
      <c r="H4" t="s">
        <v>3</v>
      </c>
      <c r="I4" t="s">
        <v>35</v>
      </c>
      <c r="J4" t="s">
        <v>34</v>
      </c>
      <c r="K4" t="s">
        <v>52</v>
      </c>
      <c r="L4" t="s">
        <v>51</v>
      </c>
      <c r="M4" s="33" t="s">
        <v>40</v>
      </c>
      <c r="O4" s="43" t="s">
        <v>6</v>
      </c>
      <c r="P4" s="43" t="s">
        <v>43</v>
      </c>
      <c r="Q4" s="43" t="s">
        <v>1</v>
      </c>
      <c r="R4" s="43" t="s">
        <v>45</v>
      </c>
      <c r="U4" s="48">
        <f>R2</f>
        <v>0.35521609860934383</v>
      </c>
    </row>
    <row r="5" spans="2:21" x14ac:dyDescent="0.45">
      <c r="B5" s="6">
        <f ca="1">TODAY()</f>
        <v>45598</v>
      </c>
      <c r="C5">
        <v>1</v>
      </c>
      <c r="D5" s="3">
        <v>100000</v>
      </c>
      <c r="E5" s="8">
        <v>-1097</v>
      </c>
      <c r="F5" s="3">
        <v>45</v>
      </c>
      <c r="G5" s="7">
        <f>Table131016[[#This Row],[$Return]]/AVERAGE(Table131016[[#This Row],[Starting]],Table131016[[#This Row],[Starting]]+Table131016[[#This Row],[Inflows]])</f>
        <v>-1.0967532305231323E-2</v>
      </c>
      <c r="H5" s="4">
        <f t="shared" ref="H5:H34" si="0">D5+E5+F5</f>
        <v>98948</v>
      </c>
      <c r="I5" s="30">
        <f>IF(Table131016[[#This Row],[Day]]=1,100*(1+Table131016[[#This Row],[Return]]),I4*(1+Table131016[[#This Row],[Return]]))</f>
        <v>98.903246769476866</v>
      </c>
      <c r="J5" s="5">
        <f>EXP(-((30-Table131016[[#This Row],[Day]])/30))</f>
        <v>0.38034875658925854</v>
      </c>
      <c r="K5" s="7"/>
      <c r="L5" s="7"/>
      <c r="M5" s="31"/>
      <c r="O5" s="43">
        <v>1</v>
      </c>
      <c r="P5" s="10">
        <f t="shared" ref="P5:P34" si="1">IF($O5&gt;$P$2,"",EXP(-(($P$2-$O5)/$P$2)))</f>
        <v>0.38498709892348359</v>
      </c>
      <c r="Q5" s="39">
        <f>IF($O5&gt;$P$2,"",Table131016[[#This Row],[Return]])</f>
        <v>-1.0967532305231323E-2</v>
      </c>
      <c r="R5" s="44">
        <f t="shared" ref="R5:R34" si="2">IF(P5="","",L5)</f>
        <v>0</v>
      </c>
      <c r="T5" s="33">
        <v>1</v>
      </c>
      <c r="U5" s="49" t="e">
        <f t="dataTable" ref="U5:U34" dt2D="0" dtr="0" r1="P2"/>
        <v>#DIV/0!</v>
      </c>
    </row>
    <row r="6" spans="2:21" x14ac:dyDescent="0.45">
      <c r="B6" s="6">
        <f ca="1">B5+1</f>
        <v>45599</v>
      </c>
      <c r="C6">
        <f>C5+1</f>
        <v>2</v>
      </c>
      <c r="D6" s="3">
        <f>H5</f>
        <v>98948</v>
      </c>
      <c r="E6" s="8">
        <v>1077</v>
      </c>
      <c r="F6" s="3">
        <v>675</v>
      </c>
      <c r="G6" s="7">
        <f>Table131016[[#This Row],[$Return]]/AVERAGE(Table131016[[#This Row],[Starting]],Table131016[[#This Row],[Starting]]+Table131016[[#This Row],[Inflows]])</f>
        <v>1.0847505426270705E-2</v>
      </c>
      <c r="H6" s="4">
        <f t="shared" si="0"/>
        <v>100700</v>
      </c>
      <c r="I6" s="30">
        <f>IF(Table131016[[#This Row],[Day]]=1,100*(1+Table131016[[#This Row],[Return]]),I5*(1+Table131016[[#This Row],[Return]]))</f>
        <v>99.976100275484555</v>
      </c>
      <c r="J6" s="5">
        <f>EXP(-((30-Table131016[[#This Row],[Day]])/30))</f>
        <v>0.39324072086859824</v>
      </c>
      <c r="K6" s="7"/>
      <c r="L6" s="7"/>
      <c r="M6" s="31"/>
      <c r="O6" s="43">
        <f>O5+1</f>
        <v>2</v>
      </c>
      <c r="P6" s="10">
        <f t="shared" si="1"/>
        <v>0.40289032152913301</v>
      </c>
      <c r="Q6" s="39">
        <f>IF($O6&gt;$P$2,"",Table131016[[#This Row],[Return]])</f>
        <v>1.0847505426270705E-2</v>
      </c>
      <c r="R6" s="44">
        <f t="shared" si="2"/>
        <v>0</v>
      </c>
      <c r="T6" s="33">
        <f>T5+1</f>
        <v>2</v>
      </c>
      <c r="U6" s="49" t="e">
        <v>#DIV/0!</v>
      </c>
    </row>
    <row r="7" spans="2:21" x14ac:dyDescent="0.45">
      <c r="B7" s="6">
        <f t="shared" ref="B7:C34" ca="1" si="3">B6+1</f>
        <v>45600</v>
      </c>
      <c r="C7">
        <f t="shared" si="3"/>
        <v>3</v>
      </c>
      <c r="D7" s="3">
        <f t="shared" ref="D7:D34" si="4">H6</f>
        <v>100700</v>
      </c>
      <c r="E7" s="8">
        <v>1020</v>
      </c>
      <c r="F7" s="3">
        <v>775</v>
      </c>
      <c r="G7" s="7">
        <f>Table131016[[#This Row],[$Return]]/AVERAGE(Table131016[[#This Row],[Starting]],Table131016[[#This Row],[Starting]]+Table131016[[#This Row],[Inflows]])</f>
        <v>1.0090268331890688E-2</v>
      </c>
      <c r="H7" s="4">
        <f t="shared" si="0"/>
        <v>102495</v>
      </c>
      <c r="I7" s="30">
        <f>IF(Table131016[[#This Row],[Day]]=1,100*(1+Table131016[[#This Row],[Return]]),I6*(1+Table131016[[#This Row],[Return]]))</f>
        <v>100.98488595404019</v>
      </c>
      <c r="J7" s="5">
        <f>EXP(-((30-Table131016[[#This Row],[Day]])/30))</f>
        <v>0.40656965974059911</v>
      </c>
      <c r="K7" s="7"/>
      <c r="L7" s="7"/>
      <c r="M7" s="31"/>
      <c r="O7" s="43">
        <f>O6+1</f>
        <v>3</v>
      </c>
      <c r="P7" s="10">
        <f t="shared" si="1"/>
        <v>0.42162610548700352</v>
      </c>
      <c r="Q7" s="39">
        <f>IF($O7&gt;$P$2,"",Table131016[[#This Row],[Return]])</f>
        <v>1.0090268331890688E-2</v>
      </c>
      <c r="R7" s="44">
        <f t="shared" si="2"/>
        <v>0</v>
      </c>
      <c r="T7" s="33">
        <f t="shared" ref="T7:T34" si="5">T6+1</f>
        <v>3</v>
      </c>
      <c r="U7" s="49" t="e">
        <v>#DIV/0!</v>
      </c>
    </row>
    <row r="8" spans="2:21" x14ac:dyDescent="0.45">
      <c r="B8" s="6">
        <f t="shared" ca="1" si="3"/>
        <v>45601</v>
      </c>
      <c r="C8">
        <f t="shared" si="3"/>
        <v>4</v>
      </c>
      <c r="D8" s="3">
        <f t="shared" si="4"/>
        <v>102495</v>
      </c>
      <c r="E8" s="8">
        <v>2549</v>
      </c>
      <c r="F8" s="3">
        <v>193</v>
      </c>
      <c r="G8" s="7">
        <f>Table131016[[#This Row],[$Return]]/AVERAGE(Table131016[[#This Row],[Starting]],Table131016[[#This Row],[Starting]]+Table131016[[#This Row],[Inflows]])</f>
        <v>2.4846112982069665E-2</v>
      </c>
      <c r="H8" s="4">
        <f t="shared" si="0"/>
        <v>105237</v>
      </c>
      <c r="I8" s="30">
        <f>IF(Table131016[[#This Row],[Day]]=1,100*(1+Table131016[[#This Row],[Return]]),I7*(1+Table131016[[#This Row],[Return]]))</f>
        <v>103.49396783993569</v>
      </c>
      <c r="J8" s="5">
        <f>EXP(-((30-Table131016[[#This Row],[Day]])/30))</f>
        <v>0.4203503845086819</v>
      </c>
      <c r="K8" s="7"/>
      <c r="L8" s="7"/>
      <c r="M8" s="31"/>
      <c r="O8" s="43">
        <f>O7+1</f>
        <v>4</v>
      </c>
      <c r="P8" s="10">
        <f t="shared" si="1"/>
        <v>0.44123316775998395</v>
      </c>
      <c r="Q8" s="39">
        <f>IF($O8&gt;$P$2,"",Table131016[[#This Row],[Return]])</f>
        <v>2.4846112982069665E-2</v>
      </c>
      <c r="R8" s="44">
        <f t="shared" si="2"/>
        <v>0</v>
      </c>
      <c r="T8" s="33">
        <f t="shared" si="5"/>
        <v>4</v>
      </c>
      <c r="U8" s="49" t="e">
        <v>#DIV/0!</v>
      </c>
    </row>
    <row r="9" spans="2:21" x14ac:dyDescent="0.45">
      <c r="B9" s="6">
        <f t="shared" ca="1" si="3"/>
        <v>45602</v>
      </c>
      <c r="C9">
        <f t="shared" si="3"/>
        <v>5</v>
      </c>
      <c r="D9" s="3">
        <f t="shared" si="4"/>
        <v>105237</v>
      </c>
      <c r="E9" s="8">
        <v>3907</v>
      </c>
      <c r="F9" s="3">
        <v>532</v>
      </c>
      <c r="G9" s="7">
        <f>Table131016[[#This Row],[$Return]]/AVERAGE(Table131016[[#This Row],[Starting]],Table131016[[#This Row],[Starting]]+Table131016[[#This Row],[Inflows]])</f>
        <v>3.7032122309318218E-2</v>
      </c>
      <c r="H9" s="4">
        <f t="shared" si="0"/>
        <v>109676</v>
      </c>
      <c r="I9" s="30">
        <f>IF(Table131016[[#This Row],[Day]]=1,100*(1+Table131016[[#This Row],[Return]]),I8*(1+Table131016[[#This Row],[Return]]))</f>
        <v>107.32656911526084</v>
      </c>
      <c r="J9" s="5">
        <f>EXP(-((30-Table131016[[#This Row],[Day]])/30))</f>
        <v>0.4345982085070782</v>
      </c>
      <c r="K9" s="7"/>
      <c r="L9" s="7"/>
      <c r="M9" s="31"/>
      <c r="O9" s="43">
        <f t="shared" ref="O9:O34" si="6">O8+1</f>
        <v>5</v>
      </c>
      <c r="P9" s="10">
        <f t="shared" si="1"/>
        <v>0.46175202578273777</v>
      </c>
      <c r="Q9" s="39">
        <f>IF($O9&gt;$P$2,"",Table131016[[#This Row],[Return]])</f>
        <v>3.7032122309318218E-2</v>
      </c>
      <c r="R9" s="44">
        <f t="shared" si="2"/>
        <v>0</v>
      </c>
      <c r="T9" s="33">
        <f t="shared" si="5"/>
        <v>5</v>
      </c>
      <c r="U9" s="49" t="e">
        <v>#DIV/0!</v>
      </c>
    </row>
    <row r="10" spans="2:21" x14ac:dyDescent="0.45">
      <c r="B10" s="6">
        <f t="shared" ca="1" si="3"/>
        <v>45603</v>
      </c>
      <c r="C10">
        <f t="shared" si="3"/>
        <v>6</v>
      </c>
      <c r="D10" s="3">
        <f t="shared" si="4"/>
        <v>109676</v>
      </c>
      <c r="E10" s="8">
        <v>293</v>
      </c>
      <c r="F10" s="3">
        <v>533</v>
      </c>
      <c r="G10" s="7">
        <f>Table131016[[#This Row],[$Return]]/AVERAGE(Table131016[[#This Row],[Starting]],Table131016[[#This Row],[Starting]]+Table131016[[#This Row],[Inflows]])</f>
        <v>2.6650294472110423E-3</v>
      </c>
      <c r="H10" s="4">
        <f t="shared" si="0"/>
        <v>110502</v>
      </c>
      <c r="I10" s="30">
        <f>IF(Table131016[[#This Row],[Day]]=1,100*(1+Table131016[[#This Row],[Return]]),I9*(1+Table131016[[#This Row],[Return]]))</f>
        <v>107.61259758242115</v>
      </c>
      <c r="J10" s="5">
        <f>EXP(-((30-Table131016[[#This Row],[Day]])/30))</f>
        <v>0.44932896411722156</v>
      </c>
      <c r="K10" s="7"/>
      <c r="L10" s="7"/>
      <c r="M10" s="31"/>
      <c r="O10" s="43">
        <f t="shared" si="6"/>
        <v>6</v>
      </c>
      <c r="P10" s="10">
        <f t="shared" si="1"/>
        <v>0.48322508118982543</v>
      </c>
      <c r="Q10" s="39">
        <f>IF($O10&gt;$P$2,"",Table131016[[#This Row],[Return]])</f>
        <v>2.6650294472110423E-3</v>
      </c>
      <c r="R10" s="44">
        <f t="shared" si="2"/>
        <v>0</v>
      </c>
      <c r="T10" s="33">
        <f t="shared" si="5"/>
        <v>6</v>
      </c>
      <c r="U10" s="49" t="e">
        <v>#DIV/0!</v>
      </c>
    </row>
    <row r="11" spans="2:21" x14ac:dyDescent="0.45">
      <c r="B11" s="6">
        <f t="shared" ca="1" si="3"/>
        <v>45604</v>
      </c>
      <c r="C11">
        <f t="shared" si="3"/>
        <v>7</v>
      </c>
      <c r="D11" s="3">
        <f t="shared" si="4"/>
        <v>110502</v>
      </c>
      <c r="E11" s="8">
        <v>-1544</v>
      </c>
      <c r="F11" s="3">
        <v>687</v>
      </c>
      <c r="G11" s="7">
        <f>Table131016[[#This Row],[$Return]]/AVERAGE(Table131016[[#This Row],[Starting]],Table131016[[#This Row],[Starting]]+Table131016[[#This Row],[Inflows]])</f>
        <v>-1.3929297986837536E-2</v>
      </c>
      <c r="H11" s="4">
        <f t="shared" si="0"/>
        <v>109645</v>
      </c>
      <c r="I11" s="30">
        <f>IF(Table131016[[#This Row],[Day]]=1,100*(1+Table131016[[#This Row],[Return]]),I10*(1+Table131016[[#This Row],[Return]]))</f>
        <v>106.11362964355797</v>
      </c>
      <c r="J11" s="5">
        <f>EXP(-((30-Table131016[[#This Row],[Day]])/30))</f>
        <v>0.46455902036091146</v>
      </c>
      <c r="K11" s="7"/>
      <c r="L11" s="7"/>
      <c r="M11" s="31"/>
      <c r="O11" s="43">
        <f t="shared" si="6"/>
        <v>7</v>
      </c>
      <c r="P11" s="10">
        <f t="shared" si="1"/>
        <v>0.50569670743747253</v>
      </c>
      <c r="Q11" s="39">
        <f>IF($O11&gt;$P$2,"",Table131016[[#This Row],[Return]])</f>
        <v>-1.3929297986837536E-2</v>
      </c>
      <c r="R11" s="44">
        <f t="shared" si="2"/>
        <v>0</v>
      </c>
      <c r="T11" s="33">
        <f t="shared" si="5"/>
        <v>7</v>
      </c>
      <c r="U11" s="49" t="e">
        <v>#DIV/0!</v>
      </c>
    </row>
    <row r="12" spans="2:21" x14ac:dyDescent="0.45">
      <c r="B12" s="6">
        <f t="shared" ca="1" si="3"/>
        <v>45605</v>
      </c>
      <c r="C12">
        <f t="shared" si="3"/>
        <v>8</v>
      </c>
      <c r="D12" s="3">
        <f t="shared" si="4"/>
        <v>109645</v>
      </c>
      <c r="E12" s="8">
        <v>32</v>
      </c>
      <c r="F12" s="3">
        <v>553</v>
      </c>
      <c r="G12" s="7">
        <f>Table131016[[#This Row],[$Return]]/AVERAGE(Table131016[[#This Row],[Starting]],Table131016[[#This Row],[Starting]]+Table131016[[#This Row],[Inflows]])</f>
        <v>2.9111684247394733E-4</v>
      </c>
      <c r="H12" s="4">
        <f t="shared" si="0"/>
        <v>110230</v>
      </c>
      <c r="I12" s="30">
        <f>IF(Table131016[[#This Row],[Day]]=1,100*(1+Table131016[[#This Row],[Return]]),I11*(1+Table131016[[#This Row],[Return]]))</f>
        <v>106.14452110836325</v>
      </c>
      <c r="J12" s="5">
        <f>EXP(-((30-Table131016[[#This Row],[Day]])/30))</f>
        <v>0.48030530108979941</v>
      </c>
      <c r="K12" s="7"/>
      <c r="L12" s="7"/>
      <c r="M12" s="31"/>
      <c r="O12" s="43">
        <f t="shared" si="6"/>
        <v>8</v>
      </c>
      <c r="P12" s="10">
        <f t="shared" si="1"/>
        <v>0.52921334150005028</v>
      </c>
      <c r="Q12" s="39">
        <f>IF($O12&gt;$P$2,"",Table131016[[#This Row],[Return]])</f>
        <v>2.9111684247394733E-4</v>
      </c>
      <c r="R12" s="44">
        <f t="shared" si="2"/>
        <v>0</v>
      </c>
      <c r="T12" s="33">
        <f t="shared" si="5"/>
        <v>8</v>
      </c>
      <c r="U12" s="49" t="e">
        <v>#DIV/0!</v>
      </c>
    </row>
    <row r="13" spans="2:21" x14ac:dyDescent="0.45">
      <c r="B13" s="6">
        <f t="shared" ca="1" si="3"/>
        <v>45606</v>
      </c>
      <c r="C13">
        <f t="shared" si="3"/>
        <v>9</v>
      </c>
      <c r="D13" s="3">
        <f t="shared" si="4"/>
        <v>110230</v>
      </c>
      <c r="E13" s="8">
        <v>-3516</v>
      </c>
      <c r="F13" s="3">
        <v>168</v>
      </c>
      <c r="G13" s="7">
        <f>Table131016[[#This Row],[$Return]]/AVERAGE(Table131016[[#This Row],[Starting]],Table131016[[#This Row],[Starting]]+Table131016[[#This Row],[Inflows]])</f>
        <v>-3.1872654422829376E-2</v>
      </c>
      <c r="H13" s="4">
        <f t="shared" si="0"/>
        <v>106882</v>
      </c>
      <c r="I13" s="30">
        <f>IF(Table131016[[#This Row],[Day]]=1,100*(1+Table131016[[#This Row],[Return]]),I12*(1+Table131016[[#This Row],[Return]]))</f>
        <v>102.76141346819966</v>
      </c>
      <c r="J13" s="5">
        <f>EXP(-((30-Table131016[[#This Row],[Day]])/30))</f>
        <v>0.49658530379140953</v>
      </c>
      <c r="K13" s="7"/>
      <c r="L13" s="7"/>
      <c r="M13" s="31"/>
      <c r="O13" s="43">
        <f t="shared" si="6"/>
        <v>9</v>
      </c>
      <c r="P13" s="10">
        <f t="shared" si="1"/>
        <v>0.55382357983075869</v>
      </c>
      <c r="Q13" s="39">
        <f>IF($O13&gt;$P$2,"",Table131016[[#This Row],[Return]])</f>
        <v>-3.1872654422829376E-2</v>
      </c>
      <c r="R13" s="44">
        <f t="shared" si="2"/>
        <v>0</v>
      </c>
      <c r="T13" s="33">
        <f t="shared" si="5"/>
        <v>9</v>
      </c>
      <c r="U13" s="49" t="e">
        <v>#DIV/0!</v>
      </c>
    </row>
    <row r="14" spans="2:21" x14ac:dyDescent="0.45">
      <c r="B14" s="6">
        <f t="shared" ca="1" si="3"/>
        <v>45607</v>
      </c>
      <c r="C14">
        <f t="shared" si="3"/>
        <v>10</v>
      </c>
      <c r="D14" s="3">
        <f t="shared" si="4"/>
        <v>106882</v>
      </c>
      <c r="E14" s="8">
        <v>-3792</v>
      </c>
      <c r="F14" s="3">
        <v>492</v>
      </c>
      <c r="G14" s="7">
        <f>Table131016[[#This Row],[$Return]]/AVERAGE(Table131016[[#This Row],[Starting]],Table131016[[#This Row],[Starting]]+Table131016[[#This Row],[Inflows]])</f>
        <v>-3.5396908371294153E-2</v>
      </c>
      <c r="H14" s="4">
        <f t="shared" si="0"/>
        <v>103582</v>
      </c>
      <c r="I14" s="30">
        <f>IF(Table131016[[#This Row],[Day]]=1,100*(1+Table131016[[#This Row],[Return]]),I13*(1+Table131016[[#This Row],[Return]]))</f>
        <v>99.123977131561119</v>
      </c>
      <c r="J14" s="5">
        <f>EXP(-((30-Table131016[[#This Row],[Day]])/30))</f>
        <v>0.51341711903259202</v>
      </c>
      <c r="K14" s="7"/>
      <c r="L14" s="7"/>
      <c r="M14" s="31"/>
      <c r="O14" s="43">
        <f t="shared" si="6"/>
        <v>10</v>
      </c>
      <c r="P14" s="10">
        <f t="shared" si="1"/>
        <v>0.5795782787848095</v>
      </c>
      <c r="Q14" s="39">
        <f>IF($O14&gt;$P$2,"",Table131016[[#This Row],[Return]])</f>
        <v>-3.5396908371294153E-2</v>
      </c>
      <c r="R14" s="44">
        <f t="shared" si="2"/>
        <v>0</v>
      </c>
      <c r="T14" s="33">
        <f t="shared" si="5"/>
        <v>10</v>
      </c>
      <c r="U14" s="49" t="e">
        <v>#DIV/0!</v>
      </c>
    </row>
    <row r="15" spans="2:21" x14ac:dyDescent="0.45">
      <c r="B15" s="6">
        <f t="shared" ca="1" si="3"/>
        <v>45608</v>
      </c>
      <c r="C15">
        <f t="shared" si="3"/>
        <v>11</v>
      </c>
      <c r="D15" s="3">
        <f t="shared" si="4"/>
        <v>103582</v>
      </c>
      <c r="E15" s="8">
        <v>1068</v>
      </c>
      <c r="F15" s="3">
        <v>815</v>
      </c>
      <c r="G15" s="7">
        <f>Table131016[[#This Row],[$Return]]/AVERAGE(Table131016[[#This Row],[Starting]],Table131016[[#This Row],[Starting]]+Table131016[[#This Row],[Inflows]])</f>
        <v>1.0270267671255271E-2</v>
      </c>
      <c r="H15" s="4">
        <f t="shared" si="0"/>
        <v>105465</v>
      </c>
      <c r="I15" s="30">
        <f>IF(Table131016[[#This Row],[Day]]=1,100*(1+Table131016[[#This Row],[Return]]),I14*(1+Table131016[[#This Row],[Return]]))</f>
        <v>100.14200690934163</v>
      </c>
      <c r="J15" s="5">
        <f>EXP(-((30-Table131016[[#This Row],[Day]])/30))</f>
        <v>0.53081945056201396</v>
      </c>
      <c r="K15" s="7"/>
      <c r="L15" s="7"/>
      <c r="M15" s="31"/>
      <c r="O15" s="43">
        <f t="shared" si="6"/>
        <v>11</v>
      </c>
      <c r="P15" s="10">
        <f t="shared" si="1"/>
        <v>0.60653065971263342</v>
      </c>
      <c r="Q15" s="39">
        <f>IF($O15&gt;$P$2,"",Table131016[[#This Row],[Return]])</f>
        <v>1.0270267671255271E-2</v>
      </c>
      <c r="R15" s="44">
        <f t="shared" si="2"/>
        <v>0</v>
      </c>
      <c r="T15" s="33">
        <f t="shared" si="5"/>
        <v>11</v>
      </c>
      <c r="U15" s="49" t="e">
        <v>#DIV/0!</v>
      </c>
    </row>
    <row r="16" spans="2:21" x14ac:dyDescent="0.45">
      <c r="B16" s="6">
        <f t="shared" ca="1" si="3"/>
        <v>45609</v>
      </c>
      <c r="C16">
        <f t="shared" si="3"/>
        <v>12</v>
      </c>
      <c r="D16" s="3">
        <f t="shared" si="4"/>
        <v>105465</v>
      </c>
      <c r="E16" s="8">
        <v>1090</v>
      </c>
      <c r="F16" s="3">
        <v>121</v>
      </c>
      <c r="G16" s="7">
        <f>Table131016[[#This Row],[$Return]]/AVERAGE(Table131016[[#This Row],[Starting]],Table131016[[#This Row],[Starting]]+Table131016[[#This Row],[Inflows]])</f>
        <v>1.032925690946738E-2</v>
      </c>
      <c r="H16" s="4">
        <f t="shared" si="0"/>
        <v>106676</v>
      </c>
      <c r="I16" s="30">
        <f>IF(Table131016[[#This Row],[Day]]=1,100*(1+Table131016[[#This Row],[Return]]),I15*(1+Table131016[[#This Row],[Return]]))</f>
        <v>101.17639942613786</v>
      </c>
      <c r="J16" s="5">
        <f>EXP(-((30-Table131016[[#This Row],[Day]])/30))</f>
        <v>0.54881163609402639</v>
      </c>
      <c r="K16" s="7"/>
      <c r="L16" s="7"/>
      <c r="M16" s="31"/>
      <c r="O16" s="43">
        <f t="shared" si="6"/>
        <v>12</v>
      </c>
      <c r="P16" s="10">
        <f t="shared" si="1"/>
        <v>0.63473641894028188</v>
      </c>
      <c r="Q16" s="39">
        <f>IF($O16&gt;$P$2,"",Table131016[[#This Row],[Return]])</f>
        <v>1.032925690946738E-2</v>
      </c>
      <c r="R16" s="44">
        <f t="shared" si="2"/>
        <v>0</v>
      </c>
      <c r="T16" s="33">
        <f t="shared" si="5"/>
        <v>12</v>
      </c>
      <c r="U16" s="49" t="e">
        <v>#DIV/0!</v>
      </c>
    </row>
    <row r="17" spans="2:21" x14ac:dyDescent="0.45">
      <c r="B17" s="6">
        <f t="shared" ca="1" si="3"/>
        <v>45610</v>
      </c>
      <c r="C17">
        <f t="shared" si="3"/>
        <v>13</v>
      </c>
      <c r="D17" s="3">
        <f t="shared" si="4"/>
        <v>106676</v>
      </c>
      <c r="E17" s="8">
        <v>-383</v>
      </c>
      <c r="F17" s="3">
        <v>801</v>
      </c>
      <c r="G17" s="7">
        <f>Table131016[[#This Row],[$Return]]/AVERAGE(Table131016[[#This Row],[Starting]],Table131016[[#This Row],[Starting]]+Table131016[[#This Row],[Inflows]])</f>
        <v>-3.5768819488870107E-3</v>
      </c>
      <c r="H17" s="4">
        <f t="shared" si="0"/>
        <v>107094</v>
      </c>
      <c r="I17" s="30">
        <f>IF(Table131016[[#This Row],[Day]]=1,100*(1+Table131016[[#This Row],[Return]]),I16*(1+Table131016[[#This Row],[Return]]))</f>
        <v>100.81450338937712</v>
      </c>
      <c r="J17" s="5">
        <f>EXP(-((30-Table131016[[#This Row],[Day]])/30))</f>
        <v>0.56741366879700383</v>
      </c>
      <c r="K17" s="7"/>
      <c r="L17" s="7"/>
      <c r="M17" s="31"/>
      <c r="O17" s="43">
        <f t="shared" si="6"/>
        <v>13</v>
      </c>
      <c r="P17" s="10">
        <f t="shared" si="1"/>
        <v>0.66425384286429534</v>
      </c>
      <c r="Q17" s="39">
        <f>IF($O17&gt;$P$2,"",Table131016[[#This Row],[Return]])</f>
        <v>-3.5768819488870107E-3</v>
      </c>
      <c r="R17" s="44">
        <f t="shared" si="2"/>
        <v>0</v>
      </c>
      <c r="T17" s="33">
        <f t="shared" si="5"/>
        <v>13</v>
      </c>
      <c r="U17" s="49" t="e">
        <v>#DIV/0!</v>
      </c>
    </row>
    <row r="18" spans="2:21" x14ac:dyDescent="0.45">
      <c r="B18" s="6">
        <f t="shared" ca="1" si="3"/>
        <v>45611</v>
      </c>
      <c r="C18">
        <f t="shared" si="3"/>
        <v>14</v>
      </c>
      <c r="D18" s="3">
        <f t="shared" si="4"/>
        <v>107094</v>
      </c>
      <c r="E18" s="8">
        <v>1833</v>
      </c>
      <c r="F18" s="3">
        <v>941</v>
      </c>
      <c r="G18" s="7">
        <f>Table131016[[#This Row],[$Return]]/AVERAGE(Table131016[[#This Row],[Starting]],Table131016[[#This Row],[Starting]]+Table131016[[#This Row],[Inflows]])</f>
        <v>1.7040938227761017E-2</v>
      </c>
      <c r="H18" s="4">
        <f t="shared" si="0"/>
        <v>109868</v>
      </c>
      <c r="I18" s="30">
        <f>IF(Table131016[[#This Row],[Day]]=1,100*(1+Table131016[[#This Row],[Return]]),I17*(1+Table131016[[#This Row],[Return]]))</f>
        <v>102.5324771140979</v>
      </c>
      <c r="J18" s="5">
        <f>EXP(-((30-Table131016[[#This Row],[Day]])/30))</f>
        <v>0.58664621951003182</v>
      </c>
      <c r="K18" s="7"/>
      <c r="L18" s="7"/>
      <c r="M18" s="31"/>
      <c r="O18" s="43">
        <f t="shared" si="6"/>
        <v>14</v>
      </c>
      <c r="P18" s="10">
        <f t="shared" si="1"/>
        <v>0.69514392839887873</v>
      </c>
      <c r="Q18" s="39">
        <f>IF($O18&gt;$P$2,"",Table131016[[#This Row],[Return]])</f>
        <v>1.7040938227761017E-2</v>
      </c>
      <c r="R18" s="44">
        <f t="shared" si="2"/>
        <v>0</v>
      </c>
      <c r="T18" s="33">
        <f t="shared" si="5"/>
        <v>14</v>
      </c>
      <c r="U18" s="49" t="e">
        <v>#DIV/0!</v>
      </c>
    </row>
    <row r="19" spans="2:21" x14ac:dyDescent="0.45">
      <c r="B19" s="6">
        <f t="shared" ca="1" si="3"/>
        <v>45612</v>
      </c>
      <c r="C19">
        <f t="shared" si="3"/>
        <v>15</v>
      </c>
      <c r="D19" s="3">
        <f t="shared" si="4"/>
        <v>109868</v>
      </c>
      <c r="E19" s="8">
        <v>16</v>
      </c>
      <c r="F19" s="3">
        <v>213</v>
      </c>
      <c r="G19" s="7">
        <f>Table131016[[#This Row],[$Return]]/AVERAGE(Table131016[[#This Row],[Starting]],Table131016[[#This Row],[Starting]]+Table131016[[#This Row],[Inflows]])</f>
        <v>1.4548827228130158E-4</v>
      </c>
      <c r="H19" s="4">
        <f t="shared" si="0"/>
        <v>110097</v>
      </c>
      <c r="I19" s="30">
        <f>IF(Table131016[[#This Row],[Day]]=1,100*(1+Table131016[[#This Row],[Return]]),I18*(1+Table131016[[#This Row],[Return]]))</f>
        <v>102.54739438704595</v>
      </c>
      <c r="J19" s="5">
        <f>EXP(-((30-Table131016[[#This Row],[Day]])/30))</f>
        <v>0.60653065971263342</v>
      </c>
      <c r="K19" s="7"/>
      <c r="L19" s="7"/>
      <c r="M19" s="31"/>
      <c r="O19" s="43">
        <f t="shared" si="6"/>
        <v>15</v>
      </c>
      <c r="P19" s="10">
        <f t="shared" si="1"/>
        <v>0.72747050902428356</v>
      </c>
      <c r="Q19" s="39">
        <f>IF($O19&gt;$P$2,"",Table131016[[#This Row],[Return]])</f>
        <v>1.4548827228130158E-4</v>
      </c>
      <c r="R19" s="44">
        <f t="shared" si="2"/>
        <v>0</v>
      </c>
      <c r="T19" s="33">
        <f t="shared" si="5"/>
        <v>15</v>
      </c>
      <c r="U19" s="49" t="e">
        <v>#DIV/0!</v>
      </c>
    </row>
    <row r="20" spans="2:21" x14ac:dyDescent="0.45">
      <c r="B20" s="6">
        <f t="shared" ca="1" si="3"/>
        <v>45613</v>
      </c>
      <c r="C20">
        <f t="shared" si="3"/>
        <v>16</v>
      </c>
      <c r="D20" s="3">
        <f t="shared" si="4"/>
        <v>110097</v>
      </c>
      <c r="E20" s="8">
        <v>5051</v>
      </c>
      <c r="F20" s="3">
        <v>689</v>
      </c>
      <c r="G20" s="7">
        <f>Table131016[[#This Row],[$Return]]/AVERAGE(Table131016[[#This Row],[Starting]],Table131016[[#This Row],[Starting]]+Table131016[[#This Row],[Inflows]])</f>
        <v>4.5734619685534876E-2</v>
      </c>
      <c r="H20" s="4">
        <f t="shared" si="0"/>
        <v>115837</v>
      </c>
      <c r="I20" s="30">
        <f>IF(Table131016[[#This Row],[Day]]=1,100*(1+Table131016[[#This Row],[Return]]),I19*(1+Table131016[[#This Row],[Return]]))</f>
        <v>107.23736046908004</v>
      </c>
      <c r="J20" s="5">
        <f>EXP(-((30-Table131016[[#This Row],[Day]])/30))</f>
        <v>0.62708908527305607</v>
      </c>
      <c r="K20" s="7"/>
      <c r="L20" s="7"/>
      <c r="M20" s="31"/>
      <c r="O20" s="43">
        <f t="shared" si="6"/>
        <v>16</v>
      </c>
      <c r="P20" s="10">
        <f t="shared" si="1"/>
        <v>0.76130038669687372</v>
      </c>
      <c r="Q20" s="39">
        <f>IF($O20&gt;$P$2,"",Table131016[[#This Row],[Return]])</f>
        <v>4.5734619685534876E-2</v>
      </c>
      <c r="R20" s="44">
        <f t="shared" si="2"/>
        <v>0</v>
      </c>
      <c r="T20" s="33">
        <f t="shared" si="5"/>
        <v>16</v>
      </c>
      <c r="U20" s="49" t="e">
        <v>#DIV/0!</v>
      </c>
    </row>
    <row r="21" spans="2:21" x14ac:dyDescent="0.45">
      <c r="B21" s="6">
        <f t="shared" ca="1" si="3"/>
        <v>45614</v>
      </c>
      <c r="C21">
        <f t="shared" si="3"/>
        <v>17</v>
      </c>
      <c r="D21" s="3">
        <f t="shared" si="4"/>
        <v>115837</v>
      </c>
      <c r="E21" s="8">
        <v>2998</v>
      </c>
      <c r="F21" s="3">
        <v>918</v>
      </c>
      <c r="G21" s="7">
        <f>Table131016[[#This Row],[$Return]]/AVERAGE(Table131016[[#This Row],[Starting]],Table131016[[#This Row],[Starting]]+Table131016[[#This Row],[Inflows]])</f>
        <v>2.5779046570819288E-2</v>
      </c>
      <c r="H21" s="4">
        <f t="shared" si="0"/>
        <v>119753</v>
      </c>
      <c r="I21" s="30">
        <f>IF(Table131016[[#This Row],[Day]]=1,100*(1+Table131016[[#This Row],[Return]]),I20*(1+Table131016[[#This Row],[Return]]))</f>
        <v>110.00183737874418</v>
      </c>
      <c r="J21" s="5">
        <f>EXP(-((30-Table131016[[#This Row],[Day]])/30))</f>
        <v>0.64834434100150973</v>
      </c>
      <c r="K21" s="7"/>
      <c r="L21" s="7">
        <f>I14/I12-1</f>
        <v>-6.6141369365968816E-2</v>
      </c>
      <c r="M21" s="31"/>
      <c r="O21" s="43">
        <f t="shared" si="6"/>
        <v>17</v>
      </c>
      <c r="P21" s="10">
        <f t="shared" si="1"/>
        <v>0.79670346989346164</v>
      </c>
      <c r="Q21" s="39">
        <f>IF($O21&gt;$P$2,"",Table131016[[#This Row],[Return]])</f>
        <v>2.5779046570819288E-2</v>
      </c>
      <c r="R21" s="44">
        <f t="shared" si="2"/>
        <v>-6.6141369365968816E-2</v>
      </c>
      <c r="T21" s="33">
        <f t="shared" si="5"/>
        <v>17</v>
      </c>
      <c r="U21" s="49">
        <v>0.1097998622582364</v>
      </c>
    </row>
    <row r="22" spans="2:21" x14ac:dyDescent="0.45">
      <c r="B22" s="6">
        <f t="shared" ca="1" si="3"/>
        <v>45615</v>
      </c>
      <c r="C22">
        <f t="shared" si="3"/>
        <v>18</v>
      </c>
      <c r="D22" s="3">
        <f t="shared" si="4"/>
        <v>119753</v>
      </c>
      <c r="E22" s="8">
        <v>-1671</v>
      </c>
      <c r="F22" s="3">
        <v>345</v>
      </c>
      <c r="G22" s="7">
        <f>Table131016[[#This Row],[$Return]]/AVERAGE(Table131016[[#This Row],[Starting]],Table131016[[#This Row],[Starting]]+Table131016[[#This Row],[Inflows]])</f>
        <v>-1.3933650474669691E-2</v>
      </c>
      <c r="H22" s="4">
        <f t="shared" si="0"/>
        <v>118427</v>
      </c>
      <c r="I22" s="30">
        <f>IF(Table131016[[#This Row],[Day]]=1,100*(1+Table131016[[#This Row],[Return]]),I21*(1+Table131016[[#This Row],[Return]]))</f>
        <v>108.46911022513731</v>
      </c>
      <c r="J22" s="5">
        <f>EXP(-((30-Table131016[[#This Row],[Day]])/30))</f>
        <v>0.67032004603563933</v>
      </c>
      <c r="K22" s="7"/>
      <c r="L22" s="7">
        <f>I14/I12-1</f>
        <v>-6.6141369365968816E-2</v>
      </c>
      <c r="M22" s="31"/>
      <c r="O22" s="43">
        <f t="shared" si="6"/>
        <v>18</v>
      </c>
      <c r="P22" s="10">
        <f t="shared" si="1"/>
        <v>0.83375291807518059</v>
      </c>
      <c r="Q22" s="39">
        <f>IF($O22&gt;$P$2,"",Table131016[[#This Row],[Return]])</f>
        <v>-1.3933650474669691E-2</v>
      </c>
      <c r="R22" s="44">
        <f t="shared" si="2"/>
        <v>-6.6141369365968816E-2</v>
      </c>
      <c r="T22" s="33">
        <f t="shared" si="5"/>
        <v>18</v>
      </c>
      <c r="U22" s="49">
        <v>8.1077167221054972E-2</v>
      </c>
    </row>
    <row r="23" spans="2:21" x14ac:dyDescent="0.45">
      <c r="B23" s="6">
        <f t="shared" ca="1" si="3"/>
        <v>45616</v>
      </c>
      <c r="C23">
        <f t="shared" si="3"/>
        <v>19</v>
      </c>
      <c r="D23" s="3">
        <f t="shared" si="4"/>
        <v>118427</v>
      </c>
      <c r="E23" s="8">
        <v>-2300</v>
      </c>
      <c r="F23" s="3">
        <v>98</v>
      </c>
      <c r="G23" s="7">
        <f>Table131016[[#This Row],[$Return]]/AVERAGE(Table131016[[#This Row],[Starting]],Table131016[[#This Row],[Starting]]+Table131016[[#This Row],[Inflows]])</f>
        <v>-1.9413214490698539E-2</v>
      </c>
      <c r="H23" s="4">
        <f t="shared" si="0"/>
        <v>116225</v>
      </c>
      <c r="I23" s="30">
        <f>IF(Table131016[[#This Row],[Day]]=1,100*(1+Table131016[[#This Row],[Return]]),I22*(1+Table131016[[#This Row],[Return]]))</f>
        <v>106.3633761227215</v>
      </c>
      <c r="J23" s="5">
        <f>EXP(-((30-Table131016[[#This Row],[Day]])/30))</f>
        <v>0.69304062008644152</v>
      </c>
      <c r="K23" s="7"/>
      <c r="L23" s="50">
        <f>I14/I12-1</f>
        <v>-6.6141369365968816E-2</v>
      </c>
      <c r="M23" s="31"/>
      <c r="O23" s="43">
        <f t="shared" si="6"/>
        <v>19</v>
      </c>
      <c r="P23" s="10">
        <f t="shared" si="1"/>
        <v>0.87252529286942382</v>
      </c>
      <c r="Q23" s="39">
        <f>IF($O23&gt;$P$2,"",Table131016[[#This Row],[Return]])</f>
        <v>-1.9413214490698539E-2</v>
      </c>
      <c r="R23" s="44">
        <f t="shared" si="2"/>
        <v>-6.6141369365968816E-2</v>
      </c>
      <c r="T23" s="33">
        <f t="shared" si="5"/>
        <v>19</v>
      </c>
      <c r="U23" s="49">
        <v>5.0135434997069989E-2</v>
      </c>
    </row>
    <row r="24" spans="2:21" x14ac:dyDescent="0.45">
      <c r="B24" s="6">
        <f t="shared" ca="1" si="3"/>
        <v>45617</v>
      </c>
      <c r="C24">
        <f t="shared" si="3"/>
        <v>20</v>
      </c>
      <c r="D24" s="3">
        <f t="shared" si="4"/>
        <v>116225</v>
      </c>
      <c r="E24" s="8">
        <v>842</v>
      </c>
      <c r="F24" s="3">
        <v>66</v>
      </c>
      <c r="G24" s="7">
        <f>Table131016[[#This Row],[$Return]]/AVERAGE(Table131016[[#This Row],[Starting]],Table131016[[#This Row],[Starting]]+Table131016[[#This Row],[Inflows]])</f>
        <v>7.2425123432365941E-3</v>
      </c>
      <c r="H24" s="4">
        <f t="shared" si="0"/>
        <v>117133</v>
      </c>
      <c r="I24" s="30">
        <f>IF(Table131016[[#This Row],[Day]]=1,100*(1+Table131016[[#This Row],[Return]]),I23*(1+Table131016[[#This Row],[Return]]))</f>
        <v>107.13371418715865</v>
      </c>
      <c r="J24" s="5">
        <f>EXP(-((30-Table131016[[#This Row],[Day]])/30))</f>
        <v>0.71653131057378927</v>
      </c>
      <c r="K24" s="7"/>
      <c r="L24" s="7">
        <f>I14/I12-1</f>
        <v>-6.6141369365968816E-2</v>
      </c>
      <c r="M24" s="31"/>
      <c r="O24" s="43">
        <f t="shared" si="6"/>
        <v>20</v>
      </c>
      <c r="P24" s="10">
        <f t="shared" si="1"/>
        <v>0.9131007162822623</v>
      </c>
      <c r="Q24" s="39">
        <f>IF($O24&gt;$P$2,"",Table131016[[#This Row],[Return]])</f>
        <v>7.2425123432365941E-3</v>
      </c>
      <c r="R24" s="44">
        <f t="shared" si="2"/>
        <v>-6.6141369365968816E-2</v>
      </c>
      <c r="T24" s="33">
        <f t="shared" si="5"/>
        <v>20</v>
      </c>
      <c r="U24" s="49">
        <v>5.4804377686885508E-2</v>
      </c>
    </row>
    <row r="25" spans="2:21" x14ac:dyDescent="0.45">
      <c r="B25" s="6">
        <f t="shared" ca="1" si="3"/>
        <v>45618</v>
      </c>
      <c r="C25">
        <f t="shared" si="3"/>
        <v>21</v>
      </c>
      <c r="D25" s="3">
        <f t="shared" si="4"/>
        <v>117133</v>
      </c>
      <c r="E25" s="8">
        <v>9307</v>
      </c>
      <c r="F25" s="3">
        <v>833</v>
      </c>
      <c r="G25" s="7">
        <f>Table131016[[#This Row],[$Return]]/AVERAGE(Table131016[[#This Row],[Starting]],Table131016[[#This Row],[Starting]]+Table131016[[#This Row],[Inflows]])</f>
        <v>7.9175155998111438E-2</v>
      </c>
      <c r="H25" s="4">
        <f t="shared" si="0"/>
        <v>127273</v>
      </c>
      <c r="I25" s="30">
        <f>IF(Table131016[[#This Row],[Day]]=1,100*(1+Table131016[[#This Row],[Return]]),I24*(1+Table131016[[#This Row],[Return]]))</f>
        <v>115.61604272058402</v>
      </c>
      <c r="J25" s="5">
        <f>EXP(-((30-Table131016[[#This Row],[Day]])/30))</f>
        <v>0.74081822068171788</v>
      </c>
      <c r="K25" s="7"/>
      <c r="L25" s="7">
        <f>I14/I12-1</f>
        <v>-6.6141369365968816E-2</v>
      </c>
      <c r="M25" s="31"/>
      <c r="O25" s="43">
        <f t="shared" si="6"/>
        <v>21</v>
      </c>
      <c r="P25" s="10">
        <f t="shared" si="1"/>
        <v>0.9555630362682842</v>
      </c>
      <c r="Q25" s="39">
        <f>IF($O25&gt;$P$2,"",Table131016[[#This Row],[Return]])</f>
        <v>7.9175155998111438E-2</v>
      </c>
      <c r="R25" s="44">
        <f t="shared" si="2"/>
        <v>-6.6141369365968816E-2</v>
      </c>
      <c r="T25" s="33">
        <f t="shared" si="5"/>
        <v>21</v>
      </c>
      <c r="U25" s="49">
        <v>0.13883272324022294</v>
      </c>
    </row>
    <row r="26" spans="2:21" x14ac:dyDescent="0.45">
      <c r="B26" s="6">
        <f t="shared" ca="1" si="3"/>
        <v>45619</v>
      </c>
      <c r="C26">
        <f t="shared" si="3"/>
        <v>22</v>
      </c>
      <c r="D26" s="3">
        <f t="shared" si="4"/>
        <v>127273</v>
      </c>
      <c r="E26" s="8">
        <v>7481</v>
      </c>
      <c r="F26" s="3">
        <v>201</v>
      </c>
      <c r="G26" s="7">
        <f>Table131016[[#This Row],[$Return]]/AVERAGE(Table131016[[#This Row],[Starting]],Table131016[[#This Row],[Starting]]+Table131016[[#This Row],[Inflows]])</f>
        <v>5.8732781936588069E-2</v>
      </c>
      <c r="H26" s="4">
        <f t="shared" si="0"/>
        <v>134955</v>
      </c>
      <c r="I26" s="30">
        <f>IF(Table131016[[#This Row],[Day]]=1,100*(1+Table131016[[#This Row],[Return]]),I25*(1+Table131016[[#This Row],[Return]]))</f>
        <v>122.40649454606334</v>
      </c>
      <c r="J26" s="5">
        <f>EXP(-((30-Table131016[[#This Row],[Day]])/30))</f>
        <v>0.76592833836464869</v>
      </c>
      <c r="K26" s="7"/>
      <c r="L26" s="7">
        <f>I14/I13-1</f>
        <v>-3.5396908371294278E-2</v>
      </c>
      <c r="M26" s="31"/>
      <c r="O26" s="43">
        <f t="shared" si="6"/>
        <v>22</v>
      </c>
      <c r="P26" s="10">
        <f t="shared" si="1"/>
        <v>1</v>
      </c>
      <c r="Q26" s="39">
        <f>IF($O26&gt;$P$2,"",Table131016[[#This Row],[Return]])</f>
        <v>5.8732781936588069E-2</v>
      </c>
      <c r="R26" s="44">
        <f t="shared" si="2"/>
        <v>-3.5396908371294278E-2</v>
      </c>
      <c r="T26" s="33">
        <f t="shared" si="5"/>
        <v>22</v>
      </c>
      <c r="U26" s="49">
        <v>0.35521609860934383</v>
      </c>
    </row>
    <row r="27" spans="2:21" x14ac:dyDescent="0.45">
      <c r="B27" s="6">
        <f t="shared" ca="1" si="3"/>
        <v>45620</v>
      </c>
      <c r="C27">
        <f t="shared" si="3"/>
        <v>23</v>
      </c>
      <c r="D27" s="3">
        <f t="shared" si="4"/>
        <v>134955</v>
      </c>
      <c r="E27" s="8">
        <v>374</v>
      </c>
      <c r="F27" s="3">
        <v>862</v>
      </c>
      <c r="G27" s="7">
        <f>Table131016[[#This Row],[$Return]]/AVERAGE(Table131016[[#This Row],[Starting]],Table131016[[#This Row],[Starting]]+Table131016[[#This Row],[Inflows]])</f>
        <v>2.7624717474480373E-3</v>
      </c>
      <c r="H27" s="4">
        <f t="shared" si="0"/>
        <v>136191</v>
      </c>
      <c r="I27" s="30">
        <f>IF(Table131016[[#This Row],[Day]]=1,100*(1+Table131016[[#This Row],[Return]]),I26*(1+Table131016[[#This Row],[Return]]))</f>
        <v>122.74463902895101</v>
      </c>
      <c r="J27" s="5">
        <f>EXP(-((30-Table131016[[#This Row],[Day]])/30))</f>
        <v>0.79188956633678165</v>
      </c>
      <c r="K27" s="7"/>
      <c r="L27" s="7">
        <f>I23/I21-1</f>
        <v>-3.3076368020064972E-2</v>
      </c>
      <c r="M27" s="31"/>
      <c r="O27" s="43">
        <f t="shared" si="6"/>
        <v>23</v>
      </c>
      <c r="P27" s="10" t="str">
        <f t="shared" si="1"/>
        <v/>
      </c>
      <c r="Q27" s="39" t="str">
        <f>IF($O27&gt;$P$2,"",Table131016[[#This Row],[Return]])</f>
        <v/>
      </c>
      <c r="R27" s="44" t="str">
        <f t="shared" si="2"/>
        <v/>
      </c>
      <c r="T27" s="33">
        <f t="shared" si="5"/>
        <v>23</v>
      </c>
      <c r="U27" s="49">
        <v>0.35613008447816563</v>
      </c>
    </row>
    <row r="28" spans="2:21" x14ac:dyDescent="0.45">
      <c r="B28" s="6">
        <f t="shared" ca="1" si="3"/>
        <v>45621</v>
      </c>
      <c r="C28">
        <f t="shared" si="3"/>
        <v>24</v>
      </c>
      <c r="D28" s="3">
        <f t="shared" si="4"/>
        <v>136191</v>
      </c>
      <c r="E28" s="8">
        <v>3257</v>
      </c>
      <c r="F28" s="3">
        <v>372</v>
      </c>
      <c r="G28" s="7">
        <f>Table131016[[#This Row],[$Return]]/AVERAGE(Table131016[[#This Row],[Starting]],Table131016[[#This Row],[Starting]]+Table131016[[#This Row],[Inflows]])</f>
        <v>2.3882326198699195E-2</v>
      </c>
      <c r="H28" s="4">
        <f t="shared" si="0"/>
        <v>139820</v>
      </c>
      <c r="I28" s="30">
        <f>IF(Table131016[[#This Row],[Day]]=1,100*(1+Table131016[[#This Row],[Return]]),I27*(1+Table131016[[#This Row],[Return]]))</f>
        <v>125.676066537382</v>
      </c>
      <c r="J28" s="5">
        <f>EXP(-((30-Table131016[[#This Row],[Day]])/30))</f>
        <v>0.81873075307798182</v>
      </c>
      <c r="K28" s="7"/>
      <c r="L28" s="7">
        <f>I23/I21-1</f>
        <v>-3.3076368020064972E-2</v>
      </c>
      <c r="M28" s="31"/>
      <c r="O28" s="43">
        <f t="shared" si="6"/>
        <v>24</v>
      </c>
      <c r="P28" s="10" t="str">
        <f t="shared" si="1"/>
        <v/>
      </c>
      <c r="Q28" s="39" t="str">
        <f>IF($O28&gt;$P$2,"",Table131016[[#This Row],[Return]])</f>
        <v/>
      </c>
      <c r="R28" s="44" t="str">
        <f t="shared" si="2"/>
        <v/>
      </c>
      <c r="T28" s="33">
        <f t="shared" si="5"/>
        <v>24</v>
      </c>
      <c r="U28" s="49">
        <v>0.37661139879940975</v>
      </c>
    </row>
    <row r="29" spans="2:21" x14ac:dyDescent="0.45">
      <c r="B29" s="6">
        <f t="shared" ca="1" si="3"/>
        <v>45622</v>
      </c>
      <c r="C29">
        <f t="shared" si="3"/>
        <v>25</v>
      </c>
      <c r="D29" s="3">
        <f t="shared" si="4"/>
        <v>139820</v>
      </c>
      <c r="E29" s="8">
        <v>-87</v>
      </c>
      <c r="F29" s="3">
        <v>352</v>
      </c>
      <c r="G29" s="7">
        <f>Table131016[[#This Row],[$Return]]/AVERAGE(Table131016[[#This Row],[Starting]],Table131016[[#This Row],[Starting]]+Table131016[[#This Row],[Inflows]])</f>
        <v>-6.2144632703791541E-4</v>
      </c>
      <c r="H29" s="4">
        <f t="shared" si="0"/>
        <v>140085</v>
      </c>
      <c r="I29" s="30">
        <f>IF(Table131016[[#This Row],[Day]]=1,100*(1+Table131016[[#This Row],[Return]]),I28*(1+Table131016[[#This Row],[Return]]))</f>
        <v>125.59796560743578</v>
      </c>
      <c r="J29" s="5">
        <f>EXP(-((30-Table131016[[#This Row],[Day]])/30))</f>
        <v>0.84648172489061413</v>
      </c>
      <c r="K29" s="7"/>
      <c r="L29" s="7">
        <f>I23/I21-1</f>
        <v>-3.3076368020064972E-2</v>
      </c>
      <c r="M29" s="31"/>
      <c r="O29" s="43">
        <f t="shared" si="6"/>
        <v>25</v>
      </c>
      <c r="P29" s="10" t="str">
        <f t="shared" si="1"/>
        <v/>
      </c>
      <c r="Q29" s="39" t="str">
        <f>IF($O29&gt;$P$2,"",Table131016[[#This Row],[Return]])</f>
        <v/>
      </c>
      <c r="R29" s="44" t="str">
        <f t="shared" si="2"/>
        <v/>
      </c>
      <c r="T29" s="33">
        <f t="shared" si="5"/>
        <v>25</v>
      </c>
      <c r="U29" s="49">
        <v>0.34902818210950221</v>
      </c>
    </row>
    <row r="30" spans="2:21" x14ac:dyDescent="0.45">
      <c r="B30" s="6">
        <f t="shared" ca="1" si="3"/>
        <v>45623</v>
      </c>
      <c r="C30">
        <f t="shared" si="3"/>
        <v>26</v>
      </c>
      <c r="D30" s="3">
        <f t="shared" si="4"/>
        <v>140085</v>
      </c>
      <c r="E30" s="8">
        <v>113</v>
      </c>
      <c r="F30" s="3">
        <v>691</v>
      </c>
      <c r="G30" s="7">
        <f>Table131016[[#This Row],[$Return]]/AVERAGE(Table131016[[#This Row],[Starting]],Table131016[[#This Row],[Starting]]+Table131016[[#This Row],[Inflows]])</f>
        <v>8.0466850150074233E-4</v>
      </c>
      <c r="H30" s="4">
        <f t="shared" si="0"/>
        <v>140889</v>
      </c>
      <c r="I30" s="30">
        <f>IF(Table131016[[#This Row],[Day]]=1,100*(1+Table131016[[#This Row],[Return]]),I29*(1+Table131016[[#This Row],[Return]]))</f>
        <v>125.69903033421268</v>
      </c>
      <c r="J30" s="5">
        <f>EXP(-((30-Table131016[[#This Row],[Day]])/30))</f>
        <v>0.87517331904294748</v>
      </c>
      <c r="K30" s="7"/>
      <c r="L30" s="7">
        <f>I23/I21-1</f>
        <v>-3.3076368020064972E-2</v>
      </c>
      <c r="M30" s="31"/>
      <c r="O30" s="43">
        <f t="shared" si="6"/>
        <v>26</v>
      </c>
      <c r="P30" s="10" t="str">
        <f t="shared" si="1"/>
        <v/>
      </c>
      <c r="Q30" s="39" t="str">
        <f>IF($O30&gt;$P$2,"",Table131016[[#This Row],[Return]])</f>
        <v/>
      </c>
      <c r="R30" s="44" t="str">
        <f t="shared" si="2"/>
        <v/>
      </c>
      <c r="T30" s="33">
        <f t="shared" si="5"/>
        <v>26</v>
      </c>
      <c r="U30" s="49">
        <v>0.32734745807120336</v>
      </c>
    </row>
    <row r="31" spans="2:21" x14ac:dyDescent="0.45">
      <c r="B31" s="6">
        <f t="shared" ca="1" si="3"/>
        <v>45624</v>
      </c>
      <c r="C31">
        <f t="shared" si="3"/>
        <v>27</v>
      </c>
      <c r="D31" s="3">
        <f t="shared" si="4"/>
        <v>140889</v>
      </c>
      <c r="E31" s="8">
        <v>-3621</v>
      </c>
      <c r="F31" s="3">
        <v>800</v>
      </c>
      <c r="G31" s="7">
        <f>Table131016[[#This Row],[$Return]]/AVERAGE(Table131016[[#This Row],[Starting]],Table131016[[#This Row],[Starting]]+Table131016[[#This Row],[Inflows]])</f>
        <v>-2.5628322091599487E-2</v>
      </c>
      <c r="H31" s="4">
        <f t="shared" si="0"/>
        <v>138068</v>
      </c>
      <c r="I31" s="30">
        <f>IF(Table131016[[#This Row],[Day]]=1,100*(1+Table131016[[#This Row],[Return]]),I30*(1+Table131016[[#This Row],[Return]]))</f>
        <v>122.47757509820575</v>
      </c>
      <c r="J31" s="5">
        <f>EXP(-((30-Table131016[[#This Row],[Day]])/30))</f>
        <v>0.90483741803595952</v>
      </c>
      <c r="K31" s="7"/>
      <c r="L31" s="7">
        <f>I23/I21-1</f>
        <v>-3.3076368020064972E-2</v>
      </c>
      <c r="M31" s="31"/>
      <c r="O31" s="43">
        <f t="shared" si="6"/>
        <v>27</v>
      </c>
      <c r="P31" s="10" t="str">
        <f t="shared" si="1"/>
        <v/>
      </c>
      <c r="Q31" s="39" t="str">
        <f>IF($O31&gt;$P$2,"",Table131016[[#This Row],[Return]])</f>
        <v/>
      </c>
      <c r="R31" s="44" t="str">
        <f t="shared" si="2"/>
        <v/>
      </c>
      <c r="T31" s="33">
        <f t="shared" si="5"/>
        <v>27</v>
      </c>
      <c r="U31" s="49">
        <v>0.26220872471472895</v>
      </c>
    </row>
    <row r="32" spans="2:21" x14ac:dyDescent="0.45">
      <c r="B32" s="6">
        <f t="shared" ca="1" si="3"/>
        <v>45625</v>
      </c>
      <c r="C32">
        <f t="shared" si="3"/>
        <v>28</v>
      </c>
      <c r="D32" s="3">
        <f t="shared" si="4"/>
        <v>138068</v>
      </c>
      <c r="E32" s="8">
        <v>703</v>
      </c>
      <c r="F32" s="3">
        <v>296</v>
      </c>
      <c r="G32" s="7">
        <f>Table131016[[#This Row],[$Return]]/AVERAGE(Table131016[[#This Row],[Starting]],Table131016[[#This Row],[Starting]]+Table131016[[#This Row],[Inflows]])</f>
        <v>5.0862418243908082E-3</v>
      </c>
      <c r="H32" s="4">
        <f>D32+E32+F32</f>
        <v>139067</v>
      </c>
      <c r="I32" s="30">
        <f>IF(Table131016[[#This Row],[Day]]=1,100*(1+Table131016[[#This Row],[Return]]),I31*(1+Table131016[[#This Row],[Return]]))</f>
        <v>123.10052566322021</v>
      </c>
      <c r="J32" s="5">
        <f>EXP(-((30-Table131016[[#This Row],[Day]])/30))</f>
        <v>0.93550698503161778</v>
      </c>
      <c r="K32" s="7"/>
      <c r="L32" s="7">
        <f>I23/I21-1</f>
        <v>-3.3076368020064972E-2</v>
      </c>
      <c r="M32" s="31"/>
      <c r="O32" s="43">
        <f t="shared" si="6"/>
        <v>28</v>
      </c>
      <c r="P32" s="10" t="str">
        <f t="shared" si="1"/>
        <v/>
      </c>
      <c r="Q32" s="39" t="str">
        <f>IF($O32&gt;$P$2,"",Table131016[[#This Row],[Return]])</f>
        <v/>
      </c>
      <c r="R32" s="44" t="str">
        <f t="shared" si="2"/>
        <v/>
      </c>
      <c r="T32" s="33">
        <f t="shared" si="5"/>
        <v>28</v>
      </c>
      <c r="U32" s="49">
        <v>0.25550650364123256</v>
      </c>
    </row>
    <row r="33" spans="2:21" x14ac:dyDescent="0.45">
      <c r="B33" s="6">
        <f t="shared" ca="1" si="3"/>
        <v>45626</v>
      </c>
      <c r="C33">
        <f t="shared" si="3"/>
        <v>29</v>
      </c>
      <c r="D33" s="3">
        <f t="shared" si="4"/>
        <v>139067</v>
      </c>
      <c r="E33" s="8">
        <v>569</v>
      </c>
      <c r="F33" s="3">
        <v>334</v>
      </c>
      <c r="G33" s="7">
        <f>Table131016[[#This Row],[$Return]]/AVERAGE(Table131016[[#This Row],[Starting]],Table131016[[#This Row],[Starting]]+Table131016[[#This Row],[Inflows]])</f>
        <v>4.086645503253516E-3</v>
      </c>
      <c r="H33" s="4">
        <f t="shared" si="0"/>
        <v>139970</v>
      </c>
      <c r="I33" s="30">
        <f>IF(Table131016[[#This Row],[Day]]=1,100*(1+Table131016[[#This Row],[Return]]),I32*(1+Table131016[[#This Row],[Return]]))</f>
        <v>123.60359387286995</v>
      </c>
      <c r="J33" s="5">
        <f>EXP(-((30-Table131016[[#This Row],[Day]])/30))</f>
        <v>0.9672161004820059</v>
      </c>
      <c r="K33" s="7"/>
      <c r="L33" s="7">
        <f>I23/I21-1</f>
        <v>-3.3076368020064972E-2</v>
      </c>
      <c r="M33" s="31"/>
      <c r="O33" s="43">
        <f t="shared" si="6"/>
        <v>29</v>
      </c>
      <c r="P33" s="10" t="str">
        <f t="shared" si="1"/>
        <v/>
      </c>
      <c r="Q33" s="39" t="str">
        <f>IF($O33&gt;$P$2,"",Table131016[[#This Row],[Return]])</f>
        <v/>
      </c>
      <c r="R33" s="44" t="str">
        <f t="shared" si="2"/>
        <v/>
      </c>
      <c r="T33" s="33">
        <f t="shared" si="5"/>
        <v>29</v>
      </c>
      <c r="U33" s="49">
        <v>0.24789459709671088</v>
      </c>
    </row>
    <row r="34" spans="2:21" x14ac:dyDescent="0.45">
      <c r="B34" s="6">
        <f t="shared" ca="1" si="3"/>
        <v>45627</v>
      </c>
      <c r="C34">
        <f t="shared" si="3"/>
        <v>30</v>
      </c>
      <c r="D34" s="3">
        <f t="shared" si="4"/>
        <v>139970</v>
      </c>
      <c r="E34" s="8">
        <v>-1500</v>
      </c>
      <c r="F34" s="3">
        <v>565</v>
      </c>
      <c r="G34" s="7">
        <f>Table131016[[#This Row],[$Return]]/AVERAGE(Table131016[[#This Row],[Starting]],Table131016[[#This Row],[Starting]]+Table131016[[#This Row],[Inflows]])</f>
        <v>-1.069499652412613E-2</v>
      </c>
      <c r="H34" s="4">
        <f t="shared" si="0"/>
        <v>139035</v>
      </c>
      <c r="I34" s="30">
        <f>IF(Table131016[[#This Row],[Day]]=1,100*(1+Table131016[[#This Row],[Return]]),I33*(1+Table131016[[#This Row],[Return]]))</f>
        <v>122.28165386603011</v>
      </c>
      <c r="J34" s="5">
        <f>EXP(-((30-Table131016[[#This Row],[Day]])/30))</f>
        <v>1</v>
      </c>
      <c r="K34" s="7">
        <f>SUMPRODUCT($G$5:G34,$J$5:J34)/SUM(Table131016[Day Weight])</f>
        <v>7.206411552516819E-3</v>
      </c>
      <c r="L34" s="7">
        <f>I23/I21-1</f>
        <v>-3.3076368020064972E-2</v>
      </c>
      <c r="M34" s="32">
        <f>IF(Table131016[[#This Row],[Day]]&lt;=7,"NM",Table131016[[#This Row],[WA Return]]/ABS(MIN(L21:L34)))</f>
        <v>0.10895467725566438</v>
      </c>
      <c r="O34" s="43">
        <f t="shared" si="6"/>
        <v>30</v>
      </c>
      <c r="P34" s="10" t="str">
        <f t="shared" si="1"/>
        <v/>
      </c>
      <c r="Q34" s="39" t="str">
        <f>IF($O34&gt;$P$2,"",Table131016[[#This Row],[Return]])</f>
        <v/>
      </c>
      <c r="R34" s="44" t="str">
        <f t="shared" si="2"/>
        <v/>
      </c>
      <c r="T34" s="33">
        <f t="shared" si="5"/>
        <v>30</v>
      </c>
      <c r="U34" s="49">
        <v>0.21787191230141184</v>
      </c>
    </row>
    <row r="35" spans="2:21" x14ac:dyDescent="0.45">
      <c r="B35" t="s">
        <v>10</v>
      </c>
      <c r="E35" s="28">
        <f>SUBTOTAL(109,Table131016[$Return])</f>
        <v>24069</v>
      </c>
      <c r="F35" s="4">
        <f>SUBTOTAL(109,Table131016[Inflows])</f>
        <v>14966</v>
      </c>
      <c r="G35" s="4"/>
      <c r="K35" s="4"/>
      <c r="L35" s="4"/>
      <c r="M35" s="4"/>
      <c r="U35" s="10"/>
    </row>
  </sheetData>
  <phoneticPr fontId="8" type="noConversion"/>
  <conditionalFormatting sqref="U5:U34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{79CC6566-A9EE-4F73-B407-61ECE170BDB9}</x14:id>
        </ext>
      </extLst>
    </cfRule>
  </conditionalFormatting>
  <dataValidations disablePrompts="1" count="1">
    <dataValidation type="list" allowBlank="1" showInputMessage="1" showErrorMessage="1" sqref="P2" xr:uid="{1BF59659-64D3-4C12-959E-844E7BCA6B94}">
      <formula1>$O$12:$O$34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9CC6566-A9EE-4F73-B407-61ECE170BDB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U5:U34</xm:sqref>
        </x14:conditionalFormatting>
      </x14:conditionalFormattings>
    </ex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6C175046-8DA3-4EFA-90CC-0E359B67386E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Example!I5:I34</xm:f>
              <xm:sqref>U3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9812D-304F-4471-9A9E-A150F88DE360}">
  <dimension ref="B2:BM47"/>
  <sheetViews>
    <sheetView showGridLines="0" zoomScale="90" zoomScaleNormal="90" workbookViewId="0">
      <selection activeCell="L21" sqref="L21"/>
    </sheetView>
  </sheetViews>
  <sheetFormatPr defaultRowHeight="14.25" x14ac:dyDescent="0.45"/>
  <cols>
    <col min="1" max="1" width="3.265625" customWidth="1"/>
    <col min="3" max="3" width="6.265625" customWidth="1"/>
    <col min="4" max="5" width="11" bestFit="1" customWidth="1"/>
    <col min="6" max="6" width="13.1328125" customWidth="1"/>
    <col min="8" max="9" width="10.59765625" customWidth="1"/>
    <col min="10" max="10" width="13.59765625" bestFit="1" customWidth="1"/>
    <col min="11" max="11" width="16" customWidth="1"/>
    <col min="12" max="12" width="13.86328125" customWidth="1"/>
    <col min="13" max="13" width="11.73046875" customWidth="1"/>
    <col min="14" max="14" width="9.59765625" customWidth="1"/>
    <col min="15" max="15" width="9.1328125" customWidth="1"/>
    <col min="24" max="24" width="10.86328125" customWidth="1"/>
    <col min="25" max="25" width="10" bestFit="1" customWidth="1"/>
    <col min="27" max="29" width="10.265625" customWidth="1"/>
    <col min="38" max="38" width="10.86328125" customWidth="1"/>
    <col min="39" max="39" width="10" bestFit="1" customWidth="1"/>
    <col min="41" max="42" width="10.265625" customWidth="1"/>
    <col min="51" max="51" width="10.86328125" customWidth="1"/>
    <col min="52" max="52" width="10" bestFit="1" customWidth="1"/>
    <col min="54" max="54" width="10.265625" customWidth="1"/>
    <col min="56" max="56" width="11.1328125" bestFit="1" customWidth="1"/>
    <col min="58" max="58" width="12.73046875" customWidth="1"/>
    <col min="60" max="60" width="11.1328125" bestFit="1" customWidth="1"/>
    <col min="62" max="62" width="10" bestFit="1" customWidth="1"/>
    <col min="64" max="64" width="10.86328125" customWidth="1"/>
    <col min="65" max="65" width="10" bestFit="1" customWidth="1"/>
    <col min="67" max="67" width="10.265625" customWidth="1"/>
  </cols>
  <sheetData>
    <row r="2" spans="2:65" x14ac:dyDescent="0.45">
      <c r="E2" s="16" t="s">
        <v>27</v>
      </c>
      <c r="F2" s="16" t="s">
        <v>32</v>
      </c>
      <c r="G2" s="38" t="s">
        <v>42</v>
      </c>
      <c r="H2" s="45" t="s">
        <v>12</v>
      </c>
      <c r="I2" s="16" t="s">
        <v>41</v>
      </c>
      <c r="J2" s="16"/>
    </row>
    <row r="3" spans="2:65" x14ac:dyDescent="0.45">
      <c r="D3" s="15" t="str">
        <f>B12</f>
        <v>Random Walk #1</v>
      </c>
      <c r="E3" s="22">
        <v>0.6</v>
      </c>
      <c r="F3" s="18">
        <f ca="1">I43</f>
        <v>108.18122877423113</v>
      </c>
      <c r="G3" s="39">
        <f>AVERAGE(Table1310[Return])</f>
        <v>3.207571500205981E-3</v>
      </c>
      <c r="H3" s="40">
        <f>G3/STDEV(Table1310[Return])</f>
        <v>9.1946989371309143E-2</v>
      </c>
      <c r="I3" s="46">
        <f ca="1">M43</f>
        <v>9.4815861750374097E-2</v>
      </c>
      <c r="J3" s="14"/>
    </row>
    <row r="4" spans="2:65" x14ac:dyDescent="0.45">
      <c r="D4" s="15" t="str">
        <f>O12</f>
        <v>High Sharpe, Small Gains</v>
      </c>
      <c r="E4" s="22">
        <v>0.7</v>
      </c>
      <c r="F4" s="18">
        <f ca="1">V43</f>
        <v>104.67400000000002</v>
      </c>
      <c r="G4" s="39">
        <f>AVERAGE(Table13411[Return])</f>
        <v>1.5410648824152327E-3</v>
      </c>
      <c r="H4" s="40">
        <f>G4/STDEV(Table13411[Return])</f>
        <v>0.25818591063430668</v>
      </c>
      <c r="I4" s="46">
        <f ca="1">Z43</f>
        <v>0.19144973065545737</v>
      </c>
      <c r="J4" s="14"/>
    </row>
    <row r="5" spans="2:65" x14ac:dyDescent="0.45">
      <c r="D5" s="15" t="str">
        <f>AB12</f>
        <v>Net Big Returns, But Volatile</v>
      </c>
      <c r="E5" s="26">
        <f>COUNTIF(Table1341112[Return],"&gt;0")/30</f>
        <v>0.5</v>
      </c>
      <c r="F5" s="18">
        <f ca="1">AI43</f>
        <v>117.50000000000007</v>
      </c>
      <c r="G5" s="39">
        <f>AVERAGE(Table1341112[Return])</f>
        <v>1.7253655851813657E-2</v>
      </c>
      <c r="H5" s="40">
        <f>G5/STDEV(Table1341112[Return])</f>
        <v>0.10948540814941031</v>
      </c>
      <c r="I5" s="46">
        <f ca="1">AM43</f>
        <v>0.15486664813724996</v>
      </c>
      <c r="J5" s="14"/>
      <c r="N5" s="4"/>
    </row>
    <row r="6" spans="2:65" x14ac:dyDescent="0.45">
      <c r="D6" s="15" t="s">
        <v>49</v>
      </c>
      <c r="E6" s="26">
        <f>COUNTIF(Table134111213[Return],"&gt;0")/30</f>
        <v>0.53333333333333333</v>
      </c>
      <c r="F6" s="18">
        <f ca="1">AV43</f>
        <v>102.46130461364089</v>
      </c>
      <c r="G6" s="39">
        <f>AVERAGE(Table134111213[Return])</f>
        <v>8.1717804224576136E-4</v>
      </c>
      <c r="H6" s="40">
        <f>G6/STDEV(Table134111213[Return])</f>
        <v>0.22538119822770336</v>
      </c>
      <c r="I6" s="46">
        <f ca="1">AZ43</f>
        <v>5.034451678579998E-2</v>
      </c>
      <c r="J6" s="14"/>
      <c r="N6" s="2"/>
    </row>
    <row r="7" spans="2:65" x14ac:dyDescent="0.45">
      <c r="D7" s="15" t="s">
        <v>50</v>
      </c>
      <c r="E7" s="26">
        <f>COUNTIF(Table13411121314[Return],"&gt;0")/30</f>
        <v>0.93333333333333335</v>
      </c>
      <c r="F7" s="18">
        <f ca="1">BI43</f>
        <v>105.27390251879613</v>
      </c>
      <c r="G7" s="39">
        <f>AVERAGE(Table13411121314[Return])</f>
        <v>1.7166662054267812E-3</v>
      </c>
      <c r="H7" s="40">
        <f>G7/STDEV(Table13411121314[Return])</f>
        <v>0.83852702079508057</v>
      </c>
      <c r="I7" s="46">
        <f ca="1">BM43</f>
        <v>0.19867052570990656</v>
      </c>
      <c r="J7" s="14"/>
    </row>
    <row r="8" spans="2:65" x14ac:dyDescent="0.45">
      <c r="I8" s="14"/>
    </row>
    <row r="9" spans="2:65" x14ac:dyDescent="0.45">
      <c r="I9" s="14"/>
    </row>
    <row r="11" spans="2:65" x14ac:dyDescent="0.45">
      <c r="L11" s="29"/>
    </row>
    <row r="12" spans="2:65" x14ac:dyDescent="0.45">
      <c r="B12" s="11" t="s">
        <v>18</v>
      </c>
      <c r="L12" s="29"/>
      <c r="O12" s="11" t="s">
        <v>17</v>
      </c>
      <c r="AB12" s="11" t="s">
        <v>16</v>
      </c>
      <c r="AO12" s="11" t="s">
        <v>24</v>
      </c>
      <c r="BB12" s="11" t="s">
        <v>29</v>
      </c>
    </row>
    <row r="13" spans="2:65" x14ac:dyDescent="0.45">
      <c r="B13" t="s">
        <v>7</v>
      </c>
      <c r="C13" t="s">
        <v>6</v>
      </c>
      <c r="D13" t="s">
        <v>0</v>
      </c>
      <c r="E13" t="s">
        <v>2</v>
      </c>
      <c r="F13" t="s">
        <v>4</v>
      </c>
      <c r="G13" t="s">
        <v>1</v>
      </c>
      <c r="H13" t="s">
        <v>3</v>
      </c>
      <c r="I13" t="s">
        <v>35</v>
      </c>
      <c r="J13" t="s">
        <v>34</v>
      </c>
      <c r="K13" t="s">
        <v>38</v>
      </c>
      <c r="L13" t="s">
        <v>39</v>
      </c>
      <c r="M13" s="33" t="s">
        <v>40</v>
      </c>
      <c r="O13" t="s">
        <v>7</v>
      </c>
      <c r="P13" t="s">
        <v>6</v>
      </c>
      <c r="Q13" t="s">
        <v>0</v>
      </c>
      <c r="R13" t="s">
        <v>2</v>
      </c>
      <c r="S13" t="s">
        <v>4</v>
      </c>
      <c r="T13" t="s">
        <v>1</v>
      </c>
      <c r="U13" t="s">
        <v>3</v>
      </c>
      <c r="V13" t="s">
        <v>35</v>
      </c>
      <c r="W13" t="s">
        <v>34</v>
      </c>
      <c r="X13" t="s">
        <v>38</v>
      </c>
      <c r="Y13" t="s">
        <v>39</v>
      </c>
      <c r="Z13" s="33" t="s">
        <v>40</v>
      </c>
      <c r="AB13" t="s">
        <v>7</v>
      </c>
      <c r="AC13" t="s">
        <v>6</v>
      </c>
      <c r="AD13" t="s">
        <v>0</v>
      </c>
      <c r="AE13" t="s">
        <v>2</v>
      </c>
      <c r="AF13" t="s">
        <v>4</v>
      </c>
      <c r="AG13" t="s">
        <v>1</v>
      </c>
      <c r="AH13" t="s">
        <v>3</v>
      </c>
      <c r="AI13" t="s">
        <v>35</v>
      </c>
      <c r="AJ13" t="s">
        <v>34</v>
      </c>
      <c r="AK13" t="s">
        <v>38</v>
      </c>
      <c r="AL13" t="s">
        <v>39</v>
      </c>
      <c r="AM13" s="33" t="s">
        <v>40</v>
      </c>
      <c r="AO13" t="s">
        <v>7</v>
      </c>
      <c r="AP13" t="s">
        <v>6</v>
      </c>
      <c r="AQ13" t="s">
        <v>0</v>
      </c>
      <c r="AR13" t="s">
        <v>2</v>
      </c>
      <c r="AS13" t="s">
        <v>4</v>
      </c>
      <c r="AT13" t="s">
        <v>1</v>
      </c>
      <c r="AU13" t="s">
        <v>3</v>
      </c>
      <c r="AV13" t="s">
        <v>35</v>
      </c>
      <c r="AW13" t="s">
        <v>34</v>
      </c>
      <c r="AX13" t="s">
        <v>38</v>
      </c>
      <c r="AY13" t="s">
        <v>39</v>
      </c>
      <c r="AZ13" s="33" t="s">
        <v>40</v>
      </c>
      <c r="BB13" t="s">
        <v>7</v>
      </c>
      <c r="BC13" t="s">
        <v>6</v>
      </c>
      <c r="BD13" t="s">
        <v>0</v>
      </c>
      <c r="BE13" t="s">
        <v>2</v>
      </c>
      <c r="BF13" t="s">
        <v>4</v>
      </c>
      <c r="BG13" t="s">
        <v>1</v>
      </c>
      <c r="BH13" t="s">
        <v>3</v>
      </c>
      <c r="BI13" t="s">
        <v>35</v>
      </c>
      <c r="BJ13" t="s">
        <v>34</v>
      </c>
      <c r="BK13" t="s">
        <v>38</v>
      </c>
      <c r="BL13" t="s">
        <v>39</v>
      </c>
      <c r="BM13" s="33" t="s">
        <v>40</v>
      </c>
    </row>
    <row r="14" spans="2:65" x14ac:dyDescent="0.45">
      <c r="B14" s="6">
        <f ca="1">TODAY()</f>
        <v>45598</v>
      </c>
      <c r="C14">
        <v>1</v>
      </c>
      <c r="D14" s="3">
        <v>100000</v>
      </c>
      <c r="E14" s="8">
        <v>112</v>
      </c>
      <c r="F14" s="3">
        <v>919</v>
      </c>
      <c r="G14" s="7">
        <f>Table1310[[#This Row],[$Return]]/AVERAGE(Table1310[[#This Row],[Starting]],Table1310[[#This Row],[Starting]]+Table1310[[#This Row],[Inflows]])</f>
        <v>1.1148771395437962E-3</v>
      </c>
      <c r="H14" s="4">
        <f t="shared" ref="H14:H43" si="0">D14+E14+F14</f>
        <v>101031</v>
      </c>
      <c r="I14" s="30">
        <f>IF(Table1310[[#This Row],[Day]]=1,100*(1+Table1310[[#This Row],[Return]]),I13*(1+Table1310[[#This Row],[Return]]))</f>
        <v>100.11148771395438</v>
      </c>
      <c r="J14" s="5">
        <f>EXP(-((30-Table1310[[#This Row],[Day]])/30))</f>
        <v>0.38034875658925854</v>
      </c>
      <c r="K14" s="7"/>
      <c r="L14" s="7" t="str">
        <f>IF(Table1310[[#This Row],[Day]]&lt;=7,"",MIN(IF(I14&gt;=MAX(I7:I13),IFERROR(AVERAGE(L7:L13),-1%),I14/MAX(I7:I13)-1),-1%))</f>
        <v/>
      </c>
      <c r="M14" s="31"/>
      <c r="N14" s="2"/>
      <c r="O14" s="6">
        <f ca="1">TODAY()</f>
        <v>45598</v>
      </c>
      <c r="P14">
        <v>1</v>
      </c>
      <c r="Q14" s="3">
        <v>100000</v>
      </c>
      <c r="R14" s="8">
        <v>-252</v>
      </c>
      <c r="S14" s="3">
        <v>0</v>
      </c>
      <c r="T14" s="7">
        <f>Table13411[[#This Row],[$Return]]/AVERAGE(Table13411[[#This Row],[Starting]],Table13411[[#This Row],[Starting]]+Table13411[[#This Row],[Inflows]])</f>
        <v>-2.5200000000000001E-3</v>
      </c>
      <c r="U14" s="4">
        <f t="shared" ref="U14:U43" si="1">Q14+R14+S14</f>
        <v>99748</v>
      </c>
      <c r="V14" s="30">
        <f>IF(Table13411[[#This Row],[Day]]=1,100*(1+Table13411[[#This Row],[Return]]),V13*(1+Table13411[[#This Row],[Return]]))</f>
        <v>99.748000000000005</v>
      </c>
      <c r="W14" s="5">
        <f>EXP(-((30-Table13411[[#This Row],[Day]])/30))</f>
        <v>0.38034875658925854</v>
      </c>
      <c r="X14" s="7"/>
      <c r="Y14" s="7" t="str">
        <f>IF(Table13411[[#This Row],[Day]]&lt;=7,"",MIN(IF(V14&gt;=MAX(V7:V13),IFERROR(AVERAGE(Y7:Y13),-1%),V14/MAX(V7:V13)-1),-1%))</f>
        <v/>
      </c>
      <c r="Z14" s="31"/>
      <c r="AB14" s="6">
        <f ca="1">TODAY()</f>
        <v>45598</v>
      </c>
      <c r="AC14">
        <v>1</v>
      </c>
      <c r="AD14" s="3">
        <v>100000</v>
      </c>
      <c r="AE14" s="8">
        <v>15000</v>
      </c>
      <c r="AF14" s="3">
        <v>0</v>
      </c>
      <c r="AG14" s="7">
        <f>Table1341112[[#This Row],[$Return]]/AVERAGE(Table1341112[[#This Row],[Starting]],Table1341112[[#This Row],[Starting]]+Table1341112[[#This Row],[Inflows]])</f>
        <v>0.15</v>
      </c>
      <c r="AH14" s="4">
        <f t="shared" ref="AH14:AH43" si="2">AD14+AE14+AF14</f>
        <v>115000</v>
      </c>
      <c r="AI14" s="30">
        <f>IF(Table1341112[[#This Row],[Day]]=1,100*(1+Table1341112[[#This Row],[Return]]),AI13*(1+Table1341112[[#This Row],[Return]]))</f>
        <v>114.99999999999999</v>
      </c>
      <c r="AJ14" s="5">
        <f>EXP(-((30-Table1341112[[#This Row],[Day]])/30))</f>
        <v>0.38034875658925854</v>
      </c>
      <c r="AK14" s="7"/>
      <c r="AL14" s="7" t="str">
        <f>IF(Table1341112[[#This Row],[Day]]&lt;=7,"",MIN(IF(AI14&gt;=MAX(AI7:AI13),IFERROR(AVERAGE(AL7:AL13),-1%),AI14/MAX(AI7:AI13)-1),-1%))</f>
        <v/>
      </c>
      <c r="AM14" s="31"/>
      <c r="AO14" s="6">
        <f ca="1">TODAY()</f>
        <v>45598</v>
      </c>
      <c r="AP14">
        <v>1</v>
      </c>
      <c r="AQ14" s="3">
        <v>255062.6</v>
      </c>
      <c r="AR14" s="8">
        <v>0</v>
      </c>
      <c r="AS14" s="3">
        <v>0</v>
      </c>
      <c r="AT14" s="7">
        <f>Table134111213[[#This Row],[$Return]]/AVERAGE(Table134111213[[#This Row],[Starting]],Table134111213[[#This Row],[Starting]]+Table134111213[[#This Row],[Inflows]])</f>
        <v>0</v>
      </c>
      <c r="AU14" s="4">
        <f t="shared" ref="AU14:AU43" si="3">AQ14+AR14+AS14</f>
        <v>255062.6</v>
      </c>
      <c r="AV14" s="30">
        <f>IF(Table134111213[[#This Row],[Day]]=1,100*(1+Table134111213[[#This Row],[Return]]),AV13*(1+Table134111213[[#This Row],[Return]]))</f>
        <v>100</v>
      </c>
      <c r="AW14" s="5">
        <f>EXP(-((30-Table134111213[[#This Row],[Day]])/30))</f>
        <v>0.38034875658925854</v>
      </c>
      <c r="AX14" s="7"/>
      <c r="AY14" s="7" t="str">
        <f>IF(Table134111213[[#This Row],[Day]]&lt;=7,"",MIN(IF(AV14&gt;=MAX(AV7:AV13),IFERROR(AVERAGE(AY7:AY13),-1%),AV14/MAX(AV7:AV13)-1),-1%))</f>
        <v/>
      </c>
      <c r="AZ14" s="31"/>
      <c r="BB14" s="6">
        <f ca="1">TODAY()</f>
        <v>45598</v>
      </c>
      <c r="BC14">
        <v>1</v>
      </c>
      <c r="BD14" s="3">
        <v>6933646.8499999996</v>
      </c>
      <c r="BE14" s="8">
        <v>14947.62</v>
      </c>
      <c r="BF14" s="3">
        <v>-100000</v>
      </c>
      <c r="BG14" s="7">
        <f>Table13411121314[[#This Row],[$Return]]/AVERAGE(Table13411121314[[#This Row],[Starting]],Table13411121314[[#This Row],[Starting]]+Table13411121314[[#This Row],[Inflows]])</f>
        <v>2.1714681658894226E-3</v>
      </c>
      <c r="BH14" s="4">
        <f t="shared" ref="BH14:BH43" si="4">BD14+BE14+BF14</f>
        <v>6848594.4699999997</v>
      </c>
      <c r="BI14" s="30">
        <f>IF(Table13411121314[[#This Row],[Day]]=1,100*(1+Table13411121314[[#This Row],[Return]]),BI13*(1+Table13411121314[[#This Row],[Return]]))</f>
        <v>100.21714681658894</v>
      </c>
      <c r="BJ14" s="5">
        <f>EXP(-((30-Table13411121314[[#This Row],[Day]])/30))</f>
        <v>0.38034875658925854</v>
      </c>
      <c r="BK14" s="7"/>
      <c r="BL14" s="7" t="str">
        <f>IF(Table13411121314[[#This Row],[Day]]&lt;=7,"",MIN(IF(BI14&gt;=MAX(BI7:BI13),IFERROR(AVERAGE(BL7:BL13),-1%),BI14/MAX(BI7:BI13)-1),-1%))</f>
        <v/>
      </c>
      <c r="BM14" s="31"/>
    </row>
    <row r="15" spans="2:65" x14ac:dyDescent="0.45">
      <c r="B15" s="6">
        <f ca="1">B14+1</f>
        <v>45599</v>
      </c>
      <c r="C15">
        <f t="shared" ref="C15:C43" ca="1" si="5">B15-$B$14+1</f>
        <v>2</v>
      </c>
      <c r="D15" s="3">
        <f>H14</f>
        <v>101031</v>
      </c>
      <c r="E15" s="8">
        <v>-2284</v>
      </c>
      <c r="F15" s="3">
        <v>507</v>
      </c>
      <c r="G15" s="7">
        <f>Table1310[[#This Row],[$Return]]/AVERAGE(Table1310[[#This Row],[Starting]],Table1310[[#This Row],[Starting]]+Table1310[[#This Row],[Inflows]])</f>
        <v>-2.2550340871505512E-2</v>
      </c>
      <c r="H15" s="4">
        <f t="shared" si="0"/>
        <v>99254</v>
      </c>
      <c r="I15" s="30">
        <f ca="1">IF(Table1310[[#This Row],[Day]]=1,100*(1+Table1310[[#This Row],[Return]]),I14*(1+Table1310[[#This Row],[Return]]))</f>
        <v>97.853939540851172</v>
      </c>
      <c r="J15" s="5">
        <f ca="1">EXP(-((30-Table1310[[#This Row],[Day]])/30))</f>
        <v>0.39324072086859824</v>
      </c>
      <c r="K15" s="7"/>
      <c r="L15" s="7" t="str">
        <f ca="1">IF(Table1310[[#This Row],[Day]]&lt;=7,"",MIN(IF(I15&gt;=MAX(I8:I14),IFERROR(AVERAGE(L8:L14),-1%),I15/MAX(I8:I14)-1),-1%))</f>
        <v/>
      </c>
      <c r="M15" s="31"/>
      <c r="O15" s="6">
        <f ca="1">O14+1</f>
        <v>45599</v>
      </c>
      <c r="P15">
        <f t="shared" ref="P15:P43" ca="1" si="6">O15-$B$14+1</f>
        <v>2</v>
      </c>
      <c r="Q15" s="3">
        <f>U14</f>
        <v>99748</v>
      </c>
      <c r="R15" s="8">
        <v>775</v>
      </c>
      <c r="S15" s="3">
        <v>0</v>
      </c>
      <c r="T15" s="7">
        <f>Table13411[[#This Row],[$Return]]/AVERAGE(Table13411[[#This Row],[Starting]],Table13411[[#This Row],[Starting]]+Table13411[[#This Row],[Inflows]])</f>
        <v>7.76957933993664E-3</v>
      </c>
      <c r="U15" s="4">
        <f t="shared" si="1"/>
        <v>100523</v>
      </c>
      <c r="V15" s="30">
        <f ca="1">IF(Table13411[[#This Row],[Day]]=1,100,V14*(1+Table13411[[#This Row],[Return]]))</f>
        <v>100.523</v>
      </c>
      <c r="W15" s="5">
        <f ca="1">EXP(-((30-Table13411[[#This Row],[Day]])/30))</f>
        <v>0.39324072086859824</v>
      </c>
      <c r="X15" s="7"/>
      <c r="Y15" s="7" t="str">
        <f ca="1">IF(Table13411[[#This Row],[Day]]&lt;=7,"",MIN(IF(V15&gt;=MAX(V8:V14),IFERROR(AVERAGE(Y8:Y14),-1%),V15/MAX(V8:V14)-1),-1%))</f>
        <v/>
      </c>
      <c r="Z15" s="31"/>
      <c r="AB15" s="6">
        <f ca="1">AB14+1</f>
        <v>45599</v>
      </c>
      <c r="AC15">
        <f t="shared" ref="AC15:AC43" ca="1" si="7">AB15-$B$14+1</f>
        <v>2</v>
      </c>
      <c r="AD15" s="3">
        <f>AH14</f>
        <v>115000</v>
      </c>
      <c r="AE15" s="8">
        <v>-10000</v>
      </c>
      <c r="AF15" s="3">
        <v>0</v>
      </c>
      <c r="AG15" s="7">
        <f>Table1341112[[#This Row],[$Return]]/AVERAGE(Table1341112[[#This Row],[Starting]],Table1341112[[#This Row],[Starting]]+Table1341112[[#This Row],[Inflows]])</f>
        <v>-8.6956521739130432E-2</v>
      </c>
      <c r="AH15" s="4">
        <f t="shared" si="2"/>
        <v>105000</v>
      </c>
      <c r="AI15" s="30">
        <f ca="1">IF(Table1341112[[#This Row],[Day]]=1,100*(1+Table1341112[[#This Row],[Return]]),AI14*(1+Table1341112[[#This Row],[Return]]))</f>
        <v>105</v>
      </c>
      <c r="AJ15" s="5">
        <f ca="1">EXP(-((30-Table1341112[[#This Row],[Day]])/30))</f>
        <v>0.39324072086859824</v>
      </c>
      <c r="AK15" s="7"/>
      <c r="AL15" s="7" t="str">
        <f ca="1">IF(Table1341112[[#This Row],[Day]]&lt;=7,"",MIN(IF(AI15&gt;=MAX(AI8:AI14),IFERROR(AVERAGE(AL8:AL14),-1%),AI15/MAX(AI8:AI14)-1),-1%))</f>
        <v/>
      </c>
      <c r="AM15" s="31"/>
      <c r="AO15" s="6">
        <f ca="1">AO14+1</f>
        <v>45599</v>
      </c>
      <c r="AP15">
        <f t="shared" ref="AP15:AP43" ca="1" si="8">AO15-$B$14+1</f>
        <v>2</v>
      </c>
      <c r="AQ15" s="3">
        <v>256378.49</v>
      </c>
      <c r="AR15" s="8">
        <v>1315.89</v>
      </c>
      <c r="AS15" s="3">
        <v>0</v>
      </c>
      <c r="AT15" s="7">
        <f>Table134111213[[#This Row],[$Return]]/AVERAGE(Table134111213[[#This Row],[Starting]],Table134111213[[#This Row],[Starting]]+Table134111213[[#This Row],[Inflows]])</f>
        <v>5.1326068735329557E-3</v>
      </c>
      <c r="AU15" s="4">
        <f t="shared" si="3"/>
        <v>257694.38</v>
      </c>
      <c r="AV15" s="30">
        <f ca="1">IF(Table134111213[[#This Row],[Day]]=1,100*(1+Table134111213[[#This Row],[Return]]),AV14*(1+Table134111213[[#This Row],[Return]]))</f>
        <v>100.51326068735329</v>
      </c>
      <c r="AW15" s="5">
        <f ca="1">EXP(-((30-Table134111213[[#This Row],[Day]])/30))</f>
        <v>0.39324072086859824</v>
      </c>
      <c r="AX15" s="7"/>
      <c r="AY15" s="7" t="str">
        <f ca="1">IF(Table134111213[[#This Row],[Day]]&lt;=7,"",MIN(IF(AV15&gt;=MAX(AV8:AV14),IFERROR(AVERAGE(AY8:AY14),-1%),AV15/MAX(AV8:AV14)-1),-1%))</f>
        <v/>
      </c>
      <c r="AZ15" s="31"/>
      <c r="BB15" s="6">
        <f ca="1">BB14+1</f>
        <v>45599</v>
      </c>
      <c r="BC15">
        <f t="shared" ref="BC15:BC43" ca="1" si="9">BB15-$B$14+1</f>
        <v>2</v>
      </c>
      <c r="BD15" s="3">
        <v>6847950.2699999996</v>
      </c>
      <c r="BE15" s="8">
        <v>14303.42</v>
      </c>
      <c r="BF15" s="3">
        <v>100000</v>
      </c>
      <c r="BG15" s="7">
        <f>Table13411121314[[#This Row],[$Return]]/AVERAGE(Table13411121314[[#This Row],[Starting]],Table13411121314[[#This Row],[Starting]]+Table13411121314[[#This Row],[Inflows]])</f>
        <v>2.073575401406888E-3</v>
      </c>
      <c r="BH15" s="4">
        <f t="shared" si="4"/>
        <v>6962253.6899999995</v>
      </c>
      <c r="BI15" s="30">
        <f ca="1">IF(Table13411121314[[#This Row],[Day]]=1,100*(1+Table13411121314[[#This Row],[Return]]),BI14*(1+Table13411121314[[#This Row],[Return]]))</f>
        <v>100.42495462702701</v>
      </c>
      <c r="BJ15" s="5">
        <f ca="1">EXP(-((30-Table13411121314[[#This Row],[Day]])/30))</f>
        <v>0.39324072086859824</v>
      </c>
      <c r="BK15" s="7"/>
      <c r="BL15" s="7" t="str">
        <f ca="1">IF(Table13411121314[[#This Row],[Day]]&lt;=7,"",MIN(IF(BI15&gt;=MAX(BI8:BI14),IFERROR(AVERAGE(BL8:BL14),-1%),BI15/MAX(BI8:BI14)-1),-1%))</f>
        <v/>
      </c>
      <c r="BM15" s="31"/>
    </row>
    <row r="16" spans="2:65" x14ac:dyDescent="0.45">
      <c r="B16" s="6">
        <f t="shared" ref="B16:B43" ca="1" si="10">B15+1</f>
        <v>45600</v>
      </c>
      <c r="C16">
        <f t="shared" ca="1" si="5"/>
        <v>3</v>
      </c>
      <c r="D16" s="3">
        <f t="shared" ref="D16:D43" si="11">H15</f>
        <v>99254</v>
      </c>
      <c r="E16" s="8">
        <v>4769</v>
      </c>
      <c r="F16" s="3">
        <v>332</v>
      </c>
      <c r="G16" s="7">
        <f>Table1310[[#This Row],[$Return]]/AVERAGE(Table1310[[#This Row],[Starting]],Table1310[[#This Row],[Starting]]+Table1310[[#This Row],[Inflows]])</f>
        <v>4.7968215650774491E-2</v>
      </c>
      <c r="H16" s="4">
        <f t="shared" si="0"/>
        <v>104355</v>
      </c>
      <c r="I16" s="30">
        <f ca="1">IF(Table1310[[#This Row],[Day]]=1,100*(1+Table1310[[#This Row],[Return]]),I15*(1+Table1310[[#This Row],[Return]]))</f>
        <v>102.54781841502458</v>
      </c>
      <c r="J16" s="5">
        <f ca="1">EXP(-((30-Table1310[[#This Row],[Day]])/30))</f>
        <v>0.40656965974059911</v>
      </c>
      <c r="K16" s="7"/>
      <c r="L16" s="7" t="str">
        <f ca="1">IF(Table1310[[#This Row],[Day]]&lt;=7,"",MIN(IF(I16&gt;=MAX(I9:I15),IFERROR(AVERAGE(L9:L15),-1%),I16/MAX(I9:I15)-1),-1%))</f>
        <v/>
      </c>
      <c r="M16" s="31"/>
      <c r="O16" s="6">
        <f t="shared" ref="O16:O43" ca="1" si="12">O15+1</f>
        <v>45600</v>
      </c>
      <c r="P16">
        <f t="shared" ca="1" si="6"/>
        <v>3</v>
      </c>
      <c r="Q16" s="3">
        <f t="shared" ref="Q16:Q43" si="13">U15</f>
        <v>100523</v>
      </c>
      <c r="R16" s="8">
        <v>-241</v>
      </c>
      <c r="S16" s="3">
        <v>0</v>
      </c>
      <c r="T16" s="7">
        <f>Table13411[[#This Row],[$Return]]/AVERAGE(Table13411[[#This Row],[Starting]],Table13411[[#This Row],[Starting]]+Table13411[[#This Row],[Inflows]])</f>
        <v>-2.397461277518578E-3</v>
      </c>
      <c r="U16" s="4">
        <f t="shared" si="1"/>
        <v>100282</v>
      </c>
      <c r="V16" s="30">
        <f ca="1">IF(Table13411[[#This Row],[Day]]=1,100,V15*(1+Table13411[[#This Row],[Return]]))</f>
        <v>100.282</v>
      </c>
      <c r="W16" s="5">
        <f ca="1">EXP(-((30-Table13411[[#This Row],[Day]])/30))</f>
        <v>0.40656965974059911</v>
      </c>
      <c r="X16" s="7"/>
      <c r="Y16" s="7" t="str">
        <f ca="1">IF(Table13411[[#This Row],[Day]]&lt;=7,"",MIN(IF(V16&gt;=MAX(V9:V15),IFERROR(AVERAGE(Y9:Y15),-1%),V16/MAX(V9:V15)-1),-1%))</f>
        <v/>
      </c>
      <c r="Z16" s="31"/>
      <c r="AB16" s="6">
        <f t="shared" ref="AB16:AB43" ca="1" si="14">AB15+1</f>
        <v>45600</v>
      </c>
      <c r="AC16">
        <f t="shared" ca="1" si="7"/>
        <v>3</v>
      </c>
      <c r="AD16" s="3">
        <f t="shared" ref="AD16:AD43" si="15">AH15</f>
        <v>105000</v>
      </c>
      <c r="AE16" s="8">
        <v>10000</v>
      </c>
      <c r="AF16" s="3">
        <v>0</v>
      </c>
      <c r="AG16" s="7">
        <f>Table1341112[[#This Row],[$Return]]/AVERAGE(Table1341112[[#This Row],[Starting]],Table1341112[[#This Row],[Starting]]+Table1341112[[#This Row],[Inflows]])</f>
        <v>9.5238095238095233E-2</v>
      </c>
      <c r="AH16" s="4">
        <f t="shared" si="2"/>
        <v>115000</v>
      </c>
      <c r="AI16" s="30">
        <f ca="1">IF(Table1341112[[#This Row],[Day]]=1,100*(1+Table1341112[[#This Row],[Return]]),AI15*(1+Table1341112[[#This Row],[Return]]))</f>
        <v>115.00000000000001</v>
      </c>
      <c r="AJ16" s="5">
        <f ca="1">EXP(-((30-Table1341112[[#This Row],[Day]])/30))</f>
        <v>0.40656965974059911</v>
      </c>
      <c r="AK16" s="7"/>
      <c r="AL16" s="7" t="str">
        <f ca="1">IF(Table1341112[[#This Row],[Day]]&lt;=7,"",MIN(IF(AI16&gt;=MAX(AI9:AI15),IFERROR(AVERAGE(AL9:AL15),-1%),AI16/MAX(AI9:AI15)-1),-1%))</f>
        <v/>
      </c>
      <c r="AM16" s="31"/>
      <c r="AO16" s="6">
        <f t="shared" ref="AO16:AO43" ca="1" si="16">AO15+1</f>
        <v>45600</v>
      </c>
      <c r="AP16">
        <f t="shared" ca="1" si="8"/>
        <v>3</v>
      </c>
      <c r="AQ16" s="3">
        <v>256788.32</v>
      </c>
      <c r="AR16" s="8">
        <v>409.82</v>
      </c>
      <c r="AS16" s="3">
        <v>0</v>
      </c>
      <c r="AT16" s="7">
        <f>Table134111213[[#This Row],[$Return]]/AVERAGE(Table134111213[[#This Row],[Starting]],Table134111213[[#This Row],[Starting]]+Table134111213[[#This Row],[Inflows]])</f>
        <v>1.5959448622896867E-3</v>
      </c>
      <c r="AU16" s="4">
        <f t="shared" si="3"/>
        <v>257198.14</v>
      </c>
      <c r="AV16" s="30">
        <f ca="1">IF(Table134111213[[#This Row],[Day]]=1,100*(1+Table134111213[[#This Row],[Return]]),AV15*(1+Table134111213[[#This Row],[Return]]))</f>
        <v>100.67367430933926</v>
      </c>
      <c r="AW16" s="5">
        <f ca="1">EXP(-((30-Table134111213[[#This Row],[Day]])/30))</f>
        <v>0.40656965974059911</v>
      </c>
      <c r="AX16" s="7"/>
      <c r="AY16" s="7" t="str">
        <f ca="1">IF(Table134111213[[#This Row],[Day]]&lt;=7,"",MIN(IF(AV16&gt;=MAX(AV9:AV15),IFERROR(AVERAGE(AY9:AY15),-1%),AV16/MAX(AV9:AV15)-1),-1%))</f>
        <v/>
      </c>
      <c r="AZ16" s="31"/>
      <c r="BB16" s="6">
        <f t="shared" ref="BB16:BB43" ca="1" si="17">BB15+1</f>
        <v>45600</v>
      </c>
      <c r="BC16">
        <f t="shared" ca="1" si="9"/>
        <v>3</v>
      </c>
      <c r="BD16" s="3">
        <v>6946892.1200000001</v>
      </c>
      <c r="BE16" s="8">
        <v>-1058.1600000000001</v>
      </c>
      <c r="BF16" s="3">
        <v>0</v>
      </c>
      <c r="BG16" s="7">
        <f>Table13411121314[[#This Row],[$Return]]/AVERAGE(Table13411121314[[#This Row],[Starting]],Table13411121314[[#This Row],[Starting]]+Table13411121314[[#This Row],[Inflows]])</f>
        <v>-1.5232135201201312E-4</v>
      </c>
      <c r="BH16" s="4">
        <f t="shared" si="4"/>
        <v>6945833.96</v>
      </c>
      <c r="BI16" s="30">
        <f ca="1">IF(Table13411121314[[#This Row],[Day]]=1,100*(1+Table13411121314[[#This Row],[Return]]),BI15*(1+Table13411121314[[#This Row],[Return]]))</f>
        <v>100.40965776216247</v>
      </c>
      <c r="BJ16" s="5">
        <f ca="1">EXP(-((30-Table13411121314[[#This Row],[Day]])/30))</f>
        <v>0.40656965974059911</v>
      </c>
      <c r="BK16" s="7"/>
      <c r="BL16" s="7" t="str">
        <f ca="1">IF(Table13411121314[[#This Row],[Day]]&lt;=7,"",MIN(IF(BI16&gt;=MAX(BI9:BI15),IFERROR(AVERAGE(BL9:BL15),-1%),BI16/MAX(BI9:BI15)-1),-1%))</f>
        <v/>
      </c>
      <c r="BM16" s="31"/>
    </row>
    <row r="17" spans="2:65" x14ac:dyDescent="0.45">
      <c r="B17" s="6">
        <f t="shared" ca="1" si="10"/>
        <v>45601</v>
      </c>
      <c r="C17">
        <f t="shared" ca="1" si="5"/>
        <v>4</v>
      </c>
      <c r="D17" s="3">
        <f t="shared" si="11"/>
        <v>104355</v>
      </c>
      <c r="E17" s="8">
        <v>56</v>
      </c>
      <c r="F17" s="3">
        <v>929</v>
      </c>
      <c r="G17" s="7">
        <f>Table1310[[#This Row],[$Return]]/AVERAGE(Table1310[[#This Row],[Starting]],Table1310[[#This Row],[Starting]]+Table1310[[#This Row],[Inflows]])</f>
        <v>5.342517375106731E-4</v>
      </c>
      <c r="H17" s="4">
        <f t="shared" si="0"/>
        <v>105340</v>
      </c>
      <c r="I17" s="30">
        <f ca="1">IF(Table1310[[#This Row],[Day]]=1,100*(1+Table1310[[#This Row],[Return]]),I16*(1+Table1310[[#This Row],[Return]]))</f>
        <v>102.60260476519073</v>
      </c>
      <c r="J17" s="5">
        <f ca="1">EXP(-((30-Table1310[[#This Row],[Day]])/30))</f>
        <v>0.4203503845086819</v>
      </c>
      <c r="K17" s="7"/>
      <c r="L17" s="7" t="str">
        <f ca="1">IF(Table1310[[#This Row],[Day]]&lt;=7,"",MIN(IF(I17&gt;=MAX(I10:I16),IFERROR(AVERAGE(L10:L16),-1%),I17/MAX(I10:I16)-1),-1%))</f>
        <v/>
      </c>
      <c r="M17" s="31"/>
      <c r="O17" s="6">
        <f t="shared" ca="1" si="12"/>
        <v>45601</v>
      </c>
      <c r="P17">
        <f t="shared" ca="1" si="6"/>
        <v>4</v>
      </c>
      <c r="Q17" s="3">
        <f t="shared" si="13"/>
        <v>100282</v>
      </c>
      <c r="R17" s="8">
        <v>-144</v>
      </c>
      <c r="S17" s="3">
        <v>0</v>
      </c>
      <c r="T17" s="7">
        <f>Table13411[[#This Row],[$Return]]/AVERAGE(Table13411[[#This Row],[Starting]],Table13411[[#This Row],[Starting]]+Table13411[[#This Row],[Inflows]])</f>
        <v>-1.4359506192537046E-3</v>
      </c>
      <c r="U17" s="4">
        <f t="shared" si="1"/>
        <v>100138</v>
      </c>
      <c r="V17" s="30">
        <f ca="1">IF(Table13411[[#This Row],[Day]]=1,100,V16*(1+Table13411[[#This Row],[Return]]))</f>
        <v>100.13799999999999</v>
      </c>
      <c r="W17" s="5">
        <f ca="1">EXP(-((30-Table13411[[#This Row],[Day]])/30))</f>
        <v>0.4203503845086819</v>
      </c>
      <c r="X17" s="7"/>
      <c r="Y17" s="7" t="str">
        <f ca="1">IF(Table13411[[#This Row],[Day]]&lt;=7,"",MIN(IF(V17&gt;=MAX(V10:V16),IFERROR(AVERAGE(Y10:Y16),-1%),V17/MAX(V10:V16)-1),-1%))</f>
        <v/>
      </c>
      <c r="Z17" s="31"/>
      <c r="AB17" s="6">
        <f t="shared" ca="1" si="14"/>
        <v>45601</v>
      </c>
      <c r="AC17">
        <f t="shared" ca="1" si="7"/>
        <v>4</v>
      </c>
      <c r="AD17" s="3">
        <f t="shared" si="15"/>
        <v>115000</v>
      </c>
      <c r="AE17" s="8">
        <v>-7500</v>
      </c>
      <c r="AF17" s="3">
        <v>0</v>
      </c>
      <c r="AG17" s="7">
        <f>Table1341112[[#This Row],[$Return]]/AVERAGE(Table1341112[[#This Row],[Starting]],Table1341112[[#This Row],[Starting]]+Table1341112[[#This Row],[Inflows]])</f>
        <v>-6.5217391304347824E-2</v>
      </c>
      <c r="AH17" s="4">
        <f t="shared" si="2"/>
        <v>107500</v>
      </c>
      <c r="AI17" s="30">
        <f ca="1">IF(Table1341112[[#This Row],[Day]]=1,100*(1+Table1341112[[#This Row],[Return]]),AI16*(1+Table1341112[[#This Row],[Return]]))</f>
        <v>107.50000000000001</v>
      </c>
      <c r="AJ17" s="5">
        <f ca="1">EXP(-((30-Table1341112[[#This Row],[Day]])/30))</f>
        <v>0.4203503845086819</v>
      </c>
      <c r="AK17" s="7"/>
      <c r="AL17" s="7" t="str">
        <f ca="1">IF(Table1341112[[#This Row],[Day]]&lt;=7,"",MIN(IF(AI17&gt;=MAX(AI10:AI16),IFERROR(AVERAGE(AL10:AL16),-1%),AI17/MAX(AI10:AI16)-1),-1%))</f>
        <v/>
      </c>
      <c r="AM17" s="31"/>
      <c r="AO17" s="6">
        <f t="shared" ca="1" si="16"/>
        <v>45601</v>
      </c>
      <c r="AP17">
        <f t="shared" ca="1" si="8"/>
        <v>4</v>
      </c>
      <c r="AQ17" s="3">
        <v>257654.66</v>
      </c>
      <c r="AR17" s="8">
        <v>866.34</v>
      </c>
      <c r="AS17" s="3">
        <v>0</v>
      </c>
      <c r="AT17" s="7">
        <f>Table134111213[[#This Row],[$Return]]/AVERAGE(Table134111213[[#This Row],[Starting]],Table134111213[[#This Row],[Starting]]+Table134111213[[#This Row],[Inflows]])</f>
        <v>3.3624076506126458E-3</v>
      </c>
      <c r="AU17" s="4">
        <f t="shared" si="3"/>
        <v>258521</v>
      </c>
      <c r="AV17" s="30">
        <f ca="1">IF(Table134111213[[#This Row],[Day]]=1,100*(1+Table134111213[[#This Row],[Return]]),AV16*(1+Table134111213[[#This Row],[Return]]))</f>
        <v>101.01218024205227</v>
      </c>
      <c r="AW17" s="5">
        <f ca="1">EXP(-((30-Table134111213[[#This Row],[Day]])/30))</f>
        <v>0.4203503845086819</v>
      </c>
      <c r="AX17" s="7"/>
      <c r="AY17" s="7" t="str">
        <f ca="1">IF(Table134111213[[#This Row],[Day]]&lt;=7,"",MIN(IF(AV17&gt;=MAX(AV10:AV16),IFERROR(AVERAGE(AY10:AY16),-1%),AV17/MAX(AV10:AV16)-1),-1%))</f>
        <v/>
      </c>
      <c r="AZ17" s="31"/>
      <c r="BB17" s="6">
        <f t="shared" ca="1" si="17"/>
        <v>45601</v>
      </c>
      <c r="BC17">
        <f t="shared" ca="1" si="9"/>
        <v>4</v>
      </c>
      <c r="BD17" s="3">
        <v>6950007.6600000001</v>
      </c>
      <c r="BE17" s="8">
        <v>3115.54</v>
      </c>
      <c r="BF17" s="3">
        <v>0</v>
      </c>
      <c r="BG17" s="7">
        <f>Table13411121314[[#This Row],[$Return]]/AVERAGE(Table13411121314[[#This Row],[Starting]],Table13411121314[[#This Row],[Starting]]+Table13411121314[[#This Row],[Inflows]])</f>
        <v>4.4827864261663274E-4</v>
      </c>
      <c r="BH17" s="4">
        <f t="shared" si="4"/>
        <v>6953123.2000000002</v>
      </c>
      <c r="BI17" s="30">
        <f ca="1">IF(Table13411121314[[#This Row],[Day]]=1,100*(1+Table13411121314[[#This Row],[Return]]),BI16*(1+Table13411121314[[#This Row],[Return]]))</f>
        <v>100.45466926724968</v>
      </c>
      <c r="BJ17" s="5">
        <f ca="1">EXP(-((30-Table13411121314[[#This Row],[Day]])/30))</f>
        <v>0.4203503845086819</v>
      </c>
      <c r="BK17" s="7"/>
      <c r="BL17" s="7" t="str">
        <f ca="1">IF(Table13411121314[[#This Row],[Day]]&lt;=7,"",MIN(IF(BI17&gt;=MAX(BI10:BI16),IFERROR(AVERAGE(BL10:BL16),-1%),BI17/MAX(BI10:BI16)-1),-1%))</f>
        <v/>
      </c>
      <c r="BM17" s="31"/>
    </row>
    <row r="18" spans="2:65" x14ac:dyDescent="0.45">
      <c r="B18" s="6">
        <f t="shared" ca="1" si="10"/>
        <v>45602</v>
      </c>
      <c r="C18">
        <f t="shared" ca="1" si="5"/>
        <v>5</v>
      </c>
      <c r="D18" s="3">
        <f t="shared" si="11"/>
        <v>105340</v>
      </c>
      <c r="E18" s="8">
        <v>3711</v>
      </c>
      <c r="F18" s="3">
        <v>220</v>
      </c>
      <c r="G18" s="7">
        <f>Table1310[[#This Row],[$Return]]/AVERAGE(Table1310[[#This Row],[Starting]],Table1310[[#This Row],[Starting]]+Table1310[[#This Row],[Inflows]])</f>
        <v>3.5192034139402563E-2</v>
      </c>
      <c r="H18" s="4">
        <f t="shared" si="0"/>
        <v>109271</v>
      </c>
      <c r="I18" s="30">
        <f ca="1">IF(Table1310[[#This Row],[Day]]=1,100*(1+Table1310[[#This Row],[Return]]),I17*(1+Table1310[[#This Row],[Return]]))</f>
        <v>106.21339913487896</v>
      </c>
      <c r="J18" s="5">
        <f ca="1">EXP(-((30-Table1310[[#This Row],[Day]])/30))</f>
        <v>0.4345982085070782</v>
      </c>
      <c r="K18" s="7"/>
      <c r="L18" s="7" t="str">
        <f ca="1">IF(Table1310[[#This Row],[Day]]&lt;=7,"",MIN(IF(I18&gt;=MAX(I11:I17),IFERROR(AVERAGE(L11:L17),-1%),I18/MAX(I11:I17)-1),-1%))</f>
        <v/>
      </c>
      <c r="M18" s="31"/>
      <c r="O18" s="6">
        <f t="shared" ca="1" si="12"/>
        <v>45602</v>
      </c>
      <c r="P18">
        <f t="shared" ca="1" si="6"/>
        <v>5</v>
      </c>
      <c r="Q18" s="3">
        <f t="shared" si="13"/>
        <v>100138</v>
      </c>
      <c r="R18" s="8">
        <v>191</v>
      </c>
      <c r="S18" s="3">
        <v>0</v>
      </c>
      <c r="T18" s="7">
        <f>Table13411[[#This Row],[$Return]]/AVERAGE(Table13411[[#This Row],[Starting]],Table13411[[#This Row],[Starting]]+Table13411[[#This Row],[Inflows]])</f>
        <v>1.9073678323913001E-3</v>
      </c>
      <c r="U18" s="4">
        <f t="shared" si="1"/>
        <v>100329</v>
      </c>
      <c r="V18" s="30">
        <f ca="1">IF(Table13411[[#This Row],[Day]]=1,100,V17*(1+Table13411[[#This Row],[Return]]))</f>
        <v>100.32899999999999</v>
      </c>
      <c r="W18" s="5">
        <f ca="1">EXP(-((30-Table13411[[#This Row],[Day]])/30))</f>
        <v>0.4345982085070782</v>
      </c>
      <c r="X18" s="7"/>
      <c r="Y18" s="7" t="str">
        <f ca="1">IF(Table13411[[#This Row],[Day]]&lt;=7,"",MIN(IF(V18&gt;=MAX(V11:V17),IFERROR(AVERAGE(Y11:Y17),-1%),V18/MAX(V11:V17)-1),-1%))</f>
        <v/>
      </c>
      <c r="Z18" s="31"/>
      <c r="AB18" s="6">
        <f t="shared" ca="1" si="14"/>
        <v>45602</v>
      </c>
      <c r="AC18">
        <f t="shared" ca="1" si="7"/>
        <v>5</v>
      </c>
      <c r="AD18" s="3">
        <f t="shared" si="15"/>
        <v>107500</v>
      </c>
      <c r="AE18" s="8">
        <v>20000</v>
      </c>
      <c r="AF18" s="3">
        <v>0</v>
      </c>
      <c r="AG18" s="7">
        <f>Table1341112[[#This Row],[$Return]]/AVERAGE(Table1341112[[#This Row],[Starting]],Table1341112[[#This Row],[Starting]]+Table1341112[[#This Row],[Inflows]])</f>
        <v>0.18604651162790697</v>
      </c>
      <c r="AH18" s="4">
        <f t="shared" si="2"/>
        <v>127500</v>
      </c>
      <c r="AI18" s="30">
        <f ca="1">IF(Table1341112[[#This Row],[Day]]=1,100*(1+Table1341112[[#This Row],[Return]]),AI17*(1+Table1341112[[#This Row],[Return]]))</f>
        <v>127.5</v>
      </c>
      <c r="AJ18" s="5">
        <f ca="1">EXP(-((30-Table1341112[[#This Row],[Day]])/30))</f>
        <v>0.4345982085070782</v>
      </c>
      <c r="AK18" s="7"/>
      <c r="AL18" s="7" t="str">
        <f ca="1">IF(Table1341112[[#This Row],[Day]]&lt;=7,"",MIN(IF(AI18&gt;=MAX(AI11:AI17),IFERROR(AVERAGE(AL11:AL17),-1%),AI18/MAX(AI11:AI17)-1),-1%))</f>
        <v/>
      </c>
      <c r="AM18" s="31"/>
      <c r="AO18" s="6">
        <f t="shared" ca="1" si="16"/>
        <v>45602</v>
      </c>
      <c r="AP18">
        <f t="shared" ca="1" si="8"/>
        <v>5</v>
      </c>
      <c r="AQ18" s="3">
        <v>259402.77</v>
      </c>
      <c r="AR18" s="8">
        <v>1748.11</v>
      </c>
      <c r="AS18" s="3">
        <v>0</v>
      </c>
      <c r="AT18" s="7">
        <f>Table134111213[[#This Row],[$Return]]/AVERAGE(Table134111213[[#This Row],[Starting]],Table134111213[[#This Row],[Starting]]+Table134111213[[#This Row],[Inflows]])</f>
        <v>6.7389796955522104E-3</v>
      </c>
      <c r="AU18" s="4">
        <f t="shared" si="3"/>
        <v>261150.87999999998</v>
      </c>
      <c r="AV18" s="30">
        <f ca="1">IF(Table134111213[[#This Row],[Day]]=1,100*(1+Table134111213[[#This Row],[Return]]),AV17*(1+Table134111213[[#This Row],[Return]]))</f>
        <v>101.69289927370691</v>
      </c>
      <c r="AW18" s="5">
        <f ca="1">EXP(-((30-Table134111213[[#This Row],[Day]])/30))</f>
        <v>0.4345982085070782</v>
      </c>
      <c r="AX18" s="7"/>
      <c r="AY18" s="7" t="str">
        <f ca="1">IF(Table134111213[[#This Row],[Day]]&lt;=7,"",MIN(IF(AV18&gt;=MAX(AV11:AV17),IFERROR(AVERAGE(AY11:AY17),-1%),AV18/MAX(AV11:AV17)-1),-1%))</f>
        <v/>
      </c>
      <c r="AZ18" s="31"/>
      <c r="BB18" s="6">
        <f t="shared" ca="1" si="17"/>
        <v>45602</v>
      </c>
      <c r="BC18">
        <f t="shared" ca="1" si="9"/>
        <v>5</v>
      </c>
      <c r="BD18" s="3">
        <v>6955453.8399999999</v>
      </c>
      <c r="BE18" s="8">
        <v>5446.18</v>
      </c>
      <c r="BF18" s="3">
        <v>0</v>
      </c>
      <c r="BG18" s="7">
        <f>Table13411121314[[#This Row],[$Return]]/AVERAGE(Table13411121314[[#This Row],[Starting]],Table13411121314[[#This Row],[Starting]]+Table13411121314[[#This Row],[Inflows]])</f>
        <v>7.8300857503785844E-4</v>
      </c>
      <c r="BH18" s="4">
        <f t="shared" si="4"/>
        <v>6960900.0199999996</v>
      </c>
      <c r="BI18" s="30">
        <f ca="1">IF(Table13411121314[[#This Row],[Day]]=1,100*(1+Table13411121314[[#This Row],[Return]]),BI17*(1+Table13411121314[[#This Row],[Return]]))</f>
        <v>100.53332613468852</v>
      </c>
      <c r="BJ18" s="5">
        <f ca="1">EXP(-((30-Table13411121314[[#This Row],[Day]])/30))</f>
        <v>0.4345982085070782</v>
      </c>
      <c r="BK18" s="7"/>
      <c r="BL18" s="7" t="str">
        <f ca="1">IF(Table13411121314[[#This Row],[Day]]&lt;=7,"",MIN(IF(BI18&gt;=MAX(BI11:BI17),IFERROR(AVERAGE(BL11:BL17),-1%),BI18/MAX(BI11:BI17)-1),-1%))</f>
        <v/>
      </c>
      <c r="BM18" s="31"/>
    </row>
    <row r="19" spans="2:65" x14ac:dyDescent="0.45">
      <c r="B19" s="6">
        <f t="shared" ca="1" si="10"/>
        <v>45603</v>
      </c>
      <c r="C19">
        <f t="shared" ca="1" si="5"/>
        <v>6</v>
      </c>
      <c r="D19" s="3">
        <f t="shared" si="11"/>
        <v>109271</v>
      </c>
      <c r="E19" s="8">
        <v>-1299</v>
      </c>
      <c r="F19" s="3">
        <v>168</v>
      </c>
      <c r="G19" s="7">
        <f>Table1310[[#This Row],[$Return]]/AVERAGE(Table1310[[#This Row],[Starting]],Table1310[[#This Row],[Starting]]+Table1310[[#This Row],[Inflows]])</f>
        <v>-1.1878743541676192E-2</v>
      </c>
      <c r="H19" s="4">
        <f t="shared" si="0"/>
        <v>108140</v>
      </c>
      <c r="I19" s="30">
        <f ca="1">IF(Table1310[[#This Row],[Day]]=1,100*(1+Table1310[[#This Row],[Return]]),I18*(1+Table1310[[#This Row],[Return]]))</f>
        <v>104.95171740586603</v>
      </c>
      <c r="J19" s="5">
        <f ca="1">EXP(-((30-Table1310[[#This Row],[Day]])/30))</f>
        <v>0.44932896411722156</v>
      </c>
      <c r="K19" s="7"/>
      <c r="L19" s="7" t="str">
        <f ca="1">IF(Table1310[[#This Row],[Day]]&lt;=7,"",MIN(IF(I19&gt;=MAX(I12:I18),IFERROR(AVERAGE(L12:L18),-1%),I19/MAX(I12:I18)-1),-1%))</f>
        <v/>
      </c>
      <c r="M19" s="31"/>
      <c r="O19" s="6">
        <f t="shared" ca="1" si="12"/>
        <v>45603</v>
      </c>
      <c r="P19">
        <f t="shared" ca="1" si="6"/>
        <v>6</v>
      </c>
      <c r="Q19" s="3">
        <f t="shared" si="13"/>
        <v>100329</v>
      </c>
      <c r="R19" s="8">
        <v>-91</v>
      </c>
      <c r="S19" s="3">
        <v>0</v>
      </c>
      <c r="T19" s="7">
        <f>Table13411[[#This Row],[$Return]]/AVERAGE(Table13411[[#This Row],[Starting]],Table13411[[#This Row],[Starting]]+Table13411[[#This Row],[Inflows]])</f>
        <v>-9.0701591763099403E-4</v>
      </c>
      <c r="U19" s="4">
        <f t="shared" si="1"/>
        <v>100238</v>
      </c>
      <c r="V19" s="30">
        <f ca="1">IF(Table13411[[#This Row],[Day]]=1,100,V18*(1+Table13411[[#This Row],[Return]]))</f>
        <v>100.238</v>
      </c>
      <c r="W19" s="5">
        <f ca="1">EXP(-((30-Table13411[[#This Row],[Day]])/30))</f>
        <v>0.44932896411722156</v>
      </c>
      <c r="X19" s="7"/>
      <c r="Y19" s="7" t="str">
        <f ca="1">IF(Table13411[[#This Row],[Day]]&lt;=7,"",MIN(IF(V19&gt;=MAX(V12:V18),IFERROR(AVERAGE(Y12:Y18),-1%),V19/MAX(V12:V18)-1),-1%))</f>
        <v/>
      </c>
      <c r="Z19" s="31"/>
      <c r="AB19" s="6">
        <f t="shared" ca="1" si="14"/>
        <v>45603</v>
      </c>
      <c r="AC19">
        <f t="shared" ca="1" si="7"/>
        <v>6</v>
      </c>
      <c r="AD19" s="3">
        <f t="shared" si="15"/>
        <v>127500</v>
      </c>
      <c r="AE19" s="8">
        <v>-10000</v>
      </c>
      <c r="AF19" s="3">
        <v>0</v>
      </c>
      <c r="AG19" s="7">
        <f>Table1341112[[#This Row],[$Return]]/AVERAGE(Table1341112[[#This Row],[Starting]],Table1341112[[#This Row],[Starting]]+Table1341112[[#This Row],[Inflows]])</f>
        <v>-7.8431372549019607E-2</v>
      </c>
      <c r="AH19" s="4">
        <f t="shared" si="2"/>
        <v>117500</v>
      </c>
      <c r="AI19" s="30">
        <f ca="1">IF(Table1341112[[#This Row],[Day]]=1,100*(1+Table1341112[[#This Row],[Return]]),AI18*(1+Table1341112[[#This Row],[Return]]))</f>
        <v>117.50000000000001</v>
      </c>
      <c r="AJ19" s="5">
        <f ca="1">EXP(-((30-Table1341112[[#This Row],[Day]])/30))</f>
        <v>0.44932896411722156</v>
      </c>
      <c r="AK19" s="7"/>
      <c r="AL19" s="7" t="str">
        <f ca="1">IF(Table1341112[[#This Row],[Day]]&lt;=7,"",MIN(IF(AI19&gt;=MAX(AI12:AI18),IFERROR(AVERAGE(AL12:AL18),-1%),AI19/MAX(AI12:AI18)-1),-1%))</f>
        <v/>
      </c>
      <c r="AM19" s="31"/>
      <c r="AO19" s="6">
        <f t="shared" ca="1" si="16"/>
        <v>45603</v>
      </c>
      <c r="AP19">
        <f t="shared" ca="1" si="8"/>
        <v>6</v>
      </c>
      <c r="AQ19" s="3">
        <v>259090.49</v>
      </c>
      <c r="AR19" s="8">
        <v>-312.27999999999997</v>
      </c>
      <c r="AS19" s="3">
        <v>0</v>
      </c>
      <c r="AT19" s="7">
        <f>Table134111213[[#This Row],[$Return]]/AVERAGE(Table134111213[[#This Row],[Starting]],Table134111213[[#This Row],[Starting]]+Table134111213[[#This Row],[Inflows]])</f>
        <v>-1.2052931776847539E-3</v>
      </c>
      <c r="AU19" s="4">
        <f t="shared" si="3"/>
        <v>258778.21</v>
      </c>
      <c r="AV19" s="30">
        <f ca="1">IF(Table134111213[[#This Row],[Day]]=1,100*(1+Table134111213[[#This Row],[Return]]),AV18*(1+Table134111213[[#This Row],[Return]]))</f>
        <v>101.57032951599332</v>
      </c>
      <c r="AW19" s="5">
        <f ca="1">EXP(-((30-Table134111213[[#This Row],[Day]])/30))</f>
        <v>0.44932896411722156</v>
      </c>
      <c r="AX19" s="7"/>
      <c r="AY19" s="7" t="str">
        <f ca="1">IF(Table134111213[[#This Row],[Day]]&lt;=7,"",MIN(IF(AV19&gt;=MAX(AV12:AV18),IFERROR(AVERAGE(AY12:AY18),-1%),AV19/MAX(AV12:AV18)-1),-1%))</f>
        <v/>
      </c>
      <c r="AZ19" s="31"/>
      <c r="BB19" s="6">
        <f t="shared" ca="1" si="17"/>
        <v>45603</v>
      </c>
      <c r="BC19">
        <f t="shared" ca="1" si="9"/>
        <v>6</v>
      </c>
      <c r="BD19" s="3">
        <v>6959017.7999999998</v>
      </c>
      <c r="BE19" s="8">
        <v>3563.96</v>
      </c>
      <c r="BF19" s="3">
        <v>0</v>
      </c>
      <c r="BG19" s="7">
        <f>Table13411121314[[#This Row],[$Return]]/AVERAGE(Table13411121314[[#This Row],[Starting]],Table13411121314[[#This Row],[Starting]]+Table13411121314[[#This Row],[Inflows]])</f>
        <v>5.1213549130453442E-4</v>
      </c>
      <c r="BH19" s="4">
        <f t="shared" si="4"/>
        <v>6962581.7599999998</v>
      </c>
      <c r="BI19" s="30">
        <f ca="1">IF(Table13411121314[[#This Row],[Day]]=1,100*(1+Table13411121314[[#This Row],[Return]]),BI18*(1+Table13411121314[[#This Row],[Return]]))</f>
        <v>100.58481281906099</v>
      </c>
      <c r="BJ19" s="5">
        <f ca="1">EXP(-((30-Table13411121314[[#This Row],[Day]])/30))</f>
        <v>0.44932896411722156</v>
      </c>
      <c r="BK19" s="7"/>
      <c r="BL19" s="7" t="str">
        <f ca="1">IF(Table13411121314[[#This Row],[Day]]&lt;=7,"",MIN(IF(BI19&gt;=MAX(BI12:BI18),IFERROR(AVERAGE(BL12:BL18),-1%),BI19/MAX(BI12:BI18)-1),-1%))</f>
        <v/>
      </c>
      <c r="BM19" s="31"/>
    </row>
    <row r="20" spans="2:65" x14ac:dyDescent="0.45">
      <c r="B20" s="6">
        <f t="shared" ca="1" si="10"/>
        <v>45604</v>
      </c>
      <c r="C20">
        <f t="shared" ca="1" si="5"/>
        <v>7</v>
      </c>
      <c r="D20" s="3">
        <f t="shared" si="11"/>
        <v>108140</v>
      </c>
      <c r="E20" s="8">
        <v>-1244</v>
      </c>
      <c r="F20" s="3">
        <v>48</v>
      </c>
      <c r="G20" s="7">
        <f>Table1310[[#This Row],[$Return]]/AVERAGE(Table1310[[#This Row],[Starting]],Table1310[[#This Row],[Starting]]+Table1310[[#This Row],[Inflows]])</f>
        <v>-1.1501053955105211E-2</v>
      </c>
      <c r="H20" s="4">
        <f t="shared" si="0"/>
        <v>106944</v>
      </c>
      <c r="I20" s="30">
        <f ca="1">IF(Table1310[[#This Row],[Day]]=1,100*(1+Table1310[[#This Row],[Return]]),I19*(1+Table1310[[#This Row],[Return]]))</f>
        <v>103.74466204130022</v>
      </c>
      <c r="J20" s="5">
        <f ca="1">EXP(-((30-Table1310[[#This Row],[Day]])/30))</f>
        <v>0.46455902036091146</v>
      </c>
      <c r="K20" s="7"/>
      <c r="L20" s="7" t="str">
        <f ca="1">IF(Table1310[[#This Row],[Day]]&lt;=7,"",MIN(IF(I20&gt;=MAX(I13:I19),IFERROR(AVERAGE(L13:L19),-1%),I20/MAX(I13:I19)-1),-1%))</f>
        <v/>
      </c>
      <c r="M20" s="31"/>
      <c r="O20" s="6">
        <f t="shared" ca="1" si="12"/>
        <v>45604</v>
      </c>
      <c r="P20">
        <f t="shared" ca="1" si="6"/>
        <v>7</v>
      </c>
      <c r="Q20" s="3">
        <f t="shared" si="13"/>
        <v>100238</v>
      </c>
      <c r="R20" s="8">
        <v>-991</v>
      </c>
      <c r="S20" s="3">
        <v>0</v>
      </c>
      <c r="T20" s="7">
        <f>Table13411[[#This Row],[$Return]]/AVERAGE(Table13411[[#This Row],[Starting]],Table13411[[#This Row],[Starting]]+Table13411[[#This Row],[Inflows]])</f>
        <v>-9.8864702009218066E-3</v>
      </c>
      <c r="U20" s="4">
        <f t="shared" si="1"/>
        <v>99247</v>
      </c>
      <c r="V20" s="30">
        <f ca="1">IF(Table13411[[#This Row],[Day]]=1,100,V19*(1+Table13411[[#This Row],[Return]]))</f>
        <v>99.247</v>
      </c>
      <c r="W20" s="5">
        <f ca="1">EXP(-((30-Table13411[[#This Row],[Day]])/30))</f>
        <v>0.46455902036091146</v>
      </c>
      <c r="X20" s="7"/>
      <c r="Y20" s="7" t="str">
        <f ca="1">IF(Table13411[[#This Row],[Day]]&lt;=7,"",MIN(IF(V20&gt;=MAX(V13:V19),IFERROR(AVERAGE(Y13:Y19),-1%),V20/MAX(V13:V19)-1),-1%))</f>
        <v/>
      </c>
      <c r="Z20" s="31"/>
      <c r="AB20" s="6">
        <f t="shared" ca="1" si="14"/>
        <v>45604</v>
      </c>
      <c r="AC20">
        <f t="shared" ca="1" si="7"/>
        <v>7</v>
      </c>
      <c r="AD20" s="3">
        <f t="shared" si="15"/>
        <v>117500</v>
      </c>
      <c r="AE20" s="8">
        <v>31000</v>
      </c>
      <c r="AF20" s="3">
        <v>0</v>
      </c>
      <c r="AG20" s="7">
        <f>Table1341112[[#This Row],[$Return]]/AVERAGE(Table1341112[[#This Row],[Starting]],Table1341112[[#This Row],[Starting]]+Table1341112[[#This Row],[Inflows]])</f>
        <v>0.26382978723404255</v>
      </c>
      <c r="AH20" s="4">
        <f t="shared" si="2"/>
        <v>148500</v>
      </c>
      <c r="AI20" s="30">
        <f ca="1">IF(Table1341112[[#This Row],[Day]]=1,100*(1+Table1341112[[#This Row],[Return]]),AI19*(1+Table1341112[[#This Row],[Return]]))</f>
        <v>148.5</v>
      </c>
      <c r="AJ20" s="5">
        <f ca="1">EXP(-((30-Table1341112[[#This Row],[Day]])/30))</f>
        <v>0.46455902036091146</v>
      </c>
      <c r="AK20" s="7"/>
      <c r="AL20" s="7" t="str">
        <f ca="1">IF(Table1341112[[#This Row],[Day]]&lt;=7,"",MIN(IF(AI20&gt;=MAX(AI13:AI19),IFERROR(AVERAGE(AL13:AL19),-1%),AI20/MAX(AI13:AI19)-1),-1%))</f>
        <v/>
      </c>
      <c r="AM20" s="31"/>
      <c r="AO20" s="6">
        <f t="shared" ca="1" si="16"/>
        <v>45604</v>
      </c>
      <c r="AP20">
        <f t="shared" ca="1" si="8"/>
        <v>7</v>
      </c>
      <c r="AQ20" s="3">
        <v>260549.97</v>
      </c>
      <c r="AR20" s="8">
        <v>1459.48</v>
      </c>
      <c r="AS20" s="3">
        <v>0</v>
      </c>
      <c r="AT20" s="7">
        <f>Table134111213[[#This Row],[$Return]]/AVERAGE(Table134111213[[#This Row],[Starting]],Table134111213[[#This Row],[Starting]]+Table134111213[[#This Row],[Inflows]])</f>
        <v>5.6015358589371553E-3</v>
      </c>
      <c r="AU20" s="4">
        <f t="shared" si="3"/>
        <v>262009.45</v>
      </c>
      <c r="AV20" s="30">
        <f ca="1">IF(Table134111213[[#This Row],[Day]]=1,100*(1+Table134111213[[#This Row],[Return]]),AV19*(1+Table134111213[[#This Row],[Return]]))</f>
        <v>102.13927935898123</v>
      </c>
      <c r="AW20" s="5">
        <f ca="1">EXP(-((30-Table134111213[[#This Row],[Day]])/30))</f>
        <v>0.46455902036091146</v>
      </c>
      <c r="AX20" s="7"/>
      <c r="AY20" s="7" t="str">
        <f ca="1">IF(Table134111213[[#This Row],[Day]]&lt;=7,"",MIN(IF(AV20&gt;=MAX(AV13:AV19),IFERROR(AVERAGE(AY13:AY19),-1%),AV20/MAX(AV13:AV19)-1),-1%))</f>
        <v/>
      </c>
      <c r="AZ20" s="31"/>
      <c r="BB20" s="6">
        <f t="shared" ca="1" si="17"/>
        <v>45604</v>
      </c>
      <c r="BC20">
        <f t="shared" ca="1" si="9"/>
        <v>7</v>
      </c>
      <c r="BD20" s="3">
        <v>6969589.6699999999</v>
      </c>
      <c r="BE20" s="8">
        <v>10571.87</v>
      </c>
      <c r="BF20" s="3">
        <v>0</v>
      </c>
      <c r="BG20" s="7">
        <f>Table13411121314[[#This Row],[$Return]]/AVERAGE(Table13411121314[[#This Row],[Starting]],Table13411121314[[#This Row],[Starting]]+Table13411121314[[#This Row],[Inflows]])</f>
        <v>1.5168568740145073E-3</v>
      </c>
      <c r="BH20" s="4">
        <f t="shared" si="4"/>
        <v>6980161.54</v>
      </c>
      <c r="BI20" s="30">
        <f ca="1">IF(Table13411121314[[#This Row],[Day]]=1,100*(1+Table13411121314[[#This Row],[Return]]),BI19*(1+Table13411121314[[#This Row],[Return]]))</f>
        <v>100.73738558380704</v>
      </c>
      <c r="BJ20" s="5">
        <f ca="1">EXP(-((30-Table13411121314[[#This Row],[Day]])/30))</f>
        <v>0.46455902036091146</v>
      </c>
      <c r="BK20" s="7"/>
      <c r="BL20" s="7" t="str">
        <f ca="1">IF(Table13411121314[[#This Row],[Day]]&lt;=7,"",MIN(IF(BI20&gt;=MAX(BI13:BI19),IFERROR(AVERAGE(BL13:BL19),-1%),BI20/MAX(BI13:BI19)-1),-1%))</f>
        <v/>
      </c>
      <c r="BM20" s="31"/>
    </row>
    <row r="21" spans="2:65" x14ac:dyDescent="0.45">
      <c r="B21" s="6">
        <f t="shared" ca="1" si="10"/>
        <v>45605</v>
      </c>
      <c r="C21">
        <f t="shared" ca="1" si="5"/>
        <v>8</v>
      </c>
      <c r="D21" s="3">
        <f t="shared" si="11"/>
        <v>106944</v>
      </c>
      <c r="E21" s="8">
        <v>133</v>
      </c>
      <c r="F21" s="3">
        <v>103</v>
      </c>
      <c r="G21" s="7">
        <f>Table1310[[#This Row],[$Return]]/AVERAGE(Table1310[[#This Row],[Starting]],Table1310[[#This Row],[Starting]]+Table1310[[#This Row],[Inflows]])</f>
        <v>1.2430429317120814E-3</v>
      </c>
      <c r="H21" s="4">
        <f t="shared" si="0"/>
        <v>107180</v>
      </c>
      <c r="I21" s="30">
        <f ca="1">IF(Table1310[[#This Row],[Day]]=1,100*(1+Table1310[[#This Row],[Return]]),I20*(1+Table1310[[#This Row],[Return]]))</f>
        <v>103.87362111015351</v>
      </c>
      <c r="J21" s="5">
        <f ca="1">EXP(-((30-Table1310[[#This Row],[Day]])/30))</f>
        <v>0.48030530108979941</v>
      </c>
      <c r="K21" s="7"/>
      <c r="L21" s="7">
        <f ca="1">IF(Table1310[[#This Row],[Day]]&lt;=7,"",MIN(IF(I21&gt;=MAX(I14:I20),IFERROR(AVERAGE(L14:L20),-1%),I21/MAX(I14:I20)-1),-1%))</f>
        <v>-2.2029028764574132E-2</v>
      </c>
      <c r="M21" s="31"/>
      <c r="O21" s="6">
        <f t="shared" ca="1" si="12"/>
        <v>45605</v>
      </c>
      <c r="P21">
        <f t="shared" ca="1" si="6"/>
        <v>8</v>
      </c>
      <c r="Q21" s="3">
        <f t="shared" si="13"/>
        <v>99247</v>
      </c>
      <c r="R21" s="8">
        <v>103</v>
      </c>
      <c r="S21" s="3">
        <v>0</v>
      </c>
      <c r="T21" s="7">
        <f>Table13411[[#This Row],[$Return]]/AVERAGE(Table13411[[#This Row],[Starting]],Table13411[[#This Row],[Starting]]+Table13411[[#This Row],[Inflows]])</f>
        <v>1.0378147450300764E-3</v>
      </c>
      <c r="U21" s="4">
        <f t="shared" si="1"/>
        <v>99350</v>
      </c>
      <c r="V21" s="30">
        <f ca="1">IF(Table13411[[#This Row],[Day]]=1,100,V20*(1+Table13411[[#This Row],[Return]]))</f>
        <v>99.35</v>
      </c>
      <c r="W21" s="5">
        <f ca="1">EXP(-((30-Table13411[[#This Row],[Day]])/30))</f>
        <v>0.48030530108979941</v>
      </c>
      <c r="X21" s="7"/>
      <c r="Y21" s="7">
        <f ca="1">IF(Table13411[[#This Row],[Day]]&lt;=7,"",MIN(IF(V21&gt;=MAX(V14:V20),IFERROR(AVERAGE(Y14:Y20),-1%),V21/MAX(V14:V20)-1),-1%))</f>
        <v>-1.1668971280204499E-2</v>
      </c>
      <c r="Z21" s="31"/>
      <c r="AB21" s="6">
        <f t="shared" ca="1" si="14"/>
        <v>45605</v>
      </c>
      <c r="AC21">
        <f t="shared" ca="1" si="7"/>
        <v>8</v>
      </c>
      <c r="AD21" s="3">
        <f t="shared" si="15"/>
        <v>148500</v>
      </c>
      <c r="AE21" s="8">
        <v>-10000</v>
      </c>
      <c r="AF21" s="3">
        <v>0</v>
      </c>
      <c r="AG21" s="7">
        <f>Table1341112[[#This Row],[$Return]]/AVERAGE(Table1341112[[#This Row],[Starting]],Table1341112[[#This Row],[Starting]]+Table1341112[[#This Row],[Inflows]])</f>
        <v>-6.7340067340067339E-2</v>
      </c>
      <c r="AH21" s="4">
        <f t="shared" si="2"/>
        <v>138500</v>
      </c>
      <c r="AI21" s="30">
        <f ca="1">IF(Table1341112[[#This Row],[Day]]=1,100*(1+Table1341112[[#This Row],[Return]]),AI20*(1+Table1341112[[#This Row],[Return]]))</f>
        <v>138.5</v>
      </c>
      <c r="AJ21" s="5">
        <f ca="1">EXP(-((30-Table1341112[[#This Row],[Day]])/30))</f>
        <v>0.48030530108979941</v>
      </c>
      <c r="AK21" s="7"/>
      <c r="AL21" s="7">
        <f ca="1">IF(Table1341112[[#This Row],[Day]]&lt;=7,"",MIN(IF(AI21&gt;=MAX(AI14:AI20),IFERROR(AVERAGE(AL14:AL20),-1%),AI21/MAX(AI14:AI20)-1),-1%))</f>
        <v>-6.7340067340067367E-2</v>
      </c>
      <c r="AM21" s="31"/>
      <c r="AO21" s="6">
        <f t="shared" ca="1" si="16"/>
        <v>45605</v>
      </c>
      <c r="AP21">
        <f t="shared" ca="1" si="8"/>
        <v>8</v>
      </c>
      <c r="AQ21" s="3">
        <v>259716.6</v>
      </c>
      <c r="AR21" s="8">
        <v>-833.37</v>
      </c>
      <c r="AS21" s="3">
        <v>0</v>
      </c>
      <c r="AT21" s="7">
        <f>Table134111213[[#This Row],[$Return]]/AVERAGE(Table134111213[[#This Row],[Starting]],Table134111213[[#This Row],[Starting]]+Table134111213[[#This Row],[Inflows]])</f>
        <v>-3.2087667865665884E-3</v>
      </c>
      <c r="AU21" s="4">
        <f t="shared" si="3"/>
        <v>258883.23</v>
      </c>
      <c r="AV21" s="30">
        <f ca="1">IF(Table134111213[[#This Row],[Day]]=1,100*(1+Table134111213[[#This Row],[Return]]),AV20*(1+Table134111213[[#This Row],[Return]]))</f>
        <v>101.81153823177029</v>
      </c>
      <c r="AW21" s="5">
        <f ca="1">EXP(-((30-Table134111213[[#This Row],[Day]])/30))</f>
        <v>0.48030530108979941</v>
      </c>
      <c r="AX21" s="7"/>
      <c r="AY21" s="7">
        <f ca="1">IF(Table134111213[[#This Row],[Day]]&lt;=7,"",MIN(IF(AV21&gt;=MAX(AV14:AV20),IFERROR(AVERAGE(AY14:AY20),-1%),AV21/MAX(AV14:AV20)-1),-1%))</f>
        <v>-0.01</v>
      </c>
      <c r="AZ21" s="31"/>
      <c r="BB21" s="6">
        <f t="shared" ca="1" si="17"/>
        <v>45605</v>
      </c>
      <c r="BC21">
        <f t="shared" ca="1" si="9"/>
        <v>8</v>
      </c>
      <c r="BD21" s="3">
        <v>6979311.7699999996</v>
      </c>
      <c r="BE21" s="8">
        <v>9722.11</v>
      </c>
      <c r="BF21" s="3">
        <v>-1700000</v>
      </c>
      <c r="BG21" s="7">
        <f>Table13411121314[[#This Row],[$Return]]/AVERAGE(Table13411121314[[#This Row],[Starting]],Table13411121314[[#This Row],[Starting]]+Table13411121314[[#This Row],[Inflows]])</f>
        <v>1.5861666635371692E-3</v>
      </c>
      <c r="BH21" s="4">
        <f t="shared" si="4"/>
        <v>5289033.88</v>
      </c>
      <c r="BI21" s="30">
        <f ca="1">IF(Table13411121314[[#This Row],[Day]]=1,100*(1+Table13411121314[[#This Row],[Return]]),BI20*(1+Table13411121314[[#This Row],[Return]]))</f>
        <v>100.89717186659195</v>
      </c>
      <c r="BJ21" s="5">
        <f ca="1">EXP(-((30-Table13411121314[[#This Row],[Day]])/30))</f>
        <v>0.48030530108979941</v>
      </c>
      <c r="BK21" s="7"/>
      <c r="BL21" s="7">
        <f ca="1">IF(Table13411121314[[#This Row],[Day]]&lt;=7,"",MIN(IF(BI21&gt;=MAX(BI14:BI20),IFERROR(AVERAGE(BL14:BL20),-1%),BI21/MAX(BI14:BI20)-1),-1%))</f>
        <v>-0.01</v>
      </c>
      <c r="BM21" s="31"/>
    </row>
    <row r="22" spans="2:65" x14ac:dyDescent="0.45">
      <c r="B22" s="6">
        <f t="shared" ca="1" si="10"/>
        <v>45606</v>
      </c>
      <c r="C22">
        <f t="shared" ca="1" si="5"/>
        <v>9</v>
      </c>
      <c r="D22" s="3">
        <f t="shared" si="11"/>
        <v>107180</v>
      </c>
      <c r="E22" s="8">
        <v>-2189</v>
      </c>
      <c r="F22" s="3">
        <v>28</v>
      </c>
      <c r="G22" s="7">
        <f>Table1310[[#This Row],[$Return]]/AVERAGE(Table1310[[#This Row],[Starting]],Table1310[[#This Row],[Starting]]+Table1310[[#This Row],[Inflows]])</f>
        <v>-2.0420919081291865E-2</v>
      </c>
      <c r="H22" s="4">
        <f t="shared" si="0"/>
        <v>105019</v>
      </c>
      <c r="I22" s="30">
        <f ca="1">IF(Table1310[[#This Row],[Day]]=1,100*(1+Table1310[[#This Row],[Return]]),I21*(1+Table1310[[#This Row],[Return]]))</f>
        <v>101.7524262987823</v>
      </c>
      <c r="J22" s="5">
        <f ca="1">EXP(-((30-Table1310[[#This Row],[Day]])/30))</f>
        <v>0.49658530379140953</v>
      </c>
      <c r="K22" s="7"/>
      <c r="L22" s="7">
        <f ca="1">IF(Table1310[[#This Row],[Day]]&lt;=7,"",MIN(IF(I22&gt;=MAX(I15:I21),IFERROR(AVERAGE(L15:L21),-1%),I22/MAX(I15:I21)-1),-1%))</f>
        <v>-4.2000094832025159E-2</v>
      </c>
      <c r="M22" s="31"/>
      <c r="O22" s="6">
        <f t="shared" ca="1" si="12"/>
        <v>45606</v>
      </c>
      <c r="P22">
        <f t="shared" ca="1" si="6"/>
        <v>9</v>
      </c>
      <c r="Q22" s="3">
        <f t="shared" si="13"/>
        <v>99350</v>
      </c>
      <c r="R22" s="8">
        <v>541</v>
      </c>
      <c r="S22" s="3">
        <v>0</v>
      </c>
      <c r="T22" s="7">
        <f>Table13411[[#This Row],[$Return]]/AVERAGE(Table13411[[#This Row],[Starting]],Table13411[[#This Row],[Starting]]+Table13411[[#This Row],[Inflows]])</f>
        <v>5.4453950679416207E-3</v>
      </c>
      <c r="U22" s="4">
        <f t="shared" si="1"/>
        <v>99891</v>
      </c>
      <c r="V22" s="30">
        <f ca="1">IF(Table13411[[#This Row],[Day]]=1,100,V21*(1+Table13411[[#This Row],[Return]]))</f>
        <v>99.890999999999991</v>
      </c>
      <c r="W22" s="5">
        <f ca="1">EXP(-((30-Table13411[[#This Row],[Day]])/30))</f>
        <v>0.49658530379140953</v>
      </c>
      <c r="X22" s="7"/>
      <c r="Y22" s="7">
        <f ca="1">IF(Table13411[[#This Row],[Day]]&lt;=7,"",MIN(IF(V22&gt;=MAX(V15:V21),IFERROR(AVERAGE(Y15:Y21),-1%),V22/MAX(V15:V21)-1),-1%))</f>
        <v>-0.01</v>
      </c>
      <c r="Z22" s="31"/>
      <c r="AB22" s="6">
        <f t="shared" ca="1" si="14"/>
        <v>45606</v>
      </c>
      <c r="AC22">
        <f t="shared" ca="1" si="7"/>
        <v>9</v>
      </c>
      <c r="AD22" s="3">
        <f t="shared" si="15"/>
        <v>138500</v>
      </c>
      <c r="AE22" s="8">
        <v>17500</v>
      </c>
      <c r="AF22" s="3">
        <v>0</v>
      </c>
      <c r="AG22" s="7">
        <f>Table1341112[[#This Row],[$Return]]/AVERAGE(Table1341112[[#This Row],[Starting]],Table1341112[[#This Row],[Starting]]+Table1341112[[#This Row],[Inflows]])</f>
        <v>0.1263537906137184</v>
      </c>
      <c r="AH22" s="4">
        <f t="shared" si="2"/>
        <v>156000</v>
      </c>
      <c r="AI22" s="30">
        <f ca="1">IF(Table1341112[[#This Row],[Day]]=1,100*(1+Table1341112[[#This Row],[Return]]),AI21*(1+Table1341112[[#This Row],[Return]]))</f>
        <v>156</v>
      </c>
      <c r="AJ22" s="5">
        <f ca="1">EXP(-((30-Table1341112[[#This Row],[Day]])/30))</f>
        <v>0.49658530379140953</v>
      </c>
      <c r="AK22" s="7"/>
      <c r="AL22" s="7">
        <f ca="1">IF(Table1341112[[#This Row],[Day]]&lt;=7,"",MIN(IF(AI22&gt;=MAX(AI15:AI21),IFERROR(AVERAGE(AL15:AL21),-1%),AI22/MAX(AI15:AI21)-1),-1%))</f>
        <v>-6.7340067340067367E-2</v>
      </c>
      <c r="AM22" s="31"/>
      <c r="AO22" s="6">
        <f t="shared" ca="1" si="16"/>
        <v>45606</v>
      </c>
      <c r="AP22">
        <f t="shared" ca="1" si="8"/>
        <v>9</v>
      </c>
      <c r="AQ22" s="3">
        <v>261775.62</v>
      </c>
      <c r="AR22" s="8">
        <v>2059.02</v>
      </c>
      <c r="AS22" s="3">
        <v>30011</v>
      </c>
      <c r="AT22" s="7">
        <f>Table134111213[[#This Row],[$Return]]/AVERAGE(Table134111213[[#This Row],[Starting]],Table134111213[[#This Row],[Starting]]+Table134111213[[#This Row],[Inflows]])</f>
        <v>7.4391634805148557E-3</v>
      </c>
      <c r="AU22" s="4">
        <f t="shared" si="3"/>
        <v>293845.64</v>
      </c>
      <c r="AV22" s="30">
        <f ca="1">IF(Table134111213[[#This Row],[Day]]=1,100*(1+Table134111213[[#This Row],[Return]]),AV21*(1+Table134111213[[#This Row],[Return]]))</f>
        <v>102.56893090887911</v>
      </c>
      <c r="AW22" s="5">
        <f ca="1">EXP(-((30-Table134111213[[#This Row],[Day]])/30))</f>
        <v>0.49658530379140953</v>
      </c>
      <c r="AX22" s="7"/>
      <c r="AY22" s="7">
        <f ca="1">IF(Table134111213[[#This Row],[Day]]&lt;=7,"",MIN(IF(AV22&gt;=MAX(AV15:AV21),IFERROR(AVERAGE(AY15:AY21),-1%),AV22/MAX(AV15:AV21)-1),-1%))</f>
        <v>-0.01</v>
      </c>
      <c r="AZ22" s="31"/>
      <c r="BB22" s="6">
        <f t="shared" ca="1" si="17"/>
        <v>45606</v>
      </c>
      <c r="BC22">
        <f t="shared" ca="1" si="9"/>
        <v>9</v>
      </c>
      <c r="BD22" s="3">
        <v>5283341.16</v>
      </c>
      <c r="BE22" s="8">
        <v>4029.39</v>
      </c>
      <c r="BF22" s="3">
        <v>1700000</v>
      </c>
      <c r="BG22" s="7">
        <f>Table13411121314[[#This Row],[$Return]]/AVERAGE(Table13411121314[[#This Row],[Starting]],Table13411121314[[#This Row],[Starting]]+Table13411121314[[#This Row],[Inflows]])</f>
        <v>6.5696492252519665E-4</v>
      </c>
      <c r="BH22" s="4">
        <f t="shared" si="4"/>
        <v>6987370.5499999998</v>
      </c>
      <c r="BI22" s="30">
        <f ca="1">IF(Table13411121314[[#This Row],[Day]]=1,100*(1+Table13411121314[[#This Row],[Return]]),BI21*(1+Table13411121314[[#This Row],[Return]]))</f>
        <v>100.9634577692903</v>
      </c>
      <c r="BJ22" s="5">
        <f ca="1">EXP(-((30-Table13411121314[[#This Row],[Day]])/30))</f>
        <v>0.49658530379140953</v>
      </c>
      <c r="BK22" s="7"/>
      <c r="BL22" s="7">
        <f ca="1">IF(Table13411121314[[#This Row],[Day]]&lt;=7,"",MIN(IF(BI22&gt;=MAX(BI15:BI21),IFERROR(AVERAGE(BL15:BL21),-1%),BI22/MAX(BI15:BI21)-1),-1%))</f>
        <v>-0.01</v>
      </c>
      <c r="BM22" s="31"/>
    </row>
    <row r="23" spans="2:65" x14ac:dyDescent="0.45">
      <c r="B23" s="6">
        <f t="shared" ca="1" si="10"/>
        <v>45607</v>
      </c>
      <c r="C23">
        <f t="shared" ca="1" si="5"/>
        <v>10</v>
      </c>
      <c r="D23" s="3">
        <f t="shared" si="11"/>
        <v>105019</v>
      </c>
      <c r="E23" s="8">
        <v>3783</v>
      </c>
      <c r="F23" s="3">
        <v>672</v>
      </c>
      <c r="G23" s="7">
        <f>Table1310[[#This Row],[$Return]]/AVERAGE(Table1310[[#This Row],[Starting]],Table1310[[#This Row],[Starting]]+Table1310[[#This Row],[Inflows]])</f>
        <v>3.5907170993308341E-2</v>
      </c>
      <c r="H23" s="4">
        <f t="shared" si="0"/>
        <v>109474</v>
      </c>
      <c r="I23" s="30">
        <f ca="1">IF(Table1310[[#This Row],[Day]]=1,100*(1+Table1310[[#This Row],[Return]]),I22*(1+Table1310[[#This Row],[Return]]))</f>
        <v>105.40606806887668</v>
      </c>
      <c r="J23" s="5">
        <f ca="1">EXP(-((30-Table1310[[#This Row],[Day]])/30))</f>
        <v>0.51341711903259202</v>
      </c>
      <c r="K23" s="7"/>
      <c r="L23" s="7">
        <f ca="1">IF(Table1310[[#This Row],[Day]]&lt;=7,"",MIN(IF(I23&gt;=MAX(I16:I22),IFERROR(AVERAGE(L16:L22),-1%),I23/MAX(I16:I22)-1),-1%))</f>
        <v>-0.01</v>
      </c>
      <c r="M23" s="31"/>
      <c r="O23" s="6">
        <f t="shared" ca="1" si="12"/>
        <v>45607</v>
      </c>
      <c r="P23">
        <f t="shared" ca="1" si="6"/>
        <v>10</v>
      </c>
      <c r="Q23" s="3">
        <f t="shared" si="13"/>
        <v>99891</v>
      </c>
      <c r="R23" s="8">
        <v>313</v>
      </c>
      <c r="S23" s="3">
        <v>0</v>
      </c>
      <c r="T23" s="7">
        <f>Table13411[[#This Row],[$Return]]/AVERAGE(Table13411[[#This Row],[Starting]],Table13411[[#This Row],[Starting]]+Table13411[[#This Row],[Inflows]])</f>
        <v>3.1334154228108636E-3</v>
      </c>
      <c r="U23" s="4">
        <f t="shared" si="1"/>
        <v>100204</v>
      </c>
      <c r="V23" s="30">
        <f ca="1">IF(Table13411[[#This Row],[Day]]=1,100,V22*(1+Table13411[[#This Row],[Return]]))</f>
        <v>100.20399999999999</v>
      </c>
      <c r="W23" s="5">
        <f ca="1">EXP(-((30-Table13411[[#This Row],[Day]])/30))</f>
        <v>0.51341711903259202</v>
      </c>
      <c r="X23" s="7"/>
      <c r="Y23" s="7">
        <f ca="1">IF(Table13411[[#This Row],[Day]]&lt;=7,"",MIN(IF(V23&gt;=MAX(V16:V22),IFERROR(AVERAGE(Y16:Y22),-1%),V23/MAX(V16:V22)-1),-1%))</f>
        <v>-0.01</v>
      </c>
      <c r="Z23" s="31"/>
      <c r="AB23" s="6">
        <f t="shared" ca="1" si="14"/>
        <v>45607</v>
      </c>
      <c r="AC23">
        <f t="shared" ca="1" si="7"/>
        <v>10</v>
      </c>
      <c r="AD23" s="3">
        <f t="shared" si="15"/>
        <v>156000</v>
      </c>
      <c r="AE23" s="8">
        <v>-10000</v>
      </c>
      <c r="AF23" s="3">
        <v>0</v>
      </c>
      <c r="AG23" s="7">
        <f>Table1341112[[#This Row],[$Return]]/AVERAGE(Table1341112[[#This Row],[Starting]],Table1341112[[#This Row],[Starting]]+Table1341112[[#This Row],[Inflows]])</f>
        <v>-6.4102564102564097E-2</v>
      </c>
      <c r="AH23" s="4">
        <f t="shared" si="2"/>
        <v>146000</v>
      </c>
      <c r="AI23" s="30">
        <f ca="1">IF(Table1341112[[#This Row],[Day]]=1,100*(1+Table1341112[[#This Row],[Return]]),AI22*(1+Table1341112[[#This Row],[Return]]))</f>
        <v>146</v>
      </c>
      <c r="AJ23" s="5">
        <f ca="1">EXP(-((30-Table1341112[[#This Row],[Day]])/30))</f>
        <v>0.51341711903259202</v>
      </c>
      <c r="AK23" s="7"/>
      <c r="AL23" s="7">
        <f ca="1">IF(Table1341112[[#This Row],[Day]]&lt;=7,"",MIN(IF(AI23&gt;=MAX(AI16:AI22),IFERROR(AVERAGE(AL16:AL22),-1%),AI23/MAX(AI16:AI22)-1),-1%))</f>
        <v>-6.4102564102564097E-2</v>
      </c>
      <c r="AM23" s="31"/>
      <c r="AO23" s="6">
        <f t="shared" ca="1" si="16"/>
        <v>45607</v>
      </c>
      <c r="AP23">
        <f t="shared" ca="1" si="8"/>
        <v>10</v>
      </c>
      <c r="AQ23" s="3">
        <v>294397.42</v>
      </c>
      <c r="AR23" s="8">
        <v>2610.8000000000002</v>
      </c>
      <c r="AS23" s="3">
        <v>0</v>
      </c>
      <c r="AT23" s="7">
        <f>Table134111213[[#This Row],[$Return]]/AVERAGE(Table134111213[[#This Row],[Starting]],Table134111213[[#This Row],[Starting]]+Table134111213[[#This Row],[Inflows]])</f>
        <v>8.8682842397192208E-3</v>
      </c>
      <c r="AU23" s="4">
        <f t="shared" si="3"/>
        <v>297008.21999999997</v>
      </c>
      <c r="AV23" s="30">
        <f ca="1">IF(Table134111213[[#This Row],[Day]]=1,100*(1+Table134111213[[#This Row],[Return]]),AV22*(1+Table134111213[[#This Row],[Return]]))</f>
        <v>103.47854134234316</v>
      </c>
      <c r="AW23" s="5">
        <f ca="1">EXP(-((30-Table134111213[[#This Row],[Day]])/30))</f>
        <v>0.51341711903259202</v>
      </c>
      <c r="AX23" s="7"/>
      <c r="AY23" s="7">
        <f ca="1">IF(Table134111213[[#This Row],[Day]]&lt;=7,"",MIN(IF(AV23&gt;=MAX(AV16:AV22),IFERROR(AVERAGE(AY16:AY22),-1%),AV23/MAX(AV16:AV22)-1),-1%))</f>
        <v>-0.01</v>
      </c>
      <c r="AZ23" s="31"/>
      <c r="BB23" s="6">
        <f t="shared" ca="1" si="17"/>
        <v>45607</v>
      </c>
      <c r="BC23">
        <f t="shared" ca="1" si="9"/>
        <v>10</v>
      </c>
      <c r="BD23" s="3">
        <v>6962700.8399999999</v>
      </c>
      <c r="BE23" s="8">
        <v>-20640.32</v>
      </c>
      <c r="BF23" s="3">
        <v>0</v>
      </c>
      <c r="BG23" s="7">
        <f>Table13411121314[[#This Row],[$Return]]/AVERAGE(Table13411121314[[#This Row],[Starting]],Table13411121314[[#This Row],[Starting]]+Table13411121314[[#This Row],[Inflows]])</f>
        <v>-2.9644128728644331E-3</v>
      </c>
      <c r="BH23" s="4">
        <f t="shared" si="4"/>
        <v>6942060.5199999996</v>
      </c>
      <c r="BI23" s="30">
        <f ca="1">IF(Table13411121314[[#This Row],[Day]]=1,100*(1+Table13411121314[[#This Row],[Return]]),BI22*(1+Table13411121314[[#This Row],[Return]]))</f>
        <v>100.66416039539011</v>
      </c>
      <c r="BJ23" s="5">
        <f ca="1">EXP(-((30-Table13411121314[[#This Row],[Day]])/30))</f>
        <v>0.51341711903259202</v>
      </c>
      <c r="BK23" s="7"/>
      <c r="BL23" s="7">
        <f ca="1">IF(Table13411121314[[#This Row],[Day]]&lt;=7,"",MIN(IF(BI23&gt;=MAX(BI16:BI22),IFERROR(AVERAGE(BL16:BL22),-1%),BI23/MAX(BI16:BI22)-1),-1%))</f>
        <v>-0.01</v>
      </c>
      <c r="BM23" s="31"/>
    </row>
    <row r="24" spans="2:65" x14ac:dyDescent="0.45">
      <c r="B24" s="6">
        <f t="shared" ca="1" si="10"/>
        <v>45608</v>
      </c>
      <c r="C24">
        <f t="shared" ca="1" si="5"/>
        <v>11</v>
      </c>
      <c r="D24" s="3">
        <f t="shared" si="11"/>
        <v>109474</v>
      </c>
      <c r="E24" s="8">
        <v>-2505</v>
      </c>
      <c r="F24" s="3">
        <v>566</v>
      </c>
      <c r="G24" s="7">
        <f>Table1310[[#This Row],[$Return]]/AVERAGE(Table1310[[#This Row],[Starting]],Table1310[[#This Row],[Starting]]+Table1310[[#This Row],[Inflows]])</f>
        <v>-2.2823145676357771E-2</v>
      </c>
      <c r="H24" s="4">
        <f t="shared" si="0"/>
        <v>107535</v>
      </c>
      <c r="I24" s="30">
        <f ca="1">IF(Table1310[[#This Row],[Day]]=1,100*(1+Table1310[[#This Row],[Return]]),I23*(1+Table1310[[#This Row],[Return]]))</f>
        <v>103.00037002216862</v>
      </c>
      <c r="J24" s="5">
        <f ca="1">EXP(-((30-Table1310[[#This Row],[Day]])/30))</f>
        <v>0.53081945056201396</v>
      </c>
      <c r="K24" s="7"/>
      <c r="L24" s="7">
        <f ca="1">IF(Table1310[[#This Row],[Day]]&lt;=7,"",MIN(IF(I24&gt;=MAX(I17:I23),IFERROR(AVERAGE(L17:L23),-1%),I24/MAX(I17:I23)-1),-1%))</f>
        <v>-3.0250694722895988E-2</v>
      </c>
      <c r="M24" s="31"/>
      <c r="O24" s="6">
        <f t="shared" ca="1" si="12"/>
        <v>45608</v>
      </c>
      <c r="P24">
        <f t="shared" ca="1" si="6"/>
        <v>11</v>
      </c>
      <c r="Q24" s="3">
        <f t="shared" si="13"/>
        <v>100204</v>
      </c>
      <c r="R24" s="8">
        <v>-947</v>
      </c>
      <c r="S24" s="3">
        <v>0</v>
      </c>
      <c r="T24" s="7">
        <f>Table13411[[#This Row],[$Return]]/AVERAGE(Table13411[[#This Row],[Starting]],Table13411[[#This Row],[Starting]]+Table13411[[#This Row],[Inflows]])</f>
        <v>-9.4507205301185577E-3</v>
      </c>
      <c r="U24" s="4">
        <f t="shared" si="1"/>
        <v>99257</v>
      </c>
      <c r="V24" s="30">
        <f ca="1">IF(Table13411[[#This Row],[Day]]=1,100,V23*(1+Table13411[[#This Row],[Return]]))</f>
        <v>99.256999999999991</v>
      </c>
      <c r="W24" s="5">
        <f ca="1">EXP(-((30-Table13411[[#This Row],[Day]])/30))</f>
        <v>0.53081945056201396</v>
      </c>
      <c r="X24" s="7"/>
      <c r="Y24" s="7">
        <f ca="1">IF(Table13411[[#This Row],[Day]]&lt;=7,"",MIN(IF(V24&gt;=MAX(V17:V23),IFERROR(AVERAGE(Y17:Y23),-1%),V24/MAX(V17:V23)-1),-1%))</f>
        <v>-1.0684846853850849E-2</v>
      </c>
      <c r="Z24" s="31"/>
      <c r="AB24" s="6">
        <f t="shared" ca="1" si="14"/>
        <v>45608</v>
      </c>
      <c r="AC24">
        <f t="shared" ca="1" si="7"/>
        <v>11</v>
      </c>
      <c r="AD24" s="3">
        <f t="shared" si="15"/>
        <v>146000</v>
      </c>
      <c r="AE24" s="8">
        <v>17500</v>
      </c>
      <c r="AF24" s="3">
        <v>0</v>
      </c>
      <c r="AG24" s="7">
        <f>Table1341112[[#This Row],[$Return]]/AVERAGE(Table1341112[[#This Row],[Starting]],Table1341112[[#This Row],[Starting]]+Table1341112[[#This Row],[Inflows]])</f>
        <v>0.11986301369863013</v>
      </c>
      <c r="AH24" s="4">
        <f t="shared" si="2"/>
        <v>163500</v>
      </c>
      <c r="AI24" s="30">
        <f ca="1">IF(Table1341112[[#This Row],[Day]]=1,100*(1+Table1341112[[#This Row],[Return]]),AI23*(1+Table1341112[[#This Row],[Return]]))</f>
        <v>163.5</v>
      </c>
      <c r="AJ24" s="5">
        <f ca="1">EXP(-((30-Table1341112[[#This Row],[Day]])/30))</f>
        <v>0.53081945056201396</v>
      </c>
      <c r="AK24" s="7"/>
      <c r="AL24" s="7">
        <f ca="1">IF(Table1341112[[#This Row],[Day]]&lt;=7,"",MIN(IF(AI24&gt;=MAX(AI17:AI23),IFERROR(AVERAGE(AL17:AL23),-1%),AI24/MAX(AI17:AI23)-1),-1%))</f>
        <v>-6.6260899594232939E-2</v>
      </c>
      <c r="AM24" s="31"/>
      <c r="AO24" s="6">
        <f t="shared" ca="1" si="16"/>
        <v>45608</v>
      </c>
      <c r="AP24">
        <f t="shared" ca="1" si="8"/>
        <v>11</v>
      </c>
      <c r="AQ24" s="3">
        <v>294262.8</v>
      </c>
      <c r="AR24" s="8">
        <v>-134.63</v>
      </c>
      <c r="AS24" s="3">
        <v>0</v>
      </c>
      <c r="AT24" s="7">
        <f>Table134111213[[#This Row],[$Return]]/AVERAGE(Table134111213[[#This Row],[Starting]],Table134111213[[#This Row],[Starting]]+Table134111213[[#This Row],[Inflows]])</f>
        <v>-4.5751620660171793E-4</v>
      </c>
      <c r="AU24" s="4">
        <f t="shared" si="3"/>
        <v>294128.17</v>
      </c>
      <c r="AV24" s="30">
        <f ca="1">IF(Table134111213[[#This Row],[Day]]=1,100*(1+Table134111213[[#This Row],[Return]]),AV23*(1+Table134111213[[#This Row],[Return]]))</f>
        <v>103.43119823264354</v>
      </c>
      <c r="AW24" s="5">
        <f ca="1">EXP(-((30-Table134111213[[#This Row],[Day]])/30))</f>
        <v>0.53081945056201396</v>
      </c>
      <c r="AX24" s="7"/>
      <c r="AY24" s="7">
        <f ca="1">IF(Table134111213[[#This Row],[Day]]&lt;=7,"",MIN(IF(AV24&gt;=MAX(AV17:AV23),IFERROR(AVERAGE(AY17:AY23),-1%),AV24/MAX(AV17:AV23)-1),-1%))</f>
        <v>-0.01</v>
      </c>
      <c r="AZ24" s="31"/>
      <c r="BB24" s="6">
        <f t="shared" ca="1" si="17"/>
        <v>45608</v>
      </c>
      <c r="BC24">
        <f t="shared" ca="1" si="9"/>
        <v>11</v>
      </c>
      <c r="BD24" s="3">
        <v>6969302.0499999998</v>
      </c>
      <c r="BE24" s="8">
        <v>6601.21</v>
      </c>
      <c r="BF24" s="3">
        <v>0</v>
      </c>
      <c r="BG24" s="7">
        <f>Table13411121314[[#This Row],[$Return]]/AVERAGE(Table13411121314[[#This Row],[Starting]],Table13411121314[[#This Row],[Starting]]+Table13411121314[[#This Row],[Inflows]])</f>
        <v>9.4718380013390292E-4</v>
      </c>
      <c r="BH24" s="4">
        <f t="shared" si="4"/>
        <v>6975903.2599999998</v>
      </c>
      <c r="BI24" s="30">
        <f ca="1">IF(Table13411121314[[#This Row],[Day]]=1,100*(1+Table13411121314[[#This Row],[Return]]),BI23*(1+Table13411121314[[#This Row],[Return]]))</f>
        <v>100.75950785737069</v>
      </c>
      <c r="BJ24" s="5">
        <f ca="1">EXP(-((30-Table13411121314[[#This Row],[Day]])/30))</f>
        <v>0.53081945056201396</v>
      </c>
      <c r="BK24" s="7"/>
      <c r="BL24" s="7">
        <f ca="1">IF(Table13411121314[[#This Row],[Day]]&lt;=7,"",MIN(IF(BI24&gt;=MAX(BI17:BI23),IFERROR(AVERAGE(BL17:BL23),-1%),BI24/MAX(BI17:BI23)-1),-1%))</f>
        <v>-0.01</v>
      </c>
      <c r="BM24" s="31"/>
    </row>
    <row r="25" spans="2:65" x14ac:dyDescent="0.45">
      <c r="B25" s="6">
        <f t="shared" ca="1" si="10"/>
        <v>45609</v>
      </c>
      <c r="C25">
        <f t="shared" ca="1" si="5"/>
        <v>12</v>
      </c>
      <c r="D25" s="3">
        <f t="shared" si="11"/>
        <v>107535</v>
      </c>
      <c r="E25" s="8">
        <v>-3928</v>
      </c>
      <c r="F25" s="3">
        <v>123</v>
      </c>
      <c r="G25" s="7">
        <f>Table1310[[#This Row],[$Return]]/AVERAGE(Table1310[[#This Row],[Starting]],Table1310[[#This Row],[Starting]]+Table1310[[#This Row],[Inflows]])</f>
        <v>-3.6506763695845122E-2</v>
      </c>
      <c r="H25" s="4">
        <f t="shared" si="0"/>
        <v>103730</v>
      </c>
      <c r="I25" s="30">
        <f ca="1">IF(Table1310[[#This Row],[Day]]=1,100*(1+Table1310[[#This Row],[Return]]),I24*(1+Table1310[[#This Row],[Return]]))</f>
        <v>99.240159853184707</v>
      </c>
      <c r="J25" s="5">
        <f ca="1">EXP(-((30-Table1310[[#This Row],[Day]])/30))</f>
        <v>0.5488116360940265</v>
      </c>
      <c r="K25" s="7"/>
      <c r="L25" s="7">
        <f ca="1">IF(Table1310[[#This Row],[Day]]&lt;=7,"",MIN(IF(I25&gt;=MAX(I18:I24),IFERROR(AVERAGE(L18:L24),-1%),I25/MAX(I18:I24)-1),-1%))</f>
        <v>-6.5653103454857198E-2</v>
      </c>
      <c r="M25" s="31"/>
      <c r="O25" s="6">
        <f t="shared" ca="1" si="12"/>
        <v>45609</v>
      </c>
      <c r="P25">
        <f t="shared" ca="1" si="6"/>
        <v>12</v>
      </c>
      <c r="Q25" s="3">
        <f t="shared" si="13"/>
        <v>99257</v>
      </c>
      <c r="R25" s="8">
        <v>-937</v>
      </c>
      <c r="S25" s="3">
        <v>0</v>
      </c>
      <c r="T25" s="7">
        <f>Table13411[[#This Row],[$Return]]/AVERAGE(Table13411[[#This Row],[Starting]],Table13411[[#This Row],[Starting]]+Table13411[[#This Row],[Inflows]])</f>
        <v>-9.4401402419980462E-3</v>
      </c>
      <c r="U25" s="4">
        <f t="shared" si="1"/>
        <v>98320</v>
      </c>
      <c r="V25" s="30">
        <f ca="1">IF(Table13411[[#This Row],[Day]]=1,100,V24*(1+Table13411[[#This Row],[Return]]))</f>
        <v>98.32</v>
      </c>
      <c r="W25" s="5">
        <f ca="1">EXP(-((30-Table13411[[#This Row],[Day]])/30))</f>
        <v>0.5488116360940265</v>
      </c>
      <c r="X25" s="7"/>
      <c r="Y25" s="7">
        <f ca="1">IF(Table13411[[#This Row],[Day]]&lt;=7,"",MIN(IF(V25&gt;=MAX(V18:V24),IFERROR(AVERAGE(Y18:Y24),-1%),V25/MAX(V18:V24)-1),-1%))</f>
        <v>-2.0024120643084231E-2</v>
      </c>
      <c r="Z25" s="31"/>
      <c r="AB25" s="6">
        <f t="shared" ca="1" si="14"/>
        <v>45609</v>
      </c>
      <c r="AC25">
        <f t="shared" ca="1" si="7"/>
        <v>12</v>
      </c>
      <c r="AD25" s="3">
        <f t="shared" si="15"/>
        <v>163500</v>
      </c>
      <c r="AE25" s="8">
        <v>-12500</v>
      </c>
      <c r="AF25" s="3">
        <v>0</v>
      </c>
      <c r="AG25" s="7">
        <f>Table1341112[[#This Row],[$Return]]/AVERAGE(Table1341112[[#This Row],[Starting]],Table1341112[[#This Row],[Starting]]+Table1341112[[#This Row],[Inflows]])</f>
        <v>-7.64525993883792E-2</v>
      </c>
      <c r="AH25" s="4">
        <f t="shared" si="2"/>
        <v>151000</v>
      </c>
      <c r="AI25" s="30">
        <f ca="1">IF(Table1341112[[#This Row],[Day]]=1,100*(1+Table1341112[[#This Row],[Return]]),AI24*(1+Table1341112[[#This Row],[Return]]))</f>
        <v>151</v>
      </c>
      <c r="AJ25" s="5">
        <f ca="1">EXP(-((30-Table1341112[[#This Row],[Day]])/30))</f>
        <v>0.5488116360940265</v>
      </c>
      <c r="AK25" s="7"/>
      <c r="AL25" s="7">
        <f ca="1">IF(Table1341112[[#This Row],[Day]]&lt;=7,"",MIN(IF(AI25&gt;=MAX(AI18:AI24),IFERROR(AVERAGE(AL18:AL24),-1%),AI25/MAX(AI18:AI24)-1),-1%))</f>
        <v>-7.6452599388379228E-2</v>
      </c>
      <c r="AM25" s="31"/>
      <c r="AO25" s="6">
        <f t="shared" ca="1" si="16"/>
        <v>45609</v>
      </c>
      <c r="AP25">
        <f t="shared" ca="1" si="8"/>
        <v>12</v>
      </c>
      <c r="AQ25" s="3">
        <v>293740.28999999998</v>
      </c>
      <c r="AR25" s="8">
        <v>-522.5</v>
      </c>
      <c r="AS25" s="3">
        <v>100000</v>
      </c>
      <c r="AT25" s="7">
        <f>Table134111213[[#This Row],[$Return]]/AVERAGE(Table134111213[[#This Row],[Starting]],Table134111213[[#This Row],[Starting]]+Table134111213[[#This Row],[Inflows]])</f>
        <v>-1.5200429370674005E-3</v>
      </c>
      <c r="AU25" s="4">
        <f t="shared" si="3"/>
        <v>393217.79</v>
      </c>
      <c r="AV25" s="30">
        <f ca="1">IF(Table134111213[[#This Row],[Day]]=1,100*(1+Table134111213[[#This Row],[Return]]),AV24*(1+Table134111213[[#This Row],[Return]]))</f>
        <v>103.27397837029758</v>
      </c>
      <c r="AW25" s="5">
        <f ca="1">EXP(-((30-Table134111213[[#This Row],[Day]])/30))</f>
        <v>0.5488116360940265</v>
      </c>
      <c r="AX25" s="7"/>
      <c r="AY25" s="7">
        <f ca="1">IF(Table134111213[[#This Row],[Day]]&lt;=7,"",MIN(IF(AV25&gt;=MAX(AV18:AV24),IFERROR(AVERAGE(AY18:AY24),-1%),AV25/MAX(AV18:AV24)-1),-1%))</f>
        <v>-0.01</v>
      </c>
      <c r="AZ25" s="31"/>
      <c r="BB25" s="6">
        <f t="shared" ca="1" si="17"/>
        <v>45609</v>
      </c>
      <c r="BC25">
        <f t="shared" ca="1" si="9"/>
        <v>12</v>
      </c>
      <c r="BD25" s="3">
        <v>6971264.1600000001</v>
      </c>
      <c r="BE25" s="8">
        <v>1962.11</v>
      </c>
      <c r="BF25" s="3">
        <v>-1500000</v>
      </c>
      <c r="BG25" s="7">
        <f>Table13411121314[[#This Row],[$Return]]/AVERAGE(Table13411121314[[#This Row],[Starting]],Table13411121314[[#This Row],[Starting]]+Table13411121314[[#This Row],[Inflows]])</f>
        <v>3.1538766873387349E-4</v>
      </c>
      <c r="BH25" s="4">
        <f t="shared" si="4"/>
        <v>5473226.2700000005</v>
      </c>
      <c r="BI25" s="30">
        <f ca="1">IF(Table13411121314[[#This Row],[Day]]=1,100*(1+Table13411121314[[#This Row],[Return]]),BI24*(1+Table13411121314[[#This Row],[Return]]))</f>
        <v>100.79128616365659</v>
      </c>
      <c r="BJ25" s="5">
        <f ca="1">EXP(-((30-Table13411121314[[#This Row],[Day]])/30))</f>
        <v>0.5488116360940265</v>
      </c>
      <c r="BK25" s="7"/>
      <c r="BL25" s="7">
        <f ca="1">IF(Table13411121314[[#This Row],[Day]]&lt;=7,"",MIN(IF(BI25&gt;=MAX(BI18:BI24),IFERROR(AVERAGE(BL18:BL24),-1%),BI25/MAX(BI18:BI24)-1),-1%))</f>
        <v>-0.01</v>
      </c>
      <c r="BM25" s="31"/>
    </row>
    <row r="26" spans="2:65" x14ac:dyDescent="0.45">
      <c r="B26" s="6">
        <f t="shared" ca="1" si="10"/>
        <v>45610</v>
      </c>
      <c r="C26">
        <f t="shared" ca="1" si="5"/>
        <v>13</v>
      </c>
      <c r="D26" s="3">
        <f t="shared" si="11"/>
        <v>103730</v>
      </c>
      <c r="E26" s="8">
        <v>-3149</v>
      </c>
      <c r="F26" s="3">
        <v>32</v>
      </c>
      <c r="G26" s="7">
        <f>Table1310[[#This Row],[$Return]]/AVERAGE(Table1310[[#This Row],[Starting]],Table1310[[#This Row],[Starting]]+Table1310[[#This Row],[Inflows]])</f>
        <v>-3.035297746419139E-2</v>
      </c>
      <c r="H26" s="4">
        <f t="shared" si="0"/>
        <v>100613</v>
      </c>
      <c r="I26" s="30">
        <f ca="1">IF(Table1310[[#This Row],[Day]]=1,100*(1+Table1310[[#This Row],[Return]]),I25*(1+Table1310[[#This Row],[Return]]))</f>
        <v>96.227925517618232</v>
      </c>
      <c r="J26" s="5">
        <f ca="1">EXP(-((30-Table1310[[#This Row],[Day]])/30))</f>
        <v>0.56741366879700383</v>
      </c>
      <c r="K26" s="7"/>
      <c r="L26" s="7">
        <f ca="1">IF(Table1310[[#This Row],[Day]]&lt;=7,"",MIN(IF(I26&gt;=MAX(I19:I25),IFERROR(AVERAGE(L19:L25),-1%),I26/MAX(I19:I25)-1),-1%))</f>
        <v>-8.7074138324380601E-2</v>
      </c>
      <c r="M26" s="31"/>
      <c r="O26" s="6">
        <f t="shared" ca="1" si="12"/>
        <v>45610</v>
      </c>
      <c r="P26">
        <f t="shared" ca="1" si="6"/>
        <v>13</v>
      </c>
      <c r="Q26" s="3">
        <f t="shared" si="13"/>
        <v>98320</v>
      </c>
      <c r="R26" s="8">
        <v>931</v>
      </c>
      <c r="S26" s="3">
        <v>0</v>
      </c>
      <c r="T26" s="7">
        <f>Table13411[[#This Row],[$Return]]/AVERAGE(Table13411[[#This Row],[Starting]],Table13411[[#This Row],[Starting]]+Table13411[[#This Row],[Inflows]])</f>
        <v>9.4690805532953622E-3</v>
      </c>
      <c r="U26" s="4">
        <f t="shared" si="1"/>
        <v>99251</v>
      </c>
      <c r="V26" s="30">
        <f ca="1">IF(Table13411[[#This Row],[Day]]=1,100,V25*(1+Table13411[[#This Row],[Return]]))</f>
        <v>99.250999999999991</v>
      </c>
      <c r="W26" s="5">
        <f ca="1">EXP(-((30-Table13411[[#This Row],[Day]])/30))</f>
        <v>0.56741366879700383</v>
      </c>
      <c r="X26" s="7"/>
      <c r="Y26" s="7">
        <f ca="1">IF(Table13411[[#This Row],[Day]]&lt;=7,"",MIN(IF(V26&gt;=MAX(V19:V25),IFERROR(AVERAGE(Y19:Y25),-1%),V26/MAX(V19:V25)-1),-1%))</f>
        <v>-0.01</v>
      </c>
      <c r="Z26" s="31"/>
      <c r="AB26" s="6">
        <f t="shared" ca="1" si="14"/>
        <v>45610</v>
      </c>
      <c r="AC26">
        <f t="shared" ca="1" si="7"/>
        <v>13</v>
      </c>
      <c r="AD26" s="3">
        <f t="shared" si="15"/>
        <v>151000</v>
      </c>
      <c r="AE26" s="8">
        <v>16000</v>
      </c>
      <c r="AF26" s="3">
        <v>0</v>
      </c>
      <c r="AG26" s="7">
        <f>Table1341112[[#This Row],[$Return]]/AVERAGE(Table1341112[[#This Row],[Starting]],Table1341112[[#This Row],[Starting]]+Table1341112[[#This Row],[Inflows]])</f>
        <v>0.10596026490066225</v>
      </c>
      <c r="AH26" s="4">
        <f t="shared" si="2"/>
        <v>167000</v>
      </c>
      <c r="AI26" s="30">
        <f ca="1">IF(Table1341112[[#This Row],[Day]]=1,100*(1+Table1341112[[#This Row],[Return]]),AI25*(1+Table1341112[[#This Row],[Return]]))</f>
        <v>167.00000000000003</v>
      </c>
      <c r="AJ26" s="5">
        <f ca="1">EXP(-((30-Table1341112[[#This Row],[Day]])/30))</f>
        <v>0.56741366879700383</v>
      </c>
      <c r="AK26" s="7"/>
      <c r="AL26" s="7">
        <f ca="1">IF(Table1341112[[#This Row],[Day]]&lt;=7,"",MIN(IF(AI26&gt;=MAX(AI19:AI25),IFERROR(AVERAGE(AL19:AL25),-1%),AI26/MAX(AI19:AI25)-1),-1%))</f>
        <v>-6.8299239553062191E-2</v>
      </c>
      <c r="AM26" s="31"/>
      <c r="AO26" s="6">
        <f t="shared" ca="1" si="16"/>
        <v>45610</v>
      </c>
      <c r="AP26">
        <f t="shared" ca="1" si="8"/>
        <v>13</v>
      </c>
      <c r="AQ26" s="3">
        <v>392886.9</v>
      </c>
      <c r="AR26" s="8">
        <v>-853.39</v>
      </c>
      <c r="AS26" s="3">
        <v>0</v>
      </c>
      <c r="AT26" s="7">
        <f>Table134111213[[#This Row],[$Return]]/AVERAGE(Table134111213[[#This Row],[Starting]],Table134111213[[#This Row],[Starting]]+Table134111213[[#This Row],[Inflows]])</f>
        <v>-2.1721009277733618E-3</v>
      </c>
      <c r="AU26" s="4">
        <f t="shared" si="3"/>
        <v>392033.51</v>
      </c>
      <c r="AV26" s="30">
        <f ca="1">IF(Table134111213[[#This Row],[Day]]=1,100*(1+Table134111213[[#This Row],[Return]]),AV25*(1+Table134111213[[#This Row],[Return]]))</f>
        <v>103.04965686606462</v>
      </c>
      <c r="AW26" s="5">
        <f ca="1">EXP(-((30-Table134111213[[#This Row],[Day]])/30))</f>
        <v>0.56741366879700383</v>
      </c>
      <c r="AX26" s="7"/>
      <c r="AY26" s="7">
        <f ca="1">IF(Table134111213[[#This Row],[Day]]&lt;=7,"",MIN(IF(AV26&gt;=MAX(AV19:AV25),IFERROR(AVERAGE(AY19:AY25),-1%),AV26/MAX(AV19:AV25)-1),-1%))</f>
        <v>-0.01</v>
      </c>
      <c r="AZ26" s="31"/>
      <c r="BB26" s="6">
        <f t="shared" ca="1" si="17"/>
        <v>45610</v>
      </c>
      <c r="BC26">
        <f t="shared" ca="1" si="9"/>
        <v>13</v>
      </c>
      <c r="BD26" s="3">
        <v>5483106.9699999997</v>
      </c>
      <c r="BE26" s="8">
        <v>11842.81</v>
      </c>
      <c r="BF26" s="3">
        <v>1500000</v>
      </c>
      <c r="BG26" s="7">
        <f>Table13411121314[[#This Row],[$Return]]/AVERAGE(Table13411121314[[#This Row],[Starting]],Table13411121314[[#This Row],[Starting]]+Table13411121314[[#This Row],[Inflows]])</f>
        <v>1.8999850406866995E-3</v>
      </c>
      <c r="BH26" s="4">
        <f t="shared" si="4"/>
        <v>6994949.7799999993</v>
      </c>
      <c r="BI26" s="30">
        <f ca="1">IF(Table13411121314[[#This Row],[Day]]=1,100*(1+Table13411121314[[#This Row],[Return]]),BI25*(1+Table13411121314[[#This Row],[Return]]))</f>
        <v>100.98278809959911</v>
      </c>
      <c r="BJ26" s="5">
        <f ca="1">EXP(-((30-Table13411121314[[#This Row],[Day]])/30))</f>
        <v>0.56741366879700383</v>
      </c>
      <c r="BK26" s="7"/>
      <c r="BL26" s="7">
        <f ca="1">IF(Table13411121314[[#This Row],[Day]]&lt;=7,"",MIN(IF(BI26&gt;=MAX(BI19:BI25),IFERROR(AVERAGE(BL19:BL25),-1%),BI26/MAX(BI19:BI25)-1),-1%))</f>
        <v>-0.01</v>
      </c>
      <c r="BM26" s="31"/>
    </row>
    <row r="27" spans="2:65" x14ac:dyDescent="0.45">
      <c r="B27" s="6">
        <f t="shared" ca="1" si="10"/>
        <v>45611</v>
      </c>
      <c r="C27">
        <f t="shared" ca="1" si="5"/>
        <v>14</v>
      </c>
      <c r="D27" s="3">
        <f t="shared" si="11"/>
        <v>100613</v>
      </c>
      <c r="E27" s="8">
        <v>-1674</v>
      </c>
      <c r="F27" s="3">
        <v>570</v>
      </c>
      <c r="G27" s="7">
        <f>Table1310[[#This Row],[$Return]]/AVERAGE(Table1310[[#This Row],[Starting]],Table1310[[#This Row],[Starting]]+Table1310[[#This Row],[Inflows]])</f>
        <v>-1.659101270590101E-2</v>
      </c>
      <c r="H27" s="4">
        <f t="shared" si="0"/>
        <v>99509</v>
      </c>
      <c r="I27" s="30">
        <f ca="1">IF(Table1310[[#This Row],[Day]]=1,100*(1+Table1310[[#This Row],[Return]]),I26*(1+Table1310[[#This Row],[Return]]))</f>
        <v>94.631406782692935</v>
      </c>
      <c r="J27" s="5">
        <f ca="1">EXP(-((30-Table1310[[#This Row],[Day]])/30))</f>
        <v>0.58664621951003182</v>
      </c>
      <c r="K27" s="7"/>
      <c r="L27" s="7">
        <f ca="1">IF(Table1310[[#This Row],[Day]]&lt;=7,"",MIN(IF(I27&gt;=MAX(I20:I26),IFERROR(AVERAGE(L20:L26),-1%),I27/MAX(I20:I26)-1),-1%))</f>
        <v>-0.10222050289498641</v>
      </c>
      <c r="M27" s="31"/>
      <c r="O27" s="6">
        <f t="shared" ca="1" si="12"/>
        <v>45611</v>
      </c>
      <c r="P27">
        <f t="shared" ca="1" si="6"/>
        <v>14</v>
      </c>
      <c r="Q27" s="3">
        <f t="shared" si="13"/>
        <v>99251</v>
      </c>
      <c r="R27" s="8">
        <v>421</v>
      </c>
      <c r="S27" s="3">
        <v>0</v>
      </c>
      <c r="T27" s="7">
        <f>Table13411[[#This Row],[$Return]]/AVERAGE(Table13411[[#This Row],[Starting]],Table13411[[#This Row],[Starting]]+Table13411[[#This Row],[Inflows]])</f>
        <v>4.2417708637696346E-3</v>
      </c>
      <c r="U27" s="4">
        <f t="shared" si="1"/>
        <v>99672</v>
      </c>
      <c r="V27" s="30">
        <f ca="1">IF(Table13411[[#This Row],[Day]]=1,100,V26*(1+Table13411[[#This Row],[Return]]))</f>
        <v>99.671999999999997</v>
      </c>
      <c r="W27" s="5">
        <f ca="1">EXP(-((30-Table13411[[#This Row],[Day]])/30))</f>
        <v>0.58664621951003182</v>
      </c>
      <c r="X27" s="7"/>
      <c r="Y27" s="7">
        <f ca="1">IF(Table13411[[#This Row],[Day]]&lt;=7,"",MIN(IF(V27&gt;=MAX(V20:V26),IFERROR(AVERAGE(Y20:Y26),-1%),V27/MAX(V20:V26)-1),-1%))</f>
        <v>-0.01</v>
      </c>
      <c r="Z27" s="31"/>
      <c r="AB27" s="6">
        <f t="shared" ca="1" si="14"/>
        <v>45611</v>
      </c>
      <c r="AC27">
        <f t="shared" ca="1" si="7"/>
        <v>14</v>
      </c>
      <c r="AD27" s="3">
        <f t="shared" si="15"/>
        <v>167000</v>
      </c>
      <c r="AE27" s="8">
        <v>-15500</v>
      </c>
      <c r="AF27" s="3">
        <v>0</v>
      </c>
      <c r="AG27" s="7">
        <f>Table1341112[[#This Row],[$Return]]/AVERAGE(Table1341112[[#This Row],[Starting]],Table1341112[[#This Row],[Starting]]+Table1341112[[#This Row],[Inflows]])</f>
        <v>-9.2814371257485026E-2</v>
      </c>
      <c r="AH27" s="4">
        <f t="shared" si="2"/>
        <v>151500</v>
      </c>
      <c r="AI27" s="30">
        <f ca="1">IF(Table1341112[[#This Row],[Day]]=1,100*(1+Table1341112[[#This Row],[Return]]),AI26*(1+Table1341112[[#This Row],[Return]]))</f>
        <v>151.50000000000003</v>
      </c>
      <c r="AJ27" s="5">
        <f ca="1">EXP(-((30-Table1341112[[#This Row],[Day]])/30))</f>
        <v>0.58664621951003182</v>
      </c>
      <c r="AK27" s="7"/>
      <c r="AL27" s="7">
        <f ca="1">IF(Table1341112[[#This Row],[Day]]&lt;=7,"",MIN(IF(AI27&gt;=MAX(AI20:AI26),IFERROR(AVERAGE(AL20:AL26),-1%),AI27/MAX(AI20:AI26)-1),-1%))</f>
        <v>-9.281437125748504E-2</v>
      </c>
      <c r="AM27" s="31"/>
      <c r="AO27" s="6">
        <f t="shared" ca="1" si="16"/>
        <v>45611</v>
      </c>
      <c r="AP27">
        <f t="shared" ca="1" si="8"/>
        <v>14</v>
      </c>
      <c r="AQ27" s="3">
        <v>393118.41</v>
      </c>
      <c r="AR27" s="8">
        <v>231.51</v>
      </c>
      <c r="AS27" s="3">
        <v>0</v>
      </c>
      <c r="AT27" s="7">
        <f>Table134111213[[#This Row],[$Return]]/AVERAGE(Table134111213[[#This Row],[Starting]],Table134111213[[#This Row],[Starting]]+Table134111213[[#This Row],[Inflows]])</f>
        <v>5.8890653327581374E-4</v>
      </c>
      <c r="AU27" s="4">
        <f t="shared" si="3"/>
        <v>393349.92</v>
      </c>
      <c r="AV27" s="30">
        <f ca="1">IF(Table134111213[[#This Row],[Day]]=1,100*(1+Table134111213[[#This Row],[Return]]),AV26*(1+Table134111213[[#This Row],[Return]]))</f>
        <v>103.11034348224489</v>
      </c>
      <c r="AW27" s="5">
        <f ca="1">EXP(-((30-Table134111213[[#This Row],[Day]])/30))</f>
        <v>0.58664621951003182</v>
      </c>
      <c r="AX27" s="7"/>
      <c r="AY27" s="7">
        <f ca="1">IF(Table134111213[[#This Row],[Day]]&lt;=7,"",MIN(IF(AV27&gt;=MAX(AV20:AV26),IFERROR(AVERAGE(AY20:AY26),-1%),AV27/MAX(AV20:AV26)-1),-1%))</f>
        <v>-0.01</v>
      </c>
      <c r="AZ27" s="31"/>
      <c r="BB27" s="6">
        <f t="shared" ca="1" si="17"/>
        <v>45611</v>
      </c>
      <c r="BC27">
        <f t="shared" ca="1" si="9"/>
        <v>14</v>
      </c>
      <c r="BD27" s="3">
        <v>6993716.2000000002</v>
      </c>
      <c r="BE27" s="8">
        <v>10609.23</v>
      </c>
      <c r="BF27" s="3">
        <v>0</v>
      </c>
      <c r="BG27" s="7">
        <f>Table13411121314[[#This Row],[$Return]]/AVERAGE(Table13411121314[[#This Row],[Starting]],Table13411121314[[#This Row],[Starting]]+Table13411121314[[#This Row],[Inflows]])</f>
        <v>1.5169660444614552E-3</v>
      </c>
      <c r="BH27" s="4">
        <f t="shared" si="4"/>
        <v>7004325.4300000006</v>
      </c>
      <c r="BI27" s="30">
        <f ca="1">IF(Table13411121314[[#This Row],[Day]]=1,100*(1+Table13411121314[[#This Row],[Return]]),BI26*(1+Table13411121314[[#This Row],[Return]]))</f>
        <v>101.13597556022124</v>
      </c>
      <c r="BJ27" s="5">
        <f ca="1">EXP(-((30-Table13411121314[[#This Row],[Day]])/30))</f>
        <v>0.58664621951003182</v>
      </c>
      <c r="BK27" s="7"/>
      <c r="BL27" s="7">
        <f ca="1">IF(Table13411121314[[#This Row],[Day]]&lt;=7,"",MIN(IF(BI27&gt;=MAX(BI20:BI26),IFERROR(AVERAGE(BL20:BL26),-1%),BI27/MAX(BI20:BI26)-1),-1%))</f>
        <v>-0.01</v>
      </c>
      <c r="BM27" s="31"/>
    </row>
    <row r="28" spans="2:65" x14ac:dyDescent="0.45">
      <c r="B28" s="6">
        <f t="shared" ca="1" si="10"/>
        <v>45612</v>
      </c>
      <c r="C28">
        <f t="shared" ca="1" si="5"/>
        <v>15</v>
      </c>
      <c r="D28" s="3">
        <f t="shared" si="11"/>
        <v>99509</v>
      </c>
      <c r="E28" s="8">
        <v>-4667</v>
      </c>
      <c r="F28" s="3">
        <v>550</v>
      </c>
      <c r="G28" s="7">
        <f>Table1310[[#This Row],[$Return]]/AVERAGE(Table1310[[#This Row],[Starting]],Table1310[[#This Row],[Starting]]+Table1310[[#This Row],[Inflows]])</f>
        <v>-4.6771025414896174E-2</v>
      </c>
      <c r="H28" s="4">
        <f t="shared" si="0"/>
        <v>95392</v>
      </c>
      <c r="I28" s="30">
        <f ca="1">IF(Table1310[[#This Row],[Day]]=1,100*(1+Table1310[[#This Row],[Return]]),I27*(1+Table1310[[#This Row],[Return]]))</f>
        <v>90.20539885101222</v>
      </c>
      <c r="J28" s="5">
        <f ca="1">EXP(-((30-Table1310[[#This Row],[Day]])/30))</f>
        <v>0.60653065971263342</v>
      </c>
      <c r="K28" s="7"/>
      <c r="L28" s="7">
        <f ca="1">IF(Table1310[[#This Row],[Day]]&lt;=7,"",MIN(IF(I28&gt;=MAX(I21:I27),IFERROR(AVERAGE(L21:L27),-1%),I28/MAX(I21:I27)-1),-1%))</f>
        <v>-0.14421057057105779</v>
      </c>
      <c r="M28" s="31"/>
      <c r="O28" s="6">
        <f t="shared" ca="1" si="12"/>
        <v>45612</v>
      </c>
      <c r="P28">
        <f t="shared" ca="1" si="6"/>
        <v>15</v>
      </c>
      <c r="Q28" s="3">
        <f t="shared" si="13"/>
        <v>99672</v>
      </c>
      <c r="R28" s="8">
        <v>805</v>
      </c>
      <c r="S28" s="3">
        <v>0</v>
      </c>
      <c r="T28" s="7">
        <f>Table13411[[#This Row],[$Return]]/AVERAGE(Table13411[[#This Row],[Starting]],Table13411[[#This Row],[Starting]]+Table13411[[#This Row],[Inflows]])</f>
        <v>8.076490890119593E-3</v>
      </c>
      <c r="U28" s="4">
        <f t="shared" si="1"/>
        <v>100477</v>
      </c>
      <c r="V28" s="30">
        <f ca="1">IF(Table13411[[#This Row],[Day]]=1,100,V27*(1+Table13411[[#This Row],[Return]]))</f>
        <v>100.477</v>
      </c>
      <c r="W28" s="5">
        <f ca="1">EXP(-((30-Table13411[[#This Row],[Day]])/30))</f>
        <v>0.60653065971263342</v>
      </c>
      <c r="X28" s="7"/>
      <c r="Y28" s="7">
        <f ca="1">IF(Table13411[[#This Row],[Day]]&lt;=7,"",MIN(IF(V28&gt;=MAX(V21:V27),IFERROR(AVERAGE(Y21:Y27),-1%),V28/MAX(V21:V27)-1),-1%))</f>
        <v>-1.1768276968162796E-2</v>
      </c>
      <c r="Z28" s="31"/>
      <c r="AB28" s="6">
        <f t="shared" ca="1" si="14"/>
        <v>45612</v>
      </c>
      <c r="AC28">
        <f t="shared" ca="1" si="7"/>
        <v>15</v>
      </c>
      <c r="AD28" s="3">
        <f>AH27</f>
        <v>151500</v>
      </c>
      <c r="AE28" s="8">
        <v>18000</v>
      </c>
      <c r="AF28" s="3">
        <v>0</v>
      </c>
      <c r="AG28" s="7">
        <f>Table1341112[[#This Row],[$Return]]/AVERAGE(Table1341112[[#This Row],[Starting]],Table1341112[[#This Row],[Starting]]+Table1341112[[#This Row],[Inflows]])</f>
        <v>0.11881188118811881</v>
      </c>
      <c r="AH28" s="4">
        <f t="shared" si="2"/>
        <v>169500</v>
      </c>
      <c r="AI28" s="30">
        <f ca="1">IF(Table1341112[[#This Row],[Day]]=1,100*(1+Table1341112[[#This Row],[Return]]),AI27*(1+Table1341112[[#This Row],[Return]]))</f>
        <v>169.50000000000006</v>
      </c>
      <c r="AJ28" s="5">
        <f ca="1">EXP(-((30-Table1341112[[#This Row],[Day]])/30))</f>
        <v>0.60653065971263342</v>
      </c>
      <c r="AK28" s="7"/>
      <c r="AL28" s="7">
        <f ca="1">IF(Table1341112[[#This Row],[Day]]&lt;=7,"",MIN(IF(AI28&gt;=MAX(AI21:AI27),IFERROR(AVERAGE(AL21:AL27),-1%),AI28/MAX(AI21:AI27)-1),-1%))</f>
        <v>-7.1801401225122602E-2</v>
      </c>
      <c r="AM28" s="31"/>
      <c r="AO28" s="6">
        <f t="shared" ca="1" si="16"/>
        <v>45612</v>
      </c>
      <c r="AP28">
        <f t="shared" ca="1" si="8"/>
        <v>15</v>
      </c>
      <c r="AQ28" s="3">
        <v>393312.71</v>
      </c>
      <c r="AR28" s="8">
        <v>194.29</v>
      </c>
      <c r="AS28" s="3">
        <v>0</v>
      </c>
      <c r="AT28" s="7">
        <f>Table134111213[[#This Row],[$Return]]/AVERAGE(Table134111213[[#This Row],[Starting]],Table134111213[[#This Row],[Starting]]+Table134111213[[#This Row],[Inflows]])</f>
        <v>4.939835277634429E-4</v>
      </c>
      <c r="AU28" s="4">
        <f t="shared" si="3"/>
        <v>393507</v>
      </c>
      <c r="AV28" s="30">
        <f ca="1">IF(Table134111213[[#This Row],[Day]]=1,100*(1+Table134111213[[#This Row],[Return]]),AV27*(1+Table134111213[[#This Row],[Return]]))</f>
        <v>103.16127829346715</v>
      </c>
      <c r="AW28" s="5">
        <f ca="1">EXP(-((30-Table134111213[[#This Row],[Day]])/30))</f>
        <v>0.60653065971263342</v>
      </c>
      <c r="AX28" s="7"/>
      <c r="AY28" s="7">
        <f ca="1">IF(Table134111213[[#This Row],[Day]]&lt;=7,"",MIN(IF(AV28&gt;=MAX(AV21:AV27),IFERROR(AVERAGE(AY21:AY27),-1%),AV28/MAX(AV21:AV27)-1),-1%))</f>
        <v>-0.01</v>
      </c>
      <c r="AZ28" s="31"/>
      <c r="BB28" s="6">
        <f t="shared" ca="1" si="17"/>
        <v>45612</v>
      </c>
      <c r="BC28">
        <f t="shared" ca="1" si="9"/>
        <v>15</v>
      </c>
      <c r="BD28" s="3">
        <v>7002350.2699999996</v>
      </c>
      <c r="BE28" s="8">
        <v>8634.07</v>
      </c>
      <c r="BF28" s="3">
        <v>-1500000</v>
      </c>
      <c r="BG28" s="7">
        <f>Table13411121314[[#This Row],[$Return]]/AVERAGE(Table13411121314[[#This Row],[Starting]],Table13411121314[[#This Row],[Starting]]+Table13411121314[[#This Row],[Inflows]])</f>
        <v>1.3809319099456019E-3</v>
      </c>
      <c r="BH28" s="4">
        <f t="shared" si="4"/>
        <v>5510984.3399999999</v>
      </c>
      <c r="BI28" s="30">
        <f ca="1">IF(Table13411121314[[#This Row],[Day]]=1,100*(1+Table13411121314[[#This Row],[Return]]),BI27*(1+Table13411121314[[#This Row],[Return]]))</f>
        <v>101.27563745611583</v>
      </c>
      <c r="BJ28" s="5">
        <f ca="1">EXP(-((30-Table13411121314[[#This Row],[Day]])/30))</f>
        <v>0.60653065971263342</v>
      </c>
      <c r="BK28" s="7"/>
      <c r="BL28" s="7">
        <f ca="1">IF(Table13411121314[[#This Row],[Day]]&lt;=7,"",MIN(IF(BI28&gt;=MAX(BI21:BI27),IFERROR(AVERAGE(BL21:BL27),-1%),BI28/MAX(BI21:BI27)-1),-1%))</f>
        <v>-0.01</v>
      </c>
      <c r="BM28" s="31"/>
    </row>
    <row r="29" spans="2:65" x14ac:dyDescent="0.45">
      <c r="B29" s="6">
        <f t="shared" ca="1" si="10"/>
        <v>45613</v>
      </c>
      <c r="C29">
        <f t="shared" ca="1" si="5"/>
        <v>16</v>
      </c>
      <c r="D29" s="3">
        <f t="shared" si="11"/>
        <v>95392</v>
      </c>
      <c r="E29" s="8">
        <v>-1271</v>
      </c>
      <c r="F29" s="3">
        <v>382</v>
      </c>
      <c r="G29" s="7">
        <f>Table1310[[#This Row],[$Return]]/AVERAGE(Table1310[[#This Row],[Starting]],Table1310[[#This Row],[Starting]]+Table1310[[#This Row],[Inflows]])</f>
        <v>-1.3297343669899458E-2</v>
      </c>
      <c r="H29" s="4">
        <f t="shared" si="0"/>
        <v>94503</v>
      </c>
      <c r="I29" s="30">
        <f ca="1">IF(Table1310[[#This Row],[Day]]=1,100*(1+Table1310[[#This Row],[Return]]),I28*(1+Table1310[[#This Row],[Return]]))</f>
        <v>89.005906661609956</v>
      </c>
      <c r="J29" s="5">
        <f ca="1">EXP(-((30-Table1310[[#This Row],[Day]])/30))</f>
        <v>0.62708908527305607</v>
      </c>
      <c r="K29" s="7"/>
      <c r="L29" s="7">
        <f ca="1">IF(Table1310[[#This Row],[Day]]&lt;=7,"",MIN(IF(I29&gt;=MAX(I22:I28),IFERROR(AVERAGE(L22:L28),-1%),I29/MAX(I22:I28)-1),-1%))</f>
        <v>-0.15559029672324154</v>
      </c>
      <c r="M29" s="31"/>
      <c r="O29" s="6">
        <f t="shared" ca="1" si="12"/>
        <v>45613</v>
      </c>
      <c r="P29">
        <f t="shared" ca="1" si="6"/>
        <v>16</v>
      </c>
      <c r="Q29" s="3">
        <f t="shared" si="13"/>
        <v>100477</v>
      </c>
      <c r="R29" s="8">
        <v>330</v>
      </c>
      <c r="S29" s="3">
        <v>0</v>
      </c>
      <c r="T29" s="7">
        <f>Table13411[[#This Row],[$Return]]/AVERAGE(Table13411[[#This Row],[Starting]],Table13411[[#This Row],[Starting]]+Table13411[[#This Row],[Inflows]])</f>
        <v>3.2843337281168823E-3</v>
      </c>
      <c r="U29" s="4">
        <f t="shared" si="1"/>
        <v>100807</v>
      </c>
      <c r="V29" s="30">
        <f ca="1">IF(Table13411[[#This Row],[Day]]=1,100,V28*(1+Table13411[[#This Row],[Return]]))</f>
        <v>100.80700000000002</v>
      </c>
      <c r="W29" s="5">
        <f ca="1">EXP(-((30-Table13411[[#This Row],[Day]])/30))</f>
        <v>0.62708908527305607</v>
      </c>
      <c r="X29" s="7"/>
      <c r="Y29" s="7">
        <f ca="1">IF(Table13411[[#This Row],[Day]]&lt;=7,"",MIN(IF(V29&gt;=MAX(V22:V28),IFERROR(AVERAGE(Y22:Y28),-1%),V29/MAX(V22:V28)-1),-1%))</f>
        <v>-1.1782463495013983E-2</v>
      </c>
      <c r="Z29" s="31"/>
      <c r="AB29" s="6">
        <f t="shared" ca="1" si="14"/>
        <v>45613</v>
      </c>
      <c r="AC29">
        <f t="shared" ca="1" si="7"/>
        <v>16</v>
      </c>
      <c r="AD29" s="3">
        <f t="shared" si="15"/>
        <v>169500</v>
      </c>
      <c r="AE29" s="8">
        <v>-42000</v>
      </c>
      <c r="AF29" s="3">
        <v>0</v>
      </c>
      <c r="AG29" s="7">
        <f>Table1341112[[#This Row],[$Return]]/AVERAGE(Table1341112[[#This Row],[Starting]],Table1341112[[#This Row],[Starting]]+Table1341112[[#This Row],[Inflows]])</f>
        <v>-0.24778761061946902</v>
      </c>
      <c r="AH29" s="4">
        <f t="shared" si="2"/>
        <v>127500</v>
      </c>
      <c r="AI29" s="30">
        <f ca="1">IF(Table1341112[[#This Row],[Day]]=1,100*(1+Table1341112[[#This Row],[Return]]),AI28*(1+Table1341112[[#This Row],[Return]]))</f>
        <v>127.50000000000006</v>
      </c>
      <c r="AJ29" s="5">
        <f ca="1">EXP(-((30-Table1341112[[#This Row],[Day]])/30))</f>
        <v>0.62708908527305607</v>
      </c>
      <c r="AK29" s="7"/>
      <c r="AL29" s="7">
        <f ca="1">IF(Table1341112[[#This Row],[Day]]&lt;=7,"",MIN(IF(AI29&gt;=MAX(AI22:AI28),IFERROR(AVERAGE(AL22:AL28),-1%),AI29/MAX(AI22:AI28)-1),-1%))</f>
        <v>-0.24778761061946897</v>
      </c>
      <c r="AM29" s="31"/>
      <c r="AO29" s="6">
        <f t="shared" ca="1" si="16"/>
        <v>45613</v>
      </c>
      <c r="AP29">
        <f t="shared" ca="1" si="8"/>
        <v>16</v>
      </c>
      <c r="AQ29" s="3">
        <v>394154.82</v>
      </c>
      <c r="AR29" s="8">
        <v>842.12</v>
      </c>
      <c r="AS29" s="3">
        <v>0</v>
      </c>
      <c r="AT29" s="7">
        <f>Table134111213[[#This Row],[$Return]]/AVERAGE(Table134111213[[#This Row],[Starting]],Table134111213[[#This Row],[Starting]]+Table134111213[[#This Row],[Inflows]])</f>
        <v>2.1365208726865244E-3</v>
      </c>
      <c r="AU29" s="4">
        <f t="shared" si="3"/>
        <v>394996.94</v>
      </c>
      <c r="AV29" s="30">
        <f ca="1">IF(Table134111213[[#This Row],[Day]]=1,100*(1+Table134111213[[#This Row],[Return]]),AV28*(1+Table134111213[[#This Row],[Return]]))</f>
        <v>103.38168451779416</v>
      </c>
      <c r="AW29" s="5">
        <f ca="1">EXP(-((30-Table134111213[[#This Row],[Day]])/30))</f>
        <v>0.62708908527305607</v>
      </c>
      <c r="AX29" s="7"/>
      <c r="AY29" s="7">
        <f ca="1">IF(Table134111213[[#This Row],[Day]]&lt;=7,"",MIN(IF(AV29&gt;=MAX(AV22:AV28),IFERROR(AVERAGE(AY22:AY28),-1%),AV29/MAX(AV22:AV28)-1),-1%))</f>
        <v>-0.01</v>
      </c>
      <c r="AZ29" s="31"/>
      <c r="BB29" s="6">
        <f t="shared" ca="1" si="17"/>
        <v>45613</v>
      </c>
      <c r="BC29">
        <f t="shared" ca="1" si="9"/>
        <v>16</v>
      </c>
      <c r="BD29" s="3">
        <v>5519401.9800000004</v>
      </c>
      <c r="BE29" s="8">
        <v>17051.71</v>
      </c>
      <c r="BF29" s="3">
        <v>1500000</v>
      </c>
      <c r="BG29" s="7">
        <f>Table13411121314[[#This Row],[$Return]]/AVERAGE(Table13411121314[[#This Row],[Starting]],Table13411121314[[#This Row],[Starting]]+Table13411121314[[#This Row],[Inflows]])</f>
        <v>2.7198303848431807E-3</v>
      </c>
      <c r="BH29" s="4">
        <f t="shared" si="4"/>
        <v>7036453.6900000004</v>
      </c>
      <c r="BI29" s="30">
        <f ca="1">IF(Table13411121314[[#This Row],[Day]]=1,100*(1+Table13411121314[[#This Row],[Return]]),BI28*(1+Table13411121314[[#This Row],[Return]]))</f>
        <v>101.55109001211335</v>
      </c>
      <c r="BJ29" s="5">
        <f ca="1">EXP(-((30-Table13411121314[[#This Row],[Day]])/30))</f>
        <v>0.62708908527305607</v>
      </c>
      <c r="BK29" s="7"/>
      <c r="BL29" s="7">
        <f ca="1">IF(Table13411121314[[#This Row],[Day]]&lt;=7,"",MIN(IF(BI29&gt;=MAX(BI22:BI28),IFERROR(AVERAGE(BL22:BL28),-1%),BI29/MAX(BI22:BI28)-1),-1%))</f>
        <v>-0.01</v>
      </c>
      <c r="BM29" s="31"/>
    </row>
    <row r="30" spans="2:65" x14ac:dyDescent="0.45">
      <c r="B30" s="6">
        <f t="shared" ca="1" si="10"/>
        <v>45614</v>
      </c>
      <c r="C30">
        <f t="shared" ca="1" si="5"/>
        <v>17</v>
      </c>
      <c r="D30" s="3">
        <f t="shared" si="11"/>
        <v>94503</v>
      </c>
      <c r="E30" s="8">
        <v>755</v>
      </c>
      <c r="F30" s="3">
        <v>564</v>
      </c>
      <c r="G30" s="7">
        <f>Table1310[[#This Row],[$Return]]/AVERAGE(Table1310[[#This Row],[Starting]],Table1310[[#This Row],[Starting]]+Table1310[[#This Row],[Inflows]])</f>
        <v>7.9653953684654753E-3</v>
      </c>
      <c r="H30" s="4">
        <f t="shared" si="0"/>
        <v>95822</v>
      </c>
      <c r="I30" s="30">
        <f ca="1">IF(Table1310[[#This Row],[Day]]=1,100*(1+Table1310[[#This Row],[Return]]),I29*(1+Table1310[[#This Row],[Return]]))</f>
        <v>89.714873898298421</v>
      </c>
      <c r="J30" s="5">
        <f ca="1">EXP(-((30-Table1310[[#This Row],[Day]])/30))</f>
        <v>0.64834434100150973</v>
      </c>
      <c r="K30" s="7"/>
      <c r="L30" s="7">
        <f ca="1">IF(Table1310[[#This Row],[Day]]&lt;=7,"",MIN(IF(I30&gt;=MAX(I23:I29),IFERROR(AVERAGE(L23:L29),-1%),I30/MAX(I23:I29)-1),-1%))</f>
        <v>-0.14886423958367356</v>
      </c>
      <c r="M30" s="31"/>
      <c r="O30" s="6">
        <f t="shared" ca="1" si="12"/>
        <v>45614</v>
      </c>
      <c r="P30">
        <f t="shared" ca="1" si="6"/>
        <v>17</v>
      </c>
      <c r="Q30" s="3">
        <f t="shared" si="13"/>
        <v>100807</v>
      </c>
      <c r="R30" s="8">
        <v>-134</v>
      </c>
      <c r="S30" s="3">
        <v>0</v>
      </c>
      <c r="T30" s="7">
        <f>Table13411[[#This Row],[$Return]]/AVERAGE(Table13411[[#This Row],[Starting]],Table13411[[#This Row],[Starting]]+Table13411[[#This Row],[Inflows]])</f>
        <v>-1.329272768756138E-3</v>
      </c>
      <c r="U30" s="4">
        <f t="shared" si="1"/>
        <v>100673</v>
      </c>
      <c r="V30" s="30">
        <f ca="1">IF(Table13411[[#This Row],[Day]]=1,100,V29*(1+Table13411[[#This Row],[Return]]))</f>
        <v>100.67300000000002</v>
      </c>
      <c r="W30" s="5">
        <f ca="1">EXP(-((30-Table13411[[#This Row],[Day]])/30))</f>
        <v>0.64834434100150973</v>
      </c>
      <c r="X30" s="7"/>
      <c r="Y30" s="7">
        <f ca="1">IF(Table13411[[#This Row],[Day]]&lt;=7,"",MIN(IF(V30&gt;=MAX(V23:V29),IFERROR(AVERAGE(Y23:Y29),-1%),V30/MAX(V23:V29)-1),-1%))</f>
        <v>-0.01</v>
      </c>
      <c r="Z30" s="31"/>
      <c r="AB30" s="6">
        <f t="shared" ca="1" si="14"/>
        <v>45614</v>
      </c>
      <c r="AC30">
        <f t="shared" ca="1" si="7"/>
        <v>17</v>
      </c>
      <c r="AD30" s="3">
        <f t="shared" si="15"/>
        <v>127500</v>
      </c>
      <c r="AE30" s="8">
        <v>24000</v>
      </c>
      <c r="AF30" s="3">
        <v>0</v>
      </c>
      <c r="AG30" s="7">
        <f>Table1341112[[#This Row],[$Return]]/AVERAGE(Table1341112[[#This Row],[Starting]],Table1341112[[#This Row],[Starting]]+Table1341112[[#This Row],[Inflows]])</f>
        <v>0.18823529411764706</v>
      </c>
      <c r="AH30" s="4">
        <f t="shared" si="2"/>
        <v>151500</v>
      </c>
      <c r="AI30" s="30">
        <f ca="1">IF(Table1341112[[#This Row],[Day]]=1,100*(1+Table1341112[[#This Row],[Return]]),AI29*(1+Table1341112[[#This Row],[Return]]))</f>
        <v>151.50000000000006</v>
      </c>
      <c r="AJ30" s="5">
        <f ca="1">EXP(-((30-Table1341112[[#This Row],[Day]])/30))</f>
        <v>0.64834434100150973</v>
      </c>
      <c r="AK30" s="7"/>
      <c r="AL30" s="7">
        <f ca="1">IF(Table1341112[[#This Row],[Day]]&lt;=7,"",MIN(IF(AI30&gt;=MAX(AI23:AI29),IFERROR(AVERAGE(AL23:AL29),-1%),AI30/MAX(AI23:AI29)-1),-1%))</f>
        <v>-0.10619469026548667</v>
      </c>
      <c r="AM30" s="31"/>
      <c r="AO30" s="6">
        <f t="shared" ca="1" si="16"/>
        <v>45614</v>
      </c>
      <c r="AP30">
        <f t="shared" ca="1" si="8"/>
        <v>17</v>
      </c>
      <c r="AQ30" s="3">
        <v>390546.59</v>
      </c>
      <c r="AR30" s="8">
        <v>-3608.23</v>
      </c>
      <c r="AS30" s="3">
        <v>0</v>
      </c>
      <c r="AT30" s="7">
        <f>Table134111213[[#This Row],[$Return]]/AVERAGE(Table134111213[[#This Row],[Starting]],Table134111213[[#This Row],[Starting]]+Table134111213[[#This Row],[Inflows]])</f>
        <v>-9.2389233253835339E-3</v>
      </c>
      <c r="AU30" s="4">
        <f t="shared" si="3"/>
        <v>386938.36000000004</v>
      </c>
      <c r="AV30" s="30">
        <f ca="1">IF(Table134111213[[#This Row],[Day]]=1,100*(1+Table134111213[[#This Row],[Return]]),AV29*(1+Table134111213[[#This Row],[Return]]))</f>
        <v>102.42654906128526</v>
      </c>
      <c r="AW30" s="5">
        <f ca="1">EXP(-((30-Table134111213[[#This Row],[Day]])/30))</f>
        <v>0.64834434100150973</v>
      </c>
      <c r="AX30" s="7"/>
      <c r="AY30" s="7">
        <f ca="1">IF(Table134111213[[#This Row],[Day]]&lt;=7,"",MIN(IF(AV30&gt;=MAX(AV23:AV29),IFERROR(AVERAGE(AY23:AY29),-1%),AV30/MAX(AV23:AV29)-1),-1%))</f>
        <v>-1.0166284404585335E-2</v>
      </c>
      <c r="AZ30" s="31"/>
      <c r="BB30" s="6">
        <f t="shared" ca="1" si="17"/>
        <v>45614</v>
      </c>
      <c r="BC30">
        <f t="shared" ca="1" si="9"/>
        <v>17</v>
      </c>
      <c r="BD30" s="3">
        <v>7040738.4699999997</v>
      </c>
      <c r="BE30" s="8">
        <v>21336.49</v>
      </c>
      <c r="BF30" s="3">
        <v>0</v>
      </c>
      <c r="BG30" s="7">
        <f>Table13411121314[[#This Row],[$Return]]/AVERAGE(Table13411121314[[#This Row],[Starting]],Table13411121314[[#This Row],[Starting]]+Table13411121314[[#This Row],[Inflows]])</f>
        <v>3.0304335391682291E-3</v>
      </c>
      <c r="BH30" s="4">
        <f t="shared" si="4"/>
        <v>7062074.96</v>
      </c>
      <c r="BI30" s="30">
        <f ca="1">IF(Table13411121314[[#This Row],[Day]]=1,100*(1+Table13411121314[[#This Row],[Return]]),BI29*(1+Table13411121314[[#This Row],[Return]]))</f>
        <v>101.85883384122515</v>
      </c>
      <c r="BJ30" s="5">
        <f ca="1">EXP(-((30-Table13411121314[[#This Row],[Day]])/30))</f>
        <v>0.64834434100150973</v>
      </c>
      <c r="BK30" s="7"/>
      <c r="BL30" s="7">
        <f ca="1">IF(Table13411121314[[#This Row],[Day]]&lt;=7,"",MIN(IF(BI30&gt;=MAX(BI23:BI29),IFERROR(AVERAGE(BL23:BL29),-1%),BI30/MAX(BI23:BI29)-1),-1%))</f>
        <v>-0.01</v>
      </c>
      <c r="BM30" s="31"/>
    </row>
    <row r="31" spans="2:65" x14ac:dyDescent="0.45">
      <c r="B31" s="6">
        <f t="shared" ca="1" si="10"/>
        <v>45615</v>
      </c>
      <c r="C31">
        <f t="shared" ca="1" si="5"/>
        <v>18</v>
      </c>
      <c r="D31" s="3">
        <f t="shared" si="11"/>
        <v>95822</v>
      </c>
      <c r="E31" s="8">
        <v>5586</v>
      </c>
      <c r="F31" s="3">
        <v>817</v>
      </c>
      <c r="G31" s="7">
        <f>Table1310[[#This Row],[$Return]]/AVERAGE(Table1310[[#This Row],[Starting]],Table1310[[#This Row],[Starting]]+Table1310[[#This Row],[Inflows]])</f>
        <v>5.8048124035518886E-2</v>
      </c>
      <c r="H31" s="4">
        <f t="shared" si="0"/>
        <v>102225</v>
      </c>
      <c r="I31" s="30">
        <f ca="1">IF(Table1310[[#This Row],[Day]]=1,100*(1+Table1310[[#This Row],[Return]]),I30*(1+Table1310[[#This Row],[Return]]))</f>
        <v>94.922654026177781</v>
      </c>
      <c r="J31" s="5">
        <f ca="1">EXP(-((30-Table1310[[#This Row],[Day]])/30))</f>
        <v>0.67032004603563933</v>
      </c>
      <c r="K31" s="7"/>
      <c r="L31" s="7">
        <f ca="1">IF(Table1310[[#This Row],[Day]]&lt;=7,"",MIN(IF(I31&gt;=MAX(I24:I30),IFERROR(AVERAGE(L24:L30),-1%),I31/MAX(I24:I30)-1),-1%))</f>
        <v>-7.842414541085907E-2</v>
      </c>
      <c r="M31" s="31"/>
      <c r="O31" s="6">
        <f t="shared" ca="1" si="12"/>
        <v>45615</v>
      </c>
      <c r="P31">
        <f t="shared" ca="1" si="6"/>
        <v>18</v>
      </c>
      <c r="Q31" s="3">
        <f t="shared" si="13"/>
        <v>100673</v>
      </c>
      <c r="R31" s="8">
        <v>993</v>
      </c>
      <c r="S31" s="3">
        <v>0</v>
      </c>
      <c r="T31" s="7">
        <f>Table13411[[#This Row],[$Return]]/AVERAGE(Table13411[[#This Row],[Starting]],Table13411[[#This Row],[Starting]]+Table13411[[#This Row],[Inflows]])</f>
        <v>9.8636178518570032E-3</v>
      </c>
      <c r="U31" s="4">
        <f t="shared" si="1"/>
        <v>101666</v>
      </c>
      <c r="V31" s="30">
        <f ca="1">IF(Table13411[[#This Row],[Day]]=1,100,V30*(1+Table13411[[#This Row],[Return]]))</f>
        <v>101.66600000000001</v>
      </c>
      <c r="W31" s="5">
        <f ca="1">EXP(-((30-Table13411[[#This Row],[Day]])/30))</f>
        <v>0.67032004603563933</v>
      </c>
      <c r="X31" s="7"/>
      <c r="Y31" s="7">
        <f ca="1">IF(Table13411[[#This Row],[Day]]&lt;=7,"",MIN(IF(V31&gt;=MAX(V24:V30),IFERROR(AVERAGE(Y24:Y30),-1%),V31/MAX(V24:V30)-1),-1%))</f>
        <v>-1.2037101137158836E-2</v>
      </c>
      <c r="Z31" s="31"/>
      <c r="AB31" s="6">
        <f t="shared" ca="1" si="14"/>
        <v>45615</v>
      </c>
      <c r="AC31">
        <f t="shared" ca="1" si="7"/>
        <v>18</v>
      </c>
      <c r="AD31" s="3">
        <f t="shared" si="15"/>
        <v>151500</v>
      </c>
      <c r="AE31" s="8">
        <v>-25000</v>
      </c>
      <c r="AF31" s="3">
        <v>0</v>
      </c>
      <c r="AG31" s="7">
        <f>Table1341112[[#This Row],[$Return]]/AVERAGE(Table1341112[[#This Row],[Starting]],Table1341112[[#This Row],[Starting]]+Table1341112[[#This Row],[Inflows]])</f>
        <v>-0.16501650165016502</v>
      </c>
      <c r="AH31" s="4">
        <f t="shared" si="2"/>
        <v>126500</v>
      </c>
      <c r="AI31" s="30">
        <f ca="1">IF(Table1341112[[#This Row],[Day]]=1,100*(1+Table1341112[[#This Row],[Return]]),AI30*(1+Table1341112[[#This Row],[Return]]))</f>
        <v>126.50000000000004</v>
      </c>
      <c r="AJ31" s="5">
        <f ca="1">EXP(-((30-Table1341112[[#This Row],[Day]])/30))</f>
        <v>0.67032004603563933</v>
      </c>
      <c r="AK31" s="7"/>
      <c r="AL31" s="7">
        <f ca="1">IF(Table1341112[[#This Row],[Day]]&lt;=7,"",MIN(IF(AI31&gt;=MAX(AI24:AI30),IFERROR(AVERAGE(AL24:AL30),-1%),AI31/MAX(AI24:AI30)-1),-1%))</f>
        <v>-0.25368731563421831</v>
      </c>
      <c r="AM31" s="31"/>
      <c r="AO31" s="6">
        <f t="shared" ca="1" si="16"/>
        <v>45615</v>
      </c>
      <c r="AP31">
        <f t="shared" ca="1" si="8"/>
        <v>18</v>
      </c>
      <c r="AQ31" s="3">
        <v>391643.61</v>
      </c>
      <c r="AR31" s="8">
        <v>1097.02</v>
      </c>
      <c r="AS31" s="3">
        <v>0</v>
      </c>
      <c r="AT31" s="7">
        <f>Table134111213[[#This Row],[$Return]]/AVERAGE(Table134111213[[#This Row],[Starting]],Table134111213[[#This Row],[Starting]]+Table134111213[[#This Row],[Inflows]])</f>
        <v>2.8010670211113622E-3</v>
      </c>
      <c r="AU31" s="4">
        <f t="shared" si="3"/>
        <v>392740.63</v>
      </c>
      <c r="AV31" s="30">
        <f ca="1">IF(Table134111213[[#This Row],[Day]]=1,100*(1+Table134111213[[#This Row],[Return]]),AV30*(1+Table134111213[[#This Row],[Return]]))</f>
        <v>102.71345268994708</v>
      </c>
      <c r="AW31" s="5">
        <f ca="1">EXP(-((30-Table134111213[[#This Row],[Day]])/30))</f>
        <v>0.67032004603563933</v>
      </c>
      <c r="AX31" s="7"/>
      <c r="AY31" s="7">
        <f ca="1">IF(Table134111213[[#This Row],[Day]]&lt;=7,"",MIN(IF(AV31&gt;=MAX(AV24:AV30),IFERROR(AVERAGE(AY24:AY30),-1%),AV31/MAX(AV24:AV30)-1),-1%))</f>
        <v>-0.01</v>
      </c>
      <c r="AZ31" s="31"/>
      <c r="BB31" s="6">
        <f t="shared" ca="1" si="17"/>
        <v>45615</v>
      </c>
      <c r="BC31">
        <f t="shared" ca="1" si="9"/>
        <v>18</v>
      </c>
      <c r="BD31" s="3">
        <v>7050313.3899999997</v>
      </c>
      <c r="BE31" s="8">
        <v>9574.92</v>
      </c>
      <c r="BF31" s="3">
        <v>0</v>
      </c>
      <c r="BG31" s="7">
        <f>Table13411121314[[#This Row],[$Return]]/AVERAGE(Table13411121314[[#This Row],[Starting]],Table13411121314[[#This Row],[Starting]]+Table13411121314[[#This Row],[Inflows]])</f>
        <v>1.3580843106323251E-3</v>
      </c>
      <c r="BH31" s="4">
        <f t="shared" si="4"/>
        <v>7059888.3099999996</v>
      </c>
      <c r="BI31" s="30">
        <f ca="1">IF(Table13411121314[[#This Row],[Day]]=1,100*(1+Table13411121314[[#This Row],[Return]]),BI30*(1+Table13411121314[[#This Row],[Return]]))</f>
        <v>101.99716672536421</v>
      </c>
      <c r="BJ31" s="5">
        <f ca="1">EXP(-((30-Table13411121314[[#This Row],[Day]])/30))</f>
        <v>0.67032004603563933</v>
      </c>
      <c r="BK31" s="7"/>
      <c r="BL31" s="7">
        <f ca="1">IF(Table13411121314[[#This Row],[Day]]&lt;=7,"",MIN(IF(BI31&gt;=MAX(BI24:BI30),IFERROR(AVERAGE(BL24:BL30),-1%),BI31/MAX(BI24:BI30)-1),-1%))</f>
        <v>-0.01</v>
      </c>
      <c r="BM31" s="31"/>
    </row>
    <row r="32" spans="2:65" x14ac:dyDescent="0.45">
      <c r="B32" s="6">
        <f t="shared" ca="1" si="10"/>
        <v>45616</v>
      </c>
      <c r="C32">
        <f t="shared" ca="1" si="5"/>
        <v>19</v>
      </c>
      <c r="D32" s="3">
        <f t="shared" si="11"/>
        <v>102225</v>
      </c>
      <c r="E32" s="8">
        <v>1058</v>
      </c>
      <c r="F32" s="3">
        <v>802</v>
      </c>
      <c r="G32" s="7">
        <f>Table1310[[#This Row],[$Return]]/AVERAGE(Table1310[[#This Row],[Starting]],Table1310[[#This Row],[Starting]]+Table1310[[#This Row],[Inflows]])</f>
        <v>1.0309278350515464E-2</v>
      </c>
      <c r="H32" s="4">
        <f t="shared" si="0"/>
        <v>104085</v>
      </c>
      <c r="I32" s="30">
        <f ca="1">IF(Table1310[[#This Row],[Day]]=1,100*(1+Table1310[[#This Row],[Return]]),I31*(1+Table1310[[#This Row],[Return]]))</f>
        <v>95.901238088303316</v>
      </c>
      <c r="J32" s="5">
        <f ca="1">EXP(-((30-Table1310[[#This Row],[Day]])/30))</f>
        <v>0.69304062008644152</v>
      </c>
      <c r="K32" s="7"/>
      <c r="L32" s="7">
        <f ca="1">IF(Table1310[[#This Row],[Day]]&lt;=7,"",MIN(IF(I32&gt;=MAX(I25:I31),IFERROR(AVERAGE(L25:L31),-1%),I32/MAX(I25:I31)-1),-1%))</f>
        <v>-3.3644864839203925E-2</v>
      </c>
      <c r="M32" s="31"/>
      <c r="O32" s="6">
        <f t="shared" ca="1" si="12"/>
        <v>45616</v>
      </c>
      <c r="P32">
        <f t="shared" ca="1" si="6"/>
        <v>19</v>
      </c>
      <c r="Q32" s="3">
        <f t="shared" si="13"/>
        <v>101666</v>
      </c>
      <c r="R32" s="8">
        <v>21</v>
      </c>
      <c r="S32" s="3">
        <v>0</v>
      </c>
      <c r="T32" s="7">
        <f>Table13411[[#This Row],[$Return]]/AVERAGE(Table13411[[#This Row],[Starting]],Table13411[[#This Row],[Starting]]+Table13411[[#This Row],[Inflows]])</f>
        <v>2.0655873153266579E-4</v>
      </c>
      <c r="U32" s="4">
        <f t="shared" si="1"/>
        <v>101687</v>
      </c>
      <c r="V32" s="30">
        <f ca="1">IF(Table13411[[#This Row],[Day]]=1,100,V31*(1+Table13411[[#This Row],[Return]]))</f>
        <v>101.68700000000003</v>
      </c>
      <c r="W32" s="5">
        <f ca="1">EXP(-((30-Table13411[[#This Row],[Day]])/30))</f>
        <v>0.69304062008644152</v>
      </c>
      <c r="X32" s="7"/>
      <c r="Y32" s="7">
        <f ca="1">IF(Table13411[[#This Row],[Day]]&lt;=7,"",MIN(IF(V32&gt;=MAX(V25:V31),IFERROR(AVERAGE(Y25:Y31),-1%),V32/MAX(V25:V31)-1),-1%))</f>
        <v>-1.2230280320488549E-2</v>
      </c>
      <c r="Z32" s="31"/>
      <c r="AB32" s="6">
        <f t="shared" ca="1" si="14"/>
        <v>45616</v>
      </c>
      <c r="AC32">
        <f t="shared" ca="1" si="7"/>
        <v>19</v>
      </c>
      <c r="AD32" s="3">
        <f t="shared" si="15"/>
        <v>126500</v>
      </c>
      <c r="AE32" s="8">
        <v>16750</v>
      </c>
      <c r="AF32" s="3">
        <v>0</v>
      </c>
      <c r="AG32" s="7">
        <f>Table1341112[[#This Row],[$Return]]/AVERAGE(Table1341112[[#This Row],[Starting]],Table1341112[[#This Row],[Starting]]+Table1341112[[#This Row],[Inflows]])</f>
        <v>0.1324110671936759</v>
      </c>
      <c r="AH32" s="4">
        <f t="shared" si="2"/>
        <v>143250</v>
      </c>
      <c r="AI32" s="30">
        <f ca="1">IF(Table1341112[[#This Row],[Day]]=1,100*(1+Table1341112[[#This Row],[Return]]),AI31*(1+Table1341112[[#This Row],[Return]]))</f>
        <v>143.25000000000003</v>
      </c>
      <c r="AJ32" s="5">
        <f ca="1">EXP(-((30-Table1341112[[#This Row],[Day]])/30))</f>
        <v>0.69304062008644152</v>
      </c>
      <c r="AK32" s="7"/>
      <c r="AL32" s="7">
        <f ca="1">IF(Table1341112[[#This Row],[Day]]&lt;=7,"",MIN(IF(AI32&gt;=MAX(AI25:AI31),IFERROR(AVERAGE(AL25:AL31),-1%),AI32/MAX(AI25:AI31)-1),-1%))</f>
        <v>-0.15486725663716827</v>
      </c>
      <c r="AM32" s="31"/>
      <c r="AO32" s="6">
        <f t="shared" ca="1" si="16"/>
        <v>45616</v>
      </c>
      <c r="AP32">
        <f t="shared" ca="1" si="8"/>
        <v>19</v>
      </c>
      <c r="AQ32" s="3">
        <v>390172.05</v>
      </c>
      <c r="AR32" s="8">
        <v>-1471.55</v>
      </c>
      <c r="AS32" s="3">
        <v>500000</v>
      </c>
      <c r="AT32" s="7">
        <f>Table134111213[[#This Row],[$Return]]/AVERAGE(Table134111213[[#This Row],[Starting]],Table134111213[[#This Row],[Starting]]+Table134111213[[#This Row],[Inflows]])</f>
        <v>-2.2986789254544927E-3</v>
      </c>
      <c r="AU32" s="4">
        <f t="shared" si="3"/>
        <v>888700.5</v>
      </c>
      <c r="AV32" s="30">
        <f ca="1">IF(Table134111213[[#This Row],[Day]]=1,100*(1+Table134111213[[#This Row],[Return]]),AV31*(1+Table134111213[[#This Row],[Return]]))</f>
        <v>102.47734744088802</v>
      </c>
      <c r="AW32" s="5">
        <f ca="1">EXP(-((30-Table134111213[[#This Row],[Day]])/30))</f>
        <v>0.69304062008644152</v>
      </c>
      <c r="AX32" s="7"/>
      <c r="AY32" s="7">
        <f ca="1">IF(Table134111213[[#This Row],[Day]]&lt;=7,"",MIN(IF(AV32&gt;=MAX(AV25:AV31),IFERROR(AVERAGE(AY25:AY31),-1%),AV32/MAX(AV25:AV31)-1),-1%))</f>
        <v>-0.01</v>
      </c>
      <c r="AZ32" s="31"/>
      <c r="BB32" s="6">
        <f t="shared" ca="1" si="17"/>
        <v>45616</v>
      </c>
      <c r="BC32">
        <f t="shared" ca="1" si="9"/>
        <v>19</v>
      </c>
      <c r="BD32" s="3">
        <v>7065002.1100000003</v>
      </c>
      <c r="BE32" s="8">
        <v>14688.72</v>
      </c>
      <c r="BF32" s="3">
        <v>0</v>
      </c>
      <c r="BG32" s="7">
        <f>Table13411121314[[#This Row],[$Return]]/AVERAGE(Table13411121314[[#This Row],[Starting]],Table13411121314[[#This Row],[Starting]]+Table13411121314[[#This Row],[Inflows]])</f>
        <v>2.0790821816187681E-3</v>
      </c>
      <c r="BH32" s="4">
        <f t="shared" si="4"/>
        <v>7079690.8300000001</v>
      </c>
      <c r="BI32" s="30">
        <f ca="1">IF(Table13411121314[[#This Row],[Day]]=1,100*(1+Table13411121314[[#This Row],[Return]]),BI31*(1+Table13411121314[[#This Row],[Return]]))</f>
        <v>102.20922721727851</v>
      </c>
      <c r="BJ32" s="5">
        <f ca="1">EXP(-((30-Table13411121314[[#This Row],[Day]])/30))</f>
        <v>0.69304062008644152</v>
      </c>
      <c r="BK32" s="7"/>
      <c r="BL32" s="7">
        <f ca="1">IF(Table13411121314[[#This Row],[Day]]&lt;=7,"",MIN(IF(BI32&gt;=MAX(BI25:BI31),IFERROR(AVERAGE(BL25:BL31),-1%),BI32/MAX(BI25:BI31)-1),-1%))</f>
        <v>-0.01</v>
      </c>
      <c r="BM32" s="31"/>
    </row>
    <row r="33" spans="2:65" x14ac:dyDescent="0.45">
      <c r="B33" s="6">
        <f t="shared" ca="1" si="10"/>
        <v>45617</v>
      </c>
      <c r="C33">
        <f t="shared" ca="1" si="5"/>
        <v>20</v>
      </c>
      <c r="D33" s="3">
        <f t="shared" si="11"/>
        <v>104085</v>
      </c>
      <c r="E33" s="8">
        <v>350</v>
      </c>
      <c r="F33" s="3">
        <v>339</v>
      </c>
      <c r="G33" s="7">
        <f>Table1310[[#This Row],[$Return]]/AVERAGE(Table1310[[#This Row],[Starting]],Table1310[[#This Row],[Starting]]+Table1310[[#This Row],[Inflows]])</f>
        <v>3.3571692349011312E-3</v>
      </c>
      <c r="H33" s="4">
        <f t="shared" si="0"/>
        <v>104774</v>
      </c>
      <c r="I33" s="30">
        <f ca="1">IF(Table1310[[#This Row],[Day]]=1,100*(1+Table1310[[#This Row],[Return]]),I32*(1+Table1310[[#This Row],[Return]]))</f>
        <v>96.223194774402288</v>
      </c>
      <c r="J33" s="5">
        <f ca="1">EXP(-((30-Table1310[[#This Row],[Day]])/30))</f>
        <v>0.71653131057378927</v>
      </c>
      <c r="K33" s="7"/>
      <c r="L33" s="7">
        <f ca="1">IF(Table1310[[#This Row],[Day]]&lt;=7,"",MIN(IF(I33&gt;=MAX(I26:I32),IFERROR(AVERAGE(L26:L32),-1%),I33/MAX(I26:I32)-1),-1%))</f>
        <v>-0.01</v>
      </c>
      <c r="M33" s="31"/>
      <c r="O33" s="6">
        <f t="shared" ca="1" si="12"/>
        <v>45617</v>
      </c>
      <c r="P33">
        <f t="shared" ca="1" si="6"/>
        <v>20</v>
      </c>
      <c r="Q33" s="3">
        <f t="shared" si="13"/>
        <v>101687</v>
      </c>
      <c r="R33" s="8">
        <v>220</v>
      </c>
      <c r="S33" s="3">
        <v>0</v>
      </c>
      <c r="T33" s="7">
        <f>Table13411[[#This Row],[$Return]]/AVERAGE(Table13411[[#This Row],[Starting]],Table13411[[#This Row],[Starting]]+Table13411[[#This Row],[Inflows]])</f>
        <v>2.1635017258843313E-3</v>
      </c>
      <c r="U33" s="4">
        <f t="shared" si="1"/>
        <v>101907</v>
      </c>
      <c r="V33" s="30">
        <f ca="1">IF(Table13411[[#This Row],[Day]]=1,100,V32*(1+Table13411[[#This Row],[Return]]))</f>
        <v>101.90700000000002</v>
      </c>
      <c r="W33" s="5">
        <f ca="1">EXP(-((30-Table13411[[#This Row],[Day]])/30))</f>
        <v>0.71653131057378927</v>
      </c>
      <c r="X33" s="7"/>
      <c r="Y33" s="7">
        <f ca="1">IF(Table13411[[#This Row],[Day]]&lt;=7,"",MIN(IF(V33&gt;=MAX(V26:V32),IFERROR(AVERAGE(Y26:Y32),-1%),V33/MAX(V26:V32)-1),-1%))</f>
        <v>-1.1116874560117739E-2</v>
      </c>
      <c r="Z33" s="31"/>
      <c r="AB33" s="6">
        <f t="shared" ca="1" si="14"/>
        <v>45617</v>
      </c>
      <c r="AC33">
        <f t="shared" ca="1" si="7"/>
        <v>20</v>
      </c>
      <c r="AD33" s="3">
        <f t="shared" si="15"/>
        <v>143250</v>
      </c>
      <c r="AE33" s="8">
        <v>-13500</v>
      </c>
      <c r="AF33" s="3">
        <v>0</v>
      </c>
      <c r="AG33" s="7">
        <f>Table1341112[[#This Row],[$Return]]/AVERAGE(Table1341112[[#This Row],[Starting]],Table1341112[[#This Row],[Starting]]+Table1341112[[#This Row],[Inflows]])</f>
        <v>-9.4240837696335081E-2</v>
      </c>
      <c r="AH33" s="4">
        <f t="shared" si="2"/>
        <v>129750</v>
      </c>
      <c r="AI33" s="30">
        <f ca="1">IF(Table1341112[[#This Row],[Day]]=1,100*(1+Table1341112[[#This Row],[Return]]),AI32*(1+Table1341112[[#This Row],[Return]]))</f>
        <v>129.75000000000003</v>
      </c>
      <c r="AJ33" s="5">
        <f ca="1">EXP(-((30-Table1341112[[#This Row],[Day]])/30))</f>
        <v>0.71653131057378927</v>
      </c>
      <c r="AK33" s="7"/>
      <c r="AL33" s="7">
        <f ca="1">IF(Table1341112[[#This Row],[Day]]&lt;=7,"",MIN(IF(AI33&gt;=MAX(AI26:AI32),IFERROR(AVERAGE(AL26:AL32),-1%),AI33/MAX(AI26:AI32)-1),-1%))</f>
        <v>-0.23451327433628333</v>
      </c>
      <c r="AM33" s="31"/>
      <c r="AO33" s="6">
        <f t="shared" ca="1" si="16"/>
        <v>45617</v>
      </c>
      <c r="AP33">
        <f t="shared" ca="1" si="8"/>
        <v>20</v>
      </c>
      <c r="AQ33" s="3">
        <v>889125.05</v>
      </c>
      <c r="AR33" s="8">
        <v>-1047</v>
      </c>
      <c r="AS33" s="3">
        <v>0</v>
      </c>
      <c r="AT33" s="7">
        <f>Table134111213[[#This Row],[$Return]]/AVERAGE(Table134111213[[#This Row],[Starting]],Table134111213[[#This Row],[Starting]]+Table134111213[[#This Row],[Inflows]])</f>
        <v>-1.1775621438176779E-3</v>
      </c>
      <c r="AU33" s="4">
        <f t="shared" si="3"/>
        <v>888078.05</v>
      </c>
      <c r="AV33" s="30">
        <f ca="1">IF(Table134111213[[#This Row],[Day]]=1,100*(1+Table134111213[[#This Row],[Return]]),AV32*(1+Table134111213[[#This Row],[Return]]))</f>
        <v>102.35667399594278</v>
      </c>
      <c r="AW33" s="5">
        <f ca="1">EXP(-((30-Table134111213[[#This Row],[Day]])/30))</f>
        <v>0.71653131057378927</v>
      </c>
      <c r="AX33" s="7"/>
      <c r="AY33" s="7">
        <f ca="1">IF(Table134111213[[#This Row],[Day]]&lt;=7,"",MIN(IF(AV33&gt;=MAX(AV26:AV32),IFERROR(AVERAGE(AY26:AY32),-1%),AV33/MAX(AV26:AV32)-1),-1%))</f>
        <v>-0.01</v>
      </c>
      <c r="AZ33" s="31"/>
      <c r="BB33" s="6">
        <f t="shared" ca="1" si="17"/>
        <v>45617</v>
      </c>
      <c r="BC33">
        <f t="shared" ca="1" si="9"/>
        <v>20</v>
      </c>
      <c r="BD33" s="3">
        <v>7069390.4100000001</v>
      </c>
      <c r="BE33" s="8">
        <v>4388.29</v>
      </c>
      <c r="BF33" s="3">
        <v>0</v>
      </c>
      <c r="BG33" s="7">
        <f>Table13411121314[[#This Row],[$Return]]/AVERAGE(Table13411121314[[#This Row],[Starting]],Table13411121314[[#This Row],[Starting]]+Table13411121314[[#This Row],[Inflows]])</f>
        <v>6.207451768107966E-4</v>
      </c>
      <c r="BH33" s="4">
        <f t="shared" si="4"/>
        <v>7073778.7000000002</v>
      </c>
      <c r="BI33" s="30">
        <f ca="1">IF(Table13411121314[[#This Row],[Day]]=1,100*(1+Table13411121314[[#This Row],[Return]]),BI32*(1+Table13411121314[[#This Row],[Return]]))</f>
        <v>102.27267310209919</v>
      </c>
      <c r="BJ33" s="5">
        <f ca="1">EXP(-((30-Table13411121314[[#This Row],[Day]])/30))</f>
        <v>0.71653131057378927</v>
      </c>
      <c r="BK33" s="7"/>
      <c r="BL33" s="7">
        <f ca="1">IF(Table13411121314[[#This Row],[Day]]&lt;=7,"",MIN(IF(BI33&gt;=MAX(BI26:BI32),IFERROR(AVERAGE(BL26:BL32),-1%),BI33/MAX(BI26:BI32)-1),-1%))</f>
        <v>-0.01</v>
      </c>
      <c r="BM33" s="31"/>
    </row>
    <row r="34" spans="2:65" x14ac:dyDescent="0.45">
      <c r="B34" s="6">
        <f t="shared" ca="1" si="10"/>
        <v>45618</v>
      </c>
      <c r="C34">
        <f t="shared" ca="1" si="5"/>
        <v>21</v>
      </c>
      <c r="D34" s="3">
        <f t="shared" si="11"/>
        <v>104774</v>
      </c>
      <c r="E34" s="8">
        <v>852</v>
      </c>
      <c r="F34" s="3">
        <v>622</v>
      </c>
      <c r="G34" s="7">
        <f>Table1310[[#This Row],[$Return]]/AVERAGE(Table1310[[#This Row],[Starting]],Table1310[[#This Row],[Starting]]+Table1310[[#This Row],[Inflows]])</f>
        <v>8.1077223200266453E-3</v>
      </c>
      <c r="H34" s="4">
        <f t="shared" si="0"/>
        <v>106248</v>
      </c>
      <c r="I34" s="30">
        <f ca="1">IF(Table1310[[#This Row],[Day]]=1,100*(1+Table1310[[#This Row],[Return]]),I33*(1+Table1310[[#This Row],[Return]]))</f>
        <v>97.003345718378966</v>
      </c>
      <c r="J34" s="5">
        <f ca="1">EXP(-((30-Table1310[[#This Row],[Day]])/30))</f>
        <v>0.74081822068171788</v>
      </c>
      <c r="K34" s="7"/>
      <c r="L34" s="7">
        <f ca="1">IF(Table1310[[#This Row],[Day]]&lt;=7,"",MIN(IF(I34&gt;=MAX(I27:I33),IFERROR(AVERAGE(L27:L33),-1%),I34/MAX(I27:I33)-1),-1%))</f>
        <v>-9.6136374289003193E-2</v>
      </c>
      <c r="M34" s="31"/>
      <c r="O34" s="6">
        <f t="shared" ca="1" si="12"/>
        <v>45618</v>
      </c>
      <c r="P34">
        <f t="shared" ca="1" si="6"/>
        <v>21</v>
      </c>
      <c r="Q34" s="3">
        <f t="shared" si="13"/>
        <v>101907</v>
      </c>
      <c r="R34" s="8">
        <v>861</v>
      </c>
      <c r="S34" s="3">
        <v>0</v>
      </c>
      <c r="T34" s="7">
        <f>Table13411[[#This Row],[$Return]]/AVERAGE(Table13411[[#This Row],[Starting]],Table13411[[#This Row],[Starting]]+Table13411[[#This Row],[Inflows]])</f>
        <v>8.4488798610497812E-3</v>
      </c>
      <c r="U34" s="4">
        <f t="shared" si="1"/>
        <v>102768</v>
      </c>
      <c r="V34" s="30">
        <f ca="1">IF(Table13411[[#This Row],[Day]]=1,100,V33*(1+Table13411[[#This Row],[Return]]))</f>
        <v>102.76800000000003</v>
      </c>
      <c r="W34" s="5">
        <f ca="1">EXP(-((30-Table13411[[#This Row],[Day]])/30))</f>
        <v>0.74081822068171788</v>
      </c>
      <c r="X34" s="7"/>
      <c r="Y34" s="7">
        <f ca="1">IF(Table13411[[#This Row],[Day]]&lt;=7,"",MIN(IF(V34&gt;=MAX(V27:V33),IFERROR(AVERAGE(Y27:Y33),-1%),V34/MAX(V27:V33)-1),-1%))</f>
        <v>-1.1276428068705987E-2</v>
      </c>
      <c r="Z34" s="31"/>
      <c r="AB34" s="6">
        <f t="shared" ca="1" si="14"/>
        <v>45618</v>
      </c>
      <c r="AC34">
        <f t="shared" ca="1" si="7"/>
        <v>21</v>
      </c>
      <c r="AD34" s="3">
        <f t="shared" si="15"/>
        <v>129750</v>
      </c>
      <c r="AE34" s="8">
        <v>-25000</v>
      </c>
      <c r="AF34" s="3">
        <v>0</v>
      </c>
      <c r="AG34" s="7">
        <f>Table1341112[[#This Row],[$Return]]/AVERAGE(Table1341112[[#This Row],[Starting]],Table1341112[[#This Row],[Starting]]+Table1341112[[#This Row],[Inflows]])</f>
        <v>-0.19267822736030829</v>
      </c>
      <c r="AH34" s="4">
        <f t="shared" si="2"/>
        <v>104750</v>
      </c>
      <c r="AI34" s="30">
        <f ca="1">IF(Table1341112[[#This Row],[Day]]=1,100*(1+Table1341112[[#This Row],[Return]]),AI33*(1+Table1341112[[#This Row],[Return]]))</f>
        <v>104.75000000000003</v>
      </c>
      <c r="AJ34" s="5">
        <f ca="1">EXP(-((30-Table1341112[[#This Row],[Day]])/30))</f>
        <v>0.74081822068171788</v>
      </c>
      <c r="AK34" s="7"/>
      <c r="AL34" s="7">
        <f ca="1">IF(Table1341112[[#This Row],[Day]]&lt;=7,"",MIN(IF(AI34&gt;=MAX(AI27:AI33),IFERROR(AVERAGE(AL27:AL33),-1%),AI34/MAX(AI27:AI33)-1),-1%))</f>
        <v>-0.38200589970501475</v>
      </c>
      <c r="AM34" s="31"/>
      <c r="AO34" s="6">
        <f t="shared" ca="1" si="16"/>
        <v>45618</v>
      </c>
      <c r="AP34">
        <f t="shared" ca="1" si="8"/>
        <v>21</v>
      </c>
      <c r="AQ34" s="3">
        <v>889836.33</v>
      </c>
      <c r="AR34" s="8">
        <v>711.27</v>
      </c>
      <c r="AS34" s="3">
        <v>0</v>
      </c>
      <c r="AT34" s="7">
        <f>Table134111213[[#This Row],[$Return]]/AVERAGE(Table134111213[[#This Row],[Starting]],Table134111213[[#This Row],[Starting]]+Table134111213[[#This Row],[Inflows]])</f>
        <v>7.9932677057588787E-4</v>
      </c>
      <c r="AU34" s="4">
        <f t="shared" si="3"/>
        <v>890547.6</v>
      </c>
      <c r="AV34" s="30">
        <f ca="1">IF(Table134111213[[#This Row],[Day]]=1,100*(1+Table134111213[[#This Row],[Return]]),AV33*(1+Table134111213[[#This Row],[Return]]))</f>
        <v>102.43849042561486</v>
      </c>
      <c r="AW34" s="5">
        <f ca="1">EXP(-((30-Table134111213[[#This Row],[Day]])/30))</f>
        <v>0.74081822068171788</v>
      </c>
      <c r="AX34" s="7"/>
      <c r="AY34" s="7">
        <f ca="1">IF(Table134111213[[#This Row],[Day]]&lt;=7,"",MIN(IF(AV34&gt;=MAX(AV27:AV33),IFERROR(AVERAGE(AY27:AY33),-1%),AV34/MAX(AV27:AV33)-1),-1%))</f>
        <v>-0.01</v>
      </c>
      <c r="AZ34" s="31"/>
      <c r="BB34" s="6">
        <f t="shared" ca="1" si="17"/>
        <v>45618</v>
      </c>
      <c r="BC34">
        <f t="shared" ca="1" si="9"/>
        <v>21</v>
      </c>
      <c r="BD34" s="3">
        <v>7095948.6299999999</v>
      </c>
      <c r="BE34" s="8">
        <v>26558.23</v>
      </c>
      <c r="BF34" s="3">
        <v>0</v>
      </c>
      <c r="BG34" s="7">
        <f>Table13411121314[[#This Row],[$Return]]/AVERAGE(Table13411121314[[#This Row],[Starting]],Table13411121314[[#This Row],[Starting]]+Table13411121314[[#This Row],[Inflows]])</f>
        <v>3.7427314351907871E-3</v>
      </c>
      <c r="BH34" s="4">
        <f t="shared" si="4"/>
        <v>7122506.8600000003</v>
      </c>
      <c r="BI34" s="30">
        <f ca="1">IF(Table13411121314[[#This Row],[Day]]=1,100*(1+Table13411121314[[#This Row],[Return]]),BI33*(1+Table13411121314[[#This Row],[Return]]))</f>
        <v>102.6554522506794</v>
      </c>
      <c r="BJ34" s="5">
        <f ca="1">EXP(-((30-Table13411121314[[#This Row],[Day]])/30))</f>
        <v>0.74081822068171788</v>
      </c>
      <c r="BK34" s="7"/>
      <c r="BL34" s="7">
        <f ca="1">IF(Table13411121314[[#This Row],[Day]]&lt;=7,"",MIN(IF(BI34&gt;=MAX(BI27:BI33),IFERROR(AVERAGE(BL27:BL33),-1%),BI34/MAX(BI27:BI33)-1),-1%))</f>
        <v>-0.01</v>
      </c>
      <c r="BM34" s="31"/>
    </row>
    <row r="35" spans="2:65" x14ac:dyDescent="0.45">
      <c r="B35" s="6">
        <f t="shared" ca="1" si="10"/>
        <v>45619</v>
      </c>
      <c r="C35">
        <f t="shared" ca="1" si="5"/>
        <v>22</v>
      </c>
      <c r="D35" s="3">
        <f t="shared" si="11"/>
        <v>106248</v>
      </c>
      <c r="E35" s="8">
        <v>6949</v>
      </c>
      <c r="F35" s="3">
        <v>353</v>
      </c>
      <c r="G35" s="7">
        <f>Table1310[[#This Row],[$Return]]/AVERAGE(Table1310[[#This Row],[Starting]],Table1310[[#This Row],[Starting]]+Table1310[[#This Row],[Inflows]])</f>
        <v>6.5295115316491972E-2</v>
      </c>
      <c r="H35" s="4">
        <f t="shared" si="0"/>
        <v>113550</v>
      </c>
      <c r="I35" s="30">
        <f ca="1">IF(Table1310[[#This Row],[Day]]=1,100*(1+Table1310[[#This Row],[Return]]),I34*(1+Table1310[[#This Row],[Return]]))</f>
        <v>103.33719036314606</v>
      </c>
      <c r="J35" s="5">
        <f ca="1">EXP(-((30-Table1310[[#This Row],[Day]])/30))</f>
        <v>0.76592833836464869</v>
      </c>
      <c r="K35" s="7"/>
      <c r="L35" s="7">
        <f ca="1">IF(Table1310[[#This Row],[Day]]&lt;=7,"",MIN(IF(I35&gt;=MAX(I28:I34),IFERROR(AVERAGE(L28:L34),-1%),I35/MAX(I28:I34)-1),-1%))</f>
        <v>-9.5267213059577013E-2</v>
      </c>
      <c r="M35" s="31"/>
      <c r="O35" s="6">
        <f t="shared" ca="1" si="12"/>
        <v>45619</v>
      </c>
      <c r="P35">
        <f t="shared" ca="1" si="6"/>
        <v>22</v>
      </c>
      <c r="Q35" s="3">
        <f t="shared" si="13"/>
        <v>102768</v>
      </c>
      <c r="R35" s="8">
        <v>-153</v>
      </c>
      <c r="S35" s="3">
        <v>0</v>
      </c>
      <c r="T35" s="7">
        <f>Table13411[[#This Row],[$Return]]/AVERAGE(Table13411[[#This Row],[Starting]],Table13411[[#This Row],[Starting]]+Table13411[[#This Row],[Inflows]])</f>
        <v>-1.4887902849135919E-3</v>
      </c>
      <c r="U35" s="4">
        <f t="shared" si="1"/>
        <v>102615</v>
      </c>
      <c r="V35" s="30">
        <f ca="1">IF(Table13411[[#This Row],[Day]]=1,100,V34*(1+Table13411[[#This Row],[Return]]))</f>
        <v>102.61500000000004</v>
      </c>
      <c r="W35" s="5">
        <f ca="1">EXP(-((30-Table13411[[#This Row],[Day]])/30))</f>
        <v>0.76592833836464869</v>
      </c>
      <c r="X35" s="7"/>
      <c r="Y35" s="7">
        <f ca="1">IF(Table13411[[#This Row],[Day]]&lt;=7,"",MIN(IF(V35&gt;=MAX(V28:V34),IFERROR(AVERAGE(Y28:Y34),-1%),V35/MAX(V28:V34)-1),-1%))</f>
        <v>-0.01</v>
      </c>
      <c r="Z35" s="31"/>
      <c r="AB35" s="6">
        <f t="shared" ca="1" si="14"/>
        <v>45619</v>
      </c>
      <c r="AC35">
        <f t="shared" ca="1" si="7"/>
        <v>22</v>
      </c>
      <c r="AD35" s="3">
        <f t="shared" si="15"/>
        <v>104750</v>
      </c>
      <c r="AE35" s="8">
        <v>22250</v>
      </c>
      <c r="AF35" s="3">
        <v>0</v>
      </c>
      <c r="AG35" s="7">
        <f>Table1341112[[#This Row],[$Return]]/AVERAGE(Table1341112[[#This Row],[Starting]],Table1341112[[#This Row],[Starting]]+Table1341112[[#This Row],[Inflows]])</f>
        <v>0.21241050119331742</v>
      </c>
      <c r="AH35" s="4">
        <f t="shared" si="2"/>
        <v>127000</v>
      </c>
      <c r="AI35" s="30">
        <f ca="1">IF(Table1341112[[#This Row],[Day]]=1,100*(1+Table1341112[[#This Row],[Return]]),AI34*(1+Table1341112[[#This Row],[Return]]))</f>
        <v>127.00000000000004</v>
      </c>
      <c r="AJ35" s="5">
        <f ca="1">EXP(-((30-Table1341112[[#This Row],[Day]])/30))</f>
        <v>0.76592833836464869</v>
      </c>
      <c r="AK35" s="7"/>
      <c r="AL35" s="7">
        <f ca="1">IF(Table1341112[[#This Row],[Day]]&lt;=7,"",MIN(IF(AI35&gt;=MAX(AI28:AI34),IFERROR(AVERAGE(AL28:AL34),-1%),AI35/MAX(AI28:AI34)-1),-1%))</f>
        <v>-0.25073746312684364</v>
      </c>
      <c r="AM35" s="31"/>
      <c r="AO35" s="6">
        <f t="shared" ca="1" si="16"/>
        <v>45619</v>
      </c>
      <c r="AP35">
        <f t="shared" ca="1" si="8"/>
        <v>22</v>
      </c>
      <c r="AQ35" s="3">
        <v>890327.86</v>
      </c>
      <c r="AR35" s="8">
        <v>491.53</v>
      </c>
      <c r="AS35" s="3">
        <v>0</v>
      </c>
      <c r="AT35" s="7">
        <f>Table134111213[[#This Row],[$Return]]/AVERAGE(Table134111213[[#This Row],[Starting]],Table134111213[[#This Row],[Starting]]+Table134111213[[#This Row],[Inflows]])</f>
        <v>5.520775234417577E-4</v>
      </c>
      <c r="AU35" s="4">
        <f t="shared" si="3"/>
        <v>890819.39</v>
      </c>
      <c r="AV35" s="30">
        <f ca="1">IF(Table134111213[[#This Row],[Day]]=1,100*(1+Table134111213[[#This Row],[Return]]),AV34*(1+Table134111213[[#This Row],[Return]]))</f>
        <v>102.49504441371414</v>
      </c>
      <c r="AW35" s="5">
        <f ca="1">EXP(-((30-Table134111213[[#This Row],[Day]])/30))</f>
        <v>0.76592833836464869</v>
      </c>
      <c r="AX35" s="7"/>
      <c r="AY35" s="7">
        <f ca="1">IF(Table134111213[[#This Row],[Day]]&lt;=7,"",MIN(IF(AV35&gt;=MAX(AV28:AV34),IFERROR(AVERAGE(AY28:AY34),-1%),AV35/MAX(AV28:AV34)-1),-1%))</f>
        <v>-0.01</v>
      </c>
      <c r="AZ35" s="31"/>
      <c r="BB35" s="6">
        <f t="shared" ca="1" si="17"/>
        <v>45619</v>
      </c>
      <c r="BC35">
        <f t="shared" ca="1" si="9"/>
        <v>22</v>
      </c>
      <c r="BD35" s="3">
        <v>7110132.0099999998</v>
      </c>
      <c r="BE35" s="8">
        <v>14183.38</v>
      </c>
      <c r="BF35" s="3">
        <v>0</v>
      </c>
      <c r="BG35" s="7">
        <f>Table13411121314[[#This Row],[$Return]]/AVERAGE(Table13411121314[[#This Row],[Starting]],Table13411121314[[#This Row],[Starting]]+Table13411121314[[#This Row],[Inflows]])</f>
        <v>1.9948124704368183E-3</v>
      </c>
      <c r="BH35" s="4">
        <f t="shared" si="4"/>
        <v>7124315.3899999997</v>
      </c>
      <c r="BI35" s="30">
        <f ca="1">IF(Table13411121314[[#This Row],[Day]]=1,100*(1+Table13411121314[[#This Row],[Return]]),BI34*(1+Table13411121314[[#This Row],[Return]]))</f>
        <v>102.86023062698739</v>
      </c>
      <c r="BJ35" s="5">
        <f ca="1">EXP(-((30-Table13411121314[[#This Row],[Day]])/30))</f>
        <v>0.76592833836464869</v>
      </c>
      <c r="BK35" s="7"/>
      <c r="BL35" s="7">
        <f ca="1">IF(Table13411121314[[#This Row],[Day]]&lt;=7,"",MIN(IF(BI35&gt;=MAX(BI28:BI34),IFERROR(AVERAGE(BL28:BL34),-1%),BI35/MAX(BI28:BI34)-1),-1%))</f>
        <v>-0.01</v>
      </c>
      <c r="BM35" s="31"/>
    </row>
    <row r="36" spans="2:65" x14ac:dyDescent="0.45">
      <c r="B36" s="6">
        <f t="shared" ca="1" si="10"/>
        <v>45620</v>
      </c>
      <c r="C36">
        <f t="shared" ca="1" si="5"/>
        <v>23</v>
      </c>
      <c r="D36" s="3">
        <f t="shared" si="11"/>
        <v>113550</v>
      </c>
      <c r="E36" s="8">
        <v>-8493</v>
      </c>
      <c r="F36" s="3">
        <v>671</v>
      </c>
      <c r="G36" s="7">
        <f>Table1310[[#This Row],[$Return]]/AVERAGE(Table1310[[#This Row],[Starting]],Table1310[[#This Row],[Starting]]+Table1310[[#This Row],[Inflows]])</f>
        <v>-7.4574901984888337E-2</v>
      </c>
      <c r="H36" s="4">
        <f t="shared" si="0"/>
        <v>105728</v>
      </c>
      <c r="I36" s="30">
        <f ca="1">IF(Table1310[[#This Row],[Day]]=1,100*(1+Table1310[[#This Row],[Return]]),I35*(1+Table1310[[#This Row],[Return]]))</f>
        <v>95.63082952042069</v>
      </c>
      <c r="J36" s="5">
        <f ca="1">EXP(-((30-Table1310[[#This Row],[Day]])/30))</f>
        <v>0.79188956633678165</v>
      </c>
      <c r="K36" s="7"/>
      <c r="L36" s="7">
        <f ca="1">IF(Table1310[[#This Row],[Day]]&lt;=7,"",MIN(IF(I36&gt;=MAX(I29:I35),IFERROR(AVERAGE(L29:L35),-1%),I36/MAX(I29:I35)-1),-1%))</f>
        <v>-7.4574901984888475E-2</v>
      </c>
      <c r="M36" s="31"/>
      <c r="O36" s="6">
        <f t="shared" ca="1" si="12"/>
        <v>45620</v>
      </c>
      <c r="P36">
        <f t="shared" ca="1" si="6"/>
        <v>23</v>
      </c>
      <c r="Q36" s="3">
        <f t="shared" si="13"/>
        <v>102615</v>
      </c>
      <c r="R36" s="8">
        <v>-620</v>
      </c>
      <c r="S36" s="3">
        <v>0</v>
      </c>
      <c r="T36" s="7">
        <f>Table13411[[#This Row],[$Return]]/AVERAGE(Table13411[[#This Row],[Starting]],Table13411[[#This Row],[Starting]]+Table13411[[#This Row],[Inflows]])</f>
        <v>-6.0420016566778735E-3</v>
      </c>
      <c r="U36" s="4">
        <f t="shared" si="1"/>
        <v>101995</v>
      </c>
      <c r="V36" s="30">
        <f ca="1">IF(Table13411[[#This Row],[Day]]=1,100,V35*(1+Table13411[[#This Row],[Return]]))</f>
        <v>101.99500000000003</v>
      </c>
      <c r="W36" s="5">
        <f ca="1">EXP(-((30-Table13411[[#This Row],[Day]])/30))</f>
        <v>0.79188956633678165</v>
      </c>
      <c r="X36" s="7"/>
      <c r="Y36" s="7">
        <f ca="1">IF(Table13411[[#This Row],[Day]]&lt;=7,"",MIN(IF(V36&gt;=MAX(V29:V35),IFERROR(AVERAGE(Y29:Y35),-1%),V36/MAX(V29:V35)-1),-1%))</f>
        <v>-0.01</v>
      </c>
      <c r="Z36" s="31"/>
      <c r="AB36" s="6">
        <f t="shared" ca="1" si="14"/>
        <v>45620</v>
      </c>
      <c r="AC36">
        <f t="shared" ca="1" si="7"/>
        <v>23</v>
      </c>
      <c r="AD36" s="3">
        <f t="shared" si="15"/>
        <v>127000</v>
      </c>
      <c r="AE36" s="8">
        <v>-22500</v>
      </c>
      <c r="AF36" s="3">
        <v>0</v>
      </c>
      <c r="AG36" s="7">
        <f>Table1341112[[#This Row],[$Return]]/AVERAGE(Table1341112[[#This Row],[Starting]],Table1341112[[#This Row],[Starting]]+Table1341112[[#This Row],[Inflows]])</f>
        <v>-0.17716535433070865</v>
      </c>
      <c r="AH36" s="4">
        <f t="shared" si="2"/>
        <v>104500</v>
      </c>
      <c r="AI36" s="30">
        <f ca="1">IF(Table1341112[[#This Row],[Day]]=1,100*(1+Table1341112[[#This Row],[Return]]),AI35*(1+Table1341112[[#This Row],[Return]]))</f>
        <v>104.50000000000003</v>
      </c>
      <c r="AJ36" s="5">
        <f ca="1">EXP(-((30-Table1341112[[#This Row],[Day]])/30))</f>
        <v>0.79188956633678165</v>
      </c>
      <c r="AK36" s="7"/>
      <c r="AL36" s="7">
        <f ca="1">IF(Table1341112[[#This Row],[Day]]&lt;=7,"",MIN(IF(AI36&gt;=MAX(AI29:AI35),IFERROR(AVERAGE(AL29:AL35),-1%),AI36/MAX(AI29:AI35)-1),-1%))</f>
        <v>-0.31023102310231032</v>
      </c>
      <c r="AM36" s="31"/>
      <c r="AO36" s="6">
        <f t="shared" ca="1" si="16"/>
        <v>45620</v>
      </c>
      <c r="AP36">
        <f t="shared" ca="1" si="8"/>
        <v>23</v>
      </c>
      <c r="AQ36" s="3">
        <v>888231.6</v>
      </c>
      <c r="AR36" s="8">
        <v>-2096.2600000000002</v>
      </c>
      <c r="AS36" s="3">
        <v>0</v>
      </c>
      <c r="AT36" s="7">
        <f>Table134111213[[#This Row],[$Return]]/AVERAGE(Table134111213[[#This Row],[Starting]],Table134111213[[#This Row],[Starting]]+Table134111213[[#This Row],[Inflows]])</f>
        <v>-2.3600376298253747E-3</v>
      </c>
      <c r="AU36" s="4">
        <f t="shared" si="3"/>
        <v>886135.34</v>
      </c>
      <c r="AV36" s="30">
        <f ca="1">IF(Table134111213[[#This Row],[Day]]=1,100*(1+Table134111213[[#This Row],[Return]]),AV35*(1+Table134111213[[#This Row],[Return]]))</f>
        <v>102.25315225202715</v>
      </c>
      <c r="AW36" s="5">
        <f ca="1">EXP(-((30-Table134111213[[#This Row],[Day]])/30))</f>
        <v>0.79188956633678165</v>
      </c>
      <c r="AX36" s="7"/>
      <c r="AY36" s="7">
        <f ca="1">IF(Table134111213[[#This Row],[Day]]&lt;=7,"",MIN(IF(AV36&gt;=MAX(AV29:AV35),IFERROR(AVERAGE(AY29:AY35),-1%),AV36/MAX(AV29:AV35)-1),-1%))</f>
        <v>-1.0916172154002424E-2</v>
      </c>
      <c r="AZ36" s="31"/>
      <c r="BB36" s="6">
        <f t="shared" ca="1" si="17"/>
        <v>45620</v>
      </c>
      <c r="BC36">
        <f t="shared" ca="1" si="9"/>
        <v>23</v>
      </c>
      <c r="BD36" s="3">
        <v>7114567.6699999999</v>
      </c>
      <c r="BE36" s="8">
        <v>4435.6499999999996</v>
      </c>
      <c r="BF36" s="3">
        <v>0</v>
      </c>
      <c r="BG36" s="7">
        <f>Table13411121314[[#This Row],[$Return]]/AVERAGE(Table13411121314[[#This Row],[Starting]],Table13411121314[[#This Row],[Starting]]+Table13411121314[[#This Row],[Inflows]])</f>
        <v>6.2346023057786165E-4</v>
      </c>
      <c r="BH36" s="4">
        <f t="shared" si="4"/>
        <v>7119003.3200000003</v>
      </c>
      <c r="BI36" s="30">
        <f ca="1">IF(Table13411121314[[#This Row],[Day]]=1,100*(1+Table13411121314[[#This Row],[Return]]),BI35*(1+Table13411121314[[#This Row],[Return]]))</f>
        <v>102.92435989009138</v>
      </c>
      <c r="BJ36" s="5">
        <f ca="1">EXP(-((30-Table13411121314[[#This Row],[Day]])/30))</f>
        <v>0.79188956633678165</v>
      </c>
      <c r="BK36" s="7"/>
      <c r="BL36" s="7">
        <f ca="1">IF(Table13411121314[[#This Row],[Day]]&lt;=7,"",MIN(IF(BI36&gt;=MAX(BI29:BI35),IFERROR(AVERAGE(BL29:BL35),-1%),BI36/MAX(BI29:BI35)-1),-1%))</f>
        <v>-0.01</v>
      </c>
      <c r="BM36" s="31"/>
    </row>
    <row r="37" spans="2:65" x14ac:dyDescent="0.45">
      <c r="B37" s="6">
        <f t="shared" ca="1" si="10"/>
        <v>45621</v>
      </c>
      <c r="C37">
        <f t="shared" ca="1" si="5"/>
        <v>24</v>
      </c>
      <c r="D37" s="3">
        <f t="shared" si="11"/>
        <v>105728</v>
      </c>
      <c r="E37" s="8">
        <v>1800</v>
      </c>
      <c r="F37" s="3">
        <v>153</v>
      </c>
      <c r="G37" s="7">
        <f>Table1310[[#This Row],[$Return]]/AVERAGE(Table1310[[#This Row],[Starting]],Table1310[[#This Row],[Starting]]+Table1310[[#This Row],[Inflows]])</f>
        <v>1.701250891975294E-2</v>
      </c>
      <c r="H37" s="4">
        <f t="shared" si="0"/>
        <v>107681</v>
      </c>
      <c r="I37" s="30">
        <f ca="1">IF(Table1310[[#This Row],[Day]]=1,100*(1+Table1310[[#This Row],[Return]]),I36*(1+Table1310[[#This Row],[Return]]))</f>
        <v>97.257749860640232</v>
      </c>
      <c r="J37" s="5">
        <f ca="1">EXP(-((30-Table1310[[#This Row],[Day]])/30))</f>
        <v>0.81873075307798182</v>
      </c>
      <c r="K37" s="7"/>
      <c r="L37" s="7">
        <f ca="1">IF(Table1310[[#This Row],[Day]]&lt;=7,"",MIN(IF(I37&gt;=MAX(I30:I36),IFERROR(AVERAGE(L30:L36),-1%),I37/MAX(I30:I36)-1),-1%))</f>
        <v>-5.8831099250343022E-2</v>
      </c>
      <c r="M37" s="31"/>
      <c r="O37" s="6">
        <f t="shared" ca="1" si="12"/>
        <v>45621</v>
      </c>
      <c r="P37">
        <f t="shared" ca="1" si="6"/>
        <v>24</v>
      </c>
      <c r="Q37" s="3">
        <f t="shared" si="13"/>
        <v>101995</v>
      </c>
      <c r="R37" s="8">
        <v>666</v>
      </c>
      <c r="S37" s="3">
        <v>0</v>
      </c>
      <c r="T37" s="7">
        <f>Table13411[[#This Row],[$Return]]/AVERAGE(Table13411[[#This Row],[Starting]],Table13411[[#This Row],[Starting]]+Table13411[[#This Row],[Inflows]])</f>
        <v>6.5297318496004703E-3</v>
      </c>
      <c r="U37" s="4">
        <f t="shared" si="1"/>
        <v>102661</v>
      </c>
      <c r="V37" s="30">
        <f ca="1">IF(Table13411[[#This Row],[Day]]=1,100,V36*(1+Table13411[[#This Row],[Return]]))</f>
        <v>102.66100000000003</v>
      </c>
      <c r="W37" s="5">
        <f ca="1">EXP(-((30-Table13411[[#This Row],[Day]])/30))</f>
        <v>0.81873075307798182</v>
      </c>
      <c r="X37" s="7"/>
      <c r="Y37" s="7">
        <f ca="1">IF(Table13411[[#This Row],[Day]]&lt;=7,"",MIN(IF(V37&gt;=MAX(V30:V36),IFERROR(AVERAGE(Y30:Y36),-1%),V37/MAX(V30:V36)-1),-1%))</f>
        <v>-0.01</v>
      </c>
      <c r="Z37" s="31"/>
      <c r="AB37" s="6">
        <f t="shared" ca="1" si="14"/>
        <v>45621</v>
      </c>
      <c r="AC37">
        <f t="shared" ca="1" si="7"/>
        <v>24</v>
      </c>
      <c r="AD37" s="3">
        <f t="shared" si="15"/>
        <v>104500</v>
      </c>
      <c r="AE37" s="8">
        <v>17500</v>
      </c>
      <c r="AF37" s="3">
        <v>0</v>
      </c>
      <c r="AG37" s="7">
        <f>Table1341112[[#This Row],[$Return]]/AVERAGE(Table1341112[[#This Row],[Starting]],Table1341112[[#This Row],[Starting]]+Table1341112[[#This Row],[Inflows]])</f>
        <v>0.1674641148325359</v>
      </c>
      <c r="AH37" s="4">
        <f t="shared" si="2"/>
        <v>122000</v>
      </c>
      <c r="AI37" s="30">
        <f ca="1">IF(Table1341112[[#This Row],[Day]]=1,100*(1+Table1341112[[#This Row],[Return]]),AI36*(1+Table1341112[[#This Row],[Return]]))</f>
        <v>122.00000000000004</v>
      </c>
      <c r="AJ37" s="5">
        <f ca="1">EXP(-((30-Table1341112[[#This Row],[Day]])/30))</f>
        <v>0.81873075307798182</v>
      </c>
      <c r="AK37" s="7"/>
      <c r="AL37" s="7">
        <f ca="1">IF(Table1341112[[#This Row],[Day]]&lt;=7,"",MIN(IF(AI37&gt;=MAX(AI30:AI36),IFERROR(AVERAGE(AL30:AL36),-1%),AI37/MAX(AI30:AI36)-1),-1%))</f>
        <v>-0.19471947194719474</v>
      </c>
      <c r="AM37" s="31"/>
      <c r="AO37" s="6">
        <f t="shared" ca="1" si="16"/>
        <v>45621</v>
      </c>
      <c r="AP37">
        <f t="shared" ca="1" si="8"/>
        <v>24</v>
      </c>
      <c r="AQ37" s="3">
        <v>890659.69</v>
      </c>
      <c r="AR37" s="8">
        <v>2428.09</v>
      </c>
      <c r="AS37" s="3">
        <v>0</v>
      </c>
      <c r="AT37" s="7">
        <f>Table134111213[[#This Row],[$Return]]/AVERAGE(Table134111213[[#This Row],[Starting]],Table134111213[[#This Row],[Starting]]+Table134111213[[#This Row],[Inflows]])</f>
        <v>2.7261703064163601E-3</v>
      </c>
      <c r="AU37" s="4">
        <f t="shared" si="3"/>
        <v>893087.77999999991</v>
      </c>
      <c r="AV37" s="30">
        <f ca="1">IF(Table134111213[[#This Row],[Day]]=1,100*(1+Table134111213[[#This Row],[Return]]),AV36*(1+Table134111213[[#This Row],[Return]]))</f>
        <v>102.5319117594341</v>
      </c>
      <c r="AW37" s="5">
        <f ca="1">EXP(-((30-Table134111213[[#This Row],[Day]])/30))</f>
        <v>0.81873075307798182</v>
      </c>
      <c r="AX37" s="7"/>
      <c r="AY37" s="7">
        <f ca="1">IF(Table134111213[[#This Row],[Day]]&lt;=7,"",MIN(IF(AV37&gt;=MAX(AV30:AV36),IFERROR(AVERAGE(AY30:AY36),-1%),AV37/MAX(AV30:AV36)-1),-1%))</f>
        <v>-0.01</v>
      </c>
      <c r="AZ37" s="31"/>
      <c r="BB37" s="6">
        <f t="shared" ca="1" si="17"/>
        <v>45621</v>
      </c>
      <c r="BC37">
        <f t="shared" ca="1" si="9"/>
        <v>24</v>
      </c>
      <c r="BD37" s="3">
        <v>7130404.3600000003</v>
      </c>
      <c r="BE37" s="8">
        <v>15836.69</v>
      </c>
      <c r="BF37" s="3">
        <v>0</v>
      </c>
      <c r="BG37" s="7">
        <f>Table13411121314[[#This Row],[$Return]]/AVERAGE(Table13411121314[[#This Row],[Starting]],Table13411121314[[#This Row],[Starting]]+Table13411121314[[#This Row],[Inflows]])</f>
        <v>2.2210086834402194E-3</v>
      </c>
      <c r="BH37" s="4">
        <f t="shared" si="4"/>
        <v>7146241.0500000007</v>
      </c>
      <c r="BI37" s="30">
        <f ca="1">IF(Table13411121314[[#This Row],[Day]]=1,100*(1+Table13411121314[[#This Row],[Return]]),BI36*(1+Table13411121314[[#This Row],[Return]]))</f>
        <v>103.1529557871448</v>
      </c>
      <c r="BJ37" s="5">
        <f ca="1">EXP(-((30-Table13411121314[[#This Row],[Day]])/30))</f>
        <v>0.81873075307798182</v>
      </c>
      <c r="BK37" s="7"/>
      <c r="BL37" s="7">
        <f ca="1">IF(Table13411121314[[#This Row],[Day]]&lt;=7,"",MIN(IF(BI37&gt;=MAX(BI30:BI36),IFERROR(AVERAGE(BL30:BL36),-1%),BI37/MAX(BI30:BI36)-1),-1%))</f>
        <v>-0.01</v>
      </c>
      <c r="BM37" s="31"/>
    </row>
    <row r="38" spans="2:65" x14ac:dyDescent="0.45">
      <c r="B38" s="6">
        <f t="shared" ca="1" si="10"/>
        <v>45622</v>
      </c>
      <c r="C38">
        <f t="shared" ca="1" si="5"/>
        <v>25</v>
      </c>
      <c r="D38" s="3">
        <f t="shared" si="11"/>
        <v>107681</v>
      </c>
      <c r="E38" s="8">
        <v>418</v>
      </c>
      <c r="F38" s="3">
        <v>380</v>
      </c>
      <c r="G38" s="7">
        <f>Table1310[[#This Row],[$Return]]/AVERAGE(Table1310[[#This Row],[Starting]],Table1310[[#This Row],[Starting]]+Table1310[[#This Row],[Inflows]])</f>
        <v>3.8749988412084806E-3</v>
      </c>
      <c r="H38" s="4">
        <f t="shared" si="0"/>
        <v>108479</v>
      </c>
      <c r="I38" s="30">
        <f ca="1">IF(Table1310[[#This Row],[Day]]=1,100*(1+Table1310[[#This Row],[Return]]),I37*(1+Table1310[[#This Row],[Return]]))</f>
        <v>97.63462352864876</v>
      </c>
      <c r="J38" s="5">
        <f ca="1">EXP(-((30-Table1310[[#This Row],[Day]])/30))</f>
        <v>0.84648172489061413</v>
      </c>
      <c r="K38" s="7"/>
      <c r="L38" s="7">
        <f ca="1">IF(Table1310[[#This Row],[Day]]&lt;=7,"",MIN(IF(I38&gt;=MAX(I31:I37),IFERROR(AVERAGE(L31:L37),-1%),I38/MAX(I31:I37)-1),-1%))</f>
        <v>-5.5184070850556544E-2</v>
      </c>
      <c r="M38" s="31"/>
      <c r="O38" s="6">
        <f t="shared" ca="1" si="12"/>
        <v>45622</v>
      </c>
      <c r="P38">
        <f t="shared" ca="1" si="6"/>
        <v>25</v>
      </c>
      <c r="Q38" s="3">
        <f t="shared" si="13"/>
        <v>102661</v>
      </c>
      <c r="R38" s="8">
        <v>-734</v>
      </c>
      <c r="S38" s="3">
        <v>0</v>
      </c>
      <c r="T38" s="7">
        <f>Table13411[[#This Row],[$Return]]/AVERAGE(Table13411[[#This Row],[Starting]],Table13411[[#This Row],[Starting]]+Table13411[[#This Row],[Inflows]])</f>
        <v>-7.1497452781484694E-3</v>
      </c>
      <c r="U38" s="4">
        <f t="shared" si="1"/>
        <v>101927</v>
      </c>
      <c r="V38" s="30">
        <f ca="1">IF(Table13411[[#This Row],[Day]]=1,100,V37*(1+Table13411[[#This Row],[Return]]))</f>
        <v>101.92700000000002</v>
      </c>
      <c r="W38" s="5">
        <f ca="1">EXP(-((30-Table13411[[#This Row],[Day]])/30))</f>
        <v>0.84648172489061413</v>
      </c>
      <c r="X38" s="7"/>
      <c r="Y38" s="7">
        <f ca="1">IF(Table13411[[#This Row],[Day]]&lt;=7,"",MIN(IF(V38&gt;=MAX(V31:V37),IFERROR(AVERAGE(Y31:Y37),-1%),V38/MAX(V31:V37)-1),-1%))</f>
        <v>-0.01</v>
      </c>
      <c r="Z38" s="31"/>
      <c r="AB38" s="6">
        <f t="shared" ca="1" si="14"/>
        <v>45622</v>
      </c>
      <c r="AC38">
        <f t="shared" ca="1" si="7"/>
        <v>25</v>
      </c>
      <c r="AD38" s="3">
        <f t="shared" si="15"/>
        <v>122000</v>
      </c>
      <c r="AE38" s="8">
        <v>-26000</v>
      </c>
      <c r="AF38" s="3">
        <v>0</v>
      </c>
      <c r="AG38" s="7">
        <f>Table1341112[[#This Row],[$Return]]/AVERAGE(Table1341112[[#This Row],[Starting]],Table1341112[[#This Row],[Starting]]+Table1341112[[#This Row],[Inflows]])</f>
        <v>-0.21311475409836064</v>
      </c>
      <c r="AH38" s="4">
        <f t="shared" si="2"/>
        <v>96000</v>
      </c>
      <c r="AI38" s="30">
        <f ca="1">IF(Table1341112[[#This Row],[Day]]=1,100*(1+Table1341112[[#This Row],[Return]]),AI37*(1+Table1341112[[#This Row],[Return]]))</f>
        <v>96.000000000000028</v>
      </c>
      <c r="AJ38" s="5">
        <f ca="1">EXP(-((30-Table1341112[[#This Row],[Day]])/30))</f>
        <v>0.84648172489061413</v>
      </c>
      <c r="AK38" s="7"/>
      <c r="AL38" s="7">
        <f ca="1">IF(Table1341112[[#This Row],[Day]]&lt;=7,"",MIN(IF(AI38&gt;=MAX(AI31:AI37),IFERROR(AVERAGE(AL31:AL37),-1%),AI38/MAX(AI31:AI37)-1),-1%))</f>
        <v>-0.32984293193717273</v>
      </c>
      <c r="AM38" s="31"/>
      <c r="AO38" s="6">
        <f t="shared" ca="1" si="16"/>
        <v>45622</v>
      </c>
      <c r="AP38">
        <f t="shared" ca="1" si="8"/>
        <v>25</v>
      </c>
      <c r="AQ38" s="3">
        <v>890682.71</v>
      </c>
      <c r="AR38" s="8">
        <v>23.03</v>
      </c>
      <c r="AS38" s="3">
        <v>0</v>
      </c>
      <c r="AT38" s="7">
        <f>Table134111213[[#This Row],[$Return]]/AVERAGE(Table134111213[[#This Row],[Starting]],Table134111213[[#This Row],[Starting]]+Table134111213[[#This Row],[Inflows]])</f>
        <v>2.5856570180867217E-5</v>
      </c>
      <c r="AU38" s="4">
        <f t="shared" si="3"/>
        <v>890705.74</v>
      </c>
      <c r="AV38" s="30">
        <f ca="1">IF(Table134111213[[#This Row],[Day]]=1,100*(1+Table134111213[[#This Row],[Return]]),AV37*(1+Table134111213[[#This Row],[Return]]))</f>
        <v>102.53456288300629</v>
      </c>
      <c r="AW38" s="5">
        <f ca="1">EXP(-((30-Table134111213[[#This Row],[Day]])/30))</f>
        <v>0.84648172489061413</v>
      </c>
      <c r="AX38" s="7"/>
      <c r="AY38" s="7">
        <f ca="1">IF(Table134111213[[#This Row],[Day]]&lt;=7,"",MIN(IF(AV38&gt;=MAX(AV31:AV37),IFERROR(AVERAGE(AY31:AY37),-1%),AV38/MAX(AV31:AV37)-1),-1%))</f>
        <v>-0.01</v>
      </c>
      <c r="AZ38" s="31"/>
      <c r="BB38" s="6">
        <f t="shared" ca="1" si="17"/>
        <v>45622</v>
      </c>
      <c r="BC38">
        <f t="shared" ca="1" si="9"/>
        <v>25</v>
      </c>
      <c r="BD38" s="3">
        <v>7131183.96</v>
      </c>
      <c r="BE38" s="8">
        <v>779.6</v>
      </c>
      <c r="BF38" s="3">
        <v>0</v>
      </c>
      <c r="BG38" s="7">
        <f>Table13411121314[[#This Row],[$Return]]/AVERAGE(Table13411121314[[#This Row],[Starting]],Table13411121314[[#This Row],[Starting]]+Table13411121314[[#This Row],[Inflows]])</f>
        <v>1.0932266007620984E-4</v>
      </c>
      <c r="BH38" s="4">
        <f t="shared" si="4"/>
        <v>7131963.5599999996</v>
      </c>
      <c r="BI38" s="30">
        <f ca="1">IF(Table13411121314[[#This Row],[Day]]=1,100*(1+Table13411121314[[#This Row],[Return]]),BI37*(1+Table13411121314[[#This Row],[Return]]))</f>
        <v>103.16423274266617</v>
      </c>
      <c r="BJ38" s="5">
        <f ca="1">EXP(-((30-Table13411121314[[#This Row],[Day]])/30))</f>
        <v>0.84648172489061413</v>
      </c>
      <c r="BK38" s="7"/>
      <c r="BL38" s="7">
        <f ca="1">IF(Table13411121314[[#This Row],[Day]]&lt;=7,"",MIN(IF(BI38&gt;=MAX(BI31:BI37),IFERROR(AVERAGE(BL31:BL37),-1%),BI38/MAX(BI31:BI37)-1),-1%))</f>
        <v>-0.01</v>
      </c>
      <c r="BM38" s="31"/>
    </row>
    <row r="39" spans="2:65" x14ac:dyDescent="0.45">
      <c r="B39" s="6">
        <f t="shared" ca="1" si="10"/>
        <v>45623</v>
      </c>
      <c r="C39">
        <f t="shared" ca="1" si="5"/>
        <v>26</v>
      </c>
      <c r="D39" s="3">
        <f t="shared" si="11"/>
        <v>108479</v>
      </c>
      <c r="E39" s="8">
        <v>1492</v>
      </c>
      <c r="F39" s="3">
        <v>513</v>
      </c>
      <c r="G39" s="7">
        <f>Table1310[[#This Row],[$Return]]/AVERAGE(Table1310[[#This Row],[Starting]],Table1310[[#This Row],[Starting]]+Table1310[[#This Row],[Inflows]])</f>
        <v>1.3721369745851171E-2</v>
      </c>
      <c r="H39" s="4">
        <f t="shared" si="0"/>
        <v>110484</v>
      </c>
      <c r="I39" s="30">
        <f ca="1">IF(Table1310[[#This Row],[Day]]=1,100*(1+Table1310[[#This Row],[Return]]),I38*(1+Table1310[[#This Row],[Return]]))</f>
        <v>98.97430429808233</v>
      </c>
      <c r="J39" s="5">
        <f ca="1">EXP(-((30-Table1310[[#This Row],[Day]])/30))</f>
        <v>0.87517331904294748</v>
      </c>
      <c r="K39" s="7"/>
      <c r="L39" s="7">
        <f ca="1">IF(Table1310[[#This Row],[Day]]&lt;=7,"",MIN(IF(I39&gt;=MAX(I32:I38),IFERROR(AVERAGE(L32:L38),-1%),I39/MAX(I32:I38)-1),-1%))</f>
        <v>-4.2219902144927102E-2</v>
      </c>
      <c r="M39" s="31"/>
      <c r="O39" s="6">
        <f t="shared" ca="1" si="12"/>
        <v>45623</v>
      </c>
      <c r="P39">
        <f t="shared" ca="1" si="6"/>
        <v>26</v>
      </c>
      <c r="Q39" s="3">
        <f t="shared" si="13"/>
        <v>101927</v>
      </c>
      <c r="R39" s="8">
        <v>957</v>
      </c>
      <c r="S39" s="3">
        <v>0</v>
      </c>
      <c r="T39" s="7">
        <f>Table13411[[#This Row],[$Return]]/AVERAGE(Table13411[[#This Row],[Starting]],Table13411[[#This Row],[Starting]]+Table13411[[#This Row],[Inflows]])</f>
        <v>9.3890725715463034E-3</v>
      </c>
      <c r="U39" s="4">
        <f t="shared" si="1"/>
        <v>102884</v>
      </c>
      <c r="V39" s="30">
        <f ca="1">IF(Table13411[[#This Row],[Day]]=1,100,V38*(1+Table13411[[#This Row],[Return]]))</f>
        <v>102.88400000000001</v>
      </c>
      <c r="W39" s="5">
        <f ca="1">EXP(-((30-Table13411[[#This Row],[Day]])/30))</f>
        <v>0.87517331904294748</v>
      </c>
      <c r="X39" s="7"/>
      <c r="Y39" s="7">
        <f ca="1">IF(Table13411[[#This Row],[Day]]&lt;=7,"",MIN(IF(V39&gt;=MAX(V32:V38),IFERROR(AVERAGE(Y32:Y38),-1%),V39/MAX(V32:V38)-1),-1%))</f>
        <v>-1.0660511849901754E-2</v>
      </c>
      <c r="Z39" s="31"/>
      <c r="AB39" s="6">
        <f t="shared" ca="1" si="14"/>
        <v>45623</v>
      </c>
      <c r="AC39">
        <f t="shared" ca="1" si="7"/>
        <v>26</v>
      </c>
      <c r="AD39" s="3">
        <f t="shared" si="15"/>
        <v>96000</v>
      </c>
      <c r="AE39" s="8">
        <v>32500</v>
      </c>
      <c r="AF39" s="3">
        <v>0</v>
      </c>
      <c r="AG39" s="7">
        <f>Table1341112[[#This Row],[$Return]]/AVERAGE(Table1341112[[#This Row],[Starting]],Table1341112[[#This Row],[Starting]]+Table1341112[[#This Row],[Inflows]])</f>
        <v>0.33854166666666669</v>
      </c>
      <c r="AH39" s="4">
        <f t="shared" si="2"/>
        <v>128500</v>
      </c>
      <c r="AI39" s="30">
        <f ca="1">IF(Table1341112[[#This Row],[Day]]=1,100*(1+Table1341112[[#This Row],[Return]]),AI38*(1+Table1341112[[#This Row],[Return]]))</f>
        <v>128.50000000000006</v>
      </c>
      <c r="AJ39" s="5">
        <f ca="1">EXP(-((30-Table1341112[[#This Row],[Day]])/30))</f>
        <v>0.87517331904294748</v>
      </c>
      <c r="AK39" s="7"/>
      <c r="AL39" s="7">
        <f ca="1">IF(Table1341112[[#This Row],[Day]]&lt;=7,"",MIN(IF(AI39&gt;=MAX(AI32:AI38),IFERROR(AVERAGE(AL32:AL38),-1%),AI39/MAX(AI32:AI38)-1),-1%))</f>
        <v>-0.10296684118673627</v>
      </c>
      <c r="AM39" s="31"/>
      <c r="AO39" s="6">
        <f t="shared" ca="1" si="16"/>
        <v>45623</v>
      </c>
      <c r="AP39">
        <f t="shared" ca="1" si="8"/>
        <v>26</v>
      </c>
      <c r="AQ39" s="3">
        <v>890200.99</v>
      </c>
      <c r="AR39" s="8">
        <v>-481.73</v>
      </c>
      <c r="AS39" s="3">
        <v>0</v>
      </c>
      <c r="AT39" s="7">
        <f>Table134111213[[#This Row],[$Return]]/AVERAGE(Table134111213[[#This Row],[Starting]],Table134111213[[#This Row],[Starting]]+Table134111213[[#This Row],[Inflows]])</f>
        <v>-5.4114745480119048E-4</v>
      </c>
      <c r="AU39" s="4">
        <f t="shared" si="3"/>
        <v>889719.26</v>
      </c>
      <c r="AV39" s="30">
        <f ca="1">IF(Table134111213[[#This Row],[Day]]=1,100*(1+Table134111213[[#This Row],[Return]]),AV38*(1+Table134111213[[#This Row],[Return]]))</f>
        <v>102.479076565273</v>
      </c>
      <c r="AW39" s="5">
        <f ca="1">EXP(-((30-Table134111213[[#This Row],[Day]])/30))</f>
        <v>0.87517331904294748</v>
      </c>
      <c r="AX39" s="7"/>
      <c r="AY39" s="7">
        <f ca="1">IF(Table134111213[[#This Row],[Day]]&lt;=7,"",MIN(IF(AV39&gt;=MAX(AV32:AV38),IFERROR(AVERAGE(AY32:AY38),-1%),AV39/MAX(AV32:AV38)-1),-1%))</f>
        <v>-0.01</v>
      </c>
      <c r="AZ39" s="31"/>
      <c r="BB39" s="6">
        <f t="shared" ca="1" si="17"/>
        <v>45623</v>
      </c>
      <c r="BC39">
        <f t="shared" ca="1" si="9"/>
        <v>26</v>
      </c>
      <c r="BD39" s="3">
        <v>7160323.9100000001</v>
      </c>
      <c r="BE39" s="8">
        <v>29139.96</v>
      </c>
      <c r="BF39" s="3">
        <v>0</v>
      </c>
      <c r="BG39" s="7">
        <f>Table13411121314[[#This Row],[$Return]]/AVERAGE(Table13411121314[[#This Row],[Starting]],Table13411121314[[#This Row],[Starting]]+Table13411121314[[#This Row],[Inflows]])</f>
        <v>4.0696427097807082E-3</v>
      </c>
      <c r="BH39" s="4">
        <f t="shared" si="4"/>
        <v>7189463.8700000001</v>
      </c>
      <c r="BI39" s="30">
        <f ca="1">IF(Table13411121314[[#This Row],[Day]]=1,100*(1+Table13411121314[[#This Row],[Return]]),BI38*(1+Table13411121314[[#This Row],[Return]]))</f>
        <v>103.58407431035748</v>
      </c>
      <c r="BJ39" s="5">
        <f ca="1">EXP(-((30-Table13411121314[[#This Row],[Day]])/30))</f>
        <v>0.87517331904294748</v>
      </c>
      <c r="BK39" s="7"/>
      <c r="BL39" s="7">
        <f ca="1">IF(Table13411121314[[#This Row],[Day]]&lt;=7,"",MIN(IF(BI39&gt;=MAX(BI32:BI38),IFERROR(AVERAGE(BL32:BL38),-1%),BI39/MAX(BI32:BI38)-1),-1%))</f>
        <v>-0.01</v>
      </c>
      <c r="BM39" s="31"/>
    </row>
    <row r="40" spans="2:65" x14ac:dyDescent="0.45">
      <c r="B40" s="6">
        <f t="shared" ca="1" si="10"/>
        <v>45624</v>
      </c>
      <c r="C40">
        <f t="shared" ca="1" si="5"/>
        <v>27</v>
      </c>
      <c r="D40" s="3">
        <f t="shared" si="11"/>
        <v>110484</v>
      </c>
      <c r="E40" s="8">
        <v>-3994</v>
      </c>
      <c r="F40" s="3">
        <v>197</v>
      </c>
      <c r="G40" s="7">
        <f>Table1310[[#This Row],[$Return]]/AVERAGE(Table1310[[#This Row],[Starting]],Table1310[[#This Row],[Starting]]+Table1310[[#This Row],[Inflows]])</f>
        <v>-3.6117830578979493E-2</v>
      </c>
      <c r="H40" s="4">
        <f t="shared" si="0"/>
        <v>106687</v>
      </c>
      <c r="I40" s="30">
        <f ca="1">IF(Table1310[[#This Row],[Day]]=1,100*(1+Table1310[[#This Row],[Return]]),I39*(1+Table1310[[#This Row],[Return]]))</f>
        <v>95.399567143771819</v>
      </c>
      <c r="J40" s="5">
        <f ca="1">EXP(-((30-Table1310[[#This Row],[Day]])/30))</f>
        <v>0.90483741803595952</v>
      </c>
      <c r="K40" s="7"/>
      <c r="L40" s="7">
        <f ca="1">IF(Table1310[[#This Row],[Day]]&lt;=7,"",MIN(IF(I40&gt;=MAX(I33:I39),IFERROR(AVERAGE(L33:L39),-1%),I40/MAX(I33:I39)-1),-1%))</f>
        <v>-7.6812841451175173E-2</v>
      </c>
      <c r="M40" s="31"/>
      <c r="O40" s="6">
        <f t="shared" ca="1" si="12"/>
        <v>45624</v>
      </c>
      <c r="P40">
        <f t="shared" ca="1" si="6"/>
        <v>27</v>
      </c>
      <c r="Q40" s="3">
        <f t="shared" si="13"/>
        <v>102884</v>
      </c>
      <c r="R40" s="8">
        <v>185</v>
      </c>
      <c r="S40" s="3">
        <v>0</v>
      </c>
      <c r="T40" s="7">
        <f>Table13411[[#This Row],[$Return]]/AVERAGE(Table13411[[#This Row],[Starting]],Table13411[[#This Row],[Starting]]+Table13411[[#This Row],[Inflows]])</f>
        <v>1.7981415963609503E-3</v>
      </c>
      <c r="U40" s="4">
        <f t="shared" si="1"/>
        <v>103069</v>
      </c>
      <c r="V40" s="30">
        <f ca="1">IF(Table13411[[#This Row],[Day]]=1,100,V39*(1+Table13411[[#This Row],[Return]]))</f>
        <v>103.06900000000003</v>
      </c>
      <c r="W40" s="5">
        <f ca="1">EXP(-((30-Table13411[[#This Row],[Day]])/30))</f>
        <v>0.90483741803595952</v>
      </c>
      <c r="X40" s="7"/>
      <c r="Y40" s="7">
        <f ca="1">IF(Table13411[[#This Row],[Day]]&lt;=7,"",MIN(IF(V40&gt;=MAX(V33:V39),IFERROR(AVERAGE(Y33:Y39),-1%),V40/MAX(V33:V39)-1),-1%))</f>
        <v>-1.0436259211246498E-2</v>
      </c>
      <c r="Z40" s="31"/>
      <c r="AB40" s="6">
        <f t="shared" ca="1" si="14"/>
        <v>45624</v>
      </c>
      <c r="AC40">
        <f t="shared" ca="1" si="7"/>
        <v>27</v>
      </c>
      <c r="AD40" s="3">
        <f t="shared" si="15"/>
        <v>128500</v>
      </c>
      <c r="AE40" s="8">
        <v>-20000</v>
      </c>
      <c r="AF40" s="3">
        <v>0</v>
      </c>
      <c r="AG40" s="7">
        <f>Table1341112[[#This Row],[$Return]]/AVERAGE(Table1341112[[#This Row],[Starting]],Table1341112[[#This Row],[Starting]]+Table1341112[[#This Row],[Inflows]])</f>
        <v>-0.1556420233463035</v>
      </c>
      <c r="AH40" s="4">
        <f t="shared" si="2"/>
        <v>108500</v>
      </c>
      <c r="AI40" s="30">
        <f ca="1">IF(Table1341112[[#This Row],[Day]]=1,100*(1+Table1341112[[#This Row],[Return]]),AI39*(1+Table1341112[[#This Row],[Return]]))</f>
        <v>108.50000000000004</v>
      </c>
      <c r="AJ40" s="5">
        <f ca="1">EXP(-((30-Table1341112[[#This Row],[Day]])/30))</f>
        <v>0.90483741803595952</v>
      </c>
      <c r="AK40" s="7"/>
      <c r="AL40" s="7">
        <f ca="1">IF(Table1341112[[#This Row],[Day]]&lt;=7,"",MIN(IF(AI40&gt;=MAX(AI33:AI39),IFERROR(AVERAGE(AL33:AL39),-1%),AI40/MAX(AI33:AI39)-1),-1%))</f>
        <v>-0.16377649325626187</v>
      </c>
      <c r="AM40" s="31"/>
      <c r="AO40" s="6">
        <f t="shared" ca="1" si="16"/>
        <v>45624</v>
      </c>
      <c r="AP40">
        <f t="shared" ca="1" si="8"/>
        <v>27</v>
      </c>
      <c r="AQ40" s="3">
        <v>889031.92</v>
      </c>
      <c r="AR40" s="8">
        <v>-1169.06</v>
      </c>
      <c r="AS40" s="3">
        <v>28146.09</v>
      </c>
      <c r="AT40" s="7">
        <f>Table134111213[[#This Row],[$Return]]/AVERAGE(Table134111213[[#This Row],[Starting]],Table134111213[[#This Row],[Starting]]+Table134111213[[#This Row],[Inflows]])</f>
        <v>-1.2944896167191371E-3</v>
      </c>
      <c r="AU40" s="4">
        <f t="shared" si="3"/>
        <v>916008.95</v>
      </c>
      <c r="AV40" s="30">
        <f ca="1">IF(Table134111213[[#This Row],[Day]]=1,100*(1+Table134111213[[#This Row],[Return]]),AV39*(1+Table134111213[[#This Row],[Return]]))</f>
        <v>102.34641846472829</v>
      </c>
      <c r="AW40" s="5">
        <f ca="1">EXP(-((30-Table134111213[[#This Row],[Day]])/30))</f>
        <v>0.90483741803595952</v>
      </c>
      <c r="AX40" s="7"/>
      <c r="AY40" s="7">
        <f ca="1">IF(Table134111213[[#This Row],[Day]]&lt;=7,"",MIN(IF(AV40&gt;=MAX(AV33:AV39),IFERROR(AVERAGE(AY33:AY39),-1%),AV40/MAX(AV33:AV39)-1),-1%))</f>
        <v>-0.01</v>
      </c>
      <c r="AZ40" s="31"/>
      <c r="BB40" s="6">
        <f t="shared" ca="1" si="17"/>
        <v>45624</v>
      </c>
      <c r="BC40">
        <f t="shared" ca="1" si="9"/>
        <v>27</v>
      </c>
      <c r="BD40" s="3">
        <v>7212075.4100000001</v>
      </c>
      <c r="BE40" s="8">
        <v>51751.5</v>
      </c>
      <c r="BF40" s="3">
        <v>0</v>
      </c>
      <c r="BG40" s="7">
        <f>Table13411121314[[#This Row],[$Return]]/AVERAGE(Table13411121314[[#This Row],[Starting]],Table13411121314[[#This Row],[Starting]]+Table13411121314[[#This Row],[Inflows]])</f>
        <v>7.1756737219141192E-3</v>
      </c>
      <c r="BH40" s="4">
        <f t="shared" si="4"/>
        <v>7263826.9100000001</v>
      </c>
      <c r="BI40" s="30">
        <f ca="1">IF(Table13411121314[[#This Row],[Day]]=1,100*(1+Table13411121314[[#This Row],[Return]]),BI39*(1+Table13411121314[[#This Row],[Return]]))</f>
        <v>104.32735983039512</v>
      </c>
      <c r="BJ40" s="5">
        <f ca="1">EXP(-((30-Table13411121314[[#This Row],[Day]])/30))</f>
        <v>0.90483741803595952</v>
      </c>
      <c r="BK40" s="7"/>
      <c r="BL40" s="7">
        <f ca="1">IF(Table13411121314[[#This Row],[Day]]&lt;=7,"",MIN(IF(BI40&gt;=MAX(BI33:BI39),IFERROR(AVERAGE(BL33:BL39),-1%),BI40/MAX(BI33:BI39)-1),-1%))</f>
        <v>-0.01</v>
      </c>
      <c r="BM40" s="31"/>
    </row>
    <row r="41" spans="2:65" x14ac:dyDescent="0.45">
      <c r="B41" s="6">
        <f t="shared" ca="1" si="10"/>
        <v>45625</v>
      </c>
      <c r="C41">
        <f t="shared" ca="1" si="5"/>
        <v>28</v>
      </c>
      <c r="D41" s="3">
        <f t="shared" si="11"/>
        <v>106687</v>
      </c>
      <c r="E41" s="8">
        <v>2985</v>
      </c>
      <c r="F41" s="3">
        <v>487</v>
      </c>
      <c r="G41" s="7">
        <f>Table1310[[#This Row],[$Return]]/AVERAGE(Table1310[[#This Row],[Starting]],Table1310[[#This Row],[Starting]]+Table1310[[#This Row],[Inflows]])</f>
        <v>2.7915328180453659E-2</v>
      </c>
      <c r="H41" s="4">
        <f>D41+E41+F41</f>
        <v>110159</v>
      </c>
      <c r="I41" s="30">
        <f ca="1">IF(Table1310[[#This Row],[Day]]=1,100*(1+Table1310[[#This Row],[Return]]),I40*(1+Table1310[[#This Row],[Return]]))</f>
        <v>98.062677368863433</v>
      </c>
      <c r="J41" s="5">
        <f ca="1">EXP(-((30-Table1310[[#This Row],[Day]])/30))</f>
        <v>0.93550698503161778</v>
      </c>
      <c r="K41" s="7"/>
      <c r="L41" s="7">
        <f ca="1">IF(Table1310[[#This Row],[Day]]&lt;=7,"",MIN(IF(I41&gt;=MAX(I34:I40),IFERROR(AVERAGE(L34:L40),-1%),I41/MAX(I34:I40)-1),-1%))</f>
        <v>-5.1041768948304256E-2</v>
      </c>
      <c r="M41" s="31"/>
      <c r="O41" s="6">
        <f t="shared" ca="1" si="12"/>
        <v>45625</v>
      </c>
      <c r="P41">
        <f t="shared" ca="1" si="6"/>
        <v>28</v>
      </c>
      <c r="Q41" s="3">
        <f t="shared" si="13"/>
        <v>103069</v>
      </c>
      <c r="R41" s="8">
        <v>878</v>
      </c>
      <c r="S41" s="3">
        <v>0</v>
      </c>
      <c r="T41" s="7">
        <f>Table13411[[#This Row],[$Return]]/AVERAGE(Table13411[[#This Row],[Starting]],Table13411[[#This Row],[Starting]]+Table13411[[#This Row],[Inflows]])</f>
        <v>8.5185652329992523E-3</v>
      </c>
      <c r="U41" s="4">
        <f t="shared" si="1"/>
        <v>103947</v>
      </c>
      <c r="V41" s="30">
        <f ca="1">IF(Table13411[[#This Row],[Day]]=1,100,V40*(1+Table13411[[#This Row],[Return]]))</f>
        <v>103.94700000000003</v>
      </c>
      <c r="W41" s="5">
        <f ca="1">EXP(-((30-Table13411[[#This Row],[Day]])/30))</f>
        <v>0.93550698503161778</v>
      </c>
      <c r="X41" s="7"/>
      <c r="Y41" s="7">
        <f ca="1">IF(Table13411[[#This Row],[Day]]&lt;=7,"",MIN(IF(V41&gt;=MAX(V34:V40),IFERROR(AVERAGE(Y34:Y40),-1%),V41/MAX(V34:V40)-1),-1%))</f>
        <v>-1.0339028447122034E-2</v>
      </c>
      <c r="Z41" s="31"/>
      <c r="AB41" s="6">
        <f t="shared" ca="1" si="14"/>
        <v>45625</v>
      </c>
      <c r="AC41">
        <f t="shared" ca="1" si="7"/>
        <v>28</v>
      </c>
      <c r="AD41" s="3">
        <f t="shared" si="15"/>
        <v>108500</v>
      </c>
      <c r="AE41" s="8">
        <v>12500</v>
      </c>
      <c r="AF41" s="3">
        <v>0</v>
      </c>
      <c r="AG41" s="7">
        <f>Table1341112[[#This Row],[$Return]]/AVERAGE(Table1341112[[#This Row],[Starting]],Table1341112[[#This Row],[Starting]]+Table1341112[[#This Row],[Inflows]])</f>
        <v>0.1152073732718894</v>
      </c>
      <c r="AH41" s="4">
        <f t="shared" si="2"/>
        <v>121000</v>
      </c>
      <c r="AI41" s="30">
        <f ca="1">IF(Table1341112[[#This Row],[Day]]=1,100*(1+Table1341112[[#This Row],[Return]]),AI40*(1+Table1341112[[#This Row],[Return]]))</f>
        <v>121.00000000000006</v>
      </c>
      <c r="AJ41" s="5">
        <f ca="1">EXP(-((30-Table1341112[[#This Row],[Day]])/30))</f>
        <v>0.93550698503161778</v>
      </c>
      <c r="AK41" s="7"/>
      <c r="AL41" s="7">
        <f ca="1">IF(Table1341112[[#This Row],[Day]]&lt;=7,"",MIN(IF(AI41&gt;=MAX(AI34:AI40),IFERROR(AVERAGE(AL34:AL40),-1%),AI41/MAX(AI34:AI40)-1),-1%))</f>
        <v>-5.8365758754863828E-2</v>
      </c>
      <c r="AM41" s="31"/>
      <c r="AO41" s="6">
        <f t="shared" ca="1" si="16"/>
        <v>45625</v>
      </c>
      <c r="AP41">
        <f t="shared" ca="1" si="8"/>
        <v>28</v>
      </c>
      <c r="AQ41" s="3">
        <v>916947.45</v>
      </c>
      <c r="AR41" s="8">
        <v>-230.56</v>
      </c>
      <c r="AS41" s="3">
        <v>0</v>
      </c>
      <c r="AT41" s="7">
        <f>Table134111213[[#This Row],[$Return]]/AVERAGE(Table134111213[[#This Row],[Starting]],Table134111213[[#This Row],[Starting]]+Table134111213[[#This Row],[Inflows]])</f>
        <v>-2.5144298072915739E-4</v>
      </c>
      <c r="AU41" s="4">
        <f t="shared" si="3"/>
        <v>916716.8899999999</v>
      </c>
      <c r="AV41" s="30">
        <f ca="1">IF(Table134111213[[#This Row],[Day]]=1,100*(1+Table134111213[[#This Row],[Return]]),AV40*(1+Table134111213[[#This Row],[Return]]))</f>
        <v>102.32068417620256</v>
      </c>
      <c r="AW41" s="5">
        <f ca="1">EXP(-((30-Table134111213[[#This Row],[Day]])/30))</f>
        <v>0.93550698503161778</v>
      </c>
      <c r="AX41" s="7"/>
      <c r="AY41" s="7">
        <f ca="1">IF(Table134111213[[#This Row],[Day]]&lt;=7,"",MIN(IF(AV41&gt;=MAX(AV34:AV40),IFERROR(AVERAGE(AY34:AY40),-1%),AV41/MAX(AV34:AV40)-1),-1%))</f>
        <v>-0.01</v>
      </c>
      <c r="AZ41" s="31"/>
      <c r="BB41" s="6">
        <f t="shared" ca="1" si="17"/>
        <v>45625</v>
      </c>
      <c r="BC41">
        <f t="shared" ca="1" si="9"/>
        <v>28</v>
      </c>
      <c r="BD41" s="3">
        <v>7219520.9199999999</v>
      </c>
      <c r="BE41" s="8">
        <v>7445.51</v>
      </c>
      <c r="BF41" s="3">
        <v>0</v>
      </c>
      <c r="BG41" s="7">
        <f>Table13411121314[[#This Row],[$Return]]/AVERAGE(Table13411121314[[#This Row],[Starting]],Table13411121314[[#This Row],[Starting]]+Table13411121314[[#This Row],[Inflows]])</f>
        <v>1.0313025036569879E-3</v>
      </c>
      <c r="BH41" s="4">
        <f t="shared" si="4"/>
        <v>7226966.4299999997</v>
      </c>
      <c r="BI41" s="30">
        <f ca="1">IF(Table13411121314[[#This Row],[Day]]=1,100*(1+Table13411121314[[#This Row],[Return]]),BI40*(1+Table13411121314[[#This Row],[Return]]))</f>
        <v>104.43495289778814</v>
      </c>
      <c r="BJ41" s="5">
        <f ca="1">EXP(-((30-Table13411121314[[#This Row],[Day]])/30))</f>
        <v>0.93550698503161778</v>
      </c>
      <c r="BK41" s="7"/>
      <c r="BL41" s="7">
        <f ca="1">IF(Table13411121314[[#This Row],[Day]]&lt;=7,"",MIN(IF(BI41&gt;=MAX(BI34:BI40),IFERROR(AVERAGE(BL34:BL40),-1%),BI41/MAX(BI34:BI40)-1),-1%))</f>
        <v>-0.01</v>
      </c>
      <c r="BM41" s="31"/>
    </row>
    <row r="42" spans="2:65" x14ac:dyDescent="0.45">
      <c r="B42" s="6">
        <f t="shared" ca="1" si="10"/>
        <v>45626</v>
      </c>
      <c r="C42">
        <f t="shared" ca="1" si="5"/>
        <v>29</v>
      </c>
      <c r="D42" s="3">
        <f t="shared" si="11"/>
        <v>110159</v>
      </c>
      <c r="E42" s="8">
        <v>1404</v>
      </c>
      <c r="F42" s="3">
        <v>53</v>
      </c>
      <c r="G42" s="7">
        <f>Table1310[[#This Row],[$Return]]/AVERAGE(Table1310[[#This Row],[Starting]],Table1310[[#This Row],[Starting]]+Table1310[[#This Row],[Inflows]])</f>
        <v>1.2742148467811101E-2</v>
      </c>
      <c r="H42" s="4">
        <f t="shared" si="0"/>
        <v>111616</v>
      </c>
      <c r="I42" s="30">
        <f ca="1">IF(Table1310[[#This Row],[Day]]=1,100*(1+Table1310[[#This Row],[Return]]),I41*(1+Table1310[[#This Row],[Return]]))</f>
        <v>99.312206563048562</v>
      </c>
      <c r="J42" s="5">
        <f ca="1">EXP(-((30-Table1310[[#This Row],[Day]])/30))</f>
        <v>0.9672161004820059</v>
      </c>
      <c r="K42" s="7"/>
      <c r="L42" s="7">
        <f ca="1">IF(Table1310[[#This Row],[Day]]&lt;=7,"",MIN(IF(I42&gt;=MAX(I35:I41),IFERROR(AVERAGE(L35:L41),-1%),I42/MAX(I35:I41)-1),-1%))</f>
        <v>-3.8950002278491991E-2</v>
      </c>
      <c r="M42" s="31"/>
      <c r="O42" s="6">
        <f t="shared" ca="1" si="12"/>
        <v>45626</v>
      </c>
      <c r="P42">
        <f t="shared" ca="1" si="6"/>
        <v>29</v>
      </c>
      <c r="Q42" s="3">
        <f t="shared" si="13"/>
        <v>103947</v>
      </c>
      <c r="R42" s="8">
        <v>-32</v>
      </c>
      <c r="S42" s="3">
        <v>0</v>
      </c>
      <c r="T42" s="7">
        <f>Table13411[[#This Row],[$Return]]/AVERAGE(Table13411[[#This Row],[Starting]],Table13411[[#This Row],[Starting]]+Table13411[[#This Row],[Inflows]])</f>
        <v>-3.0784919237688435E-4</v>
      </c>
      <c r="U42" s="4">
        <f t="shared" si="1"/>
        <v>103915</v>
      </c>
      <c r="V42" s="30">
        <f ca="1">IF(Table13411[[#This Row],[Day]]=1,100,V41*(1+Table13411[[#This Row],[Return]]))</f>
        <v>103.91500000000002</v>
      </c>
      <c r="W42" s="5">
        <f ca="1">EXP(-((30-Table13411[[#This Row],[Day]])/30))</f>
        <v>0.9672161004820059</v>
      </c>
      <c r="X42" s="7"/>
      <c r="Y42" s="7">
        <f ca="1">IF(Table13411[[#This Row],[Day]]&lt;=7,"",MIN(IF(V42&gt;=MAX(V35:V41),IFERROR(AVERAGE(Y35:Y41),-1%),V42/MAX(V35:V41)-1),-1%))</f>
        <v>-0.01</v>
      </c>
      <c r="Z42" s="31"/>
      <c r="AB42" s="6">
        <f t="shared" ca="1" si="14"/>
        <v>45626</v>
      </c>
      <c r="AC42">
        <f t="shared" ca="1" si="7"/>
        <v>29</v>
      </c>
      <c r="AD42" s="3">
        <f t="shared" si="15"/>
        <v>121000</v>
      </c>
      <c r="AE42" s="8">
        <v>-8500</v>
      </c>
      <c r="AF42" s="3">
        <v>0</v>
      </c>
      <c r="AG42" s="7">
        <f>Table1341112[[#This Row],[$Return]]/AVERAGE(Table1341112[[#This Row],[Starting]],Table1341112[[#This Row],[Starting]]+Table1341112[[#This Row],[Inflows]])</f>
        <v>-7.0247933884297523E-2</v>
      </c>
      <c r="AH42" s="4">
        <f t="shared" si="2"/>
        <v>112500</v>
      </c>
      <c r="AI42" s="30">
        <f ca="1">IF(Table1341112[[#This Row],[Day]]=1,100*(1+Table1341112[[#This Row],[Return]]),AI41*(1+Table1341112[[#This Row],[Return]]))</f>
        <v>112.50000000000006</v>
      </c>
      <c r="AJ42" s="5">
        <f ca="1">EXP(-((30-Table1341112[[#This Row],[Day]])/30))</f>
        <v>0.9672161004820059</v>
      </c>
      <c r="AK42" s="7"/>
      <c r="AL42" s="7">
        <f ca="1">IF(Table1341112[[#This Row],[Day]]&lt;=7,"",MIN(IF(AI42&gt;=MAX(AI35:AI41),IFERROR(AVERAGE(AL35:AL41),-1%),AI42/MAX(AI35:AI41)-1),-1%))</f>
        <v>-0.12451361867704269</v>
      </c>
      <c r="AM42" s="31"/>
      <c r="AO42" s="6">
        <f t="shared" ca="1" si="16"/>
        <v>45626</v>
      </c>
      <c r="AP42">
        <f t="shared" ca="1" si="8"/>
        <v>29</v>
      </c>
      <c r="AQ42" s="3">
        <v>919569.69</v>
      </c>
      <c r="AR42" s="8">
        <v>2622.24</v>
      </c>
      <c r="AS42" s="3">
        <v>0</v>
      </c>
      <c r="AT42" s="7">
        <f>Table134111213[[#This Row],[$Return]]/AVERAGE(Table134111213[[#This Row],[Starting]],Table134111213[[#This Row],[Starting]]+Table134111213[[#This Row],[Inflows]])</f>
        <v>2.851594640967342E-3</v>
      </c>
      <c r="AU42" s="4">
        <f t="shared" si="3"/>
        <v>922191.92999999993</v>
      </c>
      <c r="AV42" s="30">
        <f ca="1">IF(Table134111213[[#This Row],[Day]]=1,100*(1+Table134111213[[#This Row],[Return]]),AV41*(1+Table134111213[[#This Row],[Return]]))</f>
        <v>102.61246129085953</v>
      </c>
      <c r="AW42" s="5">
        <f ca="1">EXP(-((30-Table134111213[[#This Row],[Day]])/30))</f>
        <v>0.9672161004820059</v>
      </c>
      <c r="AX42" s="7"/>
      <c r="AY42" s="7">
        <f ca="1">IF(Table134111213[[#This Row],[Day]]&lt;=7,"",MIN(IF(AV42&gt;=MAX(AV35:AV41),IFERROR(AVERAGE(AY35:AY41),-1%),AV42/MAX(AV35:AV41)-1),-1%))</f>
        <v>-1.0130881736286063E-2</v>
      </c>
      <c r="AZ42" s="31"/>
      <c r="BB42" s="6">
        <f t="shared" ca="1" si="17"/>
        <v>45626</v>
      </c>
      <c r="BC42">
        <f t="shared" ca="1" si="9"/>
        <v>29</v>
      </c>
      <c r="BD42" s="3">
        <v>7220945.1399999997</v>
      </c>
      <c r="BE42" s="8">
        <v>1424.22</v>
      </c>
      <c r="BF42" s="3">
        <v>0</v>
      </c>
      <c r="BG42" s="7">
        <f>Table13411121314[[#This Row],[$Return]]/AVERAGE(Table13411121314[[#This Row],[Starting]],Table13411121314[[#This Row],[Starting]]+Table13411121314[[#This Row],[Inflows]])</f>
        <v>1.9723456865924896E-4</v>
      </c>
      <c r="BH42" s="4">
        <f t="shared" si="4"/>
        <v>7222369.3599999994</v>
      </c>
      <c r="BI42" s="30">
        <f ca="1">IF(Table13411121314[[#This Row],[Day]]=1,100*(1+Table13411121314[[#This Row],[Return]]),BI41*(1+Table13411121314[[#This Row],[Return]]))</f>
        <v>104.45555108067587</v>
      </c>
      <c r="BJ42" s="5">
        <f ca="1">EXP(-((30-Table13411121314[[#This Row],[Day]])/30))</f>
        <v>0.9672161004820059</v>
      </c>
      <c r="BK42" s="7"/>
      <c r="BL42" s="7">
        <f ca="1">IF(Table13411121314[[#This Row],[Day]]&lt;=7,"",MIN(IF(BI42&gt;=MAX(BI35:BI41),IFERROR(AVERAGE(BL35:BL41),-1%),BI42/MAX(BI35:BI41)-1),-1%))</f>
        <v>-0.01</v>
      </c>
      <c r="BM42" s="31"/>
    </row>
    <row r="43" spans="2:65" x14ac:dyDescent="0.45">
      <c r="B43" s="6">
        <f t="shared" ca="1" si="10"/>
        <v>45627</v>
      </c>
      <c r="C43">
        <f t="shared" ca="1" si="5"/>
        <v>30</v>
      </c>
      <c r="D43" s="3">
        <f t="shared" si="11"/>
        <v>111616</v>
      </c>
      <c r="E43" s="8">
        <v>10000</v>
      </c>
      <c r="F43" s="3">
        <v>721</v>
      </c>
      <c r="G43" s="7">
        <f>Table1310[[#This Row],[$Return]]/AVERAGE(Table1310[[#This Row],[Starting]],Table1310[[#This Row],[Starting]]+Table1310[[#This Row],[Inflows]])</f>
        <v>8.9304452273468088E-2</v>
      </c>
      <c r="H43" s="4">
        <f t="shared" si="0"/>
        <v>122337</v>
      </c>
      <c r="I43" s="30">
        <f ca="1">IF(Table1310[[#This Row],[Day]]=1,100*(1+Table1310[[#This Row],[Return]]),I42*(1+Table1310[[#This Row],[Return]]))</f>
        <v>108.18122877423113</v>
      </c>
      <c r="J43" s="5">
        <f ca="1">EXP(-((30-Table1310[[#This Row],[Day]])/30))</f>
        <v>1</v>
      </c>
      <c r="K43" s="7">
        <f ca="1">SUMPRODUCT(Table1310[Return],Table1310[Day Weight])/SUM(Table1310[Day Weight])</f>
        <v>5.3857385288951613E-3</v>
      </c>
      <c r="L43" s="7">
        <f ca="1">IF(Table1310[[#This Row],[Day]]&lt;=7,"",MIN(IF(I43&gt;=MAX(I36:I42),IFERROR(AVERAGE(L36:L42),-1%),I43/MAX(I36:I42)-1),-1%))</f>
        <v>-5.6802083844098079E-2</v>
      </c>
      <c r="M43" s="32">
        <f ca="1">IF(Table1310[[#This Row],[Day]]&lt;=7,"NM",Table1310[[#This Row],[Wgt. Avg.Return]]/ABS(Table1310[[#This Row],[Max 7d DD]]))</f>
        <v>9.4815861750374097E-2</v>
      </c>
      <c r="O43" s="6">
        <f t="shared" ca="1" si="12"/>
        <v>45627</v>
      </c>
      <c r="P43">
        <f t="shared" ca="1" si="6"/>
        <v>30</v>
      </c>
      <c r="Q43" s="3">
        <f t="shared" si="13"/>
        <v>103915</v>
      </c>
      <c r="R43" s="8">
        <v>759</v>
      </c>
      <c r="S43" s="3">
        <v>0</v>
      </c>
      <c r="T43" s="7">
        <f>Table13411[[#This Row],[$Return]]/AVERAGE(Table13411[[#This Row],[Starting]],Table13411[[#This Row],[Starting]]+Table13411[[#This Row],[Inflows]])</f>
        <v>7.3040465765288939E-3</v>
      </c>
      <c r="U43" s="4">
        <f t="shared" si="1"/>
        <v>104674</v>
      </c>
      <c r="V43" s="30">
        <f ca="1">IF(Table13411[[#This Row],[Day]]=1,100,V42*(1+Table13411[[#This Row],[Return]]))</f>
        <v>104.67400000000002</v>
      </c>
      <c r="W43" s="5">
        <f ca="1">EXP(-((30-Table13411[[#This Row],[Day]])/30))</f>
        <v>1</v>
      </c>
      <c r="X43" s="7">
        <f ca="1">SUMPRODUCT(Table13411[Return],Table13411[Day Weight])/SUM(Table13411[Day Weight])</f>
        <v>1.9537663678593714E-3</v>
      </c>
      <c r="Y43" s="7">
        <f ca="1">IF(Table13411[[#This Row],[Day]]&lt;=7,"",MIN(IF(V43&gt;=MAX(V36:V42),IFERROR(AVERAGE(Y36:Y42),-1%),V43/MAX(V36:V42)-1),-1%))</f>
        <v>-1.0205114215467184E-2</v>
      </c>
      <c r="Z43" s="32">
        <f ca="1">IF(Table13411[[#This Row],[Day]]&lt;=7,"NM",Table13411[[#This Row],[Wgt. Avg.Return]]/ABS(Table13411[[#This Row],[Max 7d DD]]))</f>
        <v>0.19144973065545737</v>
      </c>
      <c r="AB43" s="6">
        <f t="shared" ca="1" si="14"/>
        <v>45627</v>
      </c>
      <c r="AC43">
        <f t="shared" ca="1" si="7"/>
        <v>30</v>
      </c>
      <c r="AD43" s="3">
        <f t="shared" si="15"/>
        <v>112500</v>
      </c>
      <c r="AE43" s="8">
        <v>5000</v>
      </c>
      <c r="AF43" s="3">
        <v>0</v>
      </c>
      <c r="AG43" s="7">
        <f>Table1341112[[#This Row],[$Return]]/AVERAGE(Table1341112[[#This Row],[Starting]],Table1341112[[#This Row],[Starting]]+Table1341112[[#This Row],[Inflows]])</f>
        <v>4.4444444444444446E-2</v>
      </c>
      <c r="AH43" s="4">
        <f t="shared" si="2"/>
        <v>117500</v>
      </c>
      <c r="AI43" s="30">
        <f ca="1">IF(Table1341112[[#This Row],[Day]]=1,100*(1+Table1341112[[#This Row],[Return]]),AI42*(1+Table1341112[[#This Row],[Return]]))</f>
        <v>117.50000000000007</v>
      </c>
      <c r="AJ43" s="5">
        <f ca="1">EXP(-((30-Table1341112[[#This Row],[Day]])/30))</f>
        <v>1</v>
      </c>
      <c r="AK43" s="7">
        <f ca="1">SUMPRODUCT(Table1341112[Return],Table1341112[Day Weight])/SUM(Table1341112[Day Weight])</f>
        <v>1.3257067155717865E-2</v>
      </c>
      <c r="AL43" s="7">
        <f ca="1">IF(Table1341112[[#This Row],[Day]]&lt;=7,"",MIN(IF(AI43&gt;=MAX(AI36:AI42),IFERROR(AVERAGE(AL36:AL42),-1%),AI43/MAX(AI36:AI42)-1),-1%))</f>
        <v>-8.5603112840466733E-2</v>
      </c>
      <c r="AM43" s="32">
        <f ca="1">IF(Table1341112[[#This Row],[Day]]&lt;=7,"NM",Table1341112[[#This Row],[Wgt. Avg.Return]]/ABS(Table1341112[[#This Row],[Max 7d DD]]))</f>
        <v>0.15486664813724996</v>
      </c>
      <c r="AO43" s="6">
        <f t="shared" ca="1" si="16"/>
        <v>45627</v>
      </c>
      <c r="AP43">
        <f t="shared" ca="1" si="8"/>
        <v>30</v>
      </c>
      <c r="AQ43" s="3">
        <v>918217.07</v>
      </c>
      <c r="AR43" s="8">
        <v>-1352.61</v>
      </c>
      <c r="AS43" s="3">
        <v>0</v>
      </c>
      <c r="AT43" s="7">
        <f>Table134111213[[#This Row],[$Return]]/AVERAGE(Table134111213[[#This Row],[Starting]],Table134111213[[#This Row],[Starting]]+Table134111213[[#This Row],[Inflows]])</f>
        <v>-1.4730830477808477E-3</v>
      </c>
      <c r="AU43" s="4">
        <f t="shared" si="3"/>
        <v>916864.46</v>
      </c>
      <c r="AV43" s="30">
        <f ca="1">IF(Table134111213[[#This Row],[Day]]=1,100*(1+Table134111213[[#This Row],[Return]]),AV42*(1+Table134111213[[#This Row],[Return]]))</f>
        <v>102.46130461364089</v>
      </c>
      <c r="AW43" s="5">
        <f ca="1">EXP(-((30-Table134111213[[#This Row],[Day]])/30))</f>
        <v>1</v>
      </c>
      <c r="AX43" s="7">
        <f ca="1">SUMPRODUCT(Table134111213[Return],Table134111213[Day Weight])/SUM(Table134111213[Day Weight])</f>
        <v>5.0344516785799979E-4</v>
      </c>
      <c r="AY43" s="7">
        <f ca="1">IF(Table134111213[[#This Row],[Day]]&lt;=7,"",MIN(IF(AV43&gt;=MAX(AV36:AV42),IFERROR(AVERAGE(AY36:AY42),-1%),AV43/MAX(AV36:AV42)-1),-1%))</f>
        <v>-0.01</v>
      </c>
      <c r="AZ43" s="32">
        <f ca="1">IF(Table134111213[[#This Row],[Day]]&lt;=7,"NM",Table134111213[[#This Row],[Wgt. Avg.Return]]/ABS(Table134111213[[#This Row],[Max 7d DD]]))</f>
        <v>5.034451678579998E-2</v>
      </c>
      <c r="BB43" s="6">
        <f t="shared" ca="1" si="17"/>
        <v>45627</v>
      </c>
      <c r="BC43">
        <f t="shared" ca="1" si="9"/>
        <v>30</v>
      </c>
      <c r="BD43" s="3">
        <v>7277963.9500000002</v>
      </c>
      <c r="BE43" s="8">
        <v>57018.82</v>
      </c>
      <c r="BF43" s="3">
        <v>0</v>
      </c>
      <c r="BG43" s="7">
        <f>Table13411121314[[#This Row],[$Return]]/AVERAGE(Table13411121314[[#This Row],[Starting]],Table13411121314[[#This Row],[Starting]]+Table13411121314[[#This Row],[Inflows]])</f>
        <v>7.8344466105798715E-3</v>
      </c>
      <c r="BH43" s="4">
        <f t="shared" si="4"/>
        <v>7334982.7700000005</v>
      </c>
      <c r="BI43" s="30">
        <f ca="1">IF(Table13411121314[[#This Row],[Day]]=1,100*(1+Table13411121314[[#This Row],[Return]]),BI42*(1+Table13411121314[[#This Row],[Return]]))</f>
        <v>105.27390251879613</v>
      </c>
      <c r="BJ43" s="5">
        <f ca="1">EXP(-((30-Table13411121314[[#This Row],[Day]])/30))</f>
        <v>1</v>
      </c>
      <c r="BK43" s="7">
        <f ca="1">SUMPRODUCT(Table13411121314[Return],Table13411121314[Day Weight])/SUM(Table13411121314[Day Weight])</f>
        <v>1.9867052570990656E-3</v>
      </c>
      <c r="BL43" s="7">
        <f ca="1">IF(Table13411121314[[#This Row],[Day]]&lt;=7,"",MIN(IF(BI43&gt;=MAX(BI36:BI42),IFERROR(AVERAGE(BL36:BL42),-1%),BI43/MAX(BI36:BI42)-1),-1%))</f>
        <v>-0.01</v>
      </c>
      <c r="BM43" s="32">
        <f ca="1">IF(Table13411121314[[#This Row],[Day]]&lt;=7,"NM",Table13411121314[[#This Row],[Wgt. Avg.Return]]/ABS(Table13411121314[[#This Row],[Max 7d DD]]))</f>
        <v>0.19867052570990656</v>
      </c>
    </row>
    <row r="44" spans="2:65" x14ac:dyDescent="0.45">
      <c r="B44" t="s">
        <v>10</v>
      </c>
      <c r="E44" s="28">
        <f>SUBTOTAL(109,Table1310[$Return])</f>
        <v>9516</v>
      </c>
      <c r="F44" s="4">
        <f>SUBTOTAL(109,Table1310[Inflows])</f>
        <v>12821</v>
      </c>
      <c r="G44" s="4"/>
      <c r="K44" s="4"/>
      <c r="L44" s="4"/>
      <c r="M44" s="4"/>
      <c r="O44" t="s">
        <v>10</v>
      </c>
      <c r="R44" s="4">
        <f>SUBTOTAL(109,Table13411[$Return])</f>
        <v>4674</v>
      </c>
      <c r="S44" s="4">
        <f>SUBTOTAL(109,Table13411[Inflows])</f>
        <v>0</v>
      </c>
      <c r="T44" s="4"/>
      <c r="W44" s="4"/>
      <c r="X44" s="4"/>
      <c r="Y44" s="4"/>
      <c r="Z44" s="25"/>
      <c r="AA44" s="25"/>
      <c r="AB44" t="s">
        <v>10</v>
      </c>
      <c r="AE44" s="4">
        <f>SUBTOTAL(109,Table1341112[$Return])</f>
        <v>17500</v>
      </c>
      <c r="AF44" s="4">
        <f>SUBTOTAL(109,Table1341112[Inflows])</f>
        <v>0</v>
      </c>
      <c r="AG44" s="4"/>
      <c r="AJ44" s="4"/>
      <c r="AK44" s="4"/>
      <c r="AL44" s="4"/>
      <c r="AM44" s="25"/>
      <c r="AN44" s="25"/>
      <c r="AO44" t="s">
        <v>10</v>
      </c>
      <c r="AR44" s="4">
        <f>SUBTOTAL(109,Table134111213[$Return])</f>
        <v>4997.3900000000031</v>
      </c>
      <c r="AS44" s="4">
        <f>SUBTOTAL(109,Table134111213[Inflows])</f>
        <v>658157.09</v>
      </c>
      <c r="AT44" s="4"/>
      <c r="AW44" s="4"/>
      <c r="AX44" s="4"/>
      <c r="AY44" s="4"/>
      <c r="AZ44" s="25"/>
      <c r="BB44" t="s">
        <v>10</v>
      </c>
      <c r="BE44" s="4">
        <f>SUBTOTAL(109,Table13411121314[$Return])</f>
        <v>359264.73000000004</v>
      </c>
      <c r="BF44" s="4">
        <f>SUBTOTAL(109,Table13411121314[Inflows])</f>
        <v>0</v>
      </c>
      <c r="BG44" s="4"/>
      <c r="BJ44" s="4"/>
      <c r="BK44" s="4"/>
      <c r="BL44" s="4"/>
      <c r="BM44" s="25"/>
    </row>
    <row r="46" spans="2:65" x14ac:dyDescent="0.45">
      <c r="F46" s="34" t="s">
        <v>37</v>
      </c>
      <c r="G46" s="35">
        <f>AVERAGE(G21:G43)</f>
        <v>2.4933871611841226E-3</v>
      </c>
    </row>
    <row r="47" spans="2:65" x14ac:dyDescent="0.45">
      <c r="F47" s="36" t="s">
        <v>36</v>
      </c>
      <c r="G47" s="37">
        <f ca="1">K43</f>
        <v>5.3857385288951613E-3</v>
      </c>
    </row>
  </sheetData>
  <conditionalFormatting sqref="G3:G7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{56A9EDDE-C94A-46A8-914C-3234414B0116}</x14:id>
        </ext>
      </extLst>
    </cfRule>
  </conditionalFormatting>
  <conditionalFormatting sqref="I3:I7">
    <cfRule type="dataBar" priority="1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{64A7E209-1B3A-4A80-9C91-6FEB4E2922BA}</x14:id>
        </ext>
      </extLst>
    </cfRule>
  </conditionalFormatting>
  <conditionalFormatting sqref="I8:I9 J3:J7">
    <cfRule type="dataBar" priority="1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{B98E0C98-E9C8-4A03-853B-9D577AF2A27F}</x14:id>
        </ext>
      </extLst>
    </cfRule>
  </conditionalFormatting>
  <pageMargins left="0.7" right="0.7" top="0.75" bottom="0.75" header="0.3" footer="0.3"/>
  <tableParts count="5">
    <tablePart r:id="rId1"/>
    <tablePart r:id="rId2"/>
    <tablePart r:id="rId3"/>
    <tablePart r:id="rId4"/>
    <tablePart r:id="rId5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6A9EDDE-C94A-46A8-914C-3234414B0116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G3:G7</xm:sqref>
        </x14:conditionalFormatting>
        <x14:conditionalFormatting xmlns:xm="http://schemas.microsoft.com/office/excel/2006/main">
          <x14:cfRule type="dataBar" id="{64A7E209-1B3A-4A80-9C91-6FEB4E2922B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I3:I7</xm:sqref>
        </x14:conditionalFormatting>
        <x14:conditionalFormatting xmlns:xm="http://schemas.microsoft.com/office/excel/2006/main">
          <x14:cfRule type="dataBar" id="{B98E0C98-E9C8-4A03-853B-9D577AF2A27F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I8:I9 J3:J7</xm:sqref>
        </x14:conditionalFormatting>
      </x14:conditionalFormattings>
    </ex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3F131C08-9BB0-4BAD-A64E-81737F7E0BE2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'Version 2'!BI14:BI43</xm:f>
              <xm:sqref>J7</xm:sqref>
            </x14:sparkline>
          </x14:sparklines>
        </x14:sparklineGroup>
        <x14:sparklineGroup displayEmptyCellsAs="gap" xr2:uid="{87501308-A551-409E-A5FF-873194D1DDA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'Version 2'!AV14:AV43</xm:f>
              <xm:sqref>J6</xm:sqref>
            </x14:sparkline>
          </x14:sparklines>
        </x14:sparklineGroup>
        <x14:sparklineGroup displayEmptyCellsAs="gap" xr2:uid="{49FD213D-F15F-4947-8966-52F7362376DE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'Version 2'!AI14:AI43</xm:f>
              <xm:sqref>J5</xm:sqref>
            </x14:sparkline>
          </x14:sparklines>
        </x14:sparklineGroup>
        <x14:sparklineGroup displayEmptyCellsAs="gap" xr2:uid="{3E0F335A-88A3-418F-A3C6-7317FA1D304E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'Version 2'!V14:V43</xm:f>
              <xm:sqref>J4</xm:sqref>
            </x14:sparkline>
          </x14:sparklines>
        </x14:sparklineGroup>
        <x14:sparklineGroup displayEmptyCellsAs="gap" xr2:uid="{DB150B5C-D4FE-4669-BCE3-3C3FD7BD081D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'Version 2'!H14:H43</xm:f>
              <xm:sqref>J3</xm:sqref>
            </x14:sparkline>
          </x14:sparklines>
        </x14:sparklineGroup>
      </x14:sparklineGroup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9C989-5944-4A63-B6E8-FB9B07F92595}">
  <dimension ref="B2:CM44"/>
  <sheetViews>
    <sheetView showGridLines="0" topLeftCell="BF18" zoomScaleNormal="100" workbookViewId="0">
      <selection activeCell="BS14" sqref="BS14:BS43"/>
    </sheetView>
  </sheetViews>
  <sheetFormatPr defaultRowHeight="14.25" x14ac:dyDescent="0.45"/>
  <cols>
    <col min="1" max="1" width="3.265625" customWidth="1"/>
    <col min="3" max="3" width="6.265625" customWidth="1"/>
    <col min="4" max="6" width="11" bestFit="1" customWidth="1"/>
    <col min="8" max="8" width="10.59765625" customWidth="1"/>
    <col min="9" max="9" width="13.59765625" bestFit="1" customWidth="1"/>
    <col min="10" max="10" width="13.59765625" customWidth="1"/>
    <col min="11" max="11" width="12" customWidth="1"/>
    <col min="12" max="12" width="11.73046875" customWidth="1"/>
    <col min="13" max="13" width="9.59765625" customWidth="1"/>
    <col min="14" max="14" width="7.265625" customWidth="1"/>
    <col min="23" max="23" width="11.59765625" customWidth="1"/>
    <col min="24" max="26" width="10.265625" customWidth="1"/>
    <col min="27" max="27" width="9.3984375" bestFit="1" customWidth="1"/>
    <col min="36" max="36" width="10.86328125" customWidth="1"/>
    <col min="37" max="37" width="10" bestFit="1" customWidth="1"/>
    <col min="39" max="39" width="10.265625" customWidth="1"/>
    <col min="41" max="41" width="9.3984375" bestFit="1" customWidth="1"/>
    <col min="49" max="49" width="11.3984375" customWidth="1"/>
    <col min="52" max="52" width="11.59765625" customWidth="1"/>
    <col min="56" max="56" width="12.73046875" customWidth="1"/>
    <col min="62" max="62" width="11.3984375" customWidth="1"/>
    <col min="64" max="64" width="11.59765625" customWidth="1"/>
    <col min="68" max="68" width="11.1328125" customWidth="1"/>
    <col min="70" max="70" width="13" customWidth="1"/>
    <col min="76" max="76" width="11.3984375" customWidth="1"/>
    <col min="77" max="77" width="10.86328125" customWidth="1"/>
    <col min="78" max="78" width="11.59765625" customWidth="1"/>
    <col min="81" max="81" width="11.1328125" customWidth="1"/>
    <col min="82" max="82" width="10" bestFit="1" customWidth="1"/>
    <col min="83" max="83" width="13" customWidth="1"/>
    <col min="84" max="84" width="12.73046875" customWidth="1"/>
    <col min="86" max="86" width="12.3984375" customWidth="1"/>
    <col min="89" max="89" width="11.3984375" customWidth="1"/>
    <col min="90" max="90" width="10.86328125" customWidth="1"/>
    <col min="91" max="91" width="11.59765625" customWidth="1"/>
  </cols>
  <sheetData>
    <row r="2" spans="2:91" x14ac:dyDescent="0.45">
      <c r="E2" s="16" t="s">
        <v>27</v>
      </c>
      <c r="F2" s="16" t="s">
        <v>32</v>
      </c>
      <c r="G2" s="16" t="s">
        <v>30</v>
      </c>
      <c r="H2" s="16" t="s">
        <v>12</v>
      </c>
      <c r="J2" s="19" t="s">
        <v>20</v>
      </c>
    </row>
    <row r="3" spans="2:91" x14ac:dyDescent="0.45">
      <c r="D3" s="15" t="str">
        <f>B12</f>
        <v>Random Walk #1</v>
      </c>
      <c r="E3" s="22">
        <v>0.6</v>
      </c>
      <c r="F3" s="18">
        <f ca="1">I43</f>
        <v>111.33298275538854</v>
      </c>
      <c r="G3" s="17">
        <f ca="1">L43</f>
        <v>106.15557802383952</v>
      </c>
      <c r="H3" s="14">
        <f ca="1">J43</f>
        <v>0.69657064642248789</v>
      </c>
      <c r="J3" t="s">
        <v>14</v>
      </c>
      <c r="K3" s="12">
        <v>0.5</v>
      </c>
    </row>
    <row r="4" spans="2:91" x14ac:dyDescent="0.45">
      <c r="D4" s="15" t="str">
        <f>O12</f>
        <v>Random Walk #2</v>
      </c>
      <c r="E4" s="22">
        <v>0.45</v>
      </c>
      <c r="F4" s="18">
        <f ca="1">V43</f>
        <v>87.945024661906544</v>
      </c>
      <c r="G4" s="17">
        <f ca="1">Y43</f>
        <v>93.279839561387718</v>
      </c>
      <c r="H4" s="14">
        <f ca="1">W43</f>
        <v>-0.10555649654866785</v>
      </c>
      <c r="J4" t="s">
        <v>23</v>
      </c>
      <c r="K4" s="12">
        <v>0.5</v>
      </c>
    </row>
    <row r="5" spans="2:91" x14ac:dyDescent="0.45">
      <c r="D5" s="15" t="str">
        <f>AB12</f>
        <v>High Sharpe, Small Gains</v>
      </c>
      <c r="E5" s="22">
        <v>0.7</v>
      </c>
      <c r="F5" s="18">
        <f ca="1">AI43</f>
        <v>102.7229999999999</v>
      </c>
      <c r="G5" s="17">
        <f ca="1">AL43</f>
        <v>101.37616444502937</v>
      </c>
      <c r="H5" s="14">
        <f ca="1">AJ43</f>
        <v>0.9234538393198678</v>
      </c>
      <c r="J5" t="s">
        <v>22</v>
      </c>
      <c r="K5" s="13">
        <f>100%-Historical_Wgt</f>
        <v>0.5</v>
      </c>
      <c r="AP5" s="11"/>
      <c r="BC5" s="11"/>
    </row>
    <row r="6" spans="2:91" x14ac:dyDescent="0.45">
      <c r="D6" s="15" t="str">
        <f>AO12</f>
        <v>Big Early Returns, Then Flat</v>
      </c>
      <c r="E6" s="22">
        <v>0.5</v>
      </c>
      <c r="F6" s="18">
        <f ca="1">AV43</f>
        <v>206.4820000000002</v>
      </c>
      <c r="G6" s="17">
        <f ca="1">AY43</f>
        <v>157.17048105820317</v>
      </c>
      <c r="H6" s="14">
        <f ca="1">AW43</f>
        <v>1.1566636922043845</v>
      </c>
      <c r="AP6" s="11"/>
      <c r="BC6" s="11"/>
    </row>
    <row r="7" spans="2:91" x14ac:dyDescent="0.45">
      <c r="D7" s="15" t="str">
        <f>BB12</f>
        <v>Net Big Returns, But Volatile</v>
      </c>
      <c r="E7" s="26">
        <f>Table13456[[#Totals],[Rand]]</f>
        <v>0.5</v>
      </c>
      <c r="F7" s="18">
        <f>BI43</f>
        <v>134.99999999999997</v>
      </c>
      <c r="G7" s="17">
        <f ca="1">BL43</f>
        <v>120.5455377783382</v>
      </c>
      <c r="H7" s="14">
        <f ca="1">BJ43</f>
        <v>0.89091860323865335</v>
      </c>
      <c r="J7" t="s">
        <v>26</v>
      </c>
      <c r="K7" s="21">
        <v>15</v>
      </c>
      <c r="AP7" s="11"/>
      <c r="BC7" s="11"/>
    </row>
    <row r="8" spans="2:91" x14ac:dyDescent="0.45">
      <c r="D8" s="15" t="s">
        <v>21</v>
      </c>
      <c r="E8" s="26">
        <f>Table134568[[#Totals],[Rand]]</f>
        <v>0.56666666666666665</v>
      </c>
      <c r="F8" s="18">
        <f>BV43</f>
        <v>102.46130461364089</v>
      </c>
      <c r="G8" s="17">
        <f ca="1">BY43</f>
        <v>102.74984786146179</v>
      </c>
      <c r="H8" s="14">
        <f ca="1">BW43</f>
        <v>1.234463663068565</v>
      </c>
      <c r="J8" t="s">
        <v>28</v>
      </c>
      <c r="K8" s="21">
        <v>30</v>
      </c>
      <c r="AP8" s="11"/>
      <c r="BC8" s="11"/>
    </row>
    <row r="9" spans="2:91" x14ac:dyDescent="0.45">
      <c r="D9" s="15" t="s">
        <v>33</v>
      </c>
      <c r="E9" s="26">
        <f>Table1345689[[#Totals],[Rand]]</f>
        <v>0.93333333333333335</v>
      </c>
      <c r="F9" s="18">
        <f>CI43</f>
        <v>105.27390251879613</v>
      </c>
      <c r="G9" s="17">
        <f ca="1">CL43</f>
        <v>114.74794533784102</v>
      </c>
      <c r="H9" s="14">
        <f>CK43</f>
        <v>5.2739025187961346</v>
      </c>
      <c r="AP9" s="11"/>
      <c r="BC9" s="11"/>
    </row>
    <row r="10" spans="2:91" x14ac:dyDescent="0.45">
      <c r="AP10" s="11"/>
      <c r="BC10" s="11"/>
    </row>
    <row r="11" spans="2:91" x14ac:dyDescent="0.45">
      <c r="AP11" s="11"/>
      <c r="BC11" s="11"/>
    </row>
    <row r="12" spans="2:91" x14ac:dyDescent="0.45">
      <c r="B12" s="11" t="s">
        <v>18</v>
      </c>
      <c r="O12" s="11" t="s">
        <v>19</v>
      </c>
      <c r="AB12" s="11" t="s">
        <v>17</v>
      </c>
      <c r="AO12" s="11" t="s">
        <v>15</v>
      </c>
      <c r="BB12" s="11" t="s">
        <v>16</v>
      </c>
      <c r="BO12" s="11" t="s">
        <v>24</v>
      </c>
      <c r="CB12" s="11" t="s">
        <v>29</v>
      </c>
    </row>
    <row r="13" spans="2:91" x14ac:dyDescent="0.45">
      <c r="B13" t="s">
        <v>7</v>
      </c>
      <c r="C13" t="s">
        <v>6</v>
      </c>
      <c r="D13" t="s">
        <v>0</v>
      </c>
      <c r="E13" t="s">
        <v>2</v>
      </c>
      <c r="F13" t="s">
        <v>4</v>
      </c>
      <c r="G13" t="s">
        <v>1</v>
      </c>
      <c r="H13" t="s">
        <v>3</v>
      </c>
      <c r="I13" t="s">
        <v>8</v>
      </c>
      <c r="J13" t="s">
        <v>31</v>
      </c>
      <c r="K13" t="s">
        <v>25</v>
      </c>
      <c r="L13" t="s">
        <v>13</v>
      </c>
      <c r="M13" t="s">
        <v>5</v>
      </c>
      <c r="O13" t="s">
        <v>7</v>
      </c>
      <c r="P13" t="s">
        <v>6</v>
      </c>
      <c r="Q13" t="s">
        <v>0</v>
      </c>
      <c r="R13" t="s">
        <v>2</v>
      </c>
      <c r="S13" t="s">
        <v>4</v>
      </c>
      <c r="T13" t="s">
        <v>1</v>
      </c>
      <c r="U13" t="s">
        <v>3</v>
      </c>
      <c r="V13" t="s">
        <v>8</v>
      </c>
      <c r="W13" t="s">
        <v>31</v>
      </c>
      <c r="X13" t="s">
        <v>25</v>
      </c>
      <c r="Y13" t="s">
        <v>13</v>
      </c>
      <c r="Z13" t="s">
        <v>5</v>
      </c>
      <c r="AB13" t="s">
        <v>7</v>
      </c>
      <c r="AC13" t="s">
        <v>6</v>
      </c>
      <c r="AD13" t="s">
        <v>0</v>
      </c>
      <c r="AE13" t="s">
        <v>2</v>
      </c>
      <c r="AF13" t="s">
        <v>4</v>
      </c>
      <c r="AG13" t="s">
        <v>1</v>
      </c>
      <c r="AH13" t="s">
        <v>3</v>
      </c>
      <c r="AI13" t="s">
        <v>8</v>
      </c>
      <c r="AJ13" t="s">
        <v>31</v>
      </c>
      <c r="AK13" t="s">
        <v>25</v>
      </c>
      <c r="AL13" t="s">
        <v>13</v>
      </c>
      <c r="AM13" t="s">
        <v>5</v>
      </c>
      <c r="AO13" t="s">
        <v>7</v>
      </c>
      <c r="AP13" t="s">
        <v>6</v>
      </c>
      <c r="AQ13" t="s">
        <v>0</v>
      </c>
      <c r="AR13" t="s">
        <v>2</v>
      </c>
      <c r="AS13" t="s">
        <v>4</v>
      </c>
      <c r="AT13" t="s">
        <v>1</v>
      </c>
      <c r="AU13" t="s">
        <v>3</v>
      </c>
      <c r="AV13" t="s">
        <v>8</v>
      </c>
      <c r="AW13" t="s">
        <v>31</v>
      </c>
      <c r="AX13" t="s">
        <v>25</v>
      </c>
      <c r="AY13" t="s">
        <v>13</v>
      </c>
      <c r="AZ13" t="s">
        <v>5</v>
      </c>
      <c r="BB13" t="s">
        <v>7</v>
      </c>
      <c r="BC13" t="s">
        <v>6</v>
      </c>
      <c r="BD13" t="s">
        <v>0</v>
      </c>
      <c r="BE13" t="s">
        <v>2</v>
      </c>
      <c r="BF13" t="s">
        <v>4</v>
      </c>
      <c r="BG13" t="s">
        <v>1</v>
      </c>
      <c r="BH13" t="s">
        <v>3</v>
      </c>
      <c r="BI13" t="s">
        <v>8</v>
      </c>
      <c r="BJ13" t="s">
        <v>31</v>
      </c>
      <c r="BK13" t="s">
        <v>25</v>
      </c>
      <c r="BL13" t="s">
        <v>13</v>
      </c>
      <c r="BM13" t="s">
        <v>5</v>
      </c>
      <c r="BO13" t="s">
        <v>7</v>
      </c>
      <c r="BP13" t="s">
        <v>6</v>
      </c>
      <c r="BQ13" t="s">
        <v>0</v>
      </c>
      <c r="BR13" t="s">
        <v>2</v>
      </c>
      <c r="BS13" t="s">
        <v>4</v>
      </c>
      <c r="BT13" t="s">
        <v>1</v>
      </c>
      <c r="BU13" t="s">
        <v>3</v>
      </c>
      <c r="BV13" t="s">
        <v>8</v>
      </c>
      <c r="BW13" t="s">
        <v>31</v>
      </c>
      <c r="BX13" t="s">
        <v>25</v>
      </c>
      <c r="BY13" t="s">
        <v>13</v>
      </c>
      <c r="BZ13" t="s">
        <v>5</v>
      </c>
      <c r="CB13" t="s">
        <v>7</v>
      </c>
      <c r="CC13" t="s">
        <v>6</v>
      </c>
      <c r="CD13" t="s">
        <v>0</v>
      </c>
      <c r="CE13" t="s">
        <v>2</v>
      </c>
      <c r="CF13" t="s">
        <v>4</v>
      </c>
      <c r="CG13" t="s">
        <v>1</v>
      </c>
      <c r="CH13" t="s">
        <v>3</v>
      </c>
      <c r="CI13" t="s">
        <v>8</v>
      </c>
      <c r="CJ13" t="s">
        <v>31</v>
      </c>
      <c r="CK13" t="s">
        <v>25</v>
      </c>
      <c r="CL13" t="s">
        <v>13</v>
      </c>
      <c r="CM13" t="s">
        <v>5</v>
      </c>
    </row>
    <row r="14" spans="2:91" x14ac:dyDescent="0.45">
      <c r="B14" s="6">
        <f ca="1">TODAY()</f>
        <v>45598</v>
      </c>
      <c r="C14">
        <v>1</v>
      </c>
      <c r="D14" s="3">
        <v>100000</v>
      </c>
      <c r="E14" s="8">
        <f ca="1">RANDBETWEEN(0,RAND()/10*Table13[[#This Row],[Starting]])*Table13[[#This Row],[Rand]]</f>
        <v>2579</v>
      </c>
      <c r="F14" s="3">
        <f t="shared" ref="F14:F43" ca="1" si="0">RANDBETWEEN(0,1000)</f>
        <v>239</v>
      </c>
      <c r="G14" s="7">
        <f ca="1">Table13[[#This Row],[$Return]]/AVERAGE(Table13[[#This Row],[Starting]],Table13[[#This Row],[Starting]]+Table13[[#This Row],[Inflows]])</f>
        <v>2.5759217734806907E-2</v>
      </c>
      <c r="H14" s="4">
        <f t="shared" ref="H14:H25" ca="1" si="1">D14+E14+F14</f>
        <v>102818</v>
      </c>
      <c r="I14" s="5">
        <f ca="1">IFERROR(I13*(1+Table13[[#This Row],[Return]]),100*(1+Table13[[#This Row],[Return]]))</f>
        <v>102.5759217734807</v>
      </c>
      <c r="J14" s="24" t="str">
        <f>IF(Table13[[#This Row],[Day]]&lt;LeadDays,"NM",(AVERAGE(G$14:G14)/STDEV(G$14:G14)*SQRT(SharpePeriod)))</f>
        <v>NM</v>
      </c>
      <c r="K14" s="20">
        <f ca="1">Table13[[#This Row],[Index Value]]-100</f>
        <v>2.5759217734807009</v>
      </c>
      <c r="L14" s="23" t="str">
        <f>IF(Table13[[#This Row],[Day]]&lt;LeadDays,"NM",IF(Table13[[#This Row],[Index Gains]]&lt;0,Table13[[#This Row],[Index Value]],(Table13[[#This Row],[Index Gains]]*Table13[[#This Row],[30d_Sharpe]]*Sharpe_Wgt+Table13[[#This Row],[Index Gains]]*(1-Sharpe_Wgt))+100)*Historical_Wgt+(100*(1+Table13[[#This Row],[Return]])*Today_Wgt))</f>
        <v>NM</v>
      </c>
      <c r="M14">
        <f t="shared" ref="M14:M43" ca="1" si="2">IF(RAND()&lt;$E$3,1,-1)</f>
        <v>1</v>
      </c>
      <c r="O14" s="6">
        <f ca="1">TODAY()</f>
        <v>45598</v>
      </c>
      <c r="P14">
        <v>1</v>
      </c>
      <c r="Q14" s="3">
        <v>100000</v>
      </c>
      <c r="R14" s="8">
        <f ca="1">RANDBETWEEN(0,10000)*Table137[[#This Row],[Rand]]</f>
        <v>-1321</v>
      </c>
      <c r="S14" s="3">
        <f t="shared" ref="S14:S43" ca="1" si="3">RANDBETWEEN(0,1000)</f>
        <v>824</v>
      </c>
      <c r="T14" s="7">
        <f ca="1">Table137[[#This Row],[$Return]]/AVERAGE(Table137[[#This Row],[Starting]],Table137[[#This Row],[Starting]]+Table137[[#This Row],[Inflows]])</f>
        <v>-1.3155798111779469E-2</v>
      </c>
      <c r="U14" s="4">
        <f t="shared" ref="U14:U25" ca="1" si="4">Q14+R14+S14</f>
        <v>99503</v>
      </c>
      <c r="V14" s="5">
        <f ca="1">IFERROR(V13*(1+Table137[[#This Row],[Return]]),100*(1+Table137[[#This Row],[Return]]))</f>
        <v>98.68442018882206</v>
      </c>
      <c r="W14" s="24" t="str">
        <f>IF(Table137[[#This Row],[Day]]&lt;LeadDays,"NM",(AVERAGE(T$14:T14)/STDEV(T$14:T14)*SQRT(SharpePeriod)))</f>
        <v>NM</v>
      </c>
      <c r="X14" s="20">
        <f ca="1">Table137[[#This Row],[Index Value]]-100</f>
        <v>-1.3155798111779404</v>
      </c>
      <c r="Y14" s="23" t="str">
        <f>IF(Table137[[#This Row],[Day]]&lt;LeadDays,"NM",IF(Table137[[#This Row],[Index Gains]]&lt;0,Table137[[#This Row],[Index Value]],(Table137[[#This Row],[Index Gains]]*Table137[[#This Row],[30d_Sharpe]]*Sharpe_Wgt+Table137[[#This Row],[Index Gains]]*(1-Sharpe_Wgt))+100)*Historical_Wgt+(100*(1+Table137[[#This Row],[Return]])*Today_Wgt))</f>
        <v>NM</v>
      </c>
      <c r="Z14">
        <f t="shared" ref="Z14:Z43" ca="1" si="5">IF(RAND()&lt;$E$4,1,-1)</f>
        <v>-1</v>
      </c>
      <c r="AB14" s="6">
        <f ca="1">TODAY()</f>
        <v>45598</v>
      </c>
      <c r="AC14">
        <v>1</v>
      </c>
      <c r="AD14" s="3">
        <v>100000</v>
      </c>
      <c r="AE14" s="8">
        <f ca="1">RANDBETWEEN(0,1000)*Table134[[#This Row],[Rand]]</f>
        <v>869</v>
      </c>
      <c r="AF14" s="3">
        <v>0</v>
      </c>
      <c r="AG14" s="7">
        <f ca="1">Table134[[#This Row],[$Return]]/AVERAGE(Table134[[#This Row],[Starting]],Table134[[#This Row],[Starting]]+Table134[[#This Row],[Inflows]])</f>
        <v>8.6899999999999998E-3</v>
      </c>
      <c r="AH14" s="4">
        <f t="shared" ref="AH14:AH25" ca="1" si="6">AD14+AE14+AF14</f>
        <v>100869</v>
      </c>
      <c r="AI14" s="5">
        <f ca="1">IFERROR(AI13*(1+Table134[[#This Row],[Return]]),100*(1+Table134[[#This Row],[Return]]))</f>
        <v>100.86900000000001</v>
      </c>
      <c r="AJ14" s="24" t="str">
        <f>IF(Table134[[#This Row],[Day]]&lt;LeadDays,"NM",(AVERAGE(AG$14:AG14)/STDEV(AG$14:AG14)*SQRT(SharpePeriod)))</f>
        <v>NM</v>
      </c>
      <c r="AK14" s="20">
        <f ca="1">Table134[[#This Row],[Index Value]]-100</f>
        <v>0.86900000000001398</v>
      </c>
      <c r="AL14" s="23" t="str">
        <f>IF(Table134[[#This Row],[Day]]&lt;LeadDays,"NM",IF(Table134[[#This Row],[Index Gains]]&lt;0,Table134[[#This Row],[Index Value]],(Table134[[#This Row],[Index Gains]]*Table134[[#This Row],[30d_Sharpe]]*Sharpe_Wgt+Table134[[#This Row],[Index Gains]]*(1-Sharpe_Wgt))+100)*Historical_Wgt+(100*(1+Table134[[#This Row],[Return]])*Today_Wgt))</f>
        <v>NM</v>
      </c>
      <c r="AM14">
        <f t="shared" ref="AM14:AM43" ca="1" si="7">IF(RAND()&lt;$E$5,1,-1)</f>
        <v>1</v>
      </c>
      <c r="AO14" s="6">
        <f ca="1">TODAY()</f>
        <v>45598</v>
      </c>
      <c r="AP14">
        <v>1</v>
      </c>
      <c r="AQ14" s="3">
        <v>100000</v>
      </c>
      <c r="AR14" s="8">
        <f ca="1">RANDBETWEEN(0,1000)*Table1345[[#This Row],[Rand]]</f>
        <v>982</v>
      </c>
      <c r="AS14" s="3">
        <v>0</v>
      </c>
      <c r="AT14" s="7">
        <f ca="1">Table1345[[#This Row],[$Return]]/AVERAGE(Table1345[[#This Row],[Starting]],Table1345[[#This Row],[Starting]]+Table1345[[#This Row],[Inflows]])</f>
        <v>9.8200000000000006E-3</v>
      </c>
      <c r="AU14" s="4">
        <f t="shared" ref="AU14:AU25" ca="1" si="8">AQ14+AR14+AS14</f>
        <v>100982</v>
      </c>
      <c r="AV14" s="5">
        <f ca="1">IFERROR(AV13*(1+Table1345[[#This Row],[Return]]),100*(1+Table1345[[#This Row],[Return]]))</f>
        <v>100.982</v>
      </c>
      <c r="AW14" s="24" t="str">
        <f>IF(Table1345[[#This Row],[Day]]&lt;LeadDays,"NM",(AVERAGE(AT$14:AT14)/STDEV(AT$14:AT14)*SQRT(SharpePeriod)))</f>
        <v>NM</v>
      </c>
      <c r="AX14" s="20">
        <f ca="1">Table1345[[#This Row],[Index Value]]-100</f>
        <v>0.98199999999999932</v>
      </c>
      <c r="AY14" s="23" t="str">
        <f>IF(Table1345[[#This Row],[Day]]&lt;LeadDays,"NM",IF(Table1345[[#This Row],[Index Gains]]&lt;0,Table1345[[#This Row],[Index Value]],(Table1345[[#This Row],[Index Gains]]*Table1345[[#This Row],[30d_Sharpe]]*Sharpe_Wgt+Table1345[[#This Row],[Index Gains]]*(1-Sharpe_Wgt))+100)*Historical_Wgt+(100*(1+Table1345[[#This Row],[Return]])*Today_Wgt))</f>
        <v>NM</v>
      </c>
      <c r="AZ14">
        <f t="shared" ref="AZ14:AZ43" ca="1" si="9">IF(RAND()&lt;$E$6,1,-1)</f>
        <v>1</v>
      </c>
      <c r="BB14" s="6">
        <f ca="1">TODAY()</f>
        <v>45598</v>
      </c>
      <c r="BC14">
        <v>1</v>
      </c>
      <c r="BD14" s="3">
        <v>100000</v>
      </c>
      <c r="BE14" s="8">
        <v>30000</v>
      </c>
      <c r="BF14" s="3">
        <v>0</v>
      </c>
      <c r="BG14" s="7">
        <f>Table13456[[#This Row],[$Return]]/AVERAGE(Table13456[[#This Row],[Starting]],Table13456[[#This Row],[Starting]]+Table13456[[#This Row],[Inflows]])</f>
        <v>0.3</v>
      </c>
      <c r="BH14" s="4">
        <f t="shared" ref="BH14:BH25" si="10">BD14+BE14+BF14</f>
        <v>130000</v>
      </c>
      <c r="BI14" s="5">
        <f>IFERROR(BI13*(1+Table13456[[#This Row],[Return]]),100*(1+Table13456[[#This Row],[Return]]))</f>
        <v>130</v>
      </c>
      <c r="BJ14" s="24" t="str">
        <f>IF(Table13456[[#This Row],[Day]]&lt;LeadDays,"NM",(AVERAGE(BG$14:BG14)/STDEV(BG$14:BG14)*SQRT(SharpePeriod)))</f>
        <v>NM</v>
      </c>
      <c r="BK14" s="20">
        <f>Table13456[[#This Row],[Index Value]]-100</f>
        <v>30</v>
      </c>
      <c r="BL14" s="23" t="str">
        <f>IF(Table13456[[#This Row],[Day]]&lt;LeadDays,"NM",IF(Table13456[[#This Row],[Index Gains]]&lt;0,Table13456[[#This Row],[Index Value]],(Table13456[[#This Row],[Index Gains]]*Table13456[[#This Row],[30d_Sharpe]]*Sharpe_Wgt+Table13456[[#This Row],[Index Gains]]*(1-Sharpe_Wgt))+100)*Historical_Wgt+(100*(1+Table13456[[#This Row],[Return]])*Today_Wgt))</f>
        <v>NM</v>
      </c>
      <c r="BM14">
        <f>IF(Table13456[[#This Row],[$Return]]&gt;=0,1,-1)</f>
        <v>1</v>
      </c>
      <c r="BO14" s="6">
        <f ca="1">TODAY()</f>
        <v>45598</v>
      </c>
      <c r="BP14">
        <v>1</v>
      </c>
      <c r="BQ14" s="3">
        <v>255062.6</v>
      </c>
      <c r="BR14" s="8">
        <v>0</v>
      </c>
      <c r="BS14" s="3">
        <v>0</v>
      </c>
      <c r="BT14" s="7">
        <f>Table134568[[#This Row],[$Return]]/AVERAGE(Table134568[[#This Row],[Starting]],Table134568[[#This Row],[Starting]]+Table134568[[#This Row],[Inflows]])</f>
        <v>0</v>
      </c>
      <c r="BU14" s="4">
        <f t="shared" ref="BU14:BU25" si="11">BQ14+BR14+BS14</f>
        <v>255062.6</v>
      </c>
      <c r="BV14" s="5">
        <f>IFERROR(BV13*(1+Table134568[[#This Row],[Return]]),100*(1+Table134568[[#This Row],[Return]]))</f>
        <v>100</v>
      </c>
      <c r="BW14" s="24" t="str">
        <f>IF(Table134568[[#This Row],[Day]]&lt;LeadDays,"NM",(AVERAGE(BT$14:BT14)/STDEV(BT$14:BT14)*SQRT(SharpePeriod)))</f>
        <v>NM</v>
      </c>
      <c r="BX14" s="20">
        <f>Table134568[[#This Row],[Index Value]]-100</f>
        <v>0</v>
      </c>
      <c r="BY14" s="23" t="str">
        <f>IF(Table134568[[#This Row],[Day]]&lt;LeadDays,"NM",IF(Table134568[[#This Row],[Index Gains]]&lt;0,Table134568[[#This Row],[Index Value]],(Table134568[[#This Row],[Index Gains]]*Table134568[[#This Row],[30d_Sharpe]]*Sharpe_Wgt+Table134568[[#This Row],[Index Gains]]*(1-Sharpe_Wgt))+100))</f>
        <v>NM</v>
      </c>
      <c r="BZ14">
        <f>IF(Table134568[[#This Row],[$Return]]&gt;=0,1,-1)</f>
        <v>1</v>
      </c>
      <c r="CB14" s="6">
        <f ca="1">TODAY()</f>
        <v>45598</v>
      </c>
      <c r="CC14">
        <v>1</v>
      </c>
      <c r="CD14" s="3">
        <v>6933646.8499999996</v>
      </c>
      <c r="CE14" s="8">
        <v>14947.62</v>
      </c>
      <c r="CF14" s="3">
        <v>-100000</v>
      </c>
      <c r="CG14" s="7">
        <f>Table1345689[[#This Row],[$Return]]/AVERAGE(Table1345689[[#This Row],[Starting]],Table1345689[[#This Row],[Starting]]+Table1345689[[#This Row],[Inflows]])</f>
        <v>2.1714681658894226E-3</v>
      </c>
      <c r="CH14" s="4">
        <f t="shared" ref="CH14:CH25" si="12">CD14+CE14+CF14</f>
        <v>6848594.4699999997</v>
      </c>
      <c r="CI14" s="5">
        <f>IFERROR(CI13*(1+Table1345689[[#This Row],[Return]]),100*(1+Table1345689[[#This Row],[Return]]))</f>
        <v>100.21714681658894</v>
      </c>
      <c r="CJ14" s="24" t="str">
        <f>IF(Table1345689[[#This Row],[Day]]&lt;LeadDays,"NM",(AVERAGE(CG$14:CG14)/STDEV(CG$14:CG14)*SQRT(SharpePeriod)))</f>
        <v>NM</v>
      </c>
      <c r="CK14" s="20">
        <f>Table1345689[[#This Row],[Index Value]]-100</f>
        <v>0.21714681658893653</v>
      </c>
      <c r="CL14" s="23" t="str">
        <f>IF(Table1345689[[#This Row],[Day]]&lt;LeadDays,"NM",IF(Table1345689[[#This Row],[Index Gains]]&lt;0,Table1345689[[#This Row],[Index Value]],(Table1345689[[#This Row],[Index Gains]]*Table1345689[[#This Row],[30d_Sharpe]]*Sharpe_Wgt+Table1345689[[#This Row],[Index Gains]]*(1-Sharpe_Wgt))+100))</f>
        <v>NM</v>
      </c>
      <c r="CM14">
        <f>IF(Table1345689[[#This Row],[$Return]]&gt;=0,1,-1)</f>
        <v>1</v>
      </c>
    </row>
    <row r="15" spans="2:91" x14ac:dyDescent="0.45">
      <c r="B15" s="6">
        <f ca="1">B14+1</f>
        <v>45599</v>
      </c>
      <c r="C15">
        <f t="shared" ref="C15:C43" ca="1" si="13">B15-$B$14+1</f>
        <v>2</v>
      </c>
      <c r="D15" s="3">
        <f ca="1">H14</f>
        <v>102818</v>
      </c>
      <c r="E15" s="8">
        <f ca="1">RANDBETWEEN(0,RAND()/10*Table13[[#This Row],[Starting]])*Table13[[#This Row],[Rand]]</f>
        <v>-6771</v>
      </c>
      <c r="F15" s="3">
        <f t="shared" ca="1" si="0"/>
        <v>228</v>
      </c>
      <c r="G15" s="7">
        <f ca="1">Table13[[#This Row],[$Return]]/AVERAGE(Table13[[#This Row],[Starting]],Table13[[#This Row],[Starting]]+Table13[[#This Row],[Inflows]])</f>
        <v>-6.5781292503788905E-2</v>
      </c>
      <c r="H15" s="4">
        <f t="shared" ca="1" si="1"/>
        <v>96275</v>
      </c>
      <c r="I15" s="5">
        <f ca="1">I14*(1+Table13[[#This Row],[Return]])</f>
        <v>95.828345059453596</v>
      </c>
      <c r="J15" s="24" t="str">
        <f ca="1">IF(Table13[[#This Row],[Day]]&lt;LeadDays,"NM",(AVERAGE(G$14:G15)/STDEV(G$14:G15)*SQRT(SharpePeriod)))</f>
        <v>NM</v>
      </c>
      <c r="K15" s="20">
        <f ca="1">Table13[[#This Row],[Index Value]]-100</f>
        <v>-4.1716549405464036</v>
      </c>
      <c r="L15" s="23" t="str">
        <f ca="1">IF(Table13[[#This Row],[Day]]&lt;LeadDays,"NM",IF(Table13[[#This Row],[Index Gains]]&lt;0,Table13[[#This Row],[Index Value]],(Table13[[#This Row],[Index Gains]]*Table13[[#This Row],[30d_Sharpe]]*Sharpe_Wgt+Table13[[#This Row],[Index Gains]]*(1-Sharpe_Wgt))+100)*Historical_Wgt+(100*(1+Table13[[#This Row],[Return]])*Today_Wgt))</f>
        <v>NM</v>
      </c>
      <c r="M15">
        <f t="shared" ca="1" si="2"/>
        <v>-1</v>
      </c>
      <c r="O15" s="6">
        <f ca="1">O14+1</f>
        <v>45599</v>
      </c>
      <c r="P15">
        <f t="shared" ref="P15:P43" ca="1" si="14">O15-$B$14+1</f>
        <v>2</v>
      </c>
      <c r="Q15" s="3">
        <f ca="1">U14</f>
        <v>99503</v>
      </c>
      <c r="R15" s="8">
        <f ca="1">RANDBETWEEN(0,10000)*Table137[[#This Row],[Rand]]</f>
        <v>-8853</v>
      </c>
      <c r="S15" s="3">
        <f t="shared" ca="1" si="3"/>
        <v>851</v>
      </c>
      <c r="T15" s="7">
        <f ca="1">Table137[[#This Row],[$Return]]/AVERAGE(Table137[[#This Row],[Starting]],Table137[[#This Row],[Starting]]+Table137[[#This Row],[Inflows]])</f>
        <v>-8.859334424113241E-2</v>
      </c>
      <c r="U15" s="4">
        <f t="shared" ca="1" si="4"/>
        <v>91501</v>
      </c>
      <c r="V15" s="5">
        <f ca="1">IFERROR(V14*(1+Table137[[#This Row],[Return]]),100*(1+Table137[[#This Row],[Return]]))</f>
        <v>89.941637379797186</v>
      </c>
      <c r="W15" s="24" t="str">
        <f ca="1">IF(Table137[[#This Row],[Day]]&lt;LeadDays,"NM",(AVERAGE(T$14:T15)/STDEV(T$14:T15)*SQRT(SharpePeriod)))</f>
        <v>NM</v>
      </c>
      <c r="X15" s="20">
        <f ca="1">Table137[[#This Row],[Index Value]]-100</f>
        <v>-10.058362620202814</v>
      </c>
      <c r="Y15" s="23" t="str">
        <f ca="1">IF(Table137[[#This Row],[Day]]&lt;LeadDays,"NM",IF(Table137[[#This Row],[Index Gains]]&lt;0,Table137[[#This Row],[Index Value]],(Table137[[#This Row],[Index Gains]]*Table137[[#This Row],[30d_Sharpe]]*Sharpe_Wgt+Table137[[#This Row],[Index Gains]]*(1-Sharpe_Wgt))+100)*Historical_Wgt+(100*(1+Table137[[#This Row],[Return]])*Today_Wgt))</f>
        <v>NM</v>
      </c>
      <c r="Z15">
        <f t="shared" ca="1" si="5"/>
        <v>-1</v>
      </c>
      <c r="AB15" s="6">
        <f ca="1">AB14+1</f>
        <v>45599</v>
      </c>
      <c r="AC15">
        <f t="shared" ref="AC15:AC43" ca="1" si="15">AB15-$B$14+1</f>
        <v>2</v>
      </c>
      <c r="AD15" s="3">
        <f ca="1">AH14</f>
        <v>100869</v>
      </c>
      <c r="AE15" s="8">
        <f ca="1">RANDBETWEEN(0,1000)*Table134[[#This Row],[Rand]]</f>
        <v>389</v>
      </c>
      <c r="AF15" s="3">
        <v>0</v>
      </c>
      <c r="AG15" s="7">
        <f ca="1">Table134[[#This Row],[$Return]]/AVERAGE(Table134[[#This Row],[Starting]],Table134[[#This Row],[Starting]]+Table134[[#This Row],[Inflows]])</f>
        <v>3.8564871268675213E-3</v>
      </c>
      <c r="AH15" s="4">
        <f t="shared" ca="1" si="6"/>
        <v>101258</v>
      </c>
      <c r="AI15" s="5">
        <f ca="1">IFERROR(AI14*(1+Table134[[#This Row],[Return]]),100*(1+Table134[[#This Row],[Return]]))</f>
        <v>101.25800000000002</v>
      </c>
      <c r="AJ15" s="24" t="str">
        <f ca="1">IF(Table134[[#This Row],[Day]]&lt;LeadDays,"NM",(AVERAGE(AG$14:AG15)/STDEV(AG$14:AG15)*SQRT(SharpePeriod)))</f>
        <v>NM</v>
      </c>
      <c r="AK15" s="20">
        <f ca="1">Table134[[#This Row],[Index Value]]-100</f>
        <v>1.258000000000024</v>
      </c>
      <c r="AL15" s="23" t="str">
        <f ca="1">IF(Table134[[#This Row],[Day]]&lt;LeadDays,"NM",IF(Table134[[#This Row],[Index Gains]]&lt;0,Table134[[#This Row],[Index Value]],(Table134[[#This Row],[Index Gains]]*Table134[[#This Row],[30d_Sharpe]]*Sharpe_Wgt+Table134[[#This Row],[Index Gains]]*(1-Sharpe_Wgt))+100)*Historical_Wgt+(100*(1+Table134[[#This Row],[Return]])*Today_Wgt))</f>
        <v>NM</v>
      </c>
      <c r="AM15">
        <f t="shared" ca="1" si="7"/>
        <v>1</v>
      </c>
      <c r="AO15" s="6">
        <f ca="1">AO14+1</f>
        <v>45599</v>
      </c>
      <c r="AP15">
        <f ca="1">AO15-$B$14+1</f>
        <v>2</v>
      </c>
      <c r="AQ15" s="3">
        <f ca="1">AU14</f>
        <v>100982</v>
      </c>
      <c r="AR15" s="8">
        <v>50000</v>
      </c>
      <c r="AS15" s="3">
        <v>0</v>
      </c>
      <c r="AT15" s="7">
        <f ca="1">Table1345[[#This Row],[$Return]]/AVERAGE(Table1345[[#This Row],[Starting]],Table1345[[#This Row],[Starting]]+Table1345[[#This Row],[Inflows]])</f>
        <v>0.49513774732130478</v>
      </c>
      <c r="AU15" s="4">
        <f t="shared" ca="1" si="8"/>
        <v>150982</v>
      </c>
      <c r="AV15" s="5">
        <f ca="1">IFERROR(AV14*(1+Table1345[[#This Row],[Return]]),100*(1+Table1345[[#This Row],[Return]]))</f>
        <v>150.982</v>
      </c>
      <c r="AW15" s="24" t="str">
        <f ca="1">IF(Table1345[[#This Row],[Day]]&lt;LeadDays,"NM",(AVERAGE(AT$14:AT15)/STDEV(AT$14:AT15)*SQRT(SharpePeriod)))</f>
        <v>NM</v>
      </c>
      <c r="AX15" s="20">
        <f ca="1">Table1345[[#This Row],[Index Value]]-100</f>
        <v>50.981999999999999</v>
      </c>
      <c r="AY15" s="23" t="str">
        <f ca="1">IF(Table1345[[#This Row],[Day]]&lt;LeadDays,"NM",IF(Table1345[[#This Row],[Index Gains]]&lt;0,Table1345[[#This Row],[Index Value]],(Table1345[[#This Row],[Index Gains]]*Table1345[[#This Row],[30d_Sharpe]]*Sharpe_Wgt+Table1345[[#This Row],[Index Gains]]*(1-Sharpe_Wgt))+100)*Historical_Wgt+(100*(1+Table1345[[#This Row],[Return]])*Today_Wgt))</f>
        <v>NM</v>
      </c>
      <c r="AZ15">
        <f t="shared" ca="1" si="9"/>
        <v>1</v>
      </c>
      <c r="BB15" s="6">
        <f ca="1">BB14+1</f>
        <v>45599</v>
      </c>
      <c r="BC15">
        <f ca="1">BB15-$B$14+1</f>
        <v>2</v>
      </c>
      <c r="BD15" s="3">
        <f>BH14</f>
        <v>130000</v>
      </c>
      <c r="BE15" s="8">
        <v>-20000</v>
      </c>
      <c r="BF15" s="3">
        <v>0</v>
      </c>
      <c r="BG15" s="7">
        <f>Table13456[[#This Row],[$Return]]/AVERAGE(Table13456[[#This Row],[Starting]],Table13456[[#This Row],[Starting]]+Table13456[[#This Row],[Inflows]])</f>
        <v>-0.15384615384615385</v>
      </c>
      <c r="BH15" s="4">
        <f t="shared" si="10"/>
        <v>110000</v>
      </c>
      <c r="BI15" s="5">
        <f>IFERROR(BI14*(1+Table13456[[#This Row],[Return]]),100*(1+Table13456[[#This Row],[Return]]))</f>
        <v>110</v>
      </c>
      <c r="BJ15" s="24" t="str">
        <f ca="1">IF(Table13456[[#This Row],[Day]]&lt;LeadDays,"NM",(AVERAGE(BG$14:BG15)/STDEV(BG$14:BG15)*SQRT(SharpePeriod)))</f>
        <v>NM</v>
      </c>
      <c r="BK15" s="20">
        <f>Table13456[[#This Row],[Index Value]]-100</f>
        <v>10</v>
      </c>
      <c r="BL15" s="23" t="str">
        <f ca="1">IF(Table13456[[#This Row],[Day]]&lt;LeadDays,"NM",IF(Table13456[[#This Row],[Index Gains]]&lt;0,Table13456[[#This Row],[Index Value]],(Table13456[[#This Row],[Index Gains]]*Table13456[[#This Row],[30d_Sharpe]]*Sharpe_Wgt+Table13456[[#This Row],[Index Gains]]*(1-Sharpe_Wgt))+100)*Historical_Wgt+(100*(1+Table13456[[#This Row],[Return]])*Today_Wgt))</f>
        <v>NM</v>
      </c>
      <c r="BM15">
        <f>IF(Table13456[[#This Row],[$Return]]&gt;=0,1,-1)</f>
        <v>-1</v>
      </c>
      <c r="BO15" s="6">
        <f ca="1">BO14+1</f>
        <v>45599</v>
      </c>
      <c r="BP15">
        <f ca="1">BO15-$B$14+1</f>
        <v>2</v>
      </c>
      <c r="BQ15" s="3">
        <v>256378.49</v>
      </c>
      <c r="BR15" s="8">
        <v>1315.89</v>
      </c>
      <c r="BS15" s="3">
        <v>0</v>
      </c>
      <c r="BT15" s="7">
        <f>Table134568[[#This Row],[$Return]]/AVERAGE(Table134568[[#This Row],[Starting]],Table134568[[#This Row],[Starting]]+Table134568[[#This Row],[Inflows]])</f>
        <v>5.1326068735329557E-3</v>
      </c>
      <c r="BU15" s="4">
        <f t="shared" si="11"/>
        <v>257694.38</v>
      </c>
      <c r="BV15" s="5">
        <f>IFERROR(BV14*(1+Table134568[[#This Row],[Return]]),100*(1+Table134568[[#This Row],[Return]]))</f>
        <v>100.51326068735329</v>
      </c>
      <c r="BW15" s="24" t="str">
        <f ca="1">IF(Table134568[[#This Row],[Day]]&lt;LeadDays,"NM",(AVERAGE(BT$14:BT15)/STDEV(BT$14:BT15)*SQRT(SharpePeriod)))</f>
        <v>NM</v>
      </c>
      <c r="BX15" s="20">
        <f>Table134568[[#This Row],[Index Value]]-100</f>
        <v>0.513260687353295</v>
      </c>
      <c r="BY15" s="23" t="str">
        <f ca="1">IF(Table134568[[#This Row],[Day]]&lt;LeadDays,"NM",IF(Table134568[[#This Row],[Index Gains]]&lt;0,Table134568[[#This Row],[Index Value]],(Table134568[[#This Row],[Index Gains]]*Table134568[[#This Row],[30d_Sharpe]]*Sharpe_Wgt+Table134568[[#This Row],[Index Gains]]*(1-Sharpe_Wgt))+100))</f>
        <v>NM</v>
      </c>
      <c r="BZ15">
        <f>IF(Table134568[[#This Row],[$Return]]&gt;=0,1,-1)</f>
        <v>1</v>
      </c>
      <c r="CB15" s="6">
        <f ca="1">CB14+1</f>
        <v>45599</v>
      </c>
      <c r="CC15">
        <f ca="1">CB15-$B$14+1</f>
        <v>2</v>
      </c>
      <c r="CD15" s="3">
        <v>6847950.2699999996</v>
      </c>
      <c r="CE15" s="8">
        <v>14303.42</v>
      </c>
      <c r="CF15" s="3">
        <v>100000</v>
      </c>
      <c r="CG15" s="7">
        <f>Table1345689[[#This Row],[$Return]]/AVERAGE(Table1345689[[#This Row],[Starting]],Table1345689[[#This Row],[Starting]]+Table1345689[[#This Row],[Inflows]])</f>
        <v>2.073575401406888E-3</v>
      </c>
      <c r="CH15" s="4">
        <f t="shared" si="12"/>
        <v>6962253.6899999995</v>
      </c>
      <c r="CI15" s="5">
        <f>IFERROR(CI14*(1+Table1345689[[#This Row],[Return]]),100*(1+Table1345689[[#This Row],[Return]]))</f>
        <v>100.42495462702701</v>
      </c>
      <c r="CJ15" s="24" t="str">
        <f ca="1">IF(Table1345689[[#This Row],[Day]]&lt;LeadDays,"NM",(AVERAGE(CG$14:CG15)/STDEV(CG$14:CG15)*SQRT(SharpePeriod)))</f>
        <v>NM</v>
      </c>
      <c r="CK15" s="20">
        <f>Table1345689[[#This Row],[Index Value]]-100</f>
        <v>0.42495462702700593</v>
      </c>
      <c r="CL15" s="23" t="str">
        <f ca="1">IF(Table1345689[[#This Row],[Day]]&lt;LeadDays,"NM",IF(Table1345689[[#This Row],[Index Gains]]&lt;0,Table1345689[[#This Row],[Index Value]],(Table1345689[[#This Row],[Index Gains]]*Table1345689[[#This Row],[30d_Sharpe]]*Sharpe_Wgt+Table1345689[[#This Row],[Index Gains]]*(1-Sharpe_Wgt))+100))</f>
        <v>NM</v>
      </c>
      <c r="CM15">
        <f>IF(Table1345689[[#This Row],[$Return]]&gt;=0,1,-1)</f>
        <v>1</v>
      </c>
    </row>
    <row r="16" spans="2:91" x14ac:dyDescent="0.45">
      <c r="B16" s="6">
        <f t="shared" ref="B16:B38" ca="1" si="16">B15+1</f>
        <v>45600</v>
      </c>
      <c r="C16">
        <f t="shared" ca="1" si="13"/>
        <v>3</v>
      </c>
      <c r="D16" s="3">
        <f t="shared" ref="D16:D38" ca="1" si="17">H15</f>
        <v>96275</v>
      </c>
      <c r="E16" s="8">
        <f ca="1">RANDBETWEEN(0,RAND()/10*Table13[[#This Row],[Starting]])*Table13[[#This Row],[Rand]]</f>
        <v>-590</v>
      </c>
      <c r="F16" s="3">
        <f t="shared" ca="1" si="0"/>
        <v>33</v>
      </c>
      <c r="G16" s="7">
        <f ca="1">Table13[[#This Row],[$Return]]/AVERAGE(Table13[[#This Row],[Starting]],Table13[[#This Row],[Starting]]+Table13[[#This Row],[Inflows]])</f>
        <v>-6.1272282600229513E-3</v>
      </c>
      <c r="H16" s="4">
        <f t="shared" ca="1" si="1"/>
        <v>95718</v>
      </c>
      <c r="I16" s="5">
        <f ca="1">I15*(1+Table13[[#This Row],[Return]])</f>
        <v>95.241182915494079</v>
      </c>
      <c r="J16" s="24" t="str">
        <f ca="1">IF(Table13[[#This Row],[Day]]&lt;LeadDays,"NM",(AVERAGE(G$14:G16)/STDEV(G$14:G16)*SQRT(SharpePeriod)))</f>
        <v>NM</v>
      </c>
      <c r="K16" s="20">
        <f ca="1">Table13[[#This Row],[Index Value]]-100</f>
        <v>-4.758817084505921</v>
      </c>
      <c r="L16" s="23" t="str">
        <f ca="1">IF(Table13[[#This Row],[Day]]&lt;LeadDays,"NM",IF(Table13[[#This Row],[Index Gains]]&lt;0,Table13[[#This Row],[Index Value]],(Table13[[#This Row],[Index Gains]]*Table13[[#This Row],[30d_Sharpe]]*Sharpe_Wgt+Table13[[#This Row],[Index Gains]]*(1-Sharpe_Wgt))+100)*Historical_Wgt+(100*(1+Table13[[#This Row],[Return]])*Today_Wgt))</f>
        <v>NM</v>
      </c>
      <c r="M16">
        <f t="shared" ca="1" si="2"/>
        <v>-1</v>
      </c>
      <c r="O16" s="6">
        <f t="shared" ref="O16:O43" ca="1" si="18">O15+1</f>
        <v>45600</v>
      </c>
      <c r="P16">
        <f t="shared" ca="1" si="14"/>
        <v>3</v>
      </c>
      <c r="Q16" s="3">
        <f t="shared" ref="Q16:Q43" ca="1" si="19">U15</f>
        <v>91501</v>
      </c>
      <c r="R16" s="8">
        <f ca="1">RANDBETWEEN(0,10000)*Table137[[#This Row],[Rand]]</f>
        <v>-3894</v>
      </c>
      <c r="S16" s="3">
        <f t="shared" ca="1" si="3"/>
        <v>526</v>
      </c>
      <c r="T16" s="7">
        <f ca="1">Table137[[#This Row],[$Return]]/AVERAGE(Table137[[#This Row],[Starting]],Table137[[#This Row],[Starting]]+Table137[[#This Row],[Inflows]])</f>
        <v>-4.2434941807244671E-2</v>
      </c>
      <c r="U16" s="4">
        <f t="shared" ca="1" si="4"/>
        <v>88133</v>
      </c>
      <c r="V16" s="5">
        <f ca="1">IFERROR(V15*(1+Table137[[#This Row],[Return]]),100*(1+Table137[[#This Row],[Return]]))</f>
        <v>86.124969231537179</v>
      </c>
      <c r="W16" s="24" t="str">
        <f ca="1">IF(Table137[[#This Row],[Day]]&lt;LeadDays,"NM",(AVERAGE(T$14:T16)/STDEV(T$14:T16)*SQRT(SharpePeriod)))</f>
        <v>NM</v>
      </c>
      <c r="X16" s="20">
        <f ca="1">Table137[[#This Row],[Index Value]]-100</f>
        <v>-13.875030768462821</v>
      </c>
      <c r="Y16" s="23" t="str">
        <f ca="1">IF(Table137[[#This Row],[Day]]&lt;LeadDays,"NM",IF(Table137[[#This Row],[Index Gains]]&lt;0,Table137[[#This Row],[Index Value]],(Table137[[#This Row],[Index Gains]]*Table137[[#This Row],[30d_Sharpe]]*Sharpe_Wgt+Table137[[#This Row],[Index Gains]]*(1-Sharpe_Wgt))+100)*Historical_Wgt+(100*(1+Table137[[#This Row],[Return]])*Today_Wgt))</f>
        <v>NM</v>
      </c>
      <c r="Z16">
        <f t="shared" ca="1" si="5"/>
        <v>-1</v>
      </c>
      <c r="AB16" s="6">
        <f t="shared" ref="AB16:AB37" ca="1" si="20">AB15+1</f>
        <v>45600</v>
      </c>
      <c r="AC16">
        <f t="shared" ca="1" si="15"/>
        <v>3</v>
      </c>
      <c r="AD16" s="3">
        <f t="shared" ref="AD16:AD37" ca="1" si="21">AH15</f>
        <v>101258</v>
      </c>
      <c r="AE16" s="8">
        <f ca="1">RANDBETWEEN(0,1000)*Table134[[#This Row],[Rand]]</f>
        <v>481</v>
      </c>
      <c r="AF16" s="3">
        <v>0</v>
      </c>
      <c r="AG16" s="7">
        <f ca="1">Table134[[#This Row],[$Return]]/AVERAGE(Table134[[#This Row],[Starting]],Table134[[#This Row],[Starting]]+Table134[[#This Row],[Inflows]])</f>
        <v>4.7502419561911155E-3</v>
      </c>
      <c r="AH16" s="4">
        <f t="shared" ca="1" si="6"/>
        <v>101739</v>
      </c>
      <c r="AI16" s="5">
        <f ca="1">IFERROR(AI15*(1+Table134[[#This Row],[Return]]),100*(1+Table134[[#This Row],[Return]]))</f>
        <v>101.73900000000002</v>
      </c>
      <c r="AJ16" s="24" t="str">
        <f ca="1">IF(Table134[[#This Row],[Day]]&lt;LeadDays,"NM",(AVERAGE(AG$14:AG16)/STDEV(AG$14:AG16)*SQRT(SharpePeriod)))</f>
        <v>NM</v>
      </c>
      <c r="AK16" s="20">
        <f ca="1">Table134[[#This Row],[Index Value]]-100</f>
        <v>1.7390000000000185</v>
      </c>
      <c r="AL16" s="23" t="str">
        <f ca="1">IF(Table134[[#This Row],[Day]]&lt;LeadDays,"NM",IF(Table134[[#This Row],[Index Gains]]&lt;0,Table134[[#This Row],[Index Value]],(Table134[[#This Row],[Index Gains]]*Table134[[#This Row],[30d_Sharpe]]*Sharpe_Wgt+Table134[[#This Row],[Index Gains]]*(1-Sharpe_Wgt))+100)*Historical_Wgt+(100*(1+Table134[[#This Row],[Return]])*Today_Wgt))</f>
        <v>NM</v>
      </c>
      <c r="AM16">
        <f t="shared" ca="1" si="7"/>
        <v>1</v>
      </c>
      <c r="AO16" s="6">
        <f t="shared" ref="AO16:AO39" ca="1" si="22">AO15+1</f>
        <v>45600</v>
      </c>
      <c r="AP16">
        <f t="shared" ref="AP16:AP39" ca="1" si="23">AO16-$B$14+1</f>
        <v>3</v>
      </c>
      <c r="AQ16" s="3">
        <f t="shared" ref="AQ16:AQ39" ca="1" si="24">AU15</f>
        <v>150982</v>
      </c>
      <c r="AR16" s="8">
        <v>-25000</v>
      </c>
      <c r="AS16" s="3">
        <v>0</v>
      </c>
      <c r="AT16" s="7">
        <f ca="1">Table1345[[#This Row],[$Return]]/AVERAGE(Table1345[[#This Row],[Starting]],Table1345[[#This Row],[Starting]]+Table1345[[#This Row],[Inflows]])</f>
        <v>-0.16558265223669047</v>
      </c>
      <c r="AU16" s="4">
        <f t="shared" ca="1" si="8"/>
        <v>125982</v>
      </c>
      <c r="AV16" s="5">
        <f ca="1">IFERROR(AV15*(1+Table1345[[#This Row],[Return]]),100*(1+Table1345[[#This Row],[Return]]))</f>
        <v>125.982</v>
      </c>
      <c r="AW16" s="24" t="str">
        <f ca="1">IF(Table1345[[#This Row],[Day]]&lt;LeadDays,"NM",(AVERAGE(AT$14:AT16)/STDEV(AT$14:AT16)*SQRT(SharpePeriod)))</f>
        <v>NM</v>
      </c>
      <c r="AX16" s="20">
        <f ca="1">Table1345[[#This Row],[Index Value]]-100</f>
        <v>25.981999999999999</v>
      </c>
      <c r="AY16" s="23" t="str">
        <f ca="1">IF(Table1345[[#This Row],[Day]]&lt;LeadDays,"NM",IF(Table1345[[#This Row],[Index Gains]]&lt;0,Table1345[[#This Row],[Index Value]],(Table1345[[#This Row],[Index Gains]]*Table1345[[#This Row],[30d_Sharpe]]*Sharpe_Wgt+Table1345[[#This Row],[Index Gains]]*(1-Sharpe_Wgt))+100)*Historical_Wgt+(100*(1+Table1345[[#This Row],[Return]])*Today_Wgt))</f>
        <v>NM</v>
      </c>
      <c r="AZ16">
        <f t="shared" ca="1" si="9"/>
        <v>-1</v>
      </c>
      <c r="BB16" s="6">
        <f t="shared" ref="BB16:BB39" ca="1" si="25">BB15+1</f>
        <v>45600</v>
      </c>
      <c r="BC16">
        <f t="shared" ref="BC16:BC39" ca="1" si="26">BB16-$B$14+1</f>
        <v>3</v>
      </c>
      <c r="BD16" s="3">
        <f t="shared" ref="BD16:BD39" si="27">BH15</f>
        <v>110000</v>
      </c>
      <c r="BE16" s="8">
        <v>20000</v>
      </c>
      <c r="BF16" s="3">
        <v>0</v>
      </c>
      <c r="BG16" s="7">
        <f>Table13456[[#This Row],[$Return]]/AVERAGE(Table13456[[#This Row],[Starting]],Table13456[[#This Row],[Starting]]+Table13456[[#This Row],[Inflows]])</f>
        <v>0.18181818181818182</v>
      </c>
      <c r="BH16" s="4">
        <f t="shared" si="10"/>
        <v>130000</v>
      </c>
      <c r="BI16" s="5">
        <f>IFERROR(BI15*(1+Table13456[[#This Row],[Return]]),100*(1+Table13456[[#This Row],[Return]]))</f>
        <v>130</v>
      </c>
      <c r="BJ16" s="24" t="str">
        <f ca="1">IF(Table13456[[#This Row],[Day]]&lt;LeadDays,"NM",(AVERAGE(BG$14:BG16)/STDEV(BG$14:BG16)*SQRT(SharpePeriod)))</f>
        <v>NM</v>
      </c>
      <c r="BK16" s="20">
        <f>Table13456[[#This Row],[Index Value]]-100</f>
        <v>30</v>
      </c>
      <c r="BL16" s="23" t="str">
        <f ca="1">IF(Table13456[[#This Row],[Day]]&lt;LeadDays,"NM",IF(Table13456[[#This Row],[Index Gains]]&lt;0,Table13456[[#This Row],[Index Value]],(Table13456[[#This Row],[Index Gains]]*Table13456[[#This Row],[30d_Sharpe]]*Sharpe_Wgt+Table13456[[#This Row],[Index Gains]]*(1-Sharpe_Wgt))+100)*Historical_Wgt+(100*(1+Table13456[[#This Row],[Return]])*Today_Wgt))</f>
        <v>NM</v>
      </c>
      <c r="BM16">
        <f>IF(Table13456[[#This Row],[$Return]]&gt;=0,1,-1)</f>
        <v>1</v>
      </c>
      <c r="BO16" s="6">
        <f t="shared" ref="BO16:BO39" ca="1" si="28">BO15+1</f>
        <v>45600</v>
      </c>
      <c r="BP16">
        <f t="shared" ref="BP16:BP39" ca="1" si="29">BO16-$B$14+1</f>
        <v>3</v>
      </c>
      <c r="BQ16" s="3">
        <v>256788.32</v>
      </c>
      <c r="BR16" s="8">
        <v>409.82</v>
      </c>
      <c r="BS16" s="3">
        <v>0</v>
      </c>
      <c r="BT16" s="7">
        <f>Table134568[[#This Row],[$Return]]/AVERAGE(Table134568[[#This Row],[Starting]],Table134568[[#This Row],[Starting]]+Table134568[[#This Row],[Inflows]])</f>
        <v>1.5959448622896867E-3</v>
      </c>
      <c r="BU16" s="4">
        <f t="shared" si="11"/>
        <v>257198.14</v>
      </c>
      <c r="BV16" s="5">
        <f>IFERROR(BV15*(1+Table134568[[#This Row],[Return]]),100*(1+Table134568[[#This Row],[Return]]))</f>
        <v>100.67367430933926</v>
      </c>
      <c r="BW16" s="24" t="str">
        <f ca="1">IF(Table134568[[#This Row],[Day]]&lt;LeadDays,"NM",(AVERAGE(BT$14:BT16)/STDEV(BT$14:BT16)*SQRT(SharpePeriod)))</f>
        <v>NM</v>
      </c>
      <c r="BX16" s="20">
        <f>Table134568[[#This Row],[Index Value]]-100</f>
        <v>0.67367430933926187</v>
      </c>
      <c r="BY16" s="23" t="str">
        <f ca="1">IF(Table134568[[#This Row],[Day]]&lt;LeadDays,"NM",IF(Table134568[[#This Row],[Index Gains]]&lt;0,Table134568[[#This Row],[Index Value]],(Table134568[[#This Row],[Index Gains]]*Table134568[[#This Row],[30d_Sharpe]]*Sharpe_Wgt+Table134568[[#This Row],[Index Gains]]*(1-Sharpe_Wgt))+100))</f>
        <v>NM</v>
      </c>
      <c r="BZ16">
        <f>IF(Table134568[[#This Row],[$Return]]&gt;=0,1,-1)</f>
        <v>1</v>
      </c>
      <c r="CB16" s="6">
        <f t="shared" ref="CB16:CB39" ca="1" si="30">CB15+1</f>
        <v>45600</v>
      </c>
      <c r="CC16">
        <f t="shared" ref="CC16:CC39" ca="1" si="31">CB16-$B$14+1</f>
        <v>3</v>
      </c>
      <c r="CD16" s="3">
        <v>6946892.1200000001</v>
      </c>
      <c r="CE16" s="8">
        <v>-1058.1600000000001</v>
      </c>
      <c r="CF16" s="3">
        <v>0</v>
      </c>
      <c r="CG16" s="7">
        <f>Table1345689[[#This Row],[$Return]]/AVERAGE(Table1345689[[#This Row],[Starting]],Table1345689[[#This Row],[Starting]]+Table1345689[[#This Row],[Inflows]])</f>
        <v>-1.5232135201201312E-4</v>
      </c>
      <c r="CH16" s="4">
        <f t="shared" si="12"/>
        <v>6945833.96</v>
      </c>
      <c r="CI16" s="5">
        <f>IFERROR(CI15*(1+Table1345689[[#This Row],[Return]]),100*(1+Table1345689[[#This Row],[Return]]))</f>
        <v>100.40965776216247</v>
      </c>
      <c r="CJ16" s="24" t="str">
        <f ca="1">IF(Table1345689[[#This Row],[Day]]&lt;LeadDays,"NM",(AVERAGE(CG$14:CG16)/STDEV(CG$14:CG16)*SQRT(SharpePeriod)))</f>
        <v>NM</v>
      </c>
      <c r="CK16" s="20">
        <f>Table1345689[[#This Row],[Index Value]]-100</f>
        <v>0.40965776216246752</v>
      </c>
      <c r="CL16" s="23" t="str">
        <f ca="1">IF(Table1345689[[#This Row],[Day]]&lt;LeadDays,"NM",IF(Table1345689[[#This Row],[Index Gains]]&lt;0,Table1345689[[#This Row],[Index Value]],(Table1345689[[#This Row],[Index Gains]]*Table1345689[[#This Row],[30d_Sharpe]]*Sharpe_Wgt+Table1345689[[#This Row],[Index Gains]]*(1-Sharpe_Wgt))+100))</f>
        <v>NM</v>
      </c>
      <c r="CM16">
        <f>IF(Table1345689[[#This Row],[$Return]]&gt;=0,1,-1)</f>
        <v>-1</v>
      </c>
    </row>
    <row r="17" spans="2:91" x14ac:dyDescent="0.45">
      <c r="B17" s="6">
        <f t="shared" ca="1" si="16"/>
        <v>45601</v>
      </c>
      <c r="C17">
        <f t="shared" ca="1" si="13"/>
        <v>4</v>
      </c>
      <c r="D17" s="3">
        <f t="shared" ca="1" si="17"/>
        <v>95718</v>
      </c>
      <c r="E17" s="8">
        <f ca="1">RANDBETWEEN(0,RAND()/10*Table13[[#This Row],[Starting]])*Table13[[#This Row],[Rand]]</f>
        <v>403</v>
      </c>
      <c r="F17" s="3">
        <f t="shared" ca="1" si="0"/>
        <v>700</v>
      </c>
      <c r="G17" s="7">
        <f ca="1">Table13[[#This Row],[$Return]]/AVERAGE(Table13[[#This Row],[Starting]],Table13[[#This Row],[Starting]]+Table13[[#This Row],[Inflows]])</f>
        <v>4.194945247116626E-3</v>
      </c>
      <c r="H17" s="4">
        <f t="shared" ca="1" si="1"/>
        <v>96821</v>
      </c>
      <c r="I17" s="5">
        <f ca="1">I16*(1+Table13[[#This Row],[Return]])</f>
        <v>95.640714463095193</v>
      </c>
      <c r="J17" s="24" t="str">
        <f ca="1">IF(Table13[[#This Row],[Day]]&lt;LeadDays,"NM",(AVERAGE(G$14:G17)/STDEV(G$14:G17)*SQRT(SharpePeriod)))</f>
        <v>NM</v>
      </c>
      <c r="K17" s="20">
        <f ca="1">Table13[[#This Row],[Index Value]]-100</f>
        <v>-4.3592855369048067</v>
      </c>
      <c r="L17" s="23" t="str">
        <f ca="1">IF(Table13[[#This Row],[Day]]&lt;LeadDays,"NM",IF(Table13[[#This Row],[Index Gains]]&lt;0,Table13[[#This Row],[Index Value]],(Table13[[#This Row],[Index Gains]]*Table13[[#This Row],[30d_Sharpe]]*Sharpe_Wgt+Table13[[#This Row],[Index Gains]]*(1-Sharpe_Wgt))+100)*Historical_Wgt+(100*(1+Table13[[#This Row],[Return]])*Today_Wgt))</f>
        <v>NM</v>
      </c>
      <c r="M17">
        <f t="shared" ca="1" si="2"/>
        <v>1</v>
      </c>
      <c r="O17" s="6">
        <f t="shared" ca="1" si="18"/>
        <v>45601</v>
      </c>
      <c r="P17">
        <f t="shared" ca="1" si="14"/>
        <v>4</v>
      </c>
      <c r="Q17" s="3">
        <f t="shared" ca="1" si="19"/>
        <v>88133</v>
      </c>
      <c r="R17" s="8">
        <f ca="1">RANDBETWEEN(0,10000)*Table137[[#This Row],[Rand]]</f>
        <v>-6539</v>
      </c>
      <c r="S17" s="3">
        <f t="shared" ca="1" si="3"/>
        <v>781</v>
      </c>
      <c r="T17" s="7">
        <f ca="1">Table137[[#This Row],[$Return]]/AVERAGE(Table137[[#This Row],[Starting]],Table137[[#This Row],[Starting]]+Table137[[#This Row],[Inflows]])</f>
        <v>-7.3867391144724279E-2</v>
      </c>
      <c r="U17" s="4">
        <f t="shared" ca="1" si="4"/>
        <v>82375</v>
      </c>
      <c r="V17" s="5">
        <f ca="1">IFERROR(V16*(1+Table137[[#This Row],[Return]]),100*(1+Table137[[#This Row],[Return]]))</f>
        <v>79.763142441983874</v>
      </c>
      <c r="W17" s="24" t="str">
        <f ca="1">IF(Table137[[#This Row],[Day]]&lt;LeadDays,"NM",(AVERAGE(T$14:T17)/STDEV(T$14:T17)*SQRT(SharpePeriod)))</f>
        <v>NM</v>
      </c>
      <c r="X17" s="20">
        <f ca="1">Table137[[#This Row],[Index Value]]-100</f>
        <v>-20.236857558016126</v>
      </c>
      <c r="Y17" s="23" t="str">
        <f ca="1">IF(Table137[[#This Row],[Day]]&lt;LeadDays,"NM",IF(Table137[[#This Row],[Index Gains]]&lt;0,Table137[[#This Row],[Index Value]],(Table137[[#This Row],[Index Gains]]*Table137[[#This Row],[30d_Sharpe]]*Sharpe_Wgt+Table137[[#This Row],[Index Gains]]*(1-Sharpe_Wgt))+100)*Historical_Wgt+(100*(1+Table137[[#This Row],[Return]])*Today_Wgt))</f>
        <v>NM</v>
      </c>
      <c r="Z17">
        <f t="shared" ca="1" si="5"/>
        <v>-1</v>
      </c>
      <c r="AB17" s="6">
        <f t="shared" ca="1" si="20"/>
        <v>45601</v>
      </c>
      <c r="AC17">
        <f t="shared" ca="1" si="15"/>
        <v>4</v>
      </c>
      <c r="AD17" s="3">
        <f t="shared" ca="1" si="21"/>
        <v>101739</v>
      </c>
      <c r="AE17" s="8">
        <f ca="1">RANDBETWEEN(0,1000)*Table134[[#This Row],[Rand]]</f>
        <v>-520</v>
      </c>
      <c r="AF17" s="3">
        <v>0</v>
      </c>
      <c r="AG17" s="7">
        <f ca="1">Table134[[#This Row],[$Return]]/AVERAGE(Table134[[#This Row],[Starting]],Table134[[#This Row],[Starting]]+Table134[[#This Row],[Inflows]])</f>
        <v>-5.1111176638260645E-3</v>
      </c>
      <c r="AH17" s="4">
        <f t="shared" ca="1" si="6"/>
        <v>101219</v>
      </c>
      <c r="AI17" s="5">
        <f ca="1">IFERROR(AI16*(1+Table134[[#This Row],[Return]]),100*(1+Table134[[#This Row],[Return]]))</f>
        <v>101.21900000000001</v>
      </c>
      <c r="AJ17" s="24" t="str">
        <f ca="1">IF(Table134[[#This Row],[Day]]&lt;LeadDays,"NM",(AVERAGE(AG$14:AG17)/STDEV(AG$14:AG17)*SQRT(SharpePeriod)))</f>
        <v>NM</v>
      </c>
      <c r="AK17" s="20">
        <f ca="1">Table134[[#This Row],[Index Value]]-100</f>
        <v>1.2190000000000083</v>
      </c>
      <c r="AL17" s="23" t="str">
        <f ca="1">IF(Table134[[#This Row],[Day]]&lt;LeadDays,"NM",IF(Table134[[#This Row],[Index Gains]]&lt;0,Table134[[#This Row],[Index Value]],(Table134[[#This Row],[Index Gains]]*Table134[[#This Row],[30d_Sharpe]]*Sharpe_Wgt+Table134[[#This Row],[Index Gains]]*(1-Sharpe_Wgt))+100)*Historical_Wgt+(100*(1+Table134[[#This Row],[Return]])*Today_Wgt))</f>
        <v>NM</v>
      </c>
      <c r="AM17">
        <f t="shared" ca="1" si="7"/>
        <v>-1</v>
      </c>
      <c r="AO17" s="6">
        <f t="shared" ca="1" si="22"/>
        <v>45601</v>
      </c>
      <c r="AP17">
        <f t="shared" ca="1" si="23"/>
        <v>4</v>
      </c>
      <c r="AQ17" s="3">
        <f t="shared" ca="1" si="24"/>
        <v>125982</v>
      </c>
      <c r="AR17" s="8">
        <v>35000</v>
      </c>
      <c r="AS17" s="3">
        <v>0</v>
      </c>
      <c r="AT17" s="7">
        <f ca="1">Table1345[[#This Row],[$Return]]/AVERAGE(Table1345[[#This Row],[Starting]],Table1345[[#This Row],[Starting]]+Table1345[[#This Row],[Inflows]])</f>
        <v>0.27781746598720453</v>
      </c>
      <c r="AU17" s="4">
        <f t="shared" ca="1" si="8"/>
        <v>160982</v>
      </c>
      <c r="AV17" s="5">
        <f ca="1">IFERROR(AV16*(1+Table1345[[#This Row],[Return]]),100*(1+Table1345[[#This Row],[Return]]))</f>
        <v>160.982</v>
      </c>
      <c r="AW17" s="24" t="str">
        <f ca="1">IF(Table1345[[#This Row],[Day]]&lt;LeadDays,"NM",(AVERAGE(AT$14:AT17)/STDEV(AT$14:AT17)*SQRT(SharpePeriod)))</f>
        <v>NM</v>
      </c>
      <c r="AX17" s="20">
        <f ca="1">Table1345[[#This Row],[Index Value]]-100</f>
        <v>60.981999999999999</v>
      </c>
      <c r="AY17" s="23" t="str">
        <f ca="1">IF(Table1345[[#This Row],[Day]]&lt;LeadDays,"NM",IF(Table1345[[#This Row],[Index Gains]]&lt;0,Table1345[[#This Row],[Index Value]],(Table1345[[#This Row],[Index Gains]]*Table1345[[#This Row],[30d_Sharpe]]*Sharpe_Wgt+Table1345[[#This Row],[Index Gains]]*(1-Sharpe_Wgt))+100)*Historical_Wgt+(100*(1+Table1345[[#This Row],[Return]])*Today_Wgt))</f>
        <v>NM</v>
      </c>
      <c r="AZ17">
        <f t="shared" ca="1" si="9"/>
        <v>1</v>
      </c>
      <c r="BB17" s="6">
        <f t="shared" ca="1" si="25"/>
        <v>45601</v>
      </c>
      <c r="BC17">
        <f t="shared" ca="1" si="26"/>
        <v>4</v>
      </c>
      <c r="BD17" s="3">
        <f t="shared" si="27"/>
        <v>130000</v>
      </c>
      <c r="BE17" s="8">
        <v>-15000</v>
      </c>
      <c r="BF17" s="3">
        <v>0</v>
      </c>
      <c r="BG17" s="7">
        <f>Table13456[[#This Row],[$Return]]/AVERAGE(Table13456[[#This Row],[Starting]],Table13456[[#This Row],[Starting]]+Table13456[[#This Row],[Inflows]])</f>
        <v>-0.11538461538461539</v>
      </c>
      <c r="BH17" s="4">
        <f t="shared" si="10"/>
        <v>115000</v>
      </c>
      <c r="BI17" s="5">
        <f>IFERROR(BI16*(1+Table13456[[#This Row],[Return]]),100*(1+Table13456[[#This Row],[Return]]))</f>
        <v>115</v>
      </c>
      <c r="BJ17" s="24" t="str">
        <f ca="1">IF(Table13456[[#This Row],[Day]]&lt;LeadDays,"NM",(AVERAGE(BG$14:BG17)/STDEV(BG$14:BG17)*SQRT(SharpePeriod)))</f>
        <v>NM</v>
      </c>
      <c r="BK17" s="20">
        <f>Table13456[[#This Row],[Index Value]]-100</f>
        <v>15</v>
      </c>
      <c r="BL17" s="23" t="str">
        <f ca="1">IF(Table13456[[#This Row],[Day]]&lt;LeadDays,"NM",IF(Table13456[[#This Row],[Index Gains]]&lt;0,Table13456[[#This Row],[Index Value]],(Table13456[[#This Row],[Index Gains]]*Table13456[[#This Row],[30d_Sharpe]]*Sharpe_Wgt+Table13456[[#This Row],[Index Gains]]*(1-Sharpe_Wgt))+100)*Historical_Wgt+(100*(1+Table13456[[#This Row],[Return]])*Today_Wgt))</f>
        <v>NM</v>
      </c>
      <c r="BM17">
        <f>IF(Table13456[[#This Row],[$Return]]&gt;=0,1,-1)</f>
        <v>-1</v>
      </c>
      <c r="BO17" s="6">
        <f t="shared" ca="1" si="28"/>
        <v>45601</v>
      </c>
      <c r="BP17">
        <f t="shared" ca="1" si="29"/>
        <v>4</v>
      </c>
      <c r="BQ17" s="3">
        <v>257654.66</v>
      </c>
      <c r="BR17" s="8">
        <v>866.34</v>
      </c>
      <c r="BS17" s="3">
        <v>0</v>
      </c>
      <c r="BT17" s="7">
        <f>Table134568[[#This Row],[$Return]]/AVERAGE(Table134568[[#This Row],[Starting]],Table134568[[#This Row],[Starting]]+Table134568[[#This Row],[Inflows]])</f>
        <v>3.3624076506126458E-3</v>
      </c>
      <c r="BU17" s="4">
        <f t="shared" si="11"/>
        <v>258521</v>
      </c>
      <c r="BV17" s="5">
        <f>IFERROR(BV16*(1+Table134568[[#This Row],[Return]]),100*(1+Table134568[[#This Row],[Return]]))</f>
        <v>101.01218024205227</v>
      </c>
      <c r="BW17" s="24" t="str">
        <f ca="1">IF(Table134568[[#This Row],[Day]]&lt;LeadDays,"NM",(AVERAGE(BT$14:BT17)/STDEV(BT$14:BT17)*SQRT(SharpePeriod)))</f>
        <v>NM</v>
      </c>
      <c r="BX17" s="20">
        <f>Table134568[[#This Row],[Index Value]]-100</f>
        <v>1.012180242052267</v>
      </c>
      <c r="BY17" s="23" t="str">
        <f ca="1">IF(Table134568[[#This Row],[Day]]&lt;LeadDays,"NM",IF(Table134568[[#This Row],[Index Gains]]&lt;0,Table134568[[#This Row],[Index Value]],(Table134568[[#This Row],[Index Gains]]*Table134568[[#This Row],[30d_Sharpe]]*Sharpe_Wgt+Table134568[[#This Row],[Index Gains]]*(1-Sharpe_Wgt))+100))</f>
        <v>NM</v>
      </c>
      <c r="BZ17">
        <f>IF(Table134568[[#This Row],[$Return]]&gt;=0,1,-1)</f>
        <v>1</v>
      </c>
      <c r="CB17" s="6">
        <f t="shared" ca="1" si="30"/>
        <v>45601</v>
      </c>
      <c r="CC17">
        <f t="shared" ca="1" si="31"/>
        <v>4</v>
      </c>
      <c r="CD17" s="3">
        <v>6950007.6600000001</v>
      </c>
      <c r="CE17" s="8">
        <v>3115.54</v>
      </c>
      <c r="CF17" s="3">
        <v>0</v>
      </c>
      <c r="CG17" s="7">
        <f>Table1345689[[#This Row],[$Return]]/AVERAGE(Table1345689[[#This Row],[Starting]],Table1345689[[#This Row],[Starting]]+Table1345689[[#This Row],[Inflows]])</f>
        <v>4.4827864261663274E-4</v>
      </c>
      <c r="CH17" s="4">
        <f t="shared" si="12"/>
        <v>6953123.2000000002</v>
      </c>
      <c r="CI17" s="5">
        <f>IFERROR(CI16*(1+Table1345689[[#This Row],[Return]]),100*(1+Table1345689[[#This Row],[Return]]))</f>
        <v>100.45466926724968</v>
      </c>
      <c r="CJ17" s="24" t="str">
        <f ca="1">IF(Table1345689[[#This Row],[Day]]&lt;LeadDays,"NM",(AVERAGE(CG$14:CG17)/STDEV(CG$14:CG17)*SQRT(SharpePeriod)))</f>
        <v>NM</v>
      </c>
      <c r="CK17" s="20">
        <f>Table1345689[[#This Row],[Index Value]]-100</f>
        <v>0.45466926724968459</v>
      </c>
      <c r="CL17" s="23" t="str">
        <f ca="1">IF(Table1345689[[#This Row],[Day]]&lt;LeadDays,"NM",IF(Table1345689[[#This Row],[Index Gains]]&lt;0,Table1345689[[#This Row],[Index Value]],(Table1345689[[#This Row],[Index Gains]]*Table1345689[[#This Row],[30d_Sharpe]]*Sharpe_Wgt+Table1345689[[#This Row],[Index Gains]]*(1-Sharpe_Wgt))+100))</f>
        <v>NM</v>
      </c>
      <c r="CM17">
        <f>IF(Table1345689[[#This Row],[$Return]]&gt;=0,1,-1)</f>
        <v>1</v>
      </c>
    </row>
    <row r="18" spans="2:91" x14ac:dyDescent="0.45">
      <c r="B18" s="6">
        <f t="shared" ca="1" si="16"/>
        <v>45602</v>
      </c>
      <c r="C18">
        <f t="shared" ca="1" si="13"/>
        <v>5</v>
      </c>
      <c r="D18" s="3">
        <f t="shared" ca="1" si="17"/>
        <v>96821</v>
      </c>
      <c r="E18" s="8">
        <f ca="1">RANDBETWEEN(0,RAND()/10*Table13[[#This Row],[Starting]])*Table13[[#This Row],[Rand]]</f>
        <v>214</v>
      </c>
      <c r="F18" s="3">
        <f t="shared" ca="1" si="0"/>
        <v>849</v>
      </c>
      <c r="G18" s="7">
        <f ca="1">Table13[[#This Row],[$Return]]/AVERAGE(Table13[[#This Row],[Starting]],Table13[[#This Row],[Starting]]+Table13[[#This Row],[Inflows]])</f>
        <v>2.200615966805662E-3</v>
      </c>
      <c r="H18" s="4">
        <f t="shared" ca="1" si="1"/>
        <v>97884</v>
      </c>
      <c r="I18" s="5">
        <f ca="1">I17*(1+Table13[[#This Row],[Return]])</f>
        <v>95.851182946419385</v>
      </c>
      <c r="J18" s="24" t="str">
        <f ca="1">IF(Table13[[#This Row],[Day]]&lt;LeadDays,"NM",(AVERAGE(G$14:G18)/STDEV(G$14:G18)*SQRT(SharpePeriod)))</f>
        <v>NM</v>
      </c>
      <c r="K18" s="20">
        <f ca="1">Table13[[#This Row],[Index Value]]-100</f>
        <v>-4.1488170535806148</v>
      </c>
      <c r="L18" s="23" t="str">
        <f ca="1">IF(Table13[[#This Row],[Day]]&lt;LeadDays,"NM",IF(Table13[[#This Row],[Index Gains]]&lt;0,Table13[[#This Row],[Index Value]],(Table13[[#This Row],[Index Gains]]*Table13[[#This Row],[30d_Sharpe]]*Sharpe_Wgt+Table13[[#This Row],[Index Gains]]*(1-Sharpe_Wgt))+100)*Historical_Wgt+(100*(1+Table13[[#This Row],[Return]])*Today_Wgt))</f>
        <v>NM</v>
      </c>
      <c r="M18">
        <f t="shared" ca="1" si="2"/>
        <v>1</v>
      </c>
      <c r="O18" s="6">
        <f t="shared" ca="1" si="18"/>
        <v>45602</v>
      </c>
      <c r="P18">
        <f t="shared" ca="1" si="14"/>
        <v>5</v>
      </c>
      <c r="Q18" s="3">
        <f t="shared" ca="1" si="19"/>
        <v>82375</v>
      </c>
      <c r="R18" s="8">
        <f ca="1">RANDBETWEEN(0,10000)*Table137[[#This Row],[Rand]]</f>
        <v>8041</v>
      </c>
      <c r="S18" s="3">
        <f t="shared" ca="1" si="3"/>
        <v>627</v>
      </c>
      <c r="T18" s="7">
        <f ca="1">Table137[[#This Row],[$Return]]/AVERAGE(Table137[[#This Row],[Starting]],Table137[[#This Row],[Starting]]+Table137[[#This Row],[Inflows]])</f>
        <v>9.7244477768976337E-2</v>
      </c>
      <c r="U18" s="4">
        <f t="shared" ca="1" si="4"/>
        <v>91043</v>
      </c>
      <c r="V18" s="5">
        <f ca="1">IFERROR(V17*(1+Table137[[#This Row],[Return]]),100*(1+Table137[[#This Row],[Return]]))</f>
        <v>87.519667573967055</v>
      </c>
      <c r="W18" s="24" t="str">
        <f ca="1">IF(Table137[[#This Row],[Day]]&lt;LeadDays,"NM",(AVERAGE(T$14:T18)/STDEV(T$14:T18)*SQRT(SharpePeriod)))</f>
        <v>NM</v>
      </c>
      <c r="X18" s="20">
        <f ca="1">Table137[[#This Row],[Index Value]]-100</f>
        <v>-12.480332426032945</v>
      </c>
      <c r="Y18" s="23" t="str">
        <f ca="1">IF(Table137[[#This Row],[Day]]&lt;LeadDays,"NM",IF(Table137[[#This Row],[Index Gains]]&lt;0,Table137[[#This Row],[Index Value]],(Table137[[#This Row],[Index Gains]]*Table137[[#This Row],[30d_Sharpe]]*Sharpe_Wgt+Table137[[#This Row],[Index Gains]]*(1-Sharpe_Wgt))+100)*Historical_Wgt+(100*(1+Table137[[#This Row],[Return]])*Today_Wgt))</f>
        <v>NM</v>
      </c>
      <c r="Z18">
        <f t="shared" ca="1" si="5"/>
        <v>1</v>
      </c>
      <c r="AB18" s="6">
        <f t="shared" ca="1" si="20"/>
        <v>45602</v>
      </c>
      <c r="AC18">
        <f t="shared" ca="1" si="15"/>
        <v>5</v>
      </c>
      <c r="AD18" s="3">
        <f t="shared" ca="1" si="21"/>
        <v>101219</v>
      </c>
      <c r="AE18" s="8">
        <f ca="1">RANDBETWEEN(0,1000)*Table134[[#This Row],[Rand]]</f>
        <v>543</v>
      </c>
      <c r="AF18" s="3">
        <v>0</v>
      </c>
      <c r="AG18" s="7">
        <f ca="1">Table134[[#This Row],[$Return]]/AVERAGE(Table134[[#This Row],[Starting]],Table134[[#This Row],[Starting]]+Table134[[#This Row],[Inflows]])</f>
        <v>5.3646054594493125E-3</v>
      </c>
      <c r="AH18" s="4">
        <f t="shared" ca="1" si="6"/>
        <v>101762</v>
      </c>
      <c r="AI18" s="5">
        <f ca="1">IFERROR(AI17*(1+Table134[[#This Row],[Return]]),100*(1+Table134[[#This Row],[Return]]))</f>
        <v>101.76200000000001</v>
      </c>
      <c r="AJ18" s="24" t="str">
        <f ca="1">IF(Table134[[#This Row],[Day]]&lt;LeadDays,"NM",(AVERAGE(AG$14:AG18)/STDEV(AG$14:AG18)*SQRT(SharpePeriod)))</f>
        <v>NM</v>
      </c>
      <c r="AK18" s="20">
        <f ca="1">Table134[[#This Row],[Index Value]]-100</f>
        <v>1.7620000000000147</v>
      </c>
      <c r="AL18" s="23" t="str">
        <f ca="1">IF(Table134[[#This Row],[Day]]&lt;LeadDays,"NM",IF(Table134[[#This Row],[Index Gains]]&lt;0,Table134[[#This Row],[Index Value]],(Table134[[#This Row],[Index Gains]]*Table134[[#This Row],[30d_Sharpe]]*Sharpe_Wgt+Table134[[#This Row],[Index Gains]]*(1-Sharpe_Wgt))+100)*Historical_Wgt+(100*(1+Table134[[#This Row],[Return]])*Today_Wgt))</f>
        <v>NM</v>
      </c>
      <c r="AM18">
        <f t="shared" ca="1" si="7"/>
        <v>1</v>
      </c>
      <c r="AO18" s="6">
        <f t="shared" ca="1" si="22"/>
        <v>45602</v>
      </c>
      <c r="AP18">
        <f t="shared" ca="1" si="23"/>
        <v>5</v>
      </c>
      <c r="AQ18" s="3">
        <f t="shared" ca="1" si="24"/>
        <v>160982</v>
      </c>
      <c r="AR18" s="8">
        <v>-10000</v>
      </c>
      <c r="AS18" s="3">
        <v>0</v>
      </c>
      <c r="AT18" s="7">
        <f ca="1">Table1345[[#This Row],[$Return]]/AVERAGE(Table1345[[#This Row],[Starting]],Table1345[[#This Row],[Starting]]+Table1345[[#This Row],[Inflows]])</f>
        <v>-6.2118746195226796E-2</v>
      </c>
      <c r="AU18" s="4">
        <f t="shared" ca="1" si="8"/>
        <v>150982</v>
      </c>
      <c r="AV18" s="5">
        <f ca="1">IFERROR(AV17*(1+Table1345[[#This Row],[Return]]),100*(1+Table1345[[#This Row],[Return]]))</f>
        <v>150.982</v>
      </c>
      <c r="AW18" s="24" t="str">
        <f ca="1">IF(Table1345[[#This Row],[Day]]&lt;LeadDays,"NM",(AVERAGE(AT$14:AT18)/STDEV(AT$14:AT18)*SQRT(SharpePeriod)))</f>
        <v>NM</v>
      </c>
      <c r="AX18" s="20">
        <f ca="1">Table1345[[#This Row],[Index Value]]-100</f>
        <v>50.981999999999999</v>
      </c>
      <c r="AY18" s="23" t="str">
        <f ca="1">IF(Table1345[[#This Row],[Day]]&lt;LeadDays,"NM",IF(Table1345[[#This Row],[Index Gains]]&lt;0,Table1345[[#This Row],[Index Value]],(Table1345[[#This Row],[Index Gains]]*Table1345[[#This Row],[30d_Sharpe]]*Sharpe_Wgt+Table1345[[#This Row],[Index Gains]]*(1-Sharpe_Wgt))+100)*Historical_Wgt+(100*(1+Table1345[[#This Row],[Return]])*Today_Wgt))</f>
        <v>NM</v>
      </c>
      <c r="AZ18">
        <f t="shared" ca="1" si="9"/>
        <v>1</v>
      </c>
      <c r="BB18" s="6">
        <f t="shared" ca="1" si="25"/>
        <v>45602</v>
      </c>
      <c r="BC18">
        <f t="shared" ca="1" si="26"/>
        <v>5</v>
      </c>
      <c r="BD18" s="3">
        <f t="shared" si="27"/>
        <v>115000</v>
      </c>
      <c r="BE18" s="8">
        <v>40000</v>
      </c>
      <c r="BF18" s="3">
        <v>0</v>
      </c>
      <c r="BG18" s="7">
        <f>Table13456[[#This Row],[$Return]]/AVERAGE(Table13456[[#This Row],[Starting]],Table13456[[#This Row],[Starting]]+Table13456[[#This Row],[Inflows]])</f>
        <v>0.34782608695652173</v>
      </c>
      <c r="BH18" s="4">
        <f t="shared" si="10"/>
        <v>155000</v>
      </c>
      <c r="BI18" s="5">
        <f>IFERROR(BI17*(1+Table13456[[#This Row],[Return]]),100*(1+Table13456[[#This Row],[Return]]))</f>
        <v>155</v>
      </c>
      <c r="BJ18" s="24" t="str">
        <f ca="1">IF(Table13456[[#This Row],[Day]]&lt;LeadDays,"NM",(AVERAGE(BG$14:BG18)/STDEV(BG$14:BG18)*SQRT(SharpePeriod)))</f>
        <v>NM</v>
      </c>
      <c r="BK18" s="20">
        <f>Table13456[[#This Row],[Index Value]]-100</f>
        <v>55</v>
      </c>
      <c r="BL18" s="23" t="str">
        <f ca="1">IF(Table13456[[#This Row],[Day]]&lt;LeadDays,"NM",IF(Table13456[[#This Row],[Index Gains]]&lt;0,Table13456[[#This Row],[Index Value]],(Table13456[[#This Row],[Index Gains]]*Table13456[[#This Row],[30d_Sharpe]]*Sharpe_Wgt+Table13456[[#This Row],[Index Gains]]*(1-Sharpe_Wgt))+100)*Historical_Wgt+(100*(1+Table13456[[#This Row],[Return]])*Today_Wgt))</f>
        <v>NM</v>
      </c>
      <c r="BM18">
        <f>IF(Table13456[[#This Row],[$Return]]&gt;=0,1,-1)</f>
        <v>1</v>
      </c>
      <c r="BO18" s="6">
        <f t="shared" ca="1" si="28"/>
        <v>45602</v>
      </c>
      <c r="BP18">
        <f t="shared" ca="1" si="29"/>
        <v>5</v>
      </c>
      <c r="BQ18" s="3">
        <v>259402.77</v>
      </c>
      <c r="BR18" s="8">
        <v>1748.11</v>
      </c>
      <c r="BS18" s="3">
        <v>0</v>
      </c>
      <c r="BT18" s="7">
        <f>Table134568[[#This Row],[$Return]]/AVERAGE(Table134568[[#This Row],[Starting]],Table134568[[#This Row],[Starting]]+Table134568[[#This Row],[Inflows]])</f>
        <v>6.7389796955522104E-3</v>
      </c>
      <c r="BU18" s="4">
        <f t="shared" si="11"/>
        <v>261150.87999999998</v>
      </c>
      <c r="BV18" s="5">
        <f>IFERROR(BV17*(1+Table134568[[#This Row],[Return]]),100*(1+Table134568[[#This Row],[Return]]))</f>
        <v>101.69289927370691</v>
      </c>
      <c r="BW18" s="24" t="str">
        <f ca="1">IF(Table134568[[#This Row],[Day]]&lt;LeadDays,"NM",(AVERAGE(BT$14:BT18)/STDEV(BT$14:BT18)*SQRT(SharpePeriod)))</f>
        <v>NM</v>
      </c>
      <c r="BX18" s="20">
        <f>Table134568[[#This Row],[Index Value]]-100</f>
        <v>1.6928992737069137</v>
      </c>
      <c r="BY18" s="23" t="str">
        <f ca="1">IF(Table134568[[#This Row],[Day]]&lt;LeadDays,"NM",IF(Table134568[[#This Row],[Index Gains]]&lt;0,Table134568[[#This Row],[Index Value]],(Table134568[[#This Row],[Index Gains]]*Table134568[[#This Row],[30d_Sharpe]]*Sharpe_Wgt+Table134568[[#This Row],[Index Gains]]*(1-Sharpe_Wgt))+100))</f>
        <v>NM</v>
      </c>
      <c r="BZ18">
        <f>IF(Table134568[[#This Row],[$Return]]&gt;=0,1,-1)</f>
        <v>1</v>
      </c>
      <c r="CB18" s="6">
        <f t="shared" ca="1" si="30"/>
        <v>45602</v>
      </c>
      <c r="CC18">
        <f t="shared" ca="1" si="31"/>
        <v>5</v>
      </c>
      <c r="CD18" s="3">
        <v>6955453.8399999999</v>
      </c>
      <c r="CE18" s="8">
        <v>5446.18</v>
      </c>
      <c r="CF18" s="3">
        <v>0</v>
      </c>
      <c r="CG18" s="7">
        <f>Table1345689[[#This Row],[$Return]]/AVERAGE(Table1345689[[#This Row],[Starting]],Table1345689[[#This Row],[Starting]]+Table1345689[[#This Row],[Inflows]])</f>
        <v>7.8300857503785844E-4</v>
      </c>
      <c r="CH18" s="4">
        <f t="shared" si="12"/>
        <v>6960900.0199999996</v>
      </c>
      <c r="CI18" s="5">
        <f>IFERROR(CI17*(1+Table1345689[[#This Row],[Return]]),100*(1+Table1345689[[#This Row],[Return]]))</f>
        <v>100.53332613468852</v>
      </c>
      <c r="CJ18" s="24" t="str">
        <f ca="1">IF(Table1345689[[#This Row],[Day]]&lt;LeadDays,"NM",(AVERAGE(CG$14:CG18)/STDEV(CG$14:CG18)*SQRT(SharpePeriod)))</f>
        <v>NM</v>
      </c>
      <c r="CK18" s="20">
        <f>Table1345689[[#This Row],[Index Value]]-100</f>
        <v>0.5333261346885223</v>
      </c>
      <c r="CL18" s="23" t="str">
        <f ca="1">IF(Table1345689[[#This Row],[Day]]&lt;LeadDays,"NM",IF(Table1345689[[#This Row],[Index Gains]]&lt;0,Table1345689[[#This Row],[Index Value]],(Table1345689[[#This Row],[Index Gains]]*Table1345689[[#This Row],[30d_Sharpe]]*Sharpe_Wgt+Table1345689[[#This Row],[Index Gains]]*(1-Sharpe_Wgt))+100))</f>
        <v>NM</v>
      </c>
      <c r="CM18">
        <f>IF(Table1345689[[#This Row],[$Return]]&gt;=0,1,-1)</f>
        <v>1</v>
      </c>
    </row>
    <row r="19" spans="2:91" x14ac:dyDescent="0.45">
      <c r="B19" s="6">
        <f t="shared" ca="1" si="16"/>
        <v>45603</v>
      </c>
      <c r="C19">
        <f t="shared" ca="1" si="13"/>
        <v>6</v>
      </c>
      <c r="D19" s="3">
        <f t="shared" ca="1" si="17"/>
        <v>97884</v>
      </c>
      <c r="E19" s="8">
        <f ca="1">RANDBETWEEN(0,RAND()/10*Table13[[#This Row],[Starting]])*Table13[[#This Row],[Rand]]</f>
        <v>1355</v>
      </c>
      <c r="F19" s="3">
        <f t="shared" ca="1" si="0"/>
        <v>984</v>
      </c>
      <c r="G19" s="7">
        <f ca="1">Table13[[#This Row],[$Return]]/AVERAGE(Table13[[#This Row],[Starting]],Table13[[#This Row],[Starting]]+Table13[[#This Row],[Inflows]])</f>
        <v>1.3773684638529723E-2</v>
      </c>
      <c r="H19" s="4">
        <f t="shared" ca="1" si="1"/>
        <v>100223</v>
      </c>
      <c r="I19" s="5">
        <f ca="1">I18*(1+Table13[[#This Row],[Return]])</f>
        <v>97.17140691255338</v>
      </c>
      <c r="J19" s="24" t="str">
        <f ca="1">IF(Table13[[#This Row],[Day]]&lt;LeadDays,"NM",(AVERAGE(G$14:G19)/STDEV(G$14:G19)*SQRT(SharpePeriod)))</f>
        <v>NM</v>
      </c>
      <c r="K19" s="20">
        <f ca="1">Table13[[#This Row],[Index Value]]-100</f>
        <v>-2.8285930874466203</v>
      </c>
      <c r="L19" s="23" t="str">
        <f ca="1">IF(Table13[[#This Row],[Day]]&lt;LeadDays,"NM",IF(Table13[[#This Row],[Index Gains]]&lt;0,Table13[[#This Row],[Index Value]],(Table13[[#This Row],[Index Gains]]*Table13[[#This Row],[30d_Sharpe]]*Sharpe_Wgt+Table13[[#This Row],[Index Gains]]*(1-Sharpe_Wgt))+100)*Historical_Wgt+(100*(1+Table13[[#This Row],[Return]])*Today_Wgt))</f>
        <v>NM</v>
      </c>
      <c r="M19">
        <f t="shared" ca="1" si="2"/>
        <v>1</v>
      </c>
      <c r="O19" s="6">
        <f t="shared" ca="1" si="18"/>
        <v>45603</v>
      </c>
      <c r="P19">
        <f t="shared" ca="1" si="14"/>
        <v>6</v>
      </c>
      <c r="Q19" s="3">
        <f t="shared" ca="1" si="19"/>
        <v>91043</v>
      </c>
      <c r="R19" s="8">
        <f ca="1">RANDBETWEEN(0,10000)*Table137[[#This Row],[Rand]]</f>
        <v>6184</v>
      </c>
      <c r="S19" s="3">
        <f t="shared" ca="1" si="3"/>
        <v>73</v>
      </c>
      <c r="T19" s="7">
        <f ca="1">Table137[[#This Row],[$Return]]/AVERAGE(Table137[[#This Row],[Starting]],Table137[[#This Row],[Starting]]+Table137[[#This Row],[Inflows]])</f>
        <v>6.7896727584143529E-2</v>
      </c>
      <c r="U19" s="4">
        <f t="shared" ca="1" si="4"/>
        <v>97300</v>
      </c>
      <c r="V19" s="5">
        <f ca="1">IFERROR(V18*(1+Table137[[#This Row],[Return]]),100*(1+Table137[[#This Row],[Return]]))</f>
        <v>93.461966601491497</v>
      </c>
      <c r="W19" s="24" t="str">
        <f ca="1">IF(Table137[[#This Row],[Day]]&lt;LeadDays,"NM",(AVERAGE(T$14:T19)/STDEV(T$14:T19)*SQRT(SharpePeriod)))</f>
        <v>NM</v>
      </c>
      <c r="X19" s="20">
        <f ca="1">Table137[[#This Row],[Index Value]]-100</f>
        <v>-6.5380333985085031</v>
      </c>
      <c r="Y19" s="23" t="str">
        <f ca="1">IF(Table137[[#This Row],[Day]]&lt;LeadDays,"NM",IF(Table137[[#This Row],[Index Gains]]&lt;0,Table137[[#This Row],[Index Value]],(Table137[[#This Row],[Index Gains]]*Table137[[#This Row],[30d_Sharpe]]*Sharpe_Wgt+Table137[[#This Row],[Index Gains]]*(1-Sharpe_Wgt))+100)*Historical_Wgt+(100*(1+Table137[[#This Row],[Return]])*Today_Wgt))</f>
        <v>NM</v>
      </c>
      <c r="Z19">
        <f t="shared" ca="1" si="5"/>
        <v>1</v>
      </c>
      <c r="AB19" s="6">
        <f t="shared" ca="1" si="20"/>
        <v>45603</v>
      </c>
      <c r="AC19">
        <f t="shared" ca="1" si="15"/>
        <v>6</v>
      </c>
      <c r="AD19" s="3">
        <f t="shared" ca="1" si="21"/>
        <v>101762</v>
      </c>
      <c r="AE19" s="8">
        <f ca="1">RANDBETWEEN(0,1000)*Table134[[#This Row],[Rand]]</f>
        <v>-398</v>
      </c>
      <c r="AF19" s="3">
        <v>0</v>
      </c>
      <c r="AG19" s="7">
        <f ca="1">Table134[[#This Row],[$Return]]/AVERAGE(Table134[[#This Row],[Starting]],Table134[[#This Row],[Starting]]+Table134[[#This Row],[Inflows]])</f>
        <v>-3.9110866531711251E-3</v>
      </c>
      <c r="AH19" s="4">
        <f t="shared" ca="1" si="6"/>
        <v>101364</v>
      </c>
      <c r="AI19" s="5">
        <f ca="1">IFERROR(AI18*(1+Table134[[#This Row],[Return]]),100*(1+Table134[[#This Row],[Return]]))</f>
        <v>101.36400000000002</v>
      </c>
      <c r="AJ19" s="24" t="str">
        <f ca="1">IF(Table134[[#This Row],[Day]]&lt;LeadDays,"NM",(AVERAGE(AG$14:AG19)/STDEV(AG$14:AG19)*SQRT(SharpePeriod)))</f>
        <v>NM</v>
      </c>
      <c r="AK19" s="20">
        <f ca="1">Table134[[#This Row],[Index Value]]-100</f>
        <v>1.3640000000000185</v>
      </c>
      <c r="AL19" s="23" t="str">
        <f ca="1">IF(Table134[[#This Row],[Day]]&lt;LeadDays,"NM",IF(Table134[[#This Row],[Index Gains]]&lt;0,Table134[[#This Row],[Index Value]],(Table134[[#This Row],[Index Gains]]*Table134[[#This Row],[30d_Sharpe]]*Sharpe_Wgt+Table134[[#This Row],[Index Gains]]*(1-Sharpe_Wgt))+100)*Historical_Wgt+(100*(1+Table134[[#This Row],[Return]])*Today_Wgt))</f>
        <v>NM</v>
      </c>
      <c r="AM19">
        <f t="shared" ca="1" si="7"/>
        <v>-1</v>
      </c>
      <c r="AO19" s="6">
        <f t="shared" ca="1" si="22"/>
        <v>45603</v>
      </c>
      <c r="AP19">
        <f t="shared" ca="1" si="23"/>
        <v>6</v>
      </c>
      <c r="AQ19" s="3">
        <f t="shared" ca="1" si="24"/>
        <v>150982</v>
      </c>
      <c r="AR19" s="8">
        <v>80000</v>
      </c>
      <c r="AS19" s="3">
        <v>0</v>
      </c>
      <c r="AT19" s="7">
        <f ca="1">Table1345[[#This Row],[$Return]]/AVERAGE(Table1345[[#This Row],[Starting]],Table1345[[#This Row],[Starting]]+Table1345[[#This Row],[Inflows]])</f>
        <v>0.52986448715740952</v>
      </c>
      <c r="AU19" s="4">
        <f t="shared" ca="1" si="8"/>
        <v>230982</v>
      </c>
      <c r="AV19" s="5">
        <f ca="1">IFERROR(AV18*(1+Table1345[[#This Row],[Return]]),100*(1+Table1345[[#This Row],[Return]]))</f>
        <v>230.982</v>
      </c>
      <c r="AW19" s="24" t="str">
        <f ca="1">IF(Table1345[[#This Row],[Day]]&lt;LeadDays,"NM",(AVERAGE(AT$14:AT19)/STDEV(AT$14:AT19)*SQRT(SharpePeriod)))</f>
        <v>NM</v>
      </c>
      <c r="AX19" s="20">
        <f ca="1">Table1345[[#This Row],[Index Value]]-100</f>
        <v>130.982</v>
      </c>
      <c r="AY19" s="23" t="str">
        <f ca="1">IF(Table1345[[#This Row],[Day]]&lt;LeadDays,"NM",IF(Table1345[[#This Row],[Index Gains]]&lt;0,Table1345[[#This Row],[Index Value]],(Table1345[[#This Row],[Index Gains]]*Table1345[[#This Row],[30d_Sharpe]]*Sharpe_Wgt+Table1345[[#This Row],[Index Gains]]*(1-Sharpe_Wgt))+100)*Historical_Wgt+(100*(1+Table1345[[#This Row],[Return]])*Today_Wgt))</f>
        <v>NM</v>
      </c>
      <c r="AZ19">
        <f t="shared" ca="1" si="9"/>
        <v>1</v>
      </c>
      <c r="BB19" s="6">
        <f t="shared" ca="1" si="25"/>
        <v>45603</v>
      </c>
      <c r="BC19">
        <f t="shared" ca="1" si="26"/>
        <v>6</v>
      </c>
      <c r="BD19" s="3">
        <f t="shared" si="27"/>
        <v>155000</v>
      </c>
      <c r="BE19" s="8">
        <v>-20000</v>
      </c>
      <c r="BF19" s="3">
        <v>0</v>
      </c>
      <c r="BG19" s="7">
        <f>Table13456[[#This Row],[$Return]]/AVERAGE(Table13456[[#This Row],[Starting]],Table13456[[#This Row],[Starting]]+Table13456[[#This Row],[Inflows]])</f>
        <v>-0.12903225806451613</v>
      </c>
      <c r="BH19" s="4">
        <f t="shared" si="10"/>
        <v>135000</v>
      </c>
      <c r="BI19" s="5">
        <f>IFERROR(BI18*(1+Table13456[[#This Row],[Return]]),100*(1+Table13456[[#This Row],[Return]]))</f>
        <v>135</v>
      </c>
      <c r="BJ19" s="24" t="str">
        <f ca="1">IF(Table13456[[#This Row],[Day]]&lt;LeadDays,"NM",(AVERAGE(BG$14:BG19)/STDEV(BG$14:BG19)*SQRT(SharpePeriod)))</f>
        <v>NM</v>
      </c>
      <c r="BK19" s="20">
        <f>Table13456[[#This Row],[Index Value]]-100</f>
        <v>35</v>
      </c>
      <c r="BL19" s="23" t="str">
        <f ca="1">IF(Table13456[[#This Row],[Day]]&lt;LeadDays,"NM",IF(Table13456[[#This Row],[Index Gains]]&lt;0,Table13456[[#This Row],[Index Value]],(Table13456[[#This Row],[Index Gains]]*Table13456[[#This Row],[30d_Sharpe]]*Sharpe_Wgt+Table13456[[#This Row],[Index Gains]]*(1-Sharpe_Wgt))+100)*Historical_Wgt+(100*(1+Table13456[[#This Row],[Return]])*Today_Wgt))</f>
        <v>NM</v>
      </c>
      <c r="BM19">
        <f>IF(Table13456[[#This Row],[$Return]]&gt;=0,1,-1)</f>
        <v>-1</v>
      </c>
      <c r="BO19" s="6">
        <f t="shared" ca="1" si="28"/>
        <v>45603</v>
      </c>
      <c r="BP19">
        <f t="shared" ca="1" si="29"/>
        <v>6</v>
      </c>
      <c r="BQ19" s="3">
        <v>259090.49</v>
      </c>
      <c r="BR19" s="8">
        <v>-312.27999999999997</v>
      </c>
      <c r="BS19" s="3">
        <v>0</v>
      </c>
      <c r="BT19" s="7">
        <f>Table134568[[#This Row],[$Return]]/AVERAGE(Table134568[[#This Row],[Starting]],Table134568[[#This Row],[Starting]]+Table134568[[#This Row],[Inflows]])</f>
        <v>-1.2052931776847539E-3</v>
      </c>
      <c r="BU19" s="4">
        <f t="shared" si="11"/>
        <v>258778.21</v>
      </c>
      <c r="BV19" s="5">
        <f>IFERROR(BV18*(1+Table134568[[#This Row],[Return]]),100*(1+Table134568[[#This Row],[Return]]))</f>
        <v>101.57032951599332</v>
      </c>
      <c r="BW19" s="24" t="str">
        <f ca="1">IF(Table134568[[#This Row],[Day]]&lt;LeadDays,"NM",(AVERAGE(BT$14:BT19)/STDEV(BT$14:BT19)*SQRT(SharpePeriod)))</f>
        <v>NM</v>
      </c>
      <c r="BX19" s="20">
        <f>Table134568[[#This Row],[Index Value]]-100</f>
        <v>1.5703295159933219</v>
      </c>
      <c r="BY19" s="23" t="str">
        <f ca="1">IF(Table134568[[#This Row],[Day]]&lt;LeadDays,"NM",IF(Table134568[[#This Row],[Index Gains]]&lt;0,Table134568[[#This Row],[Index Value]],(Table134568[[#This Row],[Index Gains]]*Table134568[[#This Row],[30d_Sharpe]]*Sharpe_Wgt+Table134568[[#This Row],[Index Gains]]*(1-Sharpe_Wgt))+100))</f>
        <v>NM</v>
      </c>
      <c r="BZ19">
        <f>IF(Table134568[[#This Row],[$Return]]&gt;=0,1,-1)</f>
        <v>-1</v>
      </c>
      <c r="CB19" s="6">
        <f t="shared" ca="1" si="30"/>
        <v>45603</v>
      </c>
      <c r="CC19">
        <f t="shared" ca="1" si="31"/>
        <v>6</v>
      </c>
      <c r="CD19" s="3">
        <v>6959017.7999999998</v>
      </c>
      <c r="CE19" s="8">
        <v>3563.96</v>
      </c>
      <c r="CF19" s="3">
        <v>0</v>
      </c>
      <c r="CG19" s="7">
        <f>Table1345689[[#This Row],[$Return]]/AVERAGE(Table1345689[[#This Row],[Starting]],Table1345689[[#This Row],[Starting]]+Table1345689[[#This Row],[Inflows]])</f>
        <v>5.1213549130453442E-4</v>
      </c>
      <c r="CH19" s="4">
        <f t="shared" si="12"/>
        <v>6962581.7599999998</v>
      </c>
      <c r="CI19" s="5">
        <f>IFERROR(CI18*(1+Table1345689[[#This Row],[Return]]),100*(1+Table1345689[[#This Row],[Return]]))</f>
        <v>100.58481281906099</v>
      </c>
      <c r="CJ19" s="24" t="str">
        <f ca="1">IF(Table1345689[[#This Row],[Day]]&lt;LeadDays,"NM",(AVERAGE(CG$14:CG19)/STDEV(CG$14:CG19)*SQRT(SharpePeriod)))</f>
        <v>NM</v>
      </c>
      <c r="CK19" s="20">
        <f>Table1345689[[#This Row],[Index Value]]-100</f>
        <v>0.58481281906098559</v>
      </c>
      <c r="CL19" s="23" t="str">
        <f ca="1">IF(Table1345689[[#This Row],[Day]]&lt;LeadDays,"NM",IF(Table1345689[[#This Row],[Index Gains]]&lt;0,Table1345689[[#This Row],[Index Value]],(Table1345689[[#This Row],[Index Gains]]*Table1345689[[#This Row],[30d_Sharpe]]*Sharpe_Wgt+Table1345689[[#This Row],[Index Gains]]*(1-Sharpe_Wgt))+100))</f>
        <v>NM</v>
      </c>
      <c r="CM19">
        <f>IF(Table1345689[[#This Row],[$Return]]&gt;=0,1,-1)</f>
        <v>1</v>
      </c>
    </row>
    <row r="20" spans="2:91" x14ac:dyDescent="0.45">
      <c r="B20" s="6">
        <f t="shared" ca="1" si="16"/>
        <v>45604</v>
      </c>
      <c r="C20">
        <f t="shared" ca="1" si="13"/>
        <v>7</v>
      </c>
      <c r="D20" s="3">
        <f t="shared" ca="1" si="17"/>
        <v>100223</v>
      </c>
      <c r="E20" s="8">
        <f ca="1">RANDBETWEEN(0,RAND()/10*Table13[[#This Row],[Starting]])*Table13[[#This Row],[Rand]]</f>
        <v>2393</v>
      </c>
      <c r="F20" s="3">
        <f t="shared" ca="1" si="0"/>
        <v>254</v>
      </c>
      <c r="G20" s="7">
        <f ca="1">Table13[[#This Row],[$Return]]/AVERAGE(Table13[[#This Row],[Starting]],Table13[[#This Row],[Starting]]+Table13[[#This Row],[Inflows]])</f>
        <v>2.3846537120079721E-2</v>
      </c>
      <c r="H20" s="4">
        <f t="shared" ca="1" si="1"/>
        <v>102870</v>
      </c>
      <c r="I20" s="5">
        <f ca="1">I19*(1+Table13[[#This Row],[Return]])</f>
        <v>99.488608474503962</v>
      </c>
      <c r="J20" s="24" t="str">
        <f ca="1">IF(Table13[[#This Row],[Day]]&lt;LeadDays,"NM",(AVERAGE(G$14:G20)/STDEV(G$14:G20)*SQRT(SharpePeriod)))</f>
        <v>NM</v>
      </c>
      <c r="K20" s="20">
        <f ca="1">Table13[[#This Row],[Index Value]]-100</f>
        <v>-0.5113915254960375</v>
      </c>
      <c r="L20" s="23" t="str">
        <f ca="1">IF(Table13[[#This Row],[Day]]&lt;LeadDays,"NM",IF(Table13[[#This Row],[Index Gains]]&lt;0,Table13[[#This Row],[Index Value]],(Table13[[#This Row],[Index Gains]]*Table13[[#This Row],[30d_Sharpe]]*Sharpe_Wgt+Table13[[#This Row],[Index Gains]]*(1-Sharpe_Wgt))+100)*Historical_Wgt+(100*(1+Table13[[#This Row],[Return]])*Today_Wgt))</f>
        <v>NM</v>
      </c>
      <c r="M20">
        <f t="shared" ca="1" si="2"/>
        <v>1</v>
      </c>
      <c r="O20" s="6">
        <f t="shared" ca="1" si="18"/>
        <v>45604</v>
      </c>
      <c r="P20">
        <f t="shared" ca="1" si="14"/>
        <v>7</v>
      </c>
      <c r="Q20" s="3">
        <f t="shared" ca="1" si="19"/>
        <v>97300</v>
      </c>
      <c r="R20" s="8">
        <f ca="1">RANDBETWEEN(0,10000)*Table137[[#This Row],[Rand]]</f>
        <v>-7989</v>
      </c>
      <c r="S20" s="3">
        <f t="shared" ca="1" si="3"/>
        <v>606</v>
      </c>
      <c r="T20" s="7">
        <f ca="1">Table137[[#This Row],[$Return]]/AVERAGE(Table137[[#This Row],[Starting]],Table137[[#This Row],[Starting]]+Table137[[#This Row],[Inflows]])</f>
        <v>-8.1851992254336439E-2</v>
      </c>
      <c r="U20" s="4">
        <f t="shared" ca="1" si="4"/>
        <v>89917</v>
      </c>
      <c r="V20" s="5">
        <f ca="1">IFERROR(V19*(1+Table137[[#This Row],[Return]]),100*(1+Table137[[#This Row],[Return]]))</f>
        <v>85.811918435151156</v>
      </c>
      <c r="W20" s="24" t="str">
        <f ca="1">IF(Table137[[#This Row],[Day]]&lt;LeadDays,"NM",(AVERAGE(T$14:T20)/STDEV(T$14:T20)*SQRT(SharpePeriod)))</f>
        <v>NM</v>
      </c>
      <c r="X20" s="20">
        <f ca="1">Table137[[#This Row],[Index Value]]-100</f>
        <v>-14.188081564848844</v>
      </c>
      <c r="Y20" s="23" t="str">
        <f ca="1">IF(Table137[[#This Row],[Day]]&lt;LeadDays,"NM",IF(Table137[[#This Row],[Index Gains]]&lt;0,Table137[[#This Row],[Index Value]],(Table137[[#This Row],[Index Gains]]*Table137[[#This Row],[30d_Sharpe]]*Sharpe_Wgt+Table137[[#This Row],[Index Gains]]*(1-Sharpe_Wgt))+100)*Historical_Wgt+(100*(1+Table137[[#This Row],[Return]])*Today_Wgt))</f>
        <v>NM</v>
      </c>
      <c r="Z20">
        <f t="shared" ca="1" si="5"/>
        <v>-1</v>
      </c>
      <c r="AB20" s="6">
        <f t="shared" ca="1" si="20"/>
        <v>45604</v>
      </c>
      <c r="AC20">
        <f t="shared" ca="1" si="15"/>
        <v>7</v>
      </c>
      <c r="AD20" s="3">
        <f t="shared" ca="1" si="21"/>
        <v>101364</v>
      </c>
      <c r="AE20" s="8">
        <f ca="1">RANDBETWEEN(0,1000)*Table134[[#This Row],[Rand]]</f>
        <v>541</v>
      </c>
      <c r="AF20" s="3">
        <v>0</v>
      </c>
      <c r="AG20" s="7">
        <f ca="1">Table134[[#This Row],[$Return]]/AVERAGE(Table134[[#This Row],[Starting]],Table134[[#This Row],[Starting]]+Table134[[#This Row],[Inflows]])</f>
        <v>5.3372005840337791E-3</v>
      </c>
      <c r="AH20" s="4">
        <f t="shared" ca="1" si="6"/>
        <v>101905</v>
      </c>
      <c r="AI20" s="5">
        <f ca="1">IFERROR(AI19*(1+Table134[[#This Row],[Return]]),100*(1+Table134[[#This Row],[Return]]))</f>
        <v>101.90500000000002</v>
      </c>
      <c r="AJ20" s="24" t="str">
        <f ca="1">IF(Table134[[#This Row],[Day]]&lt;LeadDays,"NM",(AVERAGE(AG$14:AG20)/STDEV(AG$14:AG20)*SQRT(SharpePeriod)))</f>
        <v>NM</v>
      </c>
      <c r="AK20" s="20">
        <f ca="1">Table134[[#This Row],[Index Value]]-100</f>
        <v>1.9050000000000153</v>
      </c>
      <c r="AL20" s="23" t="str">
        <f ca="1">IF(Table134[[#This Row],[Day]]&lt;LeadDays,"NM",IF(Table134[[#This Row],[Index Gains]]&lt;0,Table134[[#This Row],[Index Value]],(Table134[[#This Row],[Index Gains]]*Table134[[#This Row],[30d_Sharpe]]*Sharpe_Wgt+Table134[[#This Row],[Index Gains]]*(1-Sharpe_Wgt))+100)*Historical_Wgt+(100*(1+Table134[[#This Row],[Return]])*Today_Wgt))</f>
        <v>NM</v>
      </c>
      <c r="AM20">
        <f t="shared" ca="1" si="7"/>
        <v>1</v>
      </c>
      <c r="AO20" s="6">
        <f t="shared" ca="1" si="22"/>
        <v>45604</v>
      </c>
      <c r="AP20">
        <f t="shared" ca="1" si="23"/>
        <v>7</v>
      </c>
      <c r="AQ20" s="3">
        <f t="shared" ca="1" si="24"/>
        <v>230982</v>
      </c>
      <c r="AR20" s="8">
        <v>-50000</v>
      </c>
      <c r="AS20" s="3">
        <v>0</v>
      </c>
      <c r="AT20" s="7">
        <f ca="1">Table1345[[#This Row],[$Return]]/AVERAGE(Table1345[[#This Row],[Starting]],Table1345[[#This Row],[Starting]]+Table1345[[#This Row],[Inflows]])</f>
        <v>-0.21646708401520465</v>
      </c>
      <c r="AU20" s="4">
        <f t="shared" ca="1" si="8"/>
        <v>180982</v>
      </c>
      <c r="AV20" s="5">
        <f ca="1">IFERROR(AV19*(1+Table1345[[#This Row],[Return]]),100*(1+Table1345[[#This Row],[Return]]))</f>
        <v>180.982</v>
      </c>
      <c r="AW20" s="24" t="str">
        <f ca="1">IF(Table1345[[#This Row],[Day]]&lt;LeadDays,"NM",(AVERAGE(AT$14:AT20)/STDEV(AT$14:AT20)*SQRT(SharpePeriod)))</f>
        <v>NM</v>
      </c>
      <c r="AX20" s="20">
        <f ca="1">Table1345[[#This Row],[Index Value]]-100</f>
        <v>80.981999999999999</v>
      </c>
      <c r="AY20" s="23" t="str">
        <f ca="1">IF(Table1345[[#This Row],[Day]]&lt;LeadDays,"NM",IF(Table1345[[#This Row],[Index Gains]]&lt;0,Table1345[[#This Row],[Index Value]],(Table1345[[#This Row],[Index Gains]]*Table1345[[#This Row],[30d_Sharpe]]*Sharpe_Wgt+Table1345[[#This Row],[Index Gains]]*(1-Sharpe_Wgt))+100)*Historical_Wgt+(100*(1+Table1345[[#This Row],[Return]])*Today_Wgt))</f>
        <v>NM</v>
      </c>
      <c r="AZ20">
        <f t="shared" ca="1" si="9"/>
        <v>-1</v>
      </c>
      <c r="BB20" s="6">
        <f t="shared" ca="1" si="25"/>
        <v>45604</v>
      </c>
      <c r="BC20">
        <f t="shared" ca="1" si="26"/>
        <v>7</v>
      </c>
      <c r="BD20" s="3">
        <f t="shared" si="27"/>
        <v>135000</v>
      </c>
      <c r="BE20" s="8">
        <v>62000</v>
      </c>
      <c r="BF20" s="3">
        <v>0</v>
      </c>
      <c r="BG20" s="7">
        <f>Table13456[[#This Row],[$Return]]/AVERAGE(Table13456[[#This Row],[Starting]],Table13456[[#This Row],[Starting]]+Table13456[[#This Row],[Inflows]])</f>
        <v>0.45925925925925926</v>
      </c>
      <c r="BH20" s="4">
        <f t="shared" si="10"/>
        <v>197000</v>
      </c>
      <c r="BI20" s="5">
        <f>IFERROR(BI19*(1+Table13456[[#This Row],[Return]]),100*(1+Table13456[[#This Row],[Return]]))</f>
        <v>197</v>
      </c>
      <c r="BJ20" s="24" t="str">
        <f ca="1">IF(Table13456[[#This Row],[Day]]&lt;LeadDays,"NM",(AVERAGE(BG$14:BG20)/STDEV(BG$14:BG20)*SQRT(SharpePeriod)))</f>
        <v>NM</v>
      </c>
      <c r="BK20" s="20">
        <f>Table13456[[#This Row],[Index Value]]-100</f>
        <v>97</v>
      </c>
      <c r="BL20" s="23" t="str">
        <f ca="1">IF(Table13456[[#This Row],[Day]]&lt;LeadDays,"NM",IF(Table13456[[#This Row],[Index Gains]]&lt;0,Table13456[[#This Row],[Index Value]],(Table13456[[#This Row],[Index Gains]]*Table13456[[#This Row],[30d_Sharpe]]*Sharpe_Wgt+Table13456[[#This Row],[Index Gains]]*(1-Sharpe_Wgt))+100)*Historical_Wgt+(100*(1+Table13456[[#This Row],[Return]])*Today_Wgt))</f>
        <v>NM</v>
      </c>
      <c r="BM20">
        <f>IF(Table13456[[#This Row],[$Return]]&gt;=0,1,-1)</f>
        <v>1</v>
      </c>
      <c r="BO20" s="6">
        <f t="shared" ca="1" si="28"/>
        <v>45604</v>
      </c>
      <c r="BP20">
        <f t="shared" ca="1" si="29"/>
        <v>7</v>
      </c>
      <c r="BQ20" s="3">
        <v>260549.97</v>
      </c>
      <c r="BR20" s="8">
        <v>1459.48</v>
      </c>
      <c r="BS20" s="3">
        <v>0</v>
      </c>
      <c r="BT20" s="7">
        <f>Table134568[[#This Row],[$Return]]/AVERAGE(Table134568[[#This Row],[Starting]],Table134568[[#This Row],[Starting]]+Table134568[[#This Row],[Inflows]])</f>
        <v>5.6015358589371553E-3</v>
      </c>
      <c r="BU20" s="4">
        <f t="shared" si="11"/>
        <v>262009.45</v>
      </c>
      <c r="BV20" s="5">
        <f>IFERROR(BV19*(1+Table134568[[#This Row],[Return]]),100*(1+Table134568[[#This Row],[Return]]))</f>
        <v>102.13927935898123</v>
      </c>
      <c r="BW20" s="24" t="str">
        <f ca="1">IF(Table134568[[#This Row],[Day]]&lt;LeadDays,"NM",(AVERAGE(BT$14:BT20)/STDEV(BT$14:BT20)*SQRT(SharpePeriod)))</f>
        <v>NM</v>
      </c>
      <c r="BX20" s="20">
        <f>Table134568[[#This Row],[Index Value]]-100</f>
        <v>2.1392793589812271</v>
      </c>
      <c r="BY20" s="23" t="str">
        <f ca="1">IF(Table134568[[#This Row],[Day]]&lt;LeadDays,"NM",IF(Table134568[[#This Row],[Index Gains]]&lt;0,Table134568[[#This Row],[Index Value]],(Table134568[[#This Row],[Index Gains]]*Table134568[[#This Row],[30d_Sharpe]]*Sharpe_Wgt+Table134568[[#This Row],[Index Gains]]*(1-Sharpe_Wgt))+100))</f>
        <v>NM</v>
      </c>
      <c r="BZ20">
        <f>IF(Table134568[[#This Row],[$Return]]&gt;=0,1,-1)</f>
        <v>1</v>
      </c>
      <c r="CB20" s="6">
        <f t="shared" ca="1" si="30"/>
        <v>45604</v>
      </c>
      <c r="CC20">
        <f t="shared" ca="1" si="31"/>
        <v>7</v>
      </c>
      <c r="CD20" s="3">
        <v>6969589.6699999999</v>
      </c>
      <c r="CE20" s="8">
        <v>10571.87</v>
      </c>
      <c r="CF20" s="3">
        <v>0</v>
      </c>
      <c r="CG20" s="7">
        <f>Table1345689[[#This Row],[$Return]]/AVERAGE(Table1345689[[#This Row],[Starting]],Table1345689[[#This Row],[Starting]]+Table1345689[[#This Row],[Inflows]])</f>
        <v>1.5168568740145073E-3</v>
      </c>
      <c r="CH20" s="4">
        <f t="shared" si="12"/>
        <v>6980161.54</v>
      </c>
      <c r="CI20" s="5">
        <f>IFERROR(CI19*(1+Table1345689[[#This Row],[Return]]),100*(1+Table1345689[[#This Row],[Return]]))</f>
        <v>100.73738558380704</v>
      </c>
      <c r="CJ20" s="24" t="str">
        <f ca="1">IF(Table1345689[[#This Row],[Day]]&lt;LeadDays,"NM",(AVERAGE(CG$14:CG20)/STDEV(CG$14:CG20)*SQRT(SharpePeriod)))</f>
        <v>NM</v>
      </c>
      <c r="CK20" s="20">
        <f>Table1345689[[#This Row],[Index Value]]-100</f>
        <v>0.73738558380703978</v>
      </c>
      <c r="CL20" s="23" t="str">
        <f ca="1">IF(Table1345689[[#This Row],[Day]]&lt;LeadDays,"NM",IF(Table1345689[[#This Row],[Index Gains]]&lt;0,Table1345689[[#This Row],[Index Value]],(Table1345689[[#This Row],[Index Gains]]*Table1345689[[#This Row],[30d_Sharpe]]*Sharpe_Wgt+Table1345689[[#This Row],[Index Gains]]*(1-Sharpe_Wgt))+100))</f>
        <v>NM</v>
      </c>
      <c r="CM20">
        <f>IF(Table1345689[[#This Row],[$Return]]&gt;=0,1,-1)</f>
        <v>1</v>
      </c>
    </row>
    <row r="21" spans="2:91" x14ac:dyDescent="0.45">
      <c r="B21" s="6">
        <f t="shared" ca="1" si="16"/>
        <v>45605</v>
      </c>
      <c r="C21">
        <f t="shared" ca="1" si="13"/>
        <v>8</v>
      </c>
      <c r="D21" s="3">
        <f t="shared" ca="1" si="17"/>
        <v>102870</v>
      </c>
      <c r="E21" s="8">
        <f ca="1">RANDBETWEEN(0,RAND()/10*Table13[[#This Row],[Starting]])*Table13[[#This Row],[Rand]]</f>
        <v>950</v>
      </c>
      <c r="F21" s="3">
        <f t="shared" ca="1" si="0"/>
        <v>263</v>
      </c>
      <c r="G21" s="7">
        <f ca="1">Table13[[#This Row],[$Return]]/AVERAGE(Table13[[#This Row],[Starting]],Table13[[#This Row],[Starting]]+Table13[[#This Row],[Inflows]])</f>
        <v>9.2231666529128224E-3</v>
      </c>
      <c r="H21" s="4">
        <f t="shared" ca="1" si="1"/>
        <v>104083</v>
      </c>
      <c r="I21" s="5">
        <f ca="1">I20*(1+Table13[[#This Row],[Return]])</f>
        <v>100.4062084905307</v>
      </c>
      <c r="J21" s="24" t="str">
        <f ca="1">IF(Table13[[#This Row],[Day]]&lt;LeadDays,"NM",(AVERAGE(G$14:G21)/STDEV(G$14:G21)*SQRT(SharpePeriod)))</f>
        <v>NM</v>
      </c>
      <c r="K21" s="20">
        <f ca="1">Table13[[#This Row],[Index Value]]-100</f>
        <v>0.40620849053070174</v>
      </c>
      <c r="L21" s="23" t="str">
        <f ca="1">IF(Table13[[#This Row],[Day]]&lt;LeadDays,"NM",IF(Table13[[#This Row],[Index Gains]]&lt;0,Table13[[#This Row],[Index Value]],(Table13[[#This Row],[Index Gains]]*Table13[[#This Row],[30d_Sharpe]]*Sharpe_Wgt+Table13[[#This Row],[Index Gains]]*(1-Sharpe_Wgt))+100)*Historical_Wgt+(100*(1+Table13[[#This Row],[Return]])*Today_Wgt))</f>
        <v>NM</v>
      </c>
      <c r="M21">
        <f t="shared" ca="1" si="2"/>
        <v>1</v>
      </c>
      <c r="O21" s="6">
        <f t="shared" ca="1" si="18"/>
        <v>45605</v>
      </c>
      <c r="P21">
        <f t="shared" ca="1" si="14"/>
        <v>8</v>
      </c>
      <c r="Q21" s="3">
        <f t="shared" ca="1" si="19"/>
        <v>89917</v>
      </c>
      <c r="R21" s="8">
        <f ca="1">RANDBETWEEN(0,10000)*Table137[[#This Row],[Rand]]</f>
        <v>7855</v>
      </c>
      <c r="S21" s="3">
        <f t="shared" ca="1" si="3"/>
        <v>484</v>
      </c>
      <c r="T21" s="7">
        <f ca="1">Table137[[#This Row],[$Return]]/AVERAGE(Table137[[#This Row],[Starting]],Table137[[#This Row],[Starting]]+Table137[[#This Row],[Inflows]])</f>
        <v>8.7123858960281284E-2</v>
      </c>
      <c r="U21" s="4">
        <f t="shared" ca="1" si="4"/>
        <v>98256</v>
      </c>
      <c r="V21" s="5">
        <f ca="1">IFERROR(V20*(1+Table137[[#This Row],[Return]]),100*(1+Table137[[#This Row],[Return]]))</f>
        <v>93.288183914006424</v>
      </c>
      <c r="W21" s="24" t="str">
        <f ca="1">IF(Table137[[#This Row],[Day]]&lt;LeadDays,"NM",(AVERAGE(T$14:T21)/STDEV(T$14:T21)*SQRT(SharpePeriod)))</f>
        <v>NM</v>
      </c>
      <c r="X21" s="20">
        <f ca="1">Table137[[#This Row],[Index Value]]-100</f>
        <v>-6.7118160859935756</v>
      </c>
      <c r="Y21" s="23" t="str">
        <f ca="1">IF(Table137[[#This Row],[Day]]&lt;LeadDays,"NM",IF(Table137[[#This Row],[Index Gains]]&lt;0,Table137[[#This Row],[Index Value]],(Table137[[#This Row],[Index Gains]]*Table137[[#This Row],[30d_Sharpe]]*Sharpe_Wgt+Table137[[#This Row],[Index Gains]]*(1-Sharpe_Wgt))+100)*Historical_Wgt+(100*(1+Table137[[#This Row],[Return]])*Today_Wgt))</f>
        <v>NM</v>
      </c>
      <c r="Z21">
        <f t="shared" ca="1" si="5"/>
        <v>1</v>
      </c>
      <c r="AB21" s="6">
        <f t="shared" ca="1" si="20"/>
        <v>45605</v>
      </c>
      <c r="AC21">
        <f t="shared" ca="1" si="15"/>
        <v>8</v>
      </c>
      <c r="AD21" s="3">
        <f t="shared" ca="1" si="21"/>
        <v>101905</v>
      </c>
      <c r="AE21" s="8">
        <f ca="1">RANDBETWEEN(0,1000)*Table134[[#This Row],[Rand]]</f>
        <v>-272</v>
      </c>
      <c r="AF21" s="3">
        <v>0</v>
      </c>
      <c r="AG21" s="7">
        <f ca="1">Table134[[#This Row],[$Return]]/AVERAGE(Table134[[#This Row],[Starting]],Table134[[#This Row],[Starting]]+Table134[[#This Row],[Inflows]])</f>
        <v>-2.669152642166724E-3</v>
      </c>
      <c r="AH21" s="4">
        <f t="shared" ca="1" si="6"/>
        <v>101633</v>
      </c>
      <c r="AI21" s="5">
        <f ca="1">IFERROR(AI20*(1+Table134[[#This Row],[Return]]),100*(1+Table134[[#This Row],[Return]]))</f>
        <v>101.63300000000001</v>
      </c>
      <c r="AJ21" s="24" t="str">
        <f ca="1">IF(Table134[[#This Row],[Day]]&lt;LeadDays,"NM",(AVERAGE(AG$14:AG21)/STDEV(AG$14:AG21)*SQRT(SharpePeriod)))</f>
        <v>NM</v>
      </c>
      <c r="AK21" s="20">
        <f ca="1">Table134[[#This Row],[Index Value]]-100</f>
        <v>1.6330000000000098</v>
      </c>
      <c r="AL21" s="23" t="str">
        <f ca="1">IF(Table134[[#This Row],[Day]]&lt;LeadDays,"NM",IF(Table134[[#This Row],[Index Gains]]&lt;0,Table134[[#This Row],[Index Value]],(Table134[[#This Row],[Index Gains]]*Table134[[#This Row],[30d_Sharpe]]*Sharpe_Wgt+Table134[[#This Row],[Index Gains]]*(1-Sharpe_Wgt))+100)*Historical_Wgt+(100*(1+Table134[[#This Row],[Return]])*Today_Wgt))</f>
        <v>NM</v>
      </c>
      <c r="AM21">
        <f t="shared" ca="1" si="7"/>
        <v>-1</v>
      </c>
      <c r="AO21" s="6">
        <f t="shared" ca="1" si="22"/>
        <v>45605</v>
      </c>
      <c r="AP21">
        <f t="shared" ca="1" si="23"/>
        <v>8</v>
      </c>
      <c r="AQ21" s="3">
        <f t="shared" ca="1" si="24"/>
        <v>180982</v>
      </c>
      <c r="AR21" s="8">
        <v>20000</v>
      </c>
      <c r="AS21" s="3">
        <v>0</v>
      </c>
      <c r="AT21" s="7">
        <f ca="1">Table1345[[#This Row],[$Return]]/AVERAGE(Table1345[[#This Row],[Starting]],Table1345[[#This Row],[Starting]]+Table1345[[#This Row],[Inflows]])</f>
        <v>0.11050822733752527</v>
      </c>
      <c r="AU21" s="4">
        <f t="shared" ca="1" si="8"/>
        <v>200982</v>
      </c>
      <c r="AV21" s="5">
        <f ca="1">IFERROR(AV20*(1+Table1345[[#This Row],[Return]]),100*(1+Table1345[[#This Row],[Return]]))</f>
        <v>200.982</v>
      </c>
      <c r="AW21" s="24" t="str">
        <f ca="1">IF(Table1345[[#This Row],[Day]]&lt;LeadDays,"NM",(AVERAGE(AT$14:AT21)/STDEV(AT$14:AT21)*SQRT(SharpePeriod)))</f>
        <v>NM</v>
      </c>
      <c r="AX21" s="20">
        <f ca="1">Table1345[[#This Row],[Index Value]]-100</f>
        <v>100.982</v>
      </c>
      <c r="AY21" s="23" t="str">
        <f ca="1">IF(Table1345[[#This Row],[Day]]&lt;LeadDays,"NM",IF(Table1345[[#This Row],[Index Gains]]&lt;0,Table1345[[#This Row],[Index Value]],(Table1345[[#This Row],[Index Gains]]*Table1345[[#This Row],[30d_Sharpe]]*Sharpe_Wgt+Table1345[[#This Row],[Index Gains]]*(1-Sharpe_Wgt))+100)*Historical_Wgt+(100*(1+Table1345[[#This Row],[Return]])*Today_Wgt))</f>
        <v>NM</v>
      </c>
      <c r="AZ21">
        <f t="shared" ca="1" si="9"/>
        <v>1</v>
      </c>
      <c r="BB21" s="6">
        <f t="shared" ca="1" si="25"/>
        <v>45605</v>
      </c>
      <c r="BC21">
        <f t="shared" ca="1" si="26"/>
        <v>8</v>
      </c>
      <c r="BD21" s="3">
        <f t="shared" si="27"/>
        <v>197000</v>
      </c>
      <c r="BE21" s="8">
        <v>-20000</v>
      </c>
      <c r="BF21" s="3">
        <v>0</v>
      </c>
      <c r="BG21" s="7">
        <f>Table13456[[#This Row],[$Return]]/AVERAGE(Table13456[[#This Row],[Starting]],Table13456[[#This Row],[Starting]]+Table13456[[#This Row],[Inflows]])</f>
        <v>-0.10152284263959391</v>
      </c>
      <c r="BH21" s="4">
        <f t="shared" si="10"/>
        <v>177000</v>
      </c>
      <c r="BI21" s="5">
        <f>IFERROR(BI20*(1+Table13456[[#This Row],[Return]]),100*(1+Table13456[[#This Row],[Return]]))</f>
        <v>177</v>
      </c>
      <c r="BJ21" s="24" t="str">
        <f ca="1">IF(Table13456[[#This Row],[Day]]&lt;LeadDays,"NM",(AVERAGE(BG$14:BG21)/STDEV(BG$14:BG21)*SQRT(SharpePeriod)))</f>
        <v>NM</v>
      </c>
      <c r="BK21" s="20">
        <f>Table13456[[#This Row],[Index Value]]-100</f>
        <v>77</v>
      </c>
      <c r="BL21" s="23" t="str">
        <f ca="1">IF(Table13456[[#This Row],[Day]]&lt;LeadDays,"NM",IF(Table13456[[#This Row],[Index Gains]]&lt;0,Table13456[[#This Row],[Index Value]],(Table13456[[#This Row],[Index Gains]]*Table13456[[#This Row],[30d_Sharpe]]*Sharpe_Wgt+Table13456[[#This Row],[Index Gains]]*(1-Sharpe_Wgt))+100)*Historical_Wgt+(100*(1+Table13456[[#This Row],[Return]])*Today_Wgt))</f>
        <v>NM</v>
      </c>
      <c r="BM21">
        <f>IF(Table13456[[#This Row],[$Return]]&gt;=0,1,-1)</f>
        <v>-1</v>
      </c>
      <c r="BO21" s="6">
        <f t="shared" ca="1" si="28"/>
        <v>45605</v>
      </c>
      <c r="BP21">
        <f t="shared" ca="1" si="29"/>
        <v>8</v>
      </c>
      <c r="BQ21" s="3">
        <v>259716.6</v>
      </c>
      <c r="BR21" s="8">
        <v>-833.37</v>
      </c>
      <c r="BS21" s="3">
        <v>0</v>
      </c>
      <c r="BT21" s="7">
        <f>Table134568[[#This Row],[$Return]]/AVERAGE(Table134568[[#This Row],[Starting]],Table134568[[#This Row],[Starting]]+Table134568[[#This Row],[Inflows]])</f>
        <v>-3.2087667865665884E-3</v>
      </c>
      <c r="BU21" s="4">
        <f t="shared" si="11"/>
        <v>258883.23</v>
      </c>
      <c r="BV21" s="5">
        <f>IFERROR(BV20*(1+Table134568[[#This Row],[Return]]),100*(1+Table134568[[#This Row],[Return]]))</f>
        <v>101.81153823177029</v>
      </c>
      <c r="BW21" s="24" t="str">
        <f ca="1">IF(Table134568[[#This Row],[Day]]&lt;LeadDays,"NM",(AVERAGE(BT$14:BT21)/STDEV(BT$14:BT21)*SQRT(SharpePeriod)))</f>
        <v>NM</v>
      </c>
      <c r="BX21" s="20">
        <f>Table134568[[#This Row],[Index Value]]-100</f>
        <v>1.8115382317702853</v>
      </c>
      <c r="BY21" s="23" t="str">
        <f ca="1">IF(Table134568[[#This Row],[Day]]&lt;LeadDays,"NM",IF(Table134568[[#This Row],[Index Gains]]&lt;0,Table134568[[#This Row],[Index Value]],(Table134568[[#This Row],[Index Gains]]*Table134568[[#This Row],[30d_Sharpe]]*Sharpe_Wgt+Table134568[[#This Row],[Index Gains]]*(1-Sharpe_Wgt))+100))</f>
        <v>NM</v>
      </c>
      <c r="BZ21">
        <f>IF(Table134568[[#This Row],[$Return]]&gt;=0,1,-1)</f>
        <v>-1</v>
      </c>
      <c r="CB21" s="6">
        <f t="shared" ca="1" si="30"/>
        <v>45605</v>
      </c>
      <c r="CC21">
        <f t="shared" ca="1" si="31"/>
        <v>8</v>
      </c>
      <c r="CD21" s="3">
        <v>6979311.7699999996</v>
      </c>
      <c r="CE21" s="8">
        <v>9722.11</v>
      </c>
      <c r="CF21" s="3">
        <v>-1700000</v>
      </c>
      <c r="CG21" s="7">
        <f>Table1345689[[#This Row],[$Return]]/AVERAGE(Table1345689[[#This Row],[Starting]],Table1345689[[#This Row],[Starting]]+Table1345689[[#This Row],[Inflows]])</f>
        <v>1.5861666635371692E-3</v>
      </c>
      <c r="CH21" s="4">
        <f t="shared" si="12"/>
        <v>5289033.88</v>
      </c>
      <c r="CI21" s="5">
        <f>IFERROR(CI20*(1+Table1345689[[#This Row],[Return]]),100*(1+Table1345689[[#This Row],[Return]]))</f>
        <v>100.89717186659195</v>
      </c>
      <c r="CJ21" s="24" t="str">
        <f ca="1">IF(Table1345689[[#This Row],[Day]]&lt;LeadDays,"NM",(AVERAGE(CG$14:CG21)/STDEV(CG$14:CG21)*SQRT(SharpePeriod)))</f>
        <v>NM</v>
      </c>
      <c r="CK21" s="20">
        <f>Table1345689[[#This Row],[Index Value]]-100</f>
        <v>0.89717186659194681</v>
      </c>
      <c r="CL21" s="23" t="str">
        <f ca="1">IF(Table1345689[[#This Row],[Day]]&lt;LeadDays,"NM",IF(Table1345689[[#This Row],[Index Gains]]&lt;0,Table1345689[[#This Row],[Index Value]],(Table1345689[[#This Row],[Index Gains]]*Table1345689[[#This Row],[30d_Sharpe]]*Sharpe_Wgt+Table1345689[[#This Row],[Index Gains]]*(1-Sharpe_Wgt))+100))</f>
        <v>NM</v>
      </c>
      <c r="CM21">
        <f>IF(Table1345689[[#This Row],[$Return]]&gt;=0,1,-1)</f>
        <v>1</v>
      </c>
    </row>
    <row r="22" spans="2:91" x14ac:dyDescent="0.45">
      <c r="B22" s="6">
        <f t="shared" ca="1" si="16"/>
        <v>45606</v>
      </c>
      <c r="C22">
        <f t="shared" ca="1" si="13"/>
        <v>9</v>
      </c>
      <c r="D22" s="3">
        <f t="shared" ca="1" si="17"/>
        <v>104083</v>
      </c>
      <c r="E22" s="8">
        <f ca="1">RANDBETWEEN(0,RAND()/10*Table13[[#This Row],[Starting]])*Table13[[#This Row],[Rand]]</f>
        <v>4405</v>
      </c>
      <c r="F22" s="3">
        <f t="shared" ca="1" si="0"/>
        <v>648</v>
      </c>
      <c r="G22" s="7">
        <f ca="1">Table13[[#This Row],[$Return]]/AVERAGE(Table13[[#This Row],[Starting]],Table13[[#This Row],[Starting]]+Table13[[#This Row],[Inflows]])</f>
        <v>4.219065771452106E-2</v>
      </c>
      <c r="H22" s="4">
        <f t="shared" ca="1" si="1"/>
        <v>109136</v>
      </c>
      <c r="I22" s="5">
        <f ca="1">I21*(1+Table13[[#This Row],[Return]])</f>
        <v>104.64241246536751</v>
      </c>
      <c r="J22" s="24" t="str">
        <f ca="1">IF(Table13[[#This Row],[Day]]&lt;LeadDays,"NM",(AVERAGE(G$14:G22)/STDEV(G$14:G22)*SQRT(SharpePeriod)))</f>
        <v>NM</v>
      </c>
      <c r="K22" s="20">
        <f ca="1">Table13[[#This Row],[Index Value]]-100</f>
        <v>4.6424124653675136</v>
      </c>
      <c r="L22" s="23" t="str">
        <f ca="1">IF(Table13[[#This Row],[Day]]&lt;LeadDays,"NM",IF(Table13[[#This Row],[Index Gains]]&lt;0,Table13[[#This Row],[Index Value]],(Table13[[#This Row],[Index Gains]]*Table13[[#This Row],[30d_Sharpe]]*Sharpe_Wgt+Table13[[#This Row],[Index Gains]]*(1-Sharpe_Wgt))+100)*Historical_Wgt+(100*(1+Table13[[#This Row],[Return]])*Today_Wgt))</f>
        <v>NM</v>
      </c>
      <c r="M22">
        <f t="shared" ca="1" si="2"/>
        <v>1</v>
      </c>
      <c r="O22" s="6">
        <f t="shared" ca="1" si="18"/>
        <v>45606</v>
      </c>
      <c r="P22">
        <f t="shared" ca="1" si="14"/>
        <v>9</v>
      </c>
      <c r="Q22" s="3">
        <f t="shared" ca="1" si="19"/>
        <v>98256</v>
      </c>
      <c r="R22" s="8">
        <f ca="1">RANDBETWEEN(0,10000)*Table137[[#This Row],[Rand]]</f>
        <v>-3139</v>
      </c>
      <c r="S22" s="3">
        <f t="shared" ca="1" si="3"/>
        <v>282</v>
      </c>
      <c r="T22" s="7">
        <f ca="1">Table137[[#This Row],[$Return]]/AVERAGE(Table137[[#This Row],[Starting]],Table137[[#This Row],[Starting]]+Table137[[#This Row],[Inflows]])</f>
        <v>-3.1901379107086597E-2</v>
      </c>
      <c r="U22" s="4">
        <f t="shared" ca="1" si="4"/>
        <v>95399</v>
      </c>
      <c r="V22" s="5">
        <f ca="1">IFERROR(V21*(1+Table137[[#This Row],[Return]]),100*(1+Table137[[#This Row],[Return]]))</f>
        <v>90.312162192754087</v>
      </c>
      <c r="W22" s="24" t="str">
        <f ca="1">IF(Table137[[#This Row],[Day]]&lt;LeadDays,"NM",(AVERAGE(T$14:T22)/STDEV(T$14:T22)*SQRT(SharpePeriod)))</f>
        <v>NM</v>
      </c>
      <c r="X22" s="20">
        <f ca="1">Table137[[#This Row],[Index Value]]-100</f>
        <v>-9.6878378072459128</v>
      </c>
      <c r="Y22" s="23" t="str">
        <f ca="1">IF(Table137[[#This Row],[Day]]&lt;LeadDays,"NM",IF(Table137[[#This Row],[Index Gains]]&lt;0,Table137[[#This Row],[Index Value]],(Table137[[#This Row],[Index Gains]]*Table137[[#This Row],[30d_Sharpe]]*Sharpe_Wgt+Table137[[#This Row],[Index Gains]]*(1-Sharpe_Wgt))+100)*Historical_Wgt+(100*(1+Table137[[#This Row],[Return]])*Today_Wgt))</f>
        <v>NM</v>
      </c>
      <c r="Z22">
        <f t="shared" ca="1" si="5"/>
        <v>-1</v>
      </c>
      <c r="AB22" s="6">
        <f t="shared" ca="1" si="20"/>
        <v>45606</v>
      </c>
      <c r="AC22">
        <f t="shared" ca="1" si="15"/>
        <v>9</v>
      </c>
      <c r="AD22" s="3">
        <f t="shared" ca="1" si="21"/>
        <v>101633</v>
      </c>
      <c r="AE22" s="8">
        <f ca="1">RANDBETWEEN(0,1000)*Table134[[#This Row],[Rand]]</f>
        <v>-927</v>
      </c>
      <c r="AF22" s="3">
        <v>0</v>
      </c>
      <c r="AG22" s="7">
        <f ca="1">Table134[[#This Row],[$Return]]/AVERAGE(Table134[[#This Row],[Starting]],Table134[[#This Row],[Starting]]+Table134[[#This Row],[Inflows]])</f>
        <v>-9.1210532012240119E-3</v>
      </c>
      <c r="AH22" s="4">
        <f t="shared" ca="1" si="6"/>
        <v>100706</v>
      </c>
      <c r="AI22" s="5">
        <f ca="1">IFERROR(AI21*(1+Table134[[#This Row],[Return]]),100*(1+Table134[[#This Row],[Return]]))</f>
        <v>100.706</v>
      </c>
      <c r="AJ22" s="24" t="str">
        <f ca="1">IF(Table134[[#This Row],[Day]]&lt;LeadDays,"NM",(AVERAGE(AG$14:AG22)/STDEV(AG$14:AG22)*SQRT(SharpePeriod)))</f>
        <v>NM</v>
      </c>
      <c r="AK22" s="20">
        <f ca="1">Table134[[#This Row],[Index Value]]-100</f>
        <v>0.70600000000000307</v>
      </c>
      <c r="AL22" s="23" t="str">
        <f ca="1">IF(Table134[[#This Row],[Day]]&lt;LeadDays,"NM",IF(Table134[[#This Row],[Index Gains]]&lt;0,Table134[[#This Row],[Index Value]],(Table134[[#This Row],[Index Gains]]*Table134[[#This Row],[30d_Sharpe]]*Sharpe_Wgt+Table134[[#This Row],[Index Gains]]*(1-Sharpe_Wgt))+100)*Historical_Wgt+(100*(1+Table134[[#This Row],[Return]])*Today_Wgt))</f>
        <v>NM</v>
      </c>
      <c r="AM22">
        <f t="shared" ca="1" si="7"/>
        <v>-1</v>
      </c>
      <c r="AO22" s="6">
        <f t="shared" ca="1" si="22"/>
        <v>45606</v>
      </c>
      <c r="AP22">
        <f t="shared" ca="1" si="23"/>
        <v>9</v>
      </c>
      <c r="AQ22" s="3">
        <f t="shared" ca="1" si="24"/>
        <v>200982</v>
      </c>
      <c r="AR22" s="8">
        <v>-10000</v>
      </c>
      <c r="AS22" s="3">
        <v>0</v>
      </c>
      <c r="AT22" s="7">
        <f ca="1">Table1345[[#This Row],[$Return]]/AVERAGE(Table1345[[#This Row],[Starting]],Table1345[[#This Row],[Starting]]+Table1345[[#This Row],[Inflows]])</f>
        <v>-4.975569951537949E-2</v>
      </c>
      <c r="AU22" s="4">
        <f t="shared" ca="1" si="8"/>
        <v>190982</v>
      </c>
      <c r="AV22" s="5">
        <f ca="1">IFERROR(AV21*(1+Table1345[[#This Row],[Return]]),100*(1+Table1345[[#This Row],[Return]]))</f>
        <v>190.982</v>
      </c>
      <c r="AW22" s="24" t="str">
        <f ca="1">IF(Table1345[[#This Row],[Day]]&lt;LeadDays,"NM",(AVERAGE(AT$14:AT22)/STDEV(AT$14:AT22)*SQRT(SharpePeriod)))</f>
        <v>NM</v>
      </c>
      <c r="AX22" s="20">
        <f ca="1">Table1345[[#This Row],[Index Value]]-100</f>
        <v>90.981999999999999</v>
      </c>
      <c r="AY22" s="23" t="str">
        <f ca="1">IF(Table1345[[#This Row],[Day]]&lt;LeadDays,"NM",IF(Table1345[[#This Row],[Index Gains]]&lt;0,Table1345[[#This Row],[Index Value]],(Table1345[[#This Row],[Index Gains]]*Table1345[[#This Row],[30d_Sharpe]]*Sharpe_Wgt+Table1345[[#This Row],[Index Gains]]*(1-Sharpe_Wgt))+100)*Historical_Wgt+(100*(1+Table1345[[#This Row],[Return]])*Today_Wgt))</f>
        <v>NM</v>
      </c>
      <c r="AZ22">
        <f t="shared" ca="1" si="9"/>
        <v>1</v>
      </c>
      <c r="BB22" s="6">
        <f t="shared" ca="1" si="25"/>
        <v>45606</v>
      </c>
      <c r="BC22">
        <f t="shared" ca="1" si="26"/>
        <v>9</v>
      </c>
      <c r="BD22" s="3">
        <f t="shared" si="27"/>
        <v>177000</v>
      </c>
      <c r="BE22" s="8">
        <v>35000</v>
      </c>
      <c r="BF22" s="3">
        <v>0</v>
      </c>
      <c r="BG22" s="7">
        <f>Table13456[[#This Row],[$Return]]/AVERAGE(Table13456[[#This Row],[Starting]],Table13456[[#This Row],[Starting]]+Table13456[[#This Row],[Inflows]])</f>
        <v>0.19774011299435029</v>
      </c>
      <c r="BH22" s="4">
        <f t="shared" si="10"/>
        <v>212000</v>
      </c>
      <c r="BI22" s="5">
        <f>IFERROR(BI21*(1+Table13456[[#This Row],[Return]]),100*(1+Table13456[[#This Row],[Return]]))</f>
        <v>212</v>
      </c>
      <c r="BJ22" s="24" t="str">
        <f ca="1">IF(Table13456[[#This Row],[Day]]&lt;LeadDays,"NM",(AVERAGE(BG$14:BG22)/STDEV(BG$14:BG22)*SQRT(SharpePeriod)))</f>
        <v>NM</v>
      </c>
      <c r="BK22" s="20">
        <f>Table13456[[#This Row],[Index Value]]-100</f>
        <v>112</v>
      </c>
      <c r="BL22" s="23" t="str">
        <f ca="1">IF(Table13456[[#This Row],[Day]]&lt;LeadDays,"NM",IF(Table13456[[#This Row],[Index Gains]]&lt;0,Table13456[[#This Row],[Index Value]],(Table13456[[#This Row],[Index Gains]]*Table13456[[#This Row],[30d_Sharpe]]*Sharpe_Wgt+Table13456[[#This Row],[Index Gains]]*(1-Sharpe_Wgt))+100)*Historical_Wgt+(100*(1+Table13456[[#This Row],[Return]])*Today_Wgt))</f>
        <v>NM</v>
      </c>
      <c r="BM22">
        <f>IF(Table13456[[#This Row],[$Return]]&gt;=0,1,-1)</f>
        <v>1</v>
      </c>
      <c r="BO22" s="6">
        <f t="shared" ca="1" si="28"/>
        <v>45606</v>
      </c>
      <c r="BP22">
        <f t="shared" ca="1" si="29"/>
        <v>9</v>
      </c>
      <c r="BQ22" s="3">
        <v>261775.62</v>
      </c>
      <c r="BR22" s="8">
        <v>2059.02</v>
      </c>
      <c r="BS22" s="3">
        <v>30011</v>
      </c>
      <c r="BT22" s="7">
        <f>Table134568[[#This Row],[$Return]]/AVERAGE(Table134568[[#This Row],[Starting]],Table134568[[#This Row],[Starting]]+Table134568[[#This Row],[Inflows]])</f>
        <v>7.4391634805148557E-3</v>
      </c>
      <c r="BU22" s="4">
        <f t="shared" si="11"/>
        <v>293845.64</v>
      </c>
      <c r="BV22" s="5">
        <f>IFERROR(BV21*(1+Table134568[[#This Row],[Return]]),100*(1+Table134568[[#This Row],[Return]]))</f>
        <v>102.56893090887911</v>
      </c>
      <c r="BW22" s="24" t="str">
        <f ca="1">IF(Table134568[[#This Row],[Day]]&lt;LeadDays,"NM",(AVERAGE(BT$14:BT22)/STDEV(BT$14:BT22)*SQRT(SharpePeriod)))</f>
        <v>NM</v>
      </c>
      <c r="BX22" s="20">
        <f>Table134568[[#This Row],[Index Value]]-100</f>
        <v>2.5689309088791106</v>
      </c>
      <c r="BY22" s="23" t="str">
        <f ca="1">IF(Table134568[[#This Row],[Day]]&lt;LeadDays,"NM",IF(Table134568[[#This Row],[Index Gains]]&lt;0,Table134568[[#This Row],[Index Value]],(Table134568[[#This Row],[Index Gains]]*Table134568[[#This Row],[30d_Sharpe]]*Sharpe_Wgt+Table134568[[#This Row],[Index Gains]]*(1-Sharpe_Wgt))+100))</f>
        <v>NM</v>
      </c>
      <c r="BZ22">
        <f>IF(Table134568[[#This Row],[$Return]]&gt;=0,1,-1)</f>
        <v>1</v>
      </c>
      <c r="CB22" s="6">
        <f t="shared" ca="1" si="30"/>
        <v>45606</v>
      </c>
      <c r="CC22">
        <f t="shared" ca="1" si="31"/>
        <v>9</v>
      </c>
      <c r="CD22" s="3">
        <v>5283341.16</v>
      </c>
      <c r="CE22" s="8">
        <v>4029.39</v>
      </c>
      <c r="CF22" s="3">
        <v>1700000</v>
      </c>
      <c r="CG22" s="7">
        <f>Table1345689[[#This Row],[$Return]]/AVERAGE(Table1345689[[#This Row],[Starting]],Table1345689[[#This Row],[Starting]]+Table1345689[[#This Row],[Inflows]])</f>
        <v>6.5696492252519665E-4</v>
      </c>
      <c r="CH22" s="4">
        <f t="shared" si="12"/>
        <v>6987370.5499999998</v>
      </c>
      <c r="CI22" s="5">
        <f>IFERROR(CI21*(1+Table1345689[[#This Row],[Return]]),100*(1+Table1345689[[#This Row],[Return]]))</f>
        <v>100.9634577692903</v>
      </c>
      <c r="CJ22" s="24" t="str">
        <f ca="1">IF(Table1345689[[#This Row],[Day]]&lt;LeadDays,"NM",(AVERAGE(CG$14:CG22)/STDEV(CG$14:CG22)*SQRT(SharpePeriod)))</f>
        <v>NM</v>
      </c>
      <c r="CK22" s="20">
        <f>Table1345689[[#This Row],[Index Value]]-100</f>
        <v>0.9634577692903008</v>
      </c>
      <c r="CL22" s="23" t="str">
        <f ca="1">IF(Table1345689[[#This Row],[Day]]&lt;LeadDays,"NM",IF(Table1345689[[#This Row],[Index Gains]]&lt;0,Table1345689[[#This Row],[Index Value]],(Table1345689[[#This Row],[Index Gains]]*Table1345689[[#This Row],[30d_Sharpe]]*Sharpe_Wgt+Table1345689[[#This Row],[Index Gains]]*(1-Sharpe_Wgt))+100))</f>
        <v>NM</v>
      </c>
      <c r="CM22">
        <f>IF(Table1345689[[#This Row],[$Return]]&gt;=0,1,-1)</f>
        <v>1</v>
      </c>
    </row>
    <row r="23" spans="2:91" x14ac:dyDescent="0.45">
      <c r="B23" s="6">
        <f t="shared" ca="1" si="16"/>
        <v>45607</v>
      </c>
      <c r="C23">
        <f t="shared" ca="1" si="13"/>
        <v>10</v>
      </c>
      <c r="D23" s="3">
        <f t="shared" ca="1" si="17"/>
        <v>109136</v>
      </c>
      <c r="E23" s="8">
        <f ca="1">RANDBETWEEN(0,RAND()/10*Table13[[#This Row],[Starting]])*Table13[[#This Row],[Rand]]</f>
        <v>5110</v>
      </c>
      <c r="F23" s="3">
        <f t="shared" ca="1" si="0"/>
        <v>868</v>
      </c>
      <c r="G23" s="7">
        <f ca="1">Table13[[#This Row],[$Return]]/AVERAGE(Table13[[#This Row],[Starting]],Table13[[#This Row],[Starting]]+Table13[[#This Row],[Inflows]])</f>
        <v>4.6636853153235375E-2</v>
      </c>
      <c r="H23" s="4">
        <f t="shared" ca="1" si="1"/>
        <v>115114</v>
      </c>
      <c r="I23" s="5">
        <f ca="1">I22*(1+Table13[[#This Row],[Return]])</f>
        <v>109.52260528911513</v>
      </c>
      <c r="J23" s="24" t="str">
        <f ca="1">IF(Table13[[#This Row],[Day]]&lt;LeadDays,"NM",(AVERAGE(G$14:G23)/STDEV(G$14:G23)*SQRT(SharpePeriod)))</f>
        <v>NM</v>
      </c>
      <c r="K23" s="20">
        <f ca="1">Table13[[#This Row],[Index Value]]-100</f>
        <v>9.522605289115134</v>
      </c>
      <c r="L23" s="23" t="str">
        <f ca="1">IF(Table13[[#This Row],[Day]]&lt;LeadDays,"NM",IF(Table13[[#This Row],[Index Gains]]&lt;0,Table13[[#This Row],[Index Value]],(Table13[[#This Row],[Index Gains]]*Table13[[#This Row],[30d_Sharpe]]*Sharpe_Wgt+Table13[[#This Row],[Index Gains]]*(1-Sharpe_Wgt))+100)*Historical_Wgt+(100*(1+Table13[[#This Row],[Return]])*Today_Wgt))</f>
        <v>NM</v>
      </c>
      <c r="M23">
        <f t="shared" ca="1" si="2"/>
        <v>1</v>
      </c>
      <c r="O23" s="6">
        <f t="shared" ca="1" si="18"/>
        <v>45607</v>
      </c>
      <c r="P23">
        <f t="shared" ca="1" si="14"/>
        <v>10</v>
      </c>
      <c r="Q23" s="3">
        <f t="shared" ca="1" si="19"/>
        <v>95399</v>
      </c>
      <c r="R23" s="8">
        <f ca="1">RANDBETWEEN(0,10000)*Table137[[#This Row],[Rand]]</f>
        <v>-8900</v>
      </c>
      <c r="S23" s="3">
        <f t="shared" ca="1" si="3"/>
        <v>466</v>
      </c>
      <c r="T23" s="7">
        <f ca="1">Table137[[#This Row],[$Return]]/AVERAGE(Table137[[#This Row],[Starting]],Table137[[#This Row],[Starting]]+Table137[[#This Row],[Inflows]])</f>
        <v>-9.3065082817466963E-2</v>
      </c>
      <c r="U23" s="4">
        <f t="shared" ca="1" si="4"/>
        <v>86965</v>
      </c>
      <c r="V23" s="5">
        <f ca="1">IFERROR(V22*(1+Table137[[#This Row],[Return]]),100*(1+Table137[[#This Row],[Return]]))</f>
        <v>81.907253338860926</v>
      </c>
      <c r="W23" s="24" t="str">
        <f ca="1">IF(Table137[[#This Row],[Day]]&lt;LeadDays,"NM",(AVERAGE(T$14:T23)/STDEV(T$14:T23)*SQRT(SharpePeriod)))</f>
        <v>NM</v>
      </c>
      <c r="X23" s="20">
        <f ca="1">Table137[[#This Row],[Index Value]]-100</f>
        <v>-18.092746661139074</v>
      </c>
      <c r="Y23" s="23" t="str">
        <f ca="1">IF(Table137[[#This Row],[Day]]&lt;LeadDays,"NM",IF(Table137[[#This Row],[Index Gains]]&lt;0,Table137[[#This Row],[Index Value]],(Table137[[#This Row],[Index Gains]]*Table137[[#This Row],[30d_Sharpe]]*Sharpe_Wgt+Table137[[#This Row],[Index Gains]]*(1-Sharpe_Wgt))+100)*Historical_Wgt+(100*(1+Table137[[#This Row],[Return]])*Today_Wgt))</f>
        <v>NM</v>
      </c>
      <c r="Z23">
        <f t="shared" ca="1" si="5"/>
        <v>-1</v>
      </c>
      <c r="AB23" s="6">
        <f t="shared" ca="1" si="20"/>
        <v>45607</v>
      </c>
      <c r="AC23">
        <f t="shared" ca="1" si="15"/>
        <v>10</v>
      </c>
      <c r="AD23" s="3">
        <f t="shared" ca="1" si="21"/>
        <v>100706</v>
      </c>
      <c r="AE23" s="8">
        <f ca="1">RANDBETWEEN(0,1000)*Table134[[#This Row],[Rand]]</f>
        <v>-57</v>
      </c>
      <c r="AF23" s="3">
        <v>0</v>
      </c>
      <c r="AG23" s="7">
        <f ca="1">Table134[[#This Row],[$Return]]/AVERAGE(Table134[[#This Row],[Starting]],Table134[[#This Row],[Starting]]+Table134[[#This Row],[Inflows]])</f>
        <v>-5.6600401167755643E-4</v>
      </c>
      <c r="AH23" s="4">
        <f t="shared" ca="1" si="6"/>
        <v>100649</v>
      </c>
      <c r="AI23" s="5">
        <f ca="1">IFERROR(AI22*(1+Table134[[#This Row],[Return]]),100*(1+Table134[[#This Row],[Return]]))</f>
        <v>100.64900000000002</v>
      </c>
      <c r="AJ23" s="24" t="str">
        <f ca="1">IF(Table134[[#This Row],[Day]]&lt;LeadDays,"NM",(AVERAGE(AG$14:AG23)/STDEV(AG$14:AG23)*SQRT(SharpePeriod)))</f>
        <v>NM</v>
      </c>
      <c r="AK23" s="20">
        <f ca="1">Table134[[#This Row],[Index Value]]-100</f>
        <v>0.64900000000001512</v>
      </c>
      <c r="AL23" s="23" t="str">
        <f ca="1">IF(Table134[[#This Row],[Day]]&lt;LeadDays,"NM",IF(Table134[[#This Row],[Index Gains]]&lt;0,Table134[[#This Row],[Index Value]],(Table134[[#This Row],[Index Gains]]*Table134[[#This Row],[30d_Sharpe]]*Sharpe_Wgt+Table134[[#This Row],[Index Gains]]*(1-Sharpe_Wgt))+100)*Historical_Wgt+(100*(1+Table134[[#This Row],[Return]])*Today_Wgt))</f>
        <v>NM</v>
      </c>
      <c r="AM23">
        <f t="shared" ca="1" si="7"/>
        <v>-1</v>
      </c>
      <c r="AO23" s="6">
        <f t="shared" ca="1" si="22"/>
        <v>45607</v>
      </c>
      <c r="AP23">
        <f t="shared" ca="1" si="23"/>
        <v>10</v>
      </c>
      <c r="AQ23" s="3">
        <f t="shared" ca="1" si="24"/>
        <v>190982</v>
      </c>
      <c r="AR23" s="8">
        <v>-25000</v>
      </c>
      <c r="AS23" s="3">
        <v>0</v>
      </c>
      <c r="AT23" s="7">
        <f ca="1">Table1345[[#This Row],[$Return]]/AVERAGE(Table1345[[#This Row],[Starting]],Table1345[[#This Row],[Starting]]+Table1345[[#This Row],[Inflows]])</f>
        <v>-0.13090238870678911</v>
      </c>
      <c r="AU23" s="4">
        <f t="shared" ca="1" si="8"/>
        <v>165982</v>
      </c>
      <c r="AV23" s="5">
        <f ca="1">IFERROR(AV22*(1+Table1345[[#This Row],[Return]]),100*(1+Table1345[[#This Row],[Return]]))</f>
        <v>165.982</v>
      </c>
      <c r="AW23" s="24" t="str">
        <f ca="1">IF(Table1345[[#This Row],[Day]]&lt;LeadDays,"NM",(AVERAGE(AT$14:AT23)/STDEV(AT$14:AT23)*SQRT(SharpePeriod)))</f>
        <v>NM</v>
      </c>
      <c r="AX23" s="20">
        <f ca="1">Table1345[[#This Row],[Index Value]]-100</f>
        <v>65.981999999999999</v>
      </c>
      <c r="AY23" s="23" t="str">
        <f ca="1">IF(Table1345[[#This Row],[Day]]&lt;LeadDays,"NM",IF(Table1345[[#This Row],[Index Gains]]&lt;0,Table1345[[#This Row],[Index Value]],(Table1345[[#This Row],[Index Gains]]*Table1345[[#This Row],[30d_Sharpe]]*Sharpe_Wgt+Table1345[[#This Row],[Index Gains]]*(1-Sharpe_Wgt))+100)*Historical_Wgt+(100*(1+Table1345[[#This Row],[Return]])*Today_Wgt))</f>
        <v>NM</v>
      </c>
      <c r="AZ23">
        <f t="shared" ca="1" si="9"/>
        <v>-1</v>
      </c>
      <c r="BB23" s="6">
        <f t="shared" ca="1" si="25"/>
        <v>45607</v>
      </c>
      <c r="BC23">
        <f t="shared" ca="1" si="26"/>
        <v>10</v>
      </c>
      <c r="BD23" s="3">
        <f t="shared" si="27"/>
        <v>212000</v>
      </c>
      <c r="BE23" s="8">
        <v>-20000</v>
      </c>
      <c r="BF23" s="3">
        <v>0</v>
      </c>
      <c r="BG23" s="7">
        <f>Table13456[[#This Row],[$Return]]/AVERAGE(Table13456[[#This Row],[Starting]],Table13456[[#This Row],[Starting]]+Table13456[[#This Row],[Inflows]])</f>
        <v>-9.4339622641509441E-2</v>
      </c>
      <c r="BH23" s="4">
        <f t="shared" si="10"/>
        <v>192000</v>
      </c>
      <c r="BI23" s="5">
        <f>IFERROR(BI22*(1+Table13456[[#This Row],[Return]]),100*(1+Table13456[[#This Row],[Return]]))</f>
        <v>192</v>
      </c>
      <c r="BJ23" s="24" t="str">
        <f ca="1">IF(Table13456[[#This Row],[Day]]&lt;LeadDays,"NM",(AVERAGE(BG$14:BG23)/STDEV(BG$14:BG23)*SQRT(SharpePeriod)))</f>
        <v>NM</v>
      </c>
      <c r="BK23" s="20">
        <f>Table13456[[#This Row],[Index Value]]-100</f>
        <v>92</v>
      </c>
      <c r="BL23" s="23" t="str">
        <f ca="1">IF(Table13456[[#This Row],[Day]]&lt;LeadDays,"NM",IF(Table13456[[#This Row],[Index Gains]]&lt;0,Table13456[[#This Row],[Index Value]],(Table13456[[#This Row],[Index Gains]]*Table13456[[#This Row],[30d_Sharpe]]*Sharpe_Wgt+Table13456[[#This Row],[Index Gains]]*(1-Sharpe_Wgt))+100)*Historical_Wgt+(100*(1+Table13456[[#This Row],[Return]])*Today_Wgt))</f>
        <v>NM</v>
      </c>
      <c r="BM23">
        <f>IF(Table13456[[#This Row],[$Return]]&gt;=0,1,-1)</f>
        <v>-1</v>
      </c>
      <c r="BO23" s="6">
        <f t="shared" ca="1" si="28"/>
        <v>45607</v>
      </c>
      <c r="BP23">
        <f t="shared" ca="1" si="29"/>
        <v>10</v>
      </c>
      <c r="BQ23" s="3">
        <v>294397.42</v>
      </c>
      <c r="BR23" s="8">
        <v>2610.8000000000002</v>
      </c>
      <c r="BS23" s="3">
        <v>0</v>
      </c>
      <c r="BT23" s="7">
        <f>Table134568[[#This Row],[$Return]]/AVERAGE(Table134568[[#This Row],[Starting]],Table134568[[#This Row],[Starting]]+Table134568[[#This Row],[Inflows]])</f>
        <v>8.8682842397192208E-3</v>
      </c>
      <c r="BU23" s="4">
        <f t="shared" si="11"/>
        <v>297008.21999999997</v>
      </c>
      <c r="BV23" s="5">
        <f>IFERROR(BV22*(1+Table134568[[#This Row],[Return]]),100*(1+Table134568[[#This Row],[Return]]))</f>
        <v>103.47854134234316</v>
      </c>
      <c r="BW23" s="24" t="str">
        <f ca="1">IF(Table134568[[#This Row],[Day]]&lt;LeadDays,"NM",(AVERAGE(BT$14:BT23)/STDEV(BT$14:BT23)*SQRT(SharpePeriod)))</f>
        <v>NM</v>
      </c>
      <c r="BX23" s="20">
        <f>Table134568[[#This Row],[Index Value]]-100</f>
        <v>3.4785413423431635</v>
      </c>
      <c r="BY23" s="23" t="str">
        <f ca="1">IF(Table134568[[#This Row],[Day]]&lt;LeadDays,"NM",IF(Table134568[[#This Row],[Index Gains]]&lt;0,Table134568[[#This Row],[Index Value]],(Table134568[[#This Row],[Index Gains]]*Table134568[[#This Row],[30d_Sharpe]]*Sharpe_Wgt+Table134568[[#This Row],[Index Gains]]*(1-Sharpe_Wgt))+100))</f>
        <v>NM</v>
      </c>
      <c r="BZ23">
        <f>IF(Table134568[[#This Row],[$Return]]&gt;=0,1,-1)</f>
        <v>1</v>
      </c>
      <c r="CB23" s="6">
        <f t="shared" ca="1" si="30"/>
        <v>45607</v>
      </c>
      <c r="CC23">
        <f t="shared" ca="1" si="31"/>
        <v>10</v>
      </c>
      <c r="CD23" s="3">
        <v>6962700.8399999999</v>
      </c>
      <c r="CE23" s="8">
        <v>-20640.32</v>
      </c>
      <c r="CF23" s="3">
        <v>0</v>
      </c>
      <c r="CG23" s="7">
        <f>Table1345689[[#This Row],[$Return]]/AVERAGE(Table1345689[[#This Row],[Starting]],Table1345689[[#This Row],[Starting]]+Table1345689[[#This Row],[Inflows]])</f>
        <v>-2.9644128728644331E-3</v>
      </c>
      <c r="CH23" s="4">
        <f t="shared" si="12"/>
        <v>6942060.5199999996</v>
      </c>
      <c r="CI23" s="5">
        <f>IFERROR(CI22*(1+Table1345689[[#This Row],[Return]]),100*(1+Table1345689[[#This Row],[Return]]))</f>
        <v>100.66416039539011</v>
      </c>
      <c r="CJ23" s="24" t="str">
        <f ca="1">IF(Table1345689[[#This Row],[Day]]&lt;LeadDays,"NM",(AVERAGE(CG$14:CG23)/STDEV(CG$14:CG23)*SQRT(SharpePeriod)))</f>
        <v>NM</v>
      </c>
      <c r="CK23" s="20">
        <f>Table1345689[[#This Row],[Index Value]]-100</f>
        <v>0.66416039539011251</v>
      </c>
      <c r="CL23" s="23" t="str">
        <f ca="1">IF(Table1345689[[#This Row],[Day]]&lt;LeadDays,"NM",IF(Table1345689[[#This Row],[Index Gains]]&lt;0,Table1345689[[#This Row],[Index Value]],(Table1345689[[#This Row],[Index Gains]]*Table1345689[[#This Row],[30d_Sharpe]]*Sharpe_Wgt+Table1345689[[#This Row],[Index Gains]]*(1-Sharpe_Wgt))+100))</f>
        <v>NM</v>
      </c>
      <c r="CM23">
        <f>IF(Table1345689[[#This Row],[$Return]]&gt;=0,1,-1)</f>
        <v>-1</v>
      </c>
    </row>
    <row r="24" spans="2:91" x14ac:dyDescent="0.45">
      <c r="B24" s="6">
        <f t="shared" ca="1" si="16"/>
        <v>45608</v>
      </c>
      <c r="C24">
        <f t="shared" ca="1" si="13"/>
        <v>11</v>
      </c>
      <c r="D24" s="3">
        <f t="shared" ca="1" si="17"/>
        <v>115114</v>
      </c>
      <c r="E24" s="8">
        <f ca="1">RANDBETWEEN(0,RAND()/10*Table13[[#This Row],[Starting]])*Table13[[#This Row],[Rand]]</f>
        <v>5447</v>
      </c>
      <c r="F24" s="3">
        <f t="shared" ca="1" si="0"/>
        <v>989</v>
      </c>
      <c r="G24" s="7">
        <f ca="1">Table13[[#This Row],[$Return]]/AVERAGE(Table13[[#This Row],[Starting]],Table13[[#This Row],[Starting]]+Table13[[#This Row],[Inflows]])</f>
        <v>4.7115912757279957E-2</v>
      </c>
      <c r="H24" s="4">
        <f t="shared" ca="1" si="1"/>
        <v>121550</v>
      </c>
      <c r="I24" s="5">
        <f ca="1">I23*(1+Table13[[#This Row],[Return]])</f>
        <v>114.6828628048671</v>
      </c>
      <c r="J24" s="24" t="str">
        <f ca="1">IF(Table13[[#This Row],[Day]]&lt;LeadDays,"NM",(AVERAGE(G$14:G24)/STDEV(G$14:G24)*SQRT(SharpePeriod)))</f>
        <v>NM</v>
      </c>
      <c r="K24" s="20">
        <f ca="1">Table13[[#This Row],[Index Value]]-100</f>
        <v>14.682862804867099</v>
      </c>
      <c r="L24" s="23" t="str">
        <f ca="1">IF(Table13[[#This Row],[Day]]&lt;LeadDays,"NM",IF(Table13[[#This Row],[Index Gains]]&lt;0,Table13[[#This Row],[Index Value]],(Table13[[#This Row],[Index Gains]]*Table13[[#This Row],[30d_Sharpe]]*Sharpe_Wgt+Table13[[#This Row],[Index Gains]]*(1-Sharpe_Wgt))+100)*Historical_Wgt+(100*(1+Table13[[#This Row],[Return]])*Today_Wgt))</f>
        <v>NM</v>
      </c>
      <c r="M24">
        <f t="shared" ca="1" si="2"/>
        <v>1</v>
      </c>
      <c r="O24" s="6">
        <f t="shared" ca="1" si="18"/>
        <v>45608</v>
      </c>
      <c r="P24">
        <f t="shared" ca="1" si="14"/>
        <v>11</v>
      </c>
      <c r="Q24" s="3">
        <f t="shared" ca="1" si="19"/>
        <v>86965</v>
      </c>
      <c r="R24" s="8">
        <f ca="1">RANDBETWEEN(0,10000)*Table137[[#This Row],[Rand]]</f>
        <v>-708</v>
      </c>
      <c r="S24" s="3">
        <f t="shared" ca="1" si="3"/>
        <v>50</v>
      </c>
      <c r="T24" s="7">
        <f ca="1">Table137[[#This Row],[$Return]]/AVERAGE(Table137[[#This Row],[Starting]],Table137[[#This Row],[Starting]]+Table137[[#This Row],[Inflows]])</f>
        <v>-8.138866536383493E-3</v>
      </c>
      <c r="U24" s="4">
        <f t="shared" ca="1" si="4"/>
        <v>86307</v>
      </c>
      <c r="V24" s="5">
        <f ca="1">IFERROR(V23*(1+Table137[[#This Row],[Return]]),100*(1+Table137[[#This Row],[Return]]))</f>
        <v>81.240621135574187</v>
      </c>
      <c r="W24" s="24" t="str">
        <f ca="1">IF(Table137[[#This Row],[Day]]&lt;LeadDays,"NM",(AVERAGE(T$14:T24)/STDEV(T$14:T24)*SQRT(SharpePeriod)))</f>
        <v>NM</v>
      </c>
      <c r="X24" s="20">
        <f ca="1">Table137[[#This Row],[Index Value]]-100</f>
        <v>-18.759378864425813</v>
      </c>
      <c r="Y24" s="23" t="str">
        <f ca="1">IF(Table137[[#This Row],[Day]]&lt;LeadDays,"NM",IF(Table137[[#This Row],[Index Gains]]&lt;0,Table137[[#This Row],[Index Value]],(Table137[[#This Row],[Index Gains]]*Table137[[#This Row],[30d_Sharpe]]*Sharpe_Wgt+Table137[[#This Row],[Index Gains]]*(1-Sharpe_Wgt))+100)*Historical_Wgt+(100*(1+Table137[[#This Row],[Return]])*Today_Wgt))</f>
        <v>NM</v>
      </c>
      <c r="Z24">
        <f t="shared" ca="1" si="5"/>
        <v>-1</v>
      </c>
      <c r="AB24" s="6">
        <f t="shared" ca="1" si="20"/>
        <v>45608</v>
      </c>
      <c r="AC24">
        <f t="shared" ca="1" si="15"/>
        <v>11</v>
      </c>
      <c r="AD24" s="3">
        <f t="shared" ca="1" si="21"/>
        <v>100649</v>
      </c>
      <c r="AE24" s="8">
        <f ca="1">RANDBETWEEN(0,1000)*Table134[[#This Row],[Rand]]</f>
        <v>260</v>
      </c>
      <c r="AF24" s="3">
        <v>0</v>
      </c>
      <c r="AG24" s="7">
        <f ca="1">Table134[[#This Row],[$Return]]/AVERAGE(Table134[[#This Row],[Starting]],Table134[[#This Row],[Starting]]+Table134[[#This Row],[Inflows]])</f>
        <v>2.5832348061083569E-3</v>
      </c>
      <c r="AH24" s="4">
        <f t="shared" ca="1" si="6"/>
        <v>100909</v>
      </c>
      <c r="AI24" s="5">
        <f ca="1">IFERROR(AI23*(1+Table134[[#This Row],[Return]]),100*(1+Table134[[#This Row],[Return]]))</f>
        <v>100.90900000000001</v>
      </c>
      <c r="AJ24" s="24" t="str">
        <f ca="1">IF(Table134[[#This Row],[Day]]&lt;LeadDays,"NM",(AVERAGE(AG$14:AG24)/STDEV(AG$14:AG24)*SQRT(SharpePeriod)))</f>
        <v>NM</v>
      </c>
      <c r="AK24" s="20">
        <f ca="1">Table134[[#This Row],[Index Value]]-100</f>
        <v>0.90900000000000603</v>
      </c>
      <c r="AL24" s="23" t="str">
        <f ca="1">IF(Table134[[#This Row],[Day]]&lt;LeadDays,"NM",IF(Table134[[#This Row],[Index Gains]]&lt;0,Table134[[#This Row],[Index Value]],(Table134[[#This Row],[Index Gains]]*Table134[[#This Row],[30d_Sharpe]]*Sharpe_Wgt+Table134[[#This Row],[Index Gains]]*(1-Sharpe_Wgt))+100)*Historical_Wgt+(100*(1+Table134[[#This Row],[Return]])*Today_Wgt))</f>
        <v>NM</v>
      </c>
      <c r="AM24">
        <f t="shared" ca="1" si="7"/>
        <v>1</v>
      </c>
      <c r="AO24" s="6">
        <f t="shared" ca="1" si="22"/>
        <v>45608</v>
      </c>
      <c r="AP24">
        <f t="shared" ca="1" si="23"/>
        <v>11</v>
      </c>
      <c r="AQ24" s="3">
        <f t="shared" ca="1" si="24"/>
        <v>165982</v>
      </c>
      <c r="AR24" s="8">
        <v>70000</v>
      </c>
      <c r="AS24" s="3">
        <v>0</v>
      </c>
      <c r="AT24" s="7">
        <f ca="1">Table1345[[#This Row],[$Return]]/AVERAGE(Table1345[[#This Row],[Starting]],Table1345[[#This Row],[Starting]]+Table1345[[#This Row],[Inflows]])</f>
        <v>0.42173247701557998</v>
      </c>
      <c r="AU24" s="4">
        <f t="shared" ca="1" si="8"/>
        <v>235982</v>
      </c>
      <c r="AV24" s="5">
        <f ca="1">IFERROR(AV23*(1+Table1345[[#This Row],[Return]]),100*(1+Table1345[[#This Row],[Return]]))</f>
        <v>235.982</v>
      </c>
      <c r="AW24" s="24" t="str">
        <f ca="1">IF(Table1345[[#This Row],[Day]]&lt;LeadDays,"NM",(AVERAGE(AT$14:AT24)/STDEV(AT$14:AT24)*SQRT(SharpePeriod)))</f>
        <v>NM</v>
      </c>
      <c r="AX24" s="20">
        <f ca="1">Table1345[[#This Row],[Index Value]]-100</f>
        <v>135.982</v>
      </c>
      <c r="AY24" s="23" t="str">
        <f ca="1">IF(Table1345[[#This Row],[Day]]&lt;LeadDays,"NM",IF(Table1345[[#This Row],[Index Gains]]&lt;0,Table1345[[#This Row],[Index Value]],(Table1345[[#This Row],[Index Gains]]*Table1345[[#This Row],[30d_Sharpe]]*Sharpe_Wgt+Table1345[[#This Row],[Index Gains]]*(1-Sharpe_Wgt))+100)*Historical_Wgt+(100*(1+Table1345[[#This Row],[Return]])*Today_Wgt))</f>
        <v>NM</v>
      </c>
      <c r="AZ24">
        <f t="shared" ca="1" si="9"/>
        <v>-1</v>
      </c>
      <c r="BB24" s="6">
        <f t="shared" ca="1" si="25"/>
        <v>45608</v>
      </c>
      <c r="BC24">
        <f t="shared" ca="1" si="26"/>
        <v>11</v>
      </c>
      <c r="BD24" s="3">
        <f t="shared" si="27"/>
        <v>192000</v>
      </c>
      <c r="BE24" s="8">
        <v>35000</v>
      </c>
      <c r="BF24" s="3">
        <v>0</v>
      </c>
      <c r="BG24" s="7">
        <f>Table13456[[#This Row],[$Return]]/AVERAGE(Table13456[[#This Row],[Starting]],Table13456[[#This Row],[Starting]]+Table13456[[#This Row],[Inflows]])</f>
        <v>0.18229166666666666</v>
      </c>
      <c r="BH24" s="4">
        <f t="shared" si="10"/>
        <v>227000</v>
      </c>
      <c r="BI24" s="5">
        <f>IFERROR(BI23*(1+Table13456[[#This Row],[Return]]),100*(1+Table13456[[#This Row],[Return]]))</f>
        <v>227</v>
      </c>
      <c r="BJ24" s="24" t="str">
        <f ca="1">IF(Table13456[[#This Row],[Day]]&lt;LeadDays,"NM",(AVERAGE(BG$14:BG24)/STDEV(BG$14:BG24)*SQRT(SharpePeriod)))</f>
        <v>NM</v>
      </c>
      <c r="BK24" s="20">
        <f>Table13456[[#This Row],[Index Value]]-100</f>
        <v>127</v>
      </c>
      <c r="BL24" s="23" t="str">
        <f ca="1">IF(Table13456[[#This Row],[Day]]&lt;LeadDays,"NM",IF(Table13456[[#This Row],[Index Gains]]&lt;0,Table13456[[#This Row],[Index Value]],(Table13456[[#This Row],[Index Gains]]*Table13456[[#This Row],[30d_Sharpe]]*Sharpe_Wgt+Table13456[[#This Row],[Index Gains]]*(1-Sharpe_Wgt))+100)*Historical_Wgt+(100*(1+Table13456[[#This Row],[Return]])*Today_Wgt))</f>
        <v>NM</v>
      </c>
      <c r="BM24">
        <f>IF(Table13456[[#This Row],[$Return]]&gt;=0,1,-1)</f>
        <v>1</v>
      </c>
      <c r="BO24" s="6">
        <f t="shared" ca="1" si="28"/>
        <v>45608</v>
      </c>
      <c r="BP24">
        <f t="shared" ca="1" si="29"/>
        <v>11</v>
      </c>
      <c r="BQ24" s="3">
        <v>294262.8</v>
      </c>
      <c r="BR24" s="8">
        <v>-134.63</v>
      </c>
      <c r="BS24" s="3">
        <v>0</v>
      </c>
      <c r="BT24" s="7">
        <f>Table134568[[#This Row],[$Return]]/AVERAGE(Table134568[[#This Row],[Starting]],Table134568[[#This Row],[Starting]]+Table134568[[#This Row],[Inflows]])</f>
        <v>-4.5751620660171793E-4</v>
      </c>
      <c r="BU24" s="4">
        <f t="shared" si="11"/>
        <v>294128.17</v>
      </c>
      <c r="BV24" s="5">
        <f>IFERROR(BV23*(1+Table134568[[#This Row],[Return]]),100*(1+Table134568[[#This Row],[Return]]))</f>
        <v>103.43119823264354</v>
      </c>
      <c r="BW24" s="24" t="str">
        <f ca="1">IF(Table134568[[#This Row],[Day]]&lt;LeadDays,"NM",(AVERAGE(BT$14:BT24)/STDEV(BT$14:BT24)*SQRT(SharpePeriod)))</f>
        <v>NM</v>
      </c>
      <c r="BX24" s="20">
        <f>Table134568[[#This Row],[Index Value]]-100</f>
        <v>3.4311982326435384</v>
      </c>
      <c r="BY24" s="23" t="str">
        <f ca="1">IF(Table134568[[#This Row],[Day]]&lt;LeadDays,"NM",IF(Table134568[[#This Row],[Index Gains]]&lt;0,Table134568[[#This Row],[Index Value]],(Table134568[[#This Row],[Index Gains]]*Table134568[[#This Row],[30d_Sharpe]]*Sharpe_Wgt+Table134568[[#This Row],[Index Gains]]*(1-Sharpe_Wgt))+100))</f>
        <v>NM</v>
      </c>
      <c r="BZ24">
        <f>IF(Table134568[[#This Row],[$Return]]&gt;=0,1,-1)</f>
        <v>-1</v>
      </c>
      <c r="CB24" s="6">
        <f t="shared" ca="1" si="30"/>
        <v>45608</v>
      </c>
      <c r="CC24">
        <f t="shared" ca="1" si="31"/>
        <v>11</v>
      </c>
      <c r="CD24" s="3">
        <v>6969302.0499999998</v>
      </c>
      <c r="CE24" s="8">
        <v>6601.21</v>
      </c>
      <c r="CF24" s="3">
        <v>0</v>
      </c>
      <c r="CG24" s="7">
        <f>Table1345689[[#This Row],[$Return]]/AVERAGE(Table1345689[[#This Row],[Starting]],Table1345689[[#This Row],[Starting]]+Table1345689[[#This Row],[Inflows]])</f>
        <v>9.4718380013390292E-4</v>
      </c>
      <c r="CH24" s="4">
        <f t="shared" si="12"/>
        <v>6975903.2599999998</v>
      </c>
      <c r="CI24" s="5">
        <f>IFERROR(CI23*(1+Table1345689[[#This Row],[Return]]),100*(1+Table1345689[[#This Row],[Return]]))</f>
        <v>100.75950785737069</v>
      </c>
      <c r="CJ24" s="24" t="str">
        <f ca="1">IF(Table1345689[[#This Row],[Day]]&lt;LeadDays,"NM",(AVERAGE(CG$14:CG24)/STDEV(CG$14:CG24)*SQRT(SharpePeriod)))</f>
        <v>NM</v>
      </c>
      <c r="CK24" s="20">
        <f>Table1345689[[#This Row],[Index Value]]-100</f>
        <v>0.75950785737069282</v>
      </c>
      <c r="CL24" s="23" t="str">
        <f ca="1">IF(Table1345689[[#This Row],[Day]]&lt;LeadDays,"NM",IF(Table1345689[[#This Row],[Index Gains]]&lt;0,Table1345689[[#This Row],[Index Value]],(Table1345689[[#This Row],[Index Gains]]*Table1345689[[#This Row],[30d_Sharpe]]*Sharpe_Wgt+Table1345689[[#This Row],[Index Gains]]*(1-Sharpe_Wgt))+100))</f>
        <v>NM</v>
      </c>
      <c r="CM24">
        <f>IF(Table1345689[[#This Row],[$Return]]&gt;=0,1,-1)</f>
        <v>1</v>
      </c>
    </row>
    <row r="25" spans="2:91" x14ac:dyDescent="0.45">
      <c r="B25" s="6">
        <f t="shared" ca="1" si="16"/>
        <v>45609</v>
      </c>
      <c r="C25">
        <f t="shared" ca="1" si="13"/>
        <v>12</v>
      </c>
      <c r="D25" s="3">
        <f t="shared" ca="1" si="17"/>
        <v>121550</v>
      </c>
      <c r="E25" s="8">
        <f ca="1">RANDBETWEEN(0,RAND()/10*Table13[[#This Row],[Starting]])*Table13[[#This Row],[Rand]]</f>
        <v>2050</v>
      </c>
      <c r="F25" s="3">
        <f t="shared" ca="1" si="0"/>
        <v>7</v>
      </c>
      <c r="G25" s="7">
        <f ca="1">Table13[[#This Row],[$Return]]/AVERAGE(Table13[[#This Row],[Starting]],Table13[[#This Row],[Starting]]+Table13[[#This Row],[Inflows]])</f>
        <v>1.6865001830469711E-2</v>
      </c>
      <c r="H25" s="4">
        <f t="shared" ca="1" si="1"/>
        <v>123607</v>
      </c>
      <c r="I25" s="5">
        <f ca="1">I24*(1+Table13[[#This Row],[Return]])</f>
        <v>116.61698949599469</v>
      </c>
      <c r="J25" s="24" t="str">
        <f ca="1">IF(Table13[[#This Row],[Day]]&lt;LeadDays,"NM",(AVERAGE(G$14:G25)/STDEV(G$14:G25)*SQRT(SharpePeriod)))</f>
        <v>NM</v>
      </c>
      <c r="K25" s="20">
        <f ca="1">Table13[[#This Row],[Index Value]]-100</f>
        <v>16.616989495994687</v>
      </c>
      <c r="L25" s="23" t="str">
        <f ca="1">IF(Table13[[#This Row],[Day]]&lt;LeadDays,"NM",IF(Table13[[#This Row],[Index Gains]]&lt;0,Table13[[#This Row],[Index Value]],(Table13[[#This Row],[Index Gains]]*Table13[[#This Row],[30d_Sharpe]]*Sharpe_Wgt+Table13[[#This Row],[Index Gains]]*(1-Sharpe_Wgt))+100)*Historical_Wgt+(100*(1+Table13[[#This Row],[Return]])*Today_Wgt))</f>
        <v>NM</v>
      </c>
      <c r="M25">
        <f t="shared" ca="1" si="2"/>
        <v>1</v>
      </c>
      <c r="O25" s="6">
        <f t="shared" ca="1" si="18"/>
        <v>45609</v>
      </c>
      <c r="P25">
        <f t="shared" ca="1" si="14"/>
        <v>12</v>
      </c>
      <c r="Q25" s="3">
        <f t="shared" ca="1" si="19"/>
        <v>86307</v>
      </c>
      <c r="R25" s="8">
        <f ca="1">RANDBETWEEN(0,10000)*Table137[[#This Row],[Rand]]</f>
        <v>-2084</v>
      </c>
      <c r="S25" s="3">
        <f t="shared" ca="1" si="3"/>
        <v>619</v>
      </c>
      <c r="T25" s="7">
        <f ca="1">Table137[[#This Row],[$Return]]/AVERAGE(Table137[[#This Row],[Starting]],Table137[[#This Row],[Starting]]+Table137[[#This Row],[Inflows]])</f>
        <v>-2.4060080931462249E-2</v>
      </c>
      <c r="U25" s="4">
        <f t="shared" ca="1" si="4"/>
        <v>84842</v>
      </c>
      <c r="V25" s="5">
        <f ca="1">IFERROR(V24*(1+Table137[[#This Row],[Return]]),100*(1+Table137[[#This Row],[Return]]))</f>
        <v>79.285965216130009</v>
      </c>
      <c r="W25" s="24" t="str">
        <f ca="1">IF(Table137[[#This Row],[Day]]&lt;LeadDays,"NM",(AVERAGE(T$14:T25)/STDEV(T$14:T25)*SQRT(SharpePeriod)))</f>
        <v>NM</v>
      </c>
      <c r="X25" s="20">
        <f ca="1">Table137[[#This Row],[Index Value]]-100</f>
        <v>-20.714034783869991</v>
      </c>
      <c r="Y25" s="23" t="str">
        <f ca="1">IF(Table137[[#This Row],[Day]]&lt;LeadDays,"NM",IF(Table137[[#This Row],[Index Gains]]&lt;0,Table137[[#This Row],[Index Value]],(Table137[[#This Row],[Index Gains]]*Table137[[#This Row],[30d_Sharpe]]*Sharpe_Wgt+Table137[[#This Row],[Index Gains]]*(1-Sharpe_Wgt))+100)*Historical_Wgt+(100*(1+Table137[[#This Row],[Return]])*Today_Wgt))</f>
        <v>NM</v>
      </c>
      <c r="Z25">
        <f t="shared" ca="1" si="5"/>
        <v>-1</v>
      </c>
      <c r="AB25" s="6">
        <f t="shared" ca="1" si="20"/>
        <v>45609</v>
      </c>
      <c r="AC25">
        <f t="shared" ca="1" si="15"/>
        <v>12</v>
      </c>
      <c r="AD25" s="3">
        <f t="shared" ca="1" si="21"/>
        <v>100909</v>
      </c>
      <c r="AE25" s="8">
        <f ca="1">RANDBETWEEN(0,1000)*Table134[[#This Row],[Rand]]</f>
        <v>781</v>
      </c>
      <c r="AF25" s="3">
        <v>0</v>
      </c>
      <c r="AG25" s="7">
        <f ca="1">Table134[[#This Row],[$Return]]/AVERAGE(Table134[[#This Row],[Starting]],Table134[[#This Row],[Starting]]+Table134[[#This Row],[Inflows]])</f>
        <v>7.739646612294245E-3</v>
      </c>
      <c r="AH25" s="4">
        <f t="shared" ca="1" si="6"/>
        <v>101690</v>
      </c>
      <c r="AI25" s="5">
        <f ca="1">IFERROR(AI24*(1+Table134[[#This Row],[Return]]),100*(1+Table134[[#This Row],[Return]]))</f>
        <v>101.69000000000001</v>
      </c>
      <c r="AJ25" s="24" t="str">
        <f ca="1">IF(Table134[[#This Row],[Day]]&lt;LeadDays,"NM",(AVERAGE(AG$14:AG25)/STDEV(AG$14:AG25)*SQRT(SharpePeriod)))</f>
        <v>NM</v>
      </c>
      <c r="AK25" s="20">
        <f ca="1">Table134[[#This Row],[Index Value]]-100</f>
        <v>1.6900000000000119</v>
      </c>
      <c r="AL25" s="23" t="str">
        <f ca="1">IF(Table134[[#This Row],[Day]]&lt;LeadDays,"NM",IF(Table134[[#This Row],[Index Gains]]&lt;0,Table134[[#This Row],[Index Value]],(Table134[[#This Row],[Index Gains]]*Table134[[#This Row],[30d_Sharpe]]*Sharpe_Wgt+Table134[[#This Row],[Index Gains]]*(1-Sharpe_Wgt))+100)*Historical_Wgt+(100*(1+Table134[[#This Row],[Return]])*Today_Wgt))</f>
        <v>NM</v>
      </c>
      <c r="AM25">
        <f t="shared" ca="1" si="7"/>
        <v>1</v>
      </c>
      <c r="AO25" s="6">
        <f t="shared" ca="1" si="22"/>
        <v>45609</v>
      </c>
      <c r="AP25">
        <f t="shared" ca="1" si="23"/>
        <v>12</v>
      </c>
      <c r="AQ25" s="3">
        <f t="shared" ca="1" si="24"/>
        <v>235982</v>
      </c>
      <c r="AR25" s="8">
        <v>-20000</v>
      </c>
      <c r="AS25" s="3">
        <v>0</v>
      </c>
      <c r="AT25" s="7">
        <f ca="1">Table1345[[#This Row],[$Return]]/AVERAGE(Table1345[[#This Row],[Starting]],Table1345[[#This Row],[Starting]]+Table1345[[#This Row],[Inflows]])</f>
        <v>-8.4752226864760874E-2</v>
      </c>
      <c r="AU25" s="4">
        <f t="shared" ca="1" si="8"/>
        <v>215982</v>
      </c>
      <c r="AV25" s="5">
        <f ca="1">IFERROR(AV24*(1+Table1345[[#This Row],[Return]]),100*(1+Table1345[[#This Row],[Return]]))</f>
        <v>215.982</v>
      </c>
      <c r="AW25" s="24" t="str">
        <f ca="1">IF(Table1345[[#This Row],[Day]]&lt;LeadDays,"NM",(AVERAGE(AT$14:AT25)/STDEV(AT$14:AT25)*SQRT(SharpePeriod)))</f>
        <v>NM</v>
      </c>
      <c r="AX25" s="20">
        <f ca="1">Table1345[[#This Row],[Index Value]]-100</f>
        <v>115.982</v>
      </c>
      <c r="AY25" s="23" t="str">
        <f ca="1">IF(Table1345[[#This Row],[Day]]&lt;LeadDays,"NM",IF(Table1345[[#This Row],[Index Gains]]&lt;0,Table1345[[#This Row],[Index Value]],(Table1345[[#This Row],[Index Gains]]*Table1345[[#This Row],[30d_Sharpe]]*Sharpe_Wgt+Table1345[[#This Row],[Index Gains]]*(1-Sharpe_Wgt))+100)*Historical_Wgt+(100*(1+Table1345[[#This Row],[Return]])*Today_Wgt))</f>
        <v>NM</v>
      </c>
      <c r="AZ25">
        <f t="shared" ca="1" si="9"/>
        <v>1</v>
      </c>
      <c r="BB25" s="6">
        <f t="shared" ca="1" si="25"/>
        <v>45609</v>
      </c>
      <c r="BC25">
        <f t="shared" ca="1" si="26"/>
        <v>12</v>
      </c>
      <c r="BD25" s="3">
        <f t="shared" si="27"/>
        <v>227000</v>
      </c>
      <c r="BE25" s="8">
        <v>-25000</v>
      </c>
      <c r="BF25" s="3">
        <v>0</v>
      </c>
      <c r="BG25" s="7">
        <f>Table13456[[#This Row],[$Return]]/AVERAGE(Table13456[[#This Row],[Starting]],Table13456[[#This Row],[Starting]]+Table13456[[#This Row],[Inflows]])</f>
        <v>-0.11013215859030837</v>
      </c>
      <c r="BH25" s="4">
        <f t="shared" si="10"/>
        <v>202000</v>
      </c>
      <c r="BI25" s="5">
        <f>IFERROR(BI24*(1+Table13456[[#This Row],[Return]]),100*(1+Table13456[[#This Row],[Return]]))</f>
        <v>202</v>
      </c>
      <c r="BJ25" s="24" t="str">
        <f ca="1">IF(Table13456[[#This Row],[Day]]&lt;LeadDays,"NM",(AVERAGE(BG$14:BG25)/STDEV(BG$14:BG25)*SQRT(SharpePeriod)))</f>
        <v>NM</v>
      </c>
      <c r="BK25" s="20">
        <f>Table13456[[#This Row],[Index Value]]-100</f>
        <v>102</v>
      </c>
      <c r="BL25" s="23" t="str">
        <f ca="1">IF(Table13456[[#This Row],[Day]]&lt;LeadDays,"NM",IF(Table13456[[#This Row],[Index Gains]]&lt;0,Table13456[[#This Row],[Index Value]],(Table13456[[#This Row],[Index Gains]]*Table13456[[#This Row],[30d_Sharpe]]*Sharpe_Wgt+Table13456[[#This Row],[Index Gains]]*(1-Sharpe_Wgt))+100)*Historical_Wgt+(100*(1+Table13456[[#This Row],[Return]])*Today_Wgt))</f>
        <v>NM</v>
      </c>
      <c r="BM25">
        <f>IF(Table13456[[#This Row],[$Return]]&gt;=0,1,-1)</f>
        <v>-1</v>
      </c>
      <c r="BO25" s="6">
        <f t="shared" ca="1" si="28"/>
        <v>45609</v>
      </c>
      <c r="BP25">
        <f t="shared" ca="1" si="29"/>
        <v>12</v>
      </c>
      <c r="BQ25" s="3">
        <v>293740.28999999998</v>
      </c>
      <c r="BR25" s="8">
        <v>-522.5</v>
      </c>
      <c r="BS25" s="3">
        <v>100000</v>
      </c>
      <c r="BT25" s="7">
        <f>Table134568[[#This Row],[$Return]]/AVERAGE(Table134568[[#This Row],[Starting]],Table134568[[#This Row],[Starting]]+Table134568[[#This Row],[Inflows]])</f>
        <v>-1.5200429370674005E-3</v>
      </c>
      <c r="BU25" s="4">
        <f t="shared" si="11"/>
        <v>393217.79</v>
      </c>
      <c r="BV25" s="5">
        <f>IFERROR(BV24*(1+Table134568[[#This Row],[Return]]),100*(1+Table134568[[#This Row],[Return]]))</f>
        <v>103.27397837029758</v>
      </c>
      <c r="BW25" s="24" t="str">
        <f ca="1">IF(Table134568[[#This Row],[Day]]&lt;LeadDays,"NM",(AVERAGE(BT$14:BT25)/STDEV(BT$14:BT25)*SQRT(SharpePeriod)))</f>
        <v>NM</v>
      </c>
      <c r="BX25" s="20">
        <f>Table134568[[#This Row],[Index Value]]-100</f>
        <v>3.2739783702975842</v>
      </c>
      <c r="BY25" s="23" t="str">
        <f ca="1">IF(Table134568[[#This Row],[Day]]&lt;LeadDays,"NM",IF(Table134568[[#This Row],[Index Gains]]&lt;0,Table134568[[#This Row],[Index Value]],(Table134568[[#This Row],[Index Gains]]*Table134568[[#This Row],[30d_Sharpe]]*Sharpe_Wgt+Table134568[[#This Row],[Index Gains]]*(1-Sharpe_Wgt))+100))</f>
        <v>NM</v>
      </c>
      <c r="BZ25">
        <f>IF(Table134568[[#This Row],[$Return]]&gt;=0,1,-1)</f>
        <v>-1</v>
      </c>
      <c r="CB25" s="6">
        <f t="shared" ca="1" si="30"/>
        <v>45609</v>
      </c>
      <c r="CC25">
        <f t="shared" ca="1" si="31"/>
        <v>12</v>
      </c>
      <c r="CD25" s="3">
        <v>6971264.1600000001</v>
      </c>
      <c r="CE25" s="8">
        <v>1962.11</v>
      </c>
      <c r="CF25" s="3">
        <v>-1500000</v>
      </c>
      <c r="CG25" s="7">
        <f>Table1345689[[#This Row],[$Return]]/AVERAGE(Table1345689[[#This Row],[Starting]],Table1345689[[#This Row],[Starting]]+Table1345689[[#This Row],[Inflows]])</f>
        <v>3.1538766873387349E-4</v>
      </c>
      <c r="CH25" s="4">
        <f t="shared" si="12"/>
        <v>5473226.2700000005</v>
      </c>
      <c r="CI25" s="5">
        <f>IFERROR(CI24*(1+Table1345689[[#This Row],[Return]]),100*(1+Table1345689[[#This Row],[Return]]))</f>
        <v>100.79128616365659</v>
      </c>
      <c r="CJ25" s="24" t="str">
        <f ca="1">IF(Table1345689[[#This Row],[Day]]&lt;LeadDays,"NM",(AVERAGE(CG$14:CG25)/STDEV(CG$14:CG25)*SQRT(SharpePeriod)))</f>
        <v>NM</v>
      </c>
      <c r="CK25" s="20">
        <f>Table1345689[[#This Row],[Index Value]]-100</f>
        <v>0.79128616365659354</v>
      </c>
      <c r="CL25" s="23" t="str">
        <f ca="1">IF(Table1345689[[#This Row],[Day]]&lt;LeadDays,"NM",IF(Table1345689[[#This Row],[Index Gains]]&lt;0,Table1345689[[#This Row],[Index Value]],(Table1345689[[#This Row],[Index Gains]]*Table1345689[[#This Row],[30d_Sharpe]]*Sharpe_Wgt+Table1345689[[#This Row],[Index Gains]]*(1-Sharpe_Wgt))+100))</f>
        <v>NM</v>
      </c>
      <c r="CM25">
        <f>IF(Table1345689[[#This Row],[$Return]]&gt;=0,1,-1)</f>
        <v>1</v>
      </c>
    </row>
    <row r="26" spans="2:91" x14ac:dyDescent="0.45">
      <c r="B26" s="6">
        <f t="shared" ca="1" si="16"/>
        <v>45610</v>
      </c>
      <c r="C26">
        <f t="shared" ca="1" si="13"/>
        <v>13</v>
      </c>
      <c r="D26" s="3">
        <f t="shared" ca="1" si="17"/>
        <v>123607</v>
      </c>
      <c r="E26" s="8">
        <f ca="1">RANDBETWEEN(0,RAND()/10*Table13[[#This Row],[Starting]])*Table13[[#This Row],[Rand]]</f>
        <v>154</v>
      </c>
      <c r="F26" s="3">
        <f t="shared" ca="1" si="0"/>
        <v>45</v>
      </c>
      <c r="G26" s="7">
        <f ca="1">Table13[[#This Row],[$Return]]/AVERAGE(Table13[[#This Row],[Starting]],Table13[[#This Row],[Starting]]+Table13[[#This Row],[Inflows]])</f>
        <v>1.2456573875976203E-3</v>
      </c>
      <c r="H26" s="4">
        <f t="shared" ref="H26:H38" ca="1" si="32">D26+E26+F26</f>
        <v>123806</v>
      </c>
      <c r="I26" s="5">
        <f ca="1">I25*(1+Table13[[#This Row],[Return]])</f>
        <v>116.76225431047976</v>
      </c>
      <c r="J26" s="24" t="str">
        <f ca="1">IF(Table13[[#This Row],[Day]]&lt;LeadDays,"NM",(AVERAGE(G$14:G26)/STDEV(G$14:G26)*SQRT(SharpePeriod)))</f>
        <v>NM</v>
      </c>
      <c r="K26" s="20">
        <f ca="1">Table13[[#This Row],[Index Value]]-100</f>
        <v>16.762254310479761</v>
      </c>
      <c r="L26" s="23" t="str">
        <f ca="1">IF(Table13[[#This Row],[Day]]&lt;LeadDays,"NM",IF(Table13[[#This Row],[Index Gains]]&lt;0,Table13[[#This Row],[Index Value]],(Table13[[#This Row],[Index Gains]]*Table13[[#This Row],[30d_Sharpe]]*Sharpe_Wgt+Table13[[#This Row],[Index Gains]]*(1-Sharpe_Wgt))+100)*Historical_Wgt+(100*(1+Table13[[#This Row],[Return]])*Today_Wgt))</f>
        <v>NM</v>
      </c>
      <c r="M26">
        <f t="shared" ca="1" si="2"/>
        <v>1</v>
      </c>
      <c r="O26" s="6">
        <f t="shared" ca="1" si="18"/>
        <v>45610</v>
      </c>
      <c r="P26">
        <f t="shared" ca="1" si="14"/>
        <v>13</v>
      </c>
      <c r="Q26" s="3">
        <f t="shared" ca="1" si="19"/>
        <v>84842</v>
      </c>
      <c r="R26" s="8">
        <f ca="1">RANDBETWEEN(0,10000)*Table137[[#This Row],[Rand]]</f>
        <v>-7322</v>
      </c>
      <c r="S26" s="3">
        <f t="shared" ca="1" si="3"/>
        <v>556</v>
      </c>
      <c r="T26" s="7">
        <f ca="1">Table137[[#This Row],[$Return]]/AVERAGE(Table137[[#This Row],[Starting]],Table137[[#This Row],[Starting]]+Table137[[#This Row],[Inflows]])</f>
        <v>-8.601973684210526E-2</v>
      </c>
      <c r="U26" s="4">
        <f t="shared" ref="U26:U43" ca="1" si="33">Q26+R26+S26</f>
        <v>78076</v>
      </c>
      <c r="V26" s="5">
        <f ca="1">IFERROR(V25*(1+Table137[[#This Row],[Return]]),100*(1+Table137[[#This Row],[Return]]))</f>
        <v>72.465807352966195</v>
      </c>
      <c r="W26" s="24" t="str">
        <f ca="1">IF(Table137[[#This Row],[Day]]&lt;LeadDays,"NM",(AVERAGE(T$14:T26)/STDEV(T$14:T26)*SQRT(SharpePeriod)))</f>
        <v>NM</v>
      </c>
      <c r="X26" s="20">
        <f ca="1">Table137[[#This Row],[Index Value]]-100</f>
        <v>-27.534192647033805</v>
      </c>
      <c r="Y26" s="23" t="str">
        <f ca="1">IF(Table137[[#This Row],[Day]]&lt;LeadDays,"NM",IF(Table137[[#This Row],[Index Gains]]&lt;0,Table137[[#This Row],[Index Value]],(Table137[[#This Row],[Index Gains]]*Table137[[#This Row],[30d_Sharpe]]*Sharpe_Wgt+Table137[[#This Row],[Index Gains]]*(1-Sharpe_Wgt))+100)*Historical_Wgt+(100*(1+Table137[[#This Row],[Return]])*Today_Wgt))</f>
        <v>NM</v>
      </c>
      <c r="Z26">
        <f t="shared" ca="1" si="5"/>
        <v>-1</v>
      </c>
      <c r="AB26" s="6">
        <f t="shared" ca="1" si="20"/>
        <v>45610</v>
      </c>
      <c r="AC26">
        <f t="shared" ca="1" si="15"/>
        <v>13</v>
      </c>
      <c r="AD26" s="3">
        <f t="shared" ca="1" si="21"/>
        <v>101690</v>
      </c>
      <c r="AE26" s="8">
        <f ca="1">RANDBETWEEN(0,1000)*Table134[[#This Row],[Rand]]</f>
        <v>99</v>
      </c>
      <c r="AF26" s="3">
        <v>0</v>
      </c>
      <c r="AG26" s="7">
        <f ca="1">Table134[[#This Row],[$Return]]/AVERAGE(Table134[[#This Row],[Starting]],Table134[[#This Row],[Starting]]+Table134[[#This Row],[Inflows]])</f>
        <v>9.7354705477431405E-4</v>
      </c>
      <c r="AH26" s="4">
        <f t="shared" ref="AH26:AH37" ca="1" si="34">AD26+AE26+AF26</f>
        <v>101789</v>
      </c>
      <c r="AI26" s="5">
        <f ca="1">IFERROR(AI25*(1+Table134[[#This Row],[Return]]),100*(1+Table134[[#This Row],[Return]]))</f>
        <v>101.789</v>
      </c>
      <c r="AJ26" s="24" t="str">
        <f ca="1">IF(Table134[[#This Row],[Day]]&lt;LeadDays,"NM",(AVERAGE(AG$14:AG26)/STDEV(AG$14:AG26)*SQRT(SharpePeriod)))</f>
        <v>NM</v>
      </c>
      <c r="AK26" s="20">
        <f ca="1">Table134[[#This Row],[Index Value]]-100</f>
        <v>1.7890000000000015</v>
      </c>
      <c r="AL26" s="23" t="str">
        <f ca="1">IF(Table134[[#This Row],[Day]]&lt;LeadDays,"NM",IF(Table134[[#This Row],[Index Gains]]&lt;0,Table134[[#This Row],[Index Value]],(Table134[[#This Row],[Index Gains]]*Table134[[#This Row],[30d_Sharpe]]*Sharpe_Wgt+Table134[[#This Row],[Index Gains]]*(1-Sharpe_Wgt))+100)*Historical_Wgt+(100*(1+Table134[[#This Row],[Return]])*Today_Wgt))</f>
        <v>NM</v>
      </c>
      <c r="AM26">
        <f t="shared" ca="1" si="7"/>
        <v>1</v>
      </c>
      <c r="AO26" s="6">
        <f t="shared" ca="1" si="22"/>
        <v>45610</v>
      </c>
      <c r="AP26">
        <f t="shared" ca="1" si="23"/>
        <v>13</v>
      </c>
      <c r="AQ26" s="3">
        <f t="shared" ca="1" si="24"/>
        <v>215982</v>
      </c>
      <c r="AR26" s="8">
        <v>-10000</v>
      </c>
      <c r="AS26" s="3">
        <v>0</v>
      </c>
      <c r="AT26" s="7">
        <f ca="1">Table1345[[#This Row],[$Return]]/AVERAGE(Table1345[[#This Row],[Starting]],Table1345[[#This Row],[Starting]]+Table1345[[#This Row],[Inflows]])</f>
        <v>-4.6300154642516508E-2</v>
      </c>
      <c r="AU26" s="4">
        <f t="shared" ref="AU26:AU29" ca="1" si="35">AQ26+AR26+AS26</f>
        <v>205982</v>
      </c>
      <c r="AV26" s="5">
        <f ca="1">IFERROR(AV25*(1+Table1345[[#This Row],[Return]]),100*(1+Table1345[[#This Row],[Return]]))</f>
        <v>205.982</v>
      </c>
      <c r="AW26" s="24" t="str">
        <f ca="1">IF(Table1345[[#This Row],[Day]]&lt;LeadDays,"NM",(AVERAGE(AT$14:AT26)/STDEV(AT$14:AT26)*SQRT(SharpePeriod)))</f>
        <v>NM</v>
      </c>
      <c r="AX26" s="20">
        <f ca="1">Table1345[[#This Row],[Index Value]]-100</f>
        <v>105.982</v>
      </c>
      <c r="AY26" s="23" t="str">
        <f ca="1">IF(Table1345[[#This Row],[Day]]&lt;LeadDays,"NM",IF(Table1345[[#This Row],[Index Gains]]&lt;0,Table1345[[#This Row],[Index Value]],(Table1345[[#This Row],[Index Gains]]*Table1345[[#This Row],[30d_Sharpe]]*Sharpe_Wgt+Table1345[[#This Row],[Index Gains]]*(1-Sharpe_Wgt))+100)*Historical_Wgt+(100*(1+Table1345[[#This Row],[Return]])*Today_Wgt))</f>
        <v>NM</v>
      </c>
      <c r="AZ26">
        <f t="shared" ca="1" si="9"/>
        <v>-1</v>
      </c>
      <c r="BB26" s="6">
        <f t="shared" ca="1" si="25"/>
        <v>45610</v>
      </c>
      <c r="BC26">
        <f t="shared" ca="1" si="26"/>
        <v>13</v>
      </c>
      <c r="BD26" s="3">
        <f t="shared" si="27"/>
        <v>202000</v>
      </c>
      <c r="BE26" s="8">
        <v>32000</v>
      </c>
      <c r="BF26" s="3">
        <v>0</v>
      </c>
      <c r="BG26" s="7">
        <f>Table13456[[#This Row],[$Return]]/AVERAGE(Table13456[[#This Row],[Starting]],Table13456[[#This Row],[Starting]]+Table13456[[#This Row],[Inflows]])</f>
        <v>0.15841584158415842</v>
      </c>
      <c r="BH26" s="4">
        <f t="shared" ref="BH26:BH29" si="36">BD26+BE26+BF26</f>
        <v>234000</v>
      </c>
      <c r="BI26" s="5">
        <f>IFERROR(BI25*(1+Table13456[[#This Row],[Return]]),100*(1+Table13456[[#This Row],[Return]]))</f>
        <v>233.99999999999997</v>
      </c>
      <c r="BJ26" s="24" t="str">
        <f ca="1">IF(Table13456[[#This Row],[Day]]&lt;LeadDays,"NM",(AVERAGE(BG$14:BG26)/STDEV(BG$14:BG26)*SQRT(SharpePeriod)))</f>
        <v>NM</v>
      </c>
      <c r="BK26" s="20">
        <f>Table13456[[#This Row],[Index Value]]-100</f>
        <v>133.99999999999997</v>
      </c>
      <c r="BL26" s="23" t="str">
        <f ca="1">IF(Table13456[[#This Row],[Day]]&lt;LeadDays,"NM",IF(Table13456[[#This Row],[Index Gains]]&lt;0,Table13456[[#This Row],[Index Value]],(Table13456[[#This Row],[Index Gains]]*Table13456[[#This Row],[30d_Sharpe]]*Sharpe_Wgt+Table13456[[#This Row],[Index Gains]]*(1-Sharpe_Wgt))+100)*Historical_Wgt+(100*(1+Table13456[[#This Row],[Return]])*Today_Wgt))</f>
        <v>NM</v>
      </c>
      <c r="BM26">
        <f>IF(Table13456[[#This Row],[$Return]]&gt;=0,1,-1)</f>
        <v>1</v>
      </c>
      <c r="BO26" s="6">
        <f t="shared" ca="1" si="28"/>
        <v>45610</v>
      </c>
      <c r="BP26">
        <f t="shared" ca="1" si="29"/>
        <v>13</v>
      </c>
      <c r="BQ26" s="3">
        <v>392886.9</v>
      </c>
      <c r="BR26" s="8">
        <v>-853.39</v>
      </c>
      <c r="BS26" s="3">
        <v>0</v>
      </c>
      <c r="BT26" s="7">
        <f>Table134568[[#This Row],[$Return]]/AVERAGE(Table134568[[#This Row],[Starting]],Table134568[[#This Row],[Starting]]+Table134568[[#This Row],[Inflows]])</f>
        <v>-2.1721009277733618E-3</v>
      </c>
      <c r="BU26" s="4">
        <f t="shared" ref="BU26:BU43" si="37">BQ26+BR26+BS26</f>
        <v>392033.51</v>
      </c>
      <c r="BV26" s="5">
        <f>IFERROR(BV25*(1+Table134568[[#This Row],[Return]]),100*(1+Table134568[[#This Row],[Return]]))</f>
        <v>103.04965686606462</v>
      </c>
      <c r="BW26" s="24" t="str">
        <f ca="1">IF(Table134568[[#This Row],[Day]]&lt;LeadDays,"NM",(AVERAGE(BT$14:BT26)/STDEV(BT$14:BT26)*SQRT(SharpePeriod)))</f>
        <v>NM</v>
      </c>
      <c r="BX26" s="20">
        <f>Table134568[[#This Row],[Index Value]]-100</f>
        <v>3.0496568660646233</v>
      </c>
      <c r="BY26" s="23" t="str">
        <f ca="1">IF(Table134568[[#This Row],[Day]]&lt;LeadDays,"NM",IF(Table134568[[#This Row],[Index Gains]]&lt;0,Table134568[[#This Row],[Index Value]],(Table134568[[#This Row],[Index Gains]]*Table134568[[#This Row],[30d_Sharpe]]*Sharpe_Wgt+Table134568[[#This Row],[Index Gains]]*(1-Sharpe_Wgt))+100))</f>
        <v>NM</v>
      </c>
      <c r="BZ26">
        <f>IF(Table134568[[#This Row],[$Return]]&gt;=0,1,-1)</f>
        <v>-1</v>
      </c>
      <c r="CB26" s="6">
        <f t="shared" ca="1" si="30"/>
        <v>45610</v>
      </c>
      <c r="CC26">
        <f t="shared" ca="1" si="31"/>
        <v>13</v>
      </c>
      <c r="CD26" s="3">
        <v>5483106.9699999997</v>
      </c>
      <c r="CE26" s="8">
        <v>11842.81</v>
      </c>
      <c r="CF26" s="3">
        <v>1500000</v>
      </c>
      <c r="CG26" s="7">
        <f>Table1345689[[#This Row],[$Return]]/AVERAGE(Table1345689[[#This Row],[Starting]],Table1345689[[#This Row],[Starting]]+Table1345689[[#This Row],[Inflows]])</f>
        <v>1.8999850406866995E-3</v>
      </c>
      <c r="CH26" s="4">
        <f t="shared" ref="CH26:CH43" si="38">CD26+CE26+CF26</f>
        <v>6994949.7799999993</v>
      </c>
      <c r="CI26" s="5">
        <f>IFERROR(CI25*(1+Table1345689[[#This Row],[Return]]),100*(1+Table1345689[[#This Row],[Return]]))</f>
        <v>100.98278809959911</v>
      </c>
      <c r="CJ26" s="24" t="str">
        <f ca="1">IF(Table1345689[[#This Row],[Day]]&lt;LeadDays,"NM",(AVERAGE(CG$14:CG26)/STDEV(CG$14:CG26)*SQRT(SharpePeriod)))</f>
        <v>NM</v>
      </c>
      <c r="CK26" s="20">
        <f>Table1345689[[#This Row],[Index Value]]-100</f>
        <v>0.98278809959910518</v>
      </c>
      <c r="CL26" s="23" t="str">
        <f ca="1">IF(Table1345689[[#This Row],[Day]]&lt;LeadDays,"NM",IF(Table1345689[[#This Row],[Index Gains]]&lt;0,Table1345689[[#This Row],[Index Value]],(Table1345689[[#This Row],[Index Gains]]*Table1345689[[#This Row],[30d_Sharpe]]*Sharpe_Wgt+Table1345689[[#This Row],[Index Gains]]*(1-Sharpe_Wgt))+100))</f>
        <v>NM</v>
      </c>
      <c r="CM26">
        <f>IF(Table1345689[[#This Row],[$Return]]&gt;=0,1,-1)</f>
        <v>1</v>
      </c>
    </row>
    <row r="27" spans="2:91" x14ac:dyDescent="0.45">
      <c r="B27" s="6">
        <f t="shared" ca="1" si="16"/>
        <v>45611</v>
      </c>
      <c r="C27">
        <f t="shared" ca="1" si="13"/>
        <v>14</v>
      </c>
      <c r="D27" s="3">
        <f t="shared" ca="1" si="17"/>
        <v>123806</v>
      </c>
      <c r="E27" s="8">
        <f ca="1">RANDBETWEEN(0,RAND()/10*Table13[[#This Row],[Starting]])*Table13[[#This Row],[Rand]]</f>
        <v>-11599</v>
      </c>
      <c r="F27" s="3">
        <f t="shared" ca="1" si="0"/>
        <v>249</v>
      </c>
      <c r="G27" s="7">
        <f ca="1">Table13[[#This Row],[$Return]]/AVERAGE(Table13[[#This Row],[Starting]],Table13[[#This Row],[Starting]]+Table13[[#This Row],[Inflows]])</f>
        <v>-9.3592779824175645E-2</v>
      </c>
      <c r="H27" s="4">
        <f t="shared" ca="1" si="32"/>
        <v>112456</v>
      </c>
      <c r="I27" s="5">
        <f ca="1">I26*(1+Table13[[#This Row],[Return]])</f>
        <v>105.83415035102462</v>
      </c>
      <c r="J27" s="24" t="str">
        <f ca="1">IF(Table13[[#This Row],[Day]]&lt;LeadDays,"NM",(AVERAGE(G$14:G27)/STDEV(G$14:G27)*SQRT(SharpePeriod)))</f>
        <v>NM</v>
      </c>
      <c r="K27" s="20">
        <f ca="1">Table13[[#This Row],[Index Value]]-100</f>
        <v>5.8341503510246184</v>
      </c>
      <c r="L27" s="23" t="str">
        <f ca="1">IF(Table13[[#This Row],[Day]]&lt;LeadDays,"NM",IF(Table13[[#This Row],[Index Gains]]&lt;0,Table13[[#This Row],[Index Value]],(Table13[[#This Row],[Index Gains]]*Table13[[#This Row],[30d_Sharpe]]*Sharpe_Wgt+Table13[[#This Row],[Index Gains]]*(1-Sharpe_Wgt))+100)*Historical_Wgt+(100*(1+Table13[[#This Row],[Return]])*Today_Wgt))</f>
        <v>NM</v>
      </c>
      <c r="M27">
        <f t="shared" ca="1" si="2"/>
        <v>-1</v>
      </c>
      <c r="O27" s="6">
        <f t="shared" ca="1" si="18"/>
        <v>45611</v>
      </c>
      <c r="P27">
        <f t="shared" ca="1" si="14"/>
        <v>14</v>
      </c>
      <c r="Q27" s="3">
        <f t="shared" ca="1" si="19"/>
        <v>78076</v>
      </c>
      <c r="R27" s="8">
        <f ca="1">RANDBETWEEN(0,10000)*Table137[[#This Row],[Rand]]</f>
        <v>-8214</v>
      </c>
      <c r="S27" s="3">
        <f t="shared" ca="1" si="3"/>
        <v>835</v>
      </c>
      <c r="T27" s="7">
        <f ca="1">Table137[[#This Row],[$Return]]/AVERAGE(Table137[[#This Row],[Starting]],Table137[[#This Row],[Starting]]+Table137[[#This Row],[Inflows]])</f>
        <v>-0.10464560759808136</v>
      </c>
      <c r="U27" s="4">
        <f t="shared" ca="1" si="33"/>
        <v>70697</v>
      </c>
      <c r="V27" s="5">
        <f ca="1">IFERROR(V26*(1+Table137[[#This Row],[Return]]),100*(1+Table137[[#This Row],[Return]]))</f>
        <v>64.882578912429537</v>
      </c>
      <c r="W27" s="24" t="str">
        <f ca="1">IF(Table137[[#This Row],[Day]]&lt;LeadDays,"NM",(AVERAGE(T$14:T27)/STDEV(T$14:T27)*SQRT(SharpePeriod)))</f>
        <v>NM</v>
      </c>
      <c r="X27" s="20">
        <f ca="1">Table137[[#This Row],[Index Value]]-100</f>
        <v>-35.117421087570463</v>
      </c>
      <c r="Y27" s="23" t="str">
        <f ca="1">IF(Table137[[#This Row],[Day]]&lt;LeadDays,"NM",IF(Table137[[#This Row],[Index Gains]]&lt;0,Table137[[#This Row],[Index Value]],(Table137[[#This Row],[Index Gains]]*Table137[[#This Row],[30d_Sharpe]]*Sharpe_Wgt+Table137[[#This Row],[Index Gains]]*(1-Sharpe_Wgt))+100)*Historical_Wgt+(100*(1+Table137[[#This Row],[Return]])*Today_Wgt))</f>
        <v>NM</v>
      </c>
      <c r="Z27">
        <f t="shared" ca="1" si="5"/>
        <v>-1</v>
      </c>
      <c r="AB27" s="6">
        <f t="shared" ca="1" si="20"/>
        <v>45611</v>
      </c>
      <c r="AC27">
        <f t="shared" ca="1" si="15"/>
        <v>14</v>
      </c>
      <c r="AD27" s="3">
        <f t="shared" ca="1" si="21"/>
        <v>101789</v>
      </c>
      <c r="AE27" s="8">
        <f ca="1">RANDBETWEEN(0,1000)*Table134[[#This Row],[Rand]]</f>
        <v>58</v>
      </c>
      <c r="AF27" s="3">
        <v>0</v>
      </c>
      <c r="AG27" s="7">
        <f ca="1">Table134[[#This Row],[$Return]]/AVERAGE(Table134[[#This Row],[Starting]],Table134[[#This Row],[Starting]]+Table134[[#This Row],[Inflows]])</f>
        <v>5.6980616766055272E-4</v>
      </c>
      <c r="AH27" s="4">
        <f t="shared" ca="1" si="34"/>
        <v>101847</v>
      </c>
      <c r="AI27" s="5">
        <f ca="1">IFERROR(AI26*(1+Table134[[#This Row],[Return]]),100*(1+Table134[[#This Row],[Return]]))</f>
        <v>101.84699999999999</v>
      </c>
      <c r="AJ27" s="24" t="str">
        <f ca="1">IF(Table134[[#This Row],[Day]]&lt;LeadDays,"NM",(AVERAGE(AG$14:AG27)/STDEV(AG$14:AG27)*SQRT(SharpePeriod)))</f>
        <v>NM</v>
      </c>
      <c r="AK27" s="20">
        <f ca="1">Table134[[#This Row],[Index Value]]-100</f>
        <v>1.8469999999999942</v>
      </c>
      <c r="AL27" s="23" t="str">
        <f ca="1">IF(Table134[[#This Row],[Day]]&lt;LeadDays,"NM",IF(Table134[[#This Row],[Index Gains]]&lt;0,Table134[[#This Row],[Index Value]],(Table134[[#This Row],[Index Gains]]*Table134[[#This Row],[30d_Sharpe]]*Sharpe_Wgt+Table134[[#This Row],[Index Gains]]*(1-Sharpe_Wgt))+100)*Historical_Wgt+(100*(1+Table134[[#This Row],[Return]])*Today_Wgt))</f>
        <v>NM</v>
      </c>
      <c r="AM27">
        <f t="shared" ca="1" si="7"/>
        <v>1</v>
      </c>
      <c r="AO27" s="6">
        <f t="shared" ca="1" si="22"/>
        <v>45611</v>
      </c>
      <c r="AP27">
        <f t="shared" ca="1" si="23"/>
        <v>14</v>
      </c>
      <c r="AQ27" s="3">
        <f t="shared" ca="1" si="24"/>
        <v>205982</v>
      </c>
      <c r="AR27" s="8">
        <v>500</v>
      </c>
      <c r="AS27" s="3">
        <v>0</v>
      </c>
      <c r="AT27" s="7">
        <f ca="1">Table1345[[#This Row],[$Return]]/AVERAGE(Table1345[[#This Row],[Starting]],Table1345[[#This Row],[Starting]]+Table1345[[#This Row],[Inflows]])</f>
        <v>2.4273965686322104E-3</v>
      </c>
      <c r="AU27" s="4">
        <f t="shared" ca="1" si="35"/>
        <v>206482</v>
      </c>
      <c r="AV27" s="5">
        <f ca="1">IFERROR(AV26*(1+Table1345[[#This Row],[Return]]),100*(1+Table1345[[#This Row],[Return]]))</f>
        <v>206.48199999999997</v>
      </c>
      <c r="AW27" s="24" t="str">
        <f ca="1">IF(Table1345[[#This Row],[Day]]&lt;LeadDays,"NM",(AVERAGE(AT$14:AT27)/STDEV(AT$14:AT27)*SQRT(SharpePeriod)))</f>
        <v>NM</v>
      </c>
      <c r="AX27" s="20">
        <f ca="1">Table1345[[#This Row],[Index Value]]-100</f>
        <v>106.48199999999997</v>
      </c>
      <c r="AY27" s="23" t="str">
        <f ca="1">IF(Table1345[[#This Row],[Day]]&lt;LeadDays,"NM",IF(Table1345[[#This Row],[Index Gains]]&lt;0,Table1345[[#This Row],[Index Value]],(Table1345[[#This Row],[Index Gains]]*Table1345[[#This Row],[30d_Sharpe]]*Sharpe_Wgt+Table1345[[#This Row],[Index Gains]]*(1-Sharpe_Wgt))+100)*Historical_Wgt+(100*(1+Table1345[[#This Row],[Return]])*Today_Wgt))</f>
        <v>NM</v>
      </c>
      <c r="AZ27">
        <f t="shared" ca="1" si="9"/>
        <v>1</v>
      </c>
      <c r="BB27" s="6">
        <f t="shared" ca="1" si="25"/>
        <v>45611</v>
      </c>
      <c r="BC27">
        <f t="shared" ca="1" si="26"/>
        <v>14</v>
      </c>
      <c r="BD27" s="3">
        <f t="shared" si="27"/>
        <v>234000</v>
      </c>
      <c r="BE27" s="8">
        <v>-31000</v>
      </c>
      <c r="BF27" s="3">
        <v>0</v>
      </c>
      <c r="BG27" s="7">
        <f>Table13456[[#This Row],[$Return]]/AVERAGE(Table13456[[#This Row],[Starting]],Table13456[[#This Row],[Starting]]+Table13456[[#This Row],[Inflows]])</f>
        <v>-0.13247863247863248</v>
      </c>
      <c r="BH27" s="4">
        <f t="shared" si="36"/>
        <v>203000</v>
      </c>
      <c r="BI27" s="5">
        <f>IFERROR(BI26*(1+Table13456[[#This Row],[Return]]),100*(1+Table13456[[#This Row],[Return]]))</f>
        <v>202.99999999999997</v>
      </c>
      <c r="BJ27" s="24" t="str">
        <f ca="1">IF(Table13456[[#This Row],[Day]]&lt;LeadDays,"NM",(AVERAGE(BG$14:BG27)/STDEV(BG$14:BG27)*SQRT(SharpePeriod)))</f>
        <v>NM</v>
      </c>
      <c r="BK27" s="20">
        <f>Table13456[[#This Row],[Index Value]]-100</f>
        <v>102.99999999999997</v>
      </c>
      <c r="BL27" s="23" t="str">
        <f ca="1">IF(Table13456[[#This Row],[Day]]&lt;LeadDays,"NM",IF(Table13456[[#This Row],[Index Gains]]&lt;0,Table13456[[#This Row],[Index Value]],(Table13456[[#This Row],[Index Gains]]*Table13456[[#This Row],[30d_Sharpe]]*Sharpe_Wgt+Table13456[[#This Row],[Index Gains]]*(1-Sharpe_Wgt))+100)*Historical_Wgt+(100*(1+Table13456[[#This Row],[Return]])*Today_Wgt))</f>
        <v>NM</v>
      </c>
      <c r="BM27">
        <f>IF(Table13456[[#This Row],[$Return]]&gt;=0,1,-1)</f>
        <v>-1</v>
      </c>
      <c r="BO27" s="6">
        <f t="shared" ca="1" si="28"/>
        <v>45611</v>
      </c>
      <c r="BP27">
        <f t="shared" ca="1" si="29"/>
        <v>14</v>
      </c>
      <c r="BQ27" s="3">
        <v>393118.41</v>
      </c>
      <c r="BR27" s="8">
        <v>231.51</v>
      </c>
      <c r="BS27" s="3">
        <v>0</v>
      </c>
      <c r="BT27" s="7">
        <f>Table134568[[#This Row],[$Return]]/AVERAGE(Table134568[[#This Row],[Starting]],Table134568[[#This Row],[Starting]]+Table134568[[#This Row],[Inflows]])</f>
        <v>5.8890653327581374E-4</v>
      </c>
      <c r="BU27" s="4">
        <f t="shared" si="37"/>
        <v>393349.92</v>
      </c>
      <c r="BV27" s="5">
        <f>IFERROR(BV26*(1+Table134568[[#This Row],[Return]]),100*(1+Table134568[[#This Row],[Return]]))</f>
        <v>103.11034348224489</v>
      </c>
      <c r="BW27" s="24" t="str">
        <f ca="1">IF(Table134568[[#This Row],[Day]]&lt;LeadDays,"NM",(AVERAGE(BT$14:BT27)/STDEV(BT$14:BT27)*SQRT(SharpePeriod)))</f>
        <v>NM</v>
      </c>
      <c r="BX27" s="20">
        <f>Table134568[[#This Row],[Index Value]]-100</f>
        <v>3.1103434822448861</v>
      </c>
      <c r="BY27" s="23" t="str">
        <f ca="1">IF(Table134568[[#This Row],[Day]]&lt;LeadDays,"NM",IF(Table134568[[#This Row],[Index Gains]]&lt;0,Table134568[[#This Row],[Index Value]],(Table134568[[#This Row],[Index Gains]]*Table134568[[#This Row],[30d_Sharpe]]*Sharpe_Wgt+Table134568[[#This Row],[Index Gains]]*(1-Sharpe_Wgt))+100))</f>
        <v>NM</v>
      </c>
      <c r="BZ27">
        <f>IF(Table134568[[#This Row],[$Return]]&gt;=0,1,-1)</f>
        <v>1</v>
      </c>
      <c r="CB27" s="6">
        <f t="shared" ca="1" si="30"/>
        <v>45611</v>
      </c>
      <c r="CC27">
        <f t="shared" ca="1" si="31"/>
        <v>14</v>
      </c>
      <c r="CD27" s="3">
        <v>6993716.2000000002</v>
      </c>
      <c r="CE27" s="8">
        <v>10609.23</v>
      </c>
      <c r="CF27" s="3">
        <v>0</v>
      </c>
      <c r="CG27" s="7">
        <f>Table1345689[[#This Row],[$Return]]/AVERAGE(Table1345689[[#This Row],[Starting]],Table1345689[[#This Row],[Starting]]+Table1345689[[#This Row],[Inflows]])</f>
        <v>1.5169660444614552E-3</v>
      </c>
      <c r="CH27" s="4">
        <f t="shared" si="38"/>
        <v>7004325.4300000006</v>
      </c>
      <c r="CI27" s="5">
        <f>IFERROR(CI26*(1+Table1345689[[#This Row],[Return]]),100*(1+Table1345689[[#This Row],[Return]]))</f>
        <v>101.13597556022124</v>
      </c>
      <c r="CJ27" s="24" t="str">
        <f ca="1">IF(Table1345689[[#This Row],[Day]]&lt;LeadDays,"NM",(AVERAGE(CG$14:CG27)/STDEV(CG$14:CG27)*SQRT(SharpePeriod)))</f>
        <v>NM</v>
      </c>
      <c r="CK27" s="20">
        <f>Table1345689[[#This Row],[Index Value]]-100</f>
        <v>1.1359755602212402</v>
      </c>
      <c r="CL27" s="23" t="str">
        <f ca="1">IF(Table1345689[[#This Row],[Day]]&lt;LeadDays,"NM",IF(Table1345689[[#This Row],[Index Gains]]&lt;0,Table1345689[[#This Row],[Index Value]],(Table1345689[[#This Row],[Index Gains]]*Table1345689[[#This Row],[30d_Sharpe]]*Sharpe_Wgt+Table1345689[[#This Row],[Index Gains]]*(1-Sharpe_Wgt))+100))</f>
        <v>NM</v>
      </c>
      <c r="CM27">
        <f>IF(Table1345689[[#This Row],[$Return]]&gt;=0,1,-1)</f>
        <v>1</v>
      </c>
    </row>
    <row r="28" spans="2:91" x14ac:dyDescent="0.45">
      <c r="B28" s="6">
        <f t="shared" ca="1" si="16"/>
        <v>45612</v>
      </c>
      <c r="C28">
        <f t="shared" ca="1" si="13"/>
        <v>15</v>
      </c>
      <c r="D28" s="3">
        <f t="shared" ca="1" si="17"/>
        <v>112456</v>
      </c>
      <c r="E28" s="8">
        <f ca="1">RANDBETWEEN(0,RAND()/10*Table13[[#This Row],[Starting]])*Table13[[#This Row],[Rand]]</f>
        <v>2494</v>
      </c>
      <c r="F28" s="3">
        <f t="shared" ca="1" si="0"/>
        <v>477</v>
      </c>
      <c r="G28" s="7">
        <f ca="1">Table13[[#This Row],[$Return]]/AVERAGE(Table13[[#This Row],[Starting]],Table13[[#This Row],[Starting]]+Table13[[#This Row],[Inflows]])</f>
        <v>2.2130627492912253E-2</v>
      </c>
      <c r="H28" s="4">
        <f t="shared" ca="1" si="32"/>
        <v>115427</v>
      </c>
      <c r="I28" s="5">
        <f ca="1">I27*(1+Table13[[#This Row],[Return]])</f>
        <v>108.17632650847202</v>
      </c>
      <c r="J28" s="20">
        <f ca="1">IF(Table13[[#This Row],[Day]]&lt;LeadDays,"NM",(AVERAGE(G$14:G28)/STDEV(G$14:G28)*SQRT(SharpePeriod)))</f>
        <v>0.84415514253574586</v>
      </c>
      <c r="K28" s="20">
        <f ca="1">Table13[[#This Row],[Index Value]]-100</f>
        <v>8.176326508472016</v>
      </c>
      <c r="L28" s="17">
        <f ca="1">IF(Table13[[#This Row],[Day]]&lt;LeadDays,"NM",IF(Table13[[#This Row],[Index Gains]]&lt;0,Table13[[#This Row],[Index Value]],(Table13[[#This Row],[Index Gains]]*Table13[[#This Row],[30d_Sharpe]]*Sharpe_Wgt+Table13[[#This Row],[Index Gains]]*(1-Sharpe_Wgt))+100)*Historical_Wgt+(100*(1+Table13[[#This Row],[Return]])*Today_Wgt))</f>
        <v>104.87613501905811</v>
      </c>
      <c r="M28">
        <f t="shared" ca="1" si="2"/>
        <v>1</v>
      </c>
      <c r="O28" s="6">
        <f t="shared" ca="1" si="18"/>
        <v>45612</v>
      </c>
      <c r="P28">
        <f t="shared" ca="1" si="14"/>
        <v>15</v>
      </c>
      <c r="Q28" s="3">
        <f t="shared" ca="1" si="19"/>
        <v>70697</v>
      </c>
      <c r="R28" s="8">
        <f ca="1">RANDBETWEEN(0,10000)*Table137[[#This Row],[Rand]]</f>
        <v>6748</v>
      </c>
      <c r="S28" s="3">
        <f t="shared" ca="1" si="3"/>
        <v>396</v>
      </c>
      <c r="T28" s="7">
        <f ca="1">Table137[[#This Row],[$Return]]/AVERAGE(Table137[[#This Row],[Starting]],Table137[[#This Row],[Starting]]+Table137[[#This Row],[Inflows]])</f>
        <v>9.518301713802102E-2</v>
      </c>
      <c r="U28" s="4">
        <f t="shared" ca="1" si="33"/>
        <v>77841</v>
      </c>
      <c r="V28" s="5">
        <f ca="1">IFERROR(V27*(1+Table137[[#This Row],[Return]]),100*(1+Table137[[#This Row],[Return]]))</f>
        <v>71.058298533010316</v>
      </c>
      <c r="W28" s="20">
        <f ca="1">IF(Table137[[#This Row],[Day]]&lt;LeadDays,"NM",(AVERAGE(T$14:T28)/STDEV(T$14:T28)*SQRT(SharpePeriod)))</f>
        <v>-1.4945264771171169</v>
      </c>
      <c r="X28" s="20">
        <f ca="1">Table137[[#This Row],[Index Value]]-100</f>
        <v>-28.941701466989684</v>
      </c>
      <c r="Y28" s="23">
        <f ca="1">IF(Table137[[#This Row],[Day]]&lt;LeadDays,"NM",IF(Table137[[#This Row],[Index Gains]]&lt;0,Table137[[#This Row],[Index Value]],(Table137[[#This Row],[Index Gains]]*Table137[[#This Row],[30d_Sharpe]]*Sharpe_Wgt+Table137[[#This Row],[Index Gains]]*(1-Sharpe_Wgt))+100)*Historical_Wgt+(100*(1+Table137[[#This Row],[Return]])*Today_Wgt))</f>
        <v>90.288300123406202</v>
      </c>
      <c r="Z28">
        <f t="shared" ca="1" si="5"/>
        <v>1</v>
      </c>
      <c r="AB28" s="6">
        <f t="shared" ca="1" si="20"/>
        <v>45612</v>
      </c>
      <c r="AC28">
        <f t="shared" ca="1" si="15"/>
        <v>15</v>
      </c>
      <c r="AD28" s="3">
        <f t="shared" ca="1" si="21"/>
        <v>101847</v>
      </c>
      <c r="AE28" s="8">
        <f ca="1">RANDBETWEEN(0,1000)*Table134[[#This Row],[Rand]]</f>
        <v>-934</v>
      </c>
      <c r="AF28" s="3">
        <v>0</v>
      </c>
      <c r="AG28" s="7">
        <f ca="1">Table134[[#This Row],[$Return]]/AVERAGE(Table134[[#This Row],[Starting]],Table134[[#This Row],[Starting]]+Table134[[#This Row],[Inflows]])</f>
        <v>-9.1706186731077E-3</v>
      </c>
      <c r="AH28" s="4">
        <f t="shared" ca="1" si="34"/>
        <v>100913</v>
      </c>
      <c r="AI28" s="5">
        <f ca="1">IFERROR(AI27*(1+Table134[[#This Row],[Return]]),100*(1+Table134[[#This Row],[Return]]))</f>
        <v>100.91299999999998</v>
      </c>
      <c r="AJ28" s="24">
        <f ca="1">IF(Table134[[#This Row],[Day]]&lt;LeadDays,"NM",(AVERAGE(AG$14:AG28)/STDEV(AG$14:AG28)*SQRT(SharpePeriod)))</f>
        <v>0.60103383497150731</v>
      </c>
      <c r="AK28" s="20">
        <f ca="1">Table134[[#This Row],[Index Value]]-100</f>
        <v>0.91299999999998249</v>
      </c>
      <c r="AL28" s="23">
        <f ca="1">IF(Table134[[#This Row],[Day]]&lt;LeadDays,"NM",IF(Table134[[#This Row],[Index Gains]]&lt;0,Table134[[#This Row],[Index Value]],(Table134[[#This Row],[Index Gains]]*Table134[[#This Row],[30d_Sharpe]]*Sharpe_Wgt+Table134[[#This Row],[Index Gains]]*(1-Sharpe_Wgt))+100)*Historical_Wgt+(100*(1+Table134[[#This Row],[Return]])*Today_Wgt))</f>
        <v>99.906905039176849</v>
      </c>
      <c r="AM28">
        <f t="shared" ca="1" si="7"/>
        <v>-1</v>
      </c>
      <c r="AO28" s="6">
        <f t="shared" ca="1" si="22"/>
        <v>45612</v>
      </c>
      <c r="AP28">
        <f t="shared" ca="1" si="23"/>
        <v>15</v>
      </c>
      <c r="AQ28" s="3">
        <f t="shared" ca="1" si="24"/>
        <v>206482</v>
      </c>
      <c r="AR28" s="8">
        <v>1000</v>
      </c>
      <c r="AS28" s="3">
        <v>0</v>
      </c>
      <c r="AT28" s="7">
        <f ca="1">Table1345[[#This Row],[$Return]]/AVERAGE(Table1345[[#This Row],[Starting]],Table1345[[#This Row],[Starting]]+Table1345[[#This Row],[Inflows]])</f>
        <v>4.8430371654672082E-3</v>
      </c>
      <c r="AU28" s="4">
        <f t="shared" ca="1" si="35"/>
        <v>207482</v>
      </c>
      <c r="AV28" s="5">
        <f ca="1">IFERROR(AV27*(1+Table1345[[#This Row],[Return]]),100*(1+Table1345[[#This Row],[Return]]))</f>
        <v>207.482</v>
      </c>
      <c r="AW28" s="24">
        <f ca="1">IF(Table1345[[#This Row],[Day]]&lt;LeadDays,"NM",(AVERAGE(AT$14:AT28)/STDEV(AT$14:AT28)*SQRT(SharpePeriod)))</f>
        <v>1.6537853995738148</v>
      </c>
      <c r="AX28" s="20">
        <f ca="1">Table1345[[#This Row],[Index Value]]-100</f>
        <v>107.482</v>
      </c>
      <c r="AY28" s="23">
        <f ca="1">IF(Table1345[[#This Row],[Day]]&lt;LeadDays,"NM",IF(Table1345[[#This Row],[Index Gains]]&lt;0,Table1345[[#This Row],[Index Value]],(Table1345[[#This Row],[Index Gains]]*Table1345[[#This Row],[30d_Sharpe]]*Sharpe_Wgt+Table1345[[#This Row],[Index Gains]]*(1-Sharpe_Wgt))+100)*Historical_Wgt+(100*(1+Table1345[[#This Row],[Return]])*Today_Wgt))</f>
        <v>171.55069243752155</v>
      </c>
      <c r="AZ28">
        <f t="shared" ca="1" si="9"/>
        <v>1</v>
      </c>
      <c r="BB28" s="6">
        <f t="shared" ca="1" si="25"/>
        <v>45612</v>
      </c>
      <c r="BC28">
        <f t="shared" ca="1" si="26"/>
        <v>15</v>
      </c>
      <c r="BD28" s="3">
        <f t="shared" si="27"/>
        <v>203000</v>
      </c>
      <c r="BE28" s="8">
        <v>36000</v>
      </c>
      <c r="BF28" s="3">
        <v>0</v>
      </c>
      <c r="BG28" s="7">
        <f>Table13456[[#This Row],[$Return]]/AVERAGE(Table13456[[#This Row],[Starting]],Table13456[[#This Row],[Starting]]+Table13456[[#This Row],[Inflows]])</f>
        <v>0.17733990147783252</v>
      </c>
      <c r="BH28" s="4">
        <f t="shared" si="36"/>
        <v>239000</v>
      </c>
      <c r="BI28" s="5">
        <f>IFERROR(BI27*(1+Table13456[[#This Row],[Return]]),100*(1+Table13456[[#This Row],[Return]]))</f>
        <v>238.99999999999997</v>
      </c>
      <c r="BJ28" s="24">
        <f ca="1">IF(Table13456[[#This Row],[Day]]&lt;LeadDays,"NM",(AVERAGE(BG$14:BG28)/STDEV(BG$14:BG28)*SQRT(SharpePeriod)))</f>
        <v>2.0679982960757828</v>
      </c>
      <c r="BK28" s="20">
        <f>Table13456[[#This Row],[Index Value]]-100</f>
        <v>138.99999999999997</v>
      </c>
      <c r="BL28" s="23">
        <f ca="1">IF(Table13456[[#This Row],[Day]]&lt;LeadDays,"NM",IF(Table13456[[#This Row],[Index Gains]]&lt;0,Table13456[[#This Row],[Index Value]],(Table13456[[#This Row],[Index Gains]]*Table13456[[#This Row],[30d_Sharpe]]*Sharpe_Wgt+Table13456[[#This Row],[Index Gains]]*(1-Sharpe_Wgt))+100)*Historical_Wgt+(100*(1+Table13456[[#This Row],[Return]])*Today_Wgt))</f>
        <v>215.47993586252505</v>
      </c>
      <c r="BM28">
        <f>IF(Table13456[[#This Row],[$Return]]&gt;=0,1,-1)</f>
        <v>1</v>
      </c>
      <c r="BO28" s="6">
        <f t="shared" ca="1" si="28"/>
        <v>45612</v>
      </c>
      <c r="BP28">
        <f t="shared" ca="1" si="29"/>
        <v>15</v>
      </c>
      <c r="BQ28" s="3">
        <v>393312.71</v>
      </c>
      <c r="BR28" s="8">
        <v>194.29</v>
      </c>
      <c r="BS28" s="3">
        <v>0</v>
      </c>
      <c r="BT28" s="7">
        <f>Table134568[[#This Row],[$Return]]/AVERAGE(Table134568[[#This Row],[Starting]],Table134568[[#This Row],[Starting]]+Table134568[[#This Row],[Inflows]])</f>
        <v>4.939835277634429E-4</v>
      </c>
      <c r="BU28" s="4">
        <f t="shared" si="37"/>
        <v>393507</v>
      </c>
      <c r="BV28" s="5">
        <f>IFERROR(BV27*(1+Table134568[[#This Row],[Return]]),100*(1+Table134568[[#This Row],[Return]]))</f>
        <v>103.16127829346715</v>
      </c>
      <c r="BW28" s="24">
        <f ca="1">IF(Table134568[[#This Row],[Day]]&lt;LeadDays,"NM",(AVERAGE(BT$14:BT28)/STDEV(BT$14:BT28)*SQRT(SharpePeriod)))</f>
        <v>2.9797505747104216</v>
      </c>
      <c r="BX28" s="20">
        <f>Table134568[[#This Row],[Index Value]]-100</f>
        <v>3.1612782934671486</v>
      </c>
      <c r="BY28" s="23">
        <f ca="1">IF(Table134568[[#This Row],[Day]]&lt;LeadDays,"NM",IF(Table134568[[#This Row],[Index Gains]]&lt;0,Table134568[[#This Row],[Index Value]],(Table134568[[#This Row],[Index Gains]]*Table134568[[#This Row],[30d_Sharpe]]*Sharpe_Wgt+Table134568[[#This Row],[Index Gains]]*(1-Sharpe_Wgt))+100))</f>
        <v>106.29054955262274</v>
      </c>
      <c r="BZ28">
        <f>IF(Table134568[[#This Row],[$Return]]&gt;=0,1,-1)</f>
        <v>1</v>
      </c>
      <c r="CB28" s="6">
        <f t="shared" ca="1" si="30"/>
        <v>45612</v>
      </c>
      <c r="CC28">
        <f t="shared" ca="1" si="31"/>
        <v>15</v>
      </c>
      <c r="CD28" s="3">
        <v>7002350.2699999996</v>
      </c>
      <c r="CE28" s="8">
        <v>8634.07</v>
      </c>
      <c r="CF28" s="3">
        <v>-1500000</v>
      </c>
      <c r="CG28" s="7">
        <f>Table1345689[[#This Row],[$Return]]/AVERAGE(Table1345689[[#This Row],[Starting]],Table1345689[[#This Row],[Starting]]+Table1345689[[#This Row],[Inflows]])</f>
        <v>1.3809319099456019E-3</v>
      </c>
      <c r="CH28" s="4">
        <f t="shared" si="38"/>
        <v>5510984.3399999999</v>
      </c>
      <c r="CI28" s="5">
        <f>IFERROR(CI27*(1+Table1345689[[#This Row],[Return]]),100*(1+Table1345689[[#This Row],[Return]]))</f>
        <v>101.27563745611583</v>
      </c>
      <c r="CJ28" s="24">
        <f ca="1">IF(Table1345689[[#This Row],[Day]]&lt;LeadDays,"NM",(AVERAGE(CG$14:CG28)/STDEV(CG$14:CG28)*SQRT(SharpePeriod)))</f>
        <v>3.678232132642373</v>
      </c>
      <c r="CK28" s="20">
        <f>Table1345689[[#This Row],[Index Value]]-100</f>
        <v>1.275637456115831</v>
      </c>
      <c r="CL28" s="23">
        <f ca="1">IF(Table1345689[[#This Row],[Day]]&lt;LeadDays,"NM",IF(Table1345689[[#This Row],[Index Gains]]&lt;0,Table1345689[[#This Row],[Index Value]],(Table1345689[[#This Row],[Index Gains]]*Table1345689[[#This Row],[30d_Sharpe]]*Sharpe_Wgt+Table1345689[[#This Row],[Index Gains]]*(1-Sharpe_Wgt))+100))</f>
        <v>102.98386406840163</v>
      </c>
      <c r="CM28">
        <f>IF(Table1345689[[#This Row],[$Return]]&gt;=0,1,-1)</f>
        <v>1</v>
      </c>
    </row>
    <row r="29" spans="2:91" x14ac:dyDescent="0.45">
      <c r="B29" s="6">
        <f t="shared" ca="1" si="16"/>
        <v>45613</v>
      </c>
      <c r="C29">
        <f t="shared" ca="1" si="13"/>
        <v>16</v>
      </c>
      <c r="D29" s="3">
        <f t="shared" ca="1" si="17"/>
        <v>115427</v>
      </c>
      <c r="E29" s="8">
        <f ca="1">RANDBETWEEN(0,RAND()/10*Table13[[#This Row],[Starting]])*Table13[[#This Row],[Rand]]</f>
        <v>-5586</v>
      </c>
      <c r="F29" s="3">
        <f t="shared" ca="1" si="0"/>
        <v>596</v>
      </c>
      <c r="G29" s="7">
        <f ca="1">Table13[[#This Row],[$Return]]/AVERAGE(Table13[[#This Row],[Starting]],Table13[[#This Row],[Starting]]+Table13[[#This Row],[Inflows]])</f>
        <v>-4.826960466623461E-2</v>
      </c>
      <c r="H29" s="4">
        <f t="shared" ca="1" si="32"/>
        <v>110437</v>
      </c>
      <c r="I29" s="5">
        <f ca="1">I28*(1+Table13[[#This Row],[Return]])</f>
        <v>102.95469799366255</v>
      </c>
      <c r="J29" s="20">
        <f ca="1">IF(Table13[[#This Row],[Day]]&lt;LeadDays,"NM",(AVERAGE(G$14:G29)/STDEV(G$14:G29)*SQRT(SharpePeriod)))</f>
        <v>0.35569316852000882</v>
      </c>
      <c r="K29" s="20">
        <f ca="1">Table13[[#This Row],[Index Value]]-100</f>
        <v>2.954697993662549</v>
      </c>
      <c r="L29" s="17">
        <f ca="1">IF(Table13[[#This Row],[Day]]&lt;LeadDays,"NM",IF(Table13[[#This Row],[Index Gains]]&lt;0,Table13[[#This Row],[Index Value]],(Table13[[#This Row],[Index Gains]]*Table13[[#This Row],[30d_Sharpe]]*Sharpe_Wgt+Table13[[#This Row],[Index Gains]]*(1-Sharpe_Wgt))+100)*Historical_Wgt+(100*(1+Table13[[#This Row],[Return]])*Today_Wgt))</f>
        <v>98.587935737950289</v>
      </c>
      <c r="M29">
        <f t="shared" ca="1" si="2"/>
        <v>-1</v>
      </c>
      <c r="O29" s="6">
        <f t="shared" ca="1" si="18"/>
        <v>45613</v>
      </c>
      <c r="P29">
        <f t="shared" ca="1" si="14"/>
        <v>16</v>
      </c>
      <c r="Q29" s="3">
        <f t="shared" ca="1" si="19"/>
        <v>77841</v>
      </c>
      <c r="R29" s="8">
        <f ca="1">RANDBETWEEN(0,10000)*Table137[[#This Row],[Rand]]</f>
        <v>9104</v>
      </c>
      <c r="S29" s="3">
        <f t="shared" ca="1" si="3"/>
        <v>763</v>
      </c>
      <c r="T29" s="7">
        <f ca="1">Table137[[#This Row],[$Return]]/AVERAGE(Table137[[#This Row],[Starting]],Table137[[#This Row],[Starting]]+Table137[[#This Row],[Inflows]])</f>
        <v>0.11638595033398319</v>
      </c>
      <c r="U29" s="4">
        <f t="shared" ca="1" si="33"/>
        <v>87708</v>
      </c>
      <c r="V29" s="5">
        <f ca="1">IFERROR(V28*(1+Table137[[#This Row],[Return]]),100*(1+Table137[[#This Row],[Return]]))</f>
        <v>79.328486136890604</v>
      </c>
      <c r="W29" s="20">
        <f ca="1">IF(Table137[[#This Row],[Day]]&lt;LeadDays,"NM",(AVERAGE(T$14:T29)/STDEV(T$14:T29)*SQRT(SharpePeriod)))</f>
        <v>-0.8003699914162371</v>
      </c>
      <c r="X29" s="20">
        <f ca="1">Table137[[#This Row],[Index Value]]-100</f>
        <v>-20.671513863109396</v>
      </c>
      <c r="Y29" s="23">
        <f ca="1">IF(Table137[[#This Row],[Day]]&lt;LeadDays,"NM",IF(Table137[[#This Row],[Index Gains]]&lt;0,Table137[[#This Row],[Index Value]],(Table137[[#This Row],[Index Gains]]*Table137[[#This Row],[30d_Sharpe]]*Sharpe_Wgt+Table137[[#This Row],[Index Gains]]*(1-Sharpe_Wgt))+100)*Historical_Wgt+(100*(1+Table137[[#This Row],[Return]])*Today_Wgt))</f>
        <v>95.483540585144468</v>
      </c>
      <c r="Z29">
        <f t="shared" ca="1" si="5"/>
        <v>1</v>
      </c>
      <c r="AB29" s="6">
        <f t="shared" ca="1" si="20"/>
        <v>45613</v>
      </c>
      <c r="AC29">
        <f t="shared" ca="1" si="15"/>
        <v>16</v>
      </c>
      <c r="AD29" s="3">
        <f t="shared" ca="1" si="21"/>
        <v>100913</v>
      </c>
      <c r="AE29" s="8">
        <f ca="1">RANDBETWEEN(0,1000)*Table134[[#This Row],[Rand]]</f>
        <v>892</v>
      </c>
      <c r="AF29" s="3">
        <v>0</v>
      </c>
      <c r="AG29" s="7">
        <f ca="1">Table134[[#This Row],[$Return]]/AVERAGE(Table134[[#This Row],[Starting]],Table134[[#This Row],[Starting]]+Table134[[#This Row],[Inflows]])</f>
        <v>8.8392972164141395E-3</v>
      </c>
      <c r="AH29" s="4">
        <f t="shared" ca="1" si="34"/>
        <v>101805</v>
      </c>
      <c r="AI29" s="5">
        <f ca="1">IFERROR(AI28*(1+Table134[[#This Row],[Return]]),100*(1+Table134[[#This Row],[Return]]))</f>
        <v>101.80499999999999</v>
      </c>
      <c r="AJ29" s="24">
        <f ca="1">IF(Table134[[#This Row],[Day]]&lt;LeadDays,"NM",(AVERAGE(AG$14:AG29)/STDEV(AG$14:AG29)*SQRT(SharpePeriod)))</f>
        <v>1.0640236834732091</v>
      </c>
      <c r="AK29" s="20">
        <f ca="1">Table134[[#This Row],[Index Value]]-100</f>
        <v>1.8049999999999926</v>
      </c>
      <c r="AL29" s="23">
        <f ca="1">IF(Table134[[#This Row],[Day]]&lt;LeadDays,"NM",IF(Table134[[#This Row],[Index Gains]]&lt;0,Table134[[#This Row],[Index Value]],(Table134[[#This Row],[Index Gains]]*Table134[[#This Row],[30d_Sharpe]]*Sharpe_Wgt+Table134[[#This Row],[Index Gains]]*(1-Sharpe_Wgt))+100)*Historical_Wgt+(100*(1+Table134[[#This Row],[Return]])*Today_Wgt))</f>
        <v>101.37335554798798</v>
      </c>
      <c r="AM29">
        <f t="shared" ca="1" si="7"/>
        <v>1</v>
      </c>
      <c r="AO29" s="6">
        <f t="shared" ca="1" si="22"/>
        <v>45613</v>
      </c>
      <c r="AP29">
        <f t="shared" ca="1" si="23"/>
        <v>16</v>
      </c>
      <c r="AQ29" s="3">
        <f t="shared" ca="1" si="24"/>
        <v>207482</v>
      </c>
      <c r="AR29" s="8">
        <v>-1000</v>
      </c>
      <c r="AS29" s="3">
        <v>0</v>
      </c>
      <c r="AT29" s="7">
        <f ca="1">Table1345[[#This Row],[$Return]]/AVERAGE(Table1345[[#This Row],[Starting]],Table1345[[#This Row],[Starting]]+Table1345[[#This Row],[Inflows]])</f>
        <v>-4.8196952024753955E-3</v>
      </c>
      <c r="AU29" s="4">
        <f t="shared" ca="1" si="35"/>
        <v>206482</v>
      </c>
      <c r="AV29" s="5">
        <f ca="1">IFERROR(AV28*(1+Table1345[[#This Row],[Return]]),100*(1+Table1345[[#This Row],[Return]]))</f>
        <v>206.482</v>
      </c>
      <c r="AW29" s="24">
        <f ca="1">IF(Table1345[[#This Row],[Day]]&lt;LeadDays,"NM",(AVERAGE(AT$14:AT29)/STDEV(AT$14:AT29)*SQRT(SharpePeriod)))</f>
        <v>1.5922725297984028</v>
      </c>
      <c r="AX29" s="20">
        <f ca="1">Table1345[[#This Row],[Index Value]]-100</f>
        <v>106.482</v>
      </c>
      <c r="AY29" s="23">
        <f ca="1">IF(Table1345[[#This Row],[Day]]&lt;LeadDays,"NM",IF(Table1345[[#This Row],[Index Gains]]&lt;0,Table1345[[#This Row],[Index Value]],(Table1345[[#This Row],[Index Gains]]*Table1345[[#This Row],[30d_Sharpe]]*Sharpe_Wgt+Table1345[[#This Row],[Index Gains]]*(1-Sharpe_Wgt))+100)*Historical_Wgt+(100*(1+Table1345[[#This Row],[Return]])*Today_Wgt))</f>
        <v>168.76660611937461</v>
      </c>
      <c r="AZ29">
        <f t="shared" ca="1" si="9"/>
        <v>1</v>
      </c>
      <c r="BB29" s="6">
        <f t="shared" ca="1" si="25"/>
        <v>45613</v>
      </c>
      <c r="BC29">
        <f t="shared" ca="1" si="26"/>
        <v>16</v>
      </c>
      <c r="BD29" s="3">
        <f t="shared" si="27"/>
        <v>239000</v>
      </c>
      <c r="BE29" s="8">
        <v>-84000</v>
      </c>
      <c r="BF29" s="3">
        <v>0</v>
      </c>
      <c r="BG29" s="7">
        <f>Table13456[[#This Row],[$Return]]/AVERAGE(Table13456[[#This Row],[Starting]],Table13456[[#This Row],[Starting]]+Table13456[[#This Row],[Inflows]])</f>
        <v>-0.35146443514644349</v>
      </c>
      <c r="BH29" s="4">
        <f t="shared" si="36"/>
        <v>155000</v>
      </c>
      <c r="BI29" s="5">
        <f>IFERROR(BI28*(1+Table13456[[#This Row],[Return]]),100*(1+Table13456[[#This Row],[Return]]))</f>
        <v>154.99999999999997</v>
      </c>
      <c r="BJ29" s="24">
        <f ca="1">IF(Table13456[[#This Row],[Day]]&lt;LeadDays,"NM",(AVERAGE(BG$14:BG29)/STDEV(BG$14:BG29)*SQRT(SharpePeriod)))</f>
        <v>1.2350818643748949</v>
      </c>
      <c r="BK29" s="20">
        <f>Table13456[[#This Row],[Index Value]]-100</f>
        <v>54.999999999999972</v>
      </c>
      <c r="BL29" s="23">
        <f ca="1">IF(Table13456[[#This Row],[Day]]&lt;LeadDays,"NM",IF(Table13456[[#This Row],[Index Gains]]&lt;0,Table13456[[#This Row],[Index Value]],(Table13456[[#This Row],[Index Gains]]*Table13456[[#This Row],[30d_Sharpe]]*Sharpe_Wgt+Table13456[[#This Row],[Index Gains]]*(1-Sharpe_Wgt))+100)*Historical_Wgt+(100*(1+Table13456[[#This Row],[Return]])*Today_Wgt))</f>
        <v>113.15915387783261</v>
      </c>
      <c r="BM29">
        <f>IF(Table13456[[#This Row],[$Return]]&gt;=0,1,-1)</f>
        <v>-1</v>
      </c>
      <c r="BO29" s="6">
        <f t="shared" ca="1" si="28"/>
        <v>45613</v>
      </c>
      <c r="BP29">
        <f t="shared" ca="1" si="29"/>
        <v>16</v>
      </c>
      <c r="BQ29" s="3">
        <v>394154.82</v>
      </c>
      <c r="BR29" s="8">
        <v>842.12</v>
      </c>
      <c r="BS29" s="3">
        <v>0</v>
      </c>
      <c r="BT29" s="7">
        <f>Table134568[[#This Row],[$Return]]/AVERAGE(Table134568[[#This Row],[Starting]],Table134568[[#This Row],[Starting]]+Table134568[[#This Row],[Inflows]])</f>
        <v>2.1365208726865244E-3</v>
      </c>
      <c r="BU29" s="4">
        <f t="shared" si="37"/>
        <v>394996.94</v>
      </c>
      <c r="BV29" s="5">
        <f>IFERROR(BV28*(1+Table134568[[#This Row],[Return]]),100*(1+Table134568[[#This Row],[Return]]))</f>
        <v>103.38168451779416</v>
      </c>
      <c r="BW29" s="24">
        <f ca="1">IF(Table134568[[#This Row],[Day]]&lt;LeadDays,"NM",(AVERAGE(BT$14:BT29)/STDEV(BT$14:BT29)*SQRT(SharpePeriod)))</f>
        <v>3.0891855940594115</v>
      </c>
      <c r="BX29" s="20">
        <f>Table134568[[#This Row],[Index Value]]-100</f>
        <v>3.3816845177941559</v>
      </c>
      <c r="BY29" s="23">
        <f ca="1">IF(Table134568[[#This Row],[Day]]&lt;LeadDays,"NM",IF(Table134568[[#This Row],[Index Gains]]&lt;0,Table134568[[#This Row],[Index Value]],(Table134568[[#This Row],[Index Gains]]*Table134568[[#This Row],[30d_Sharpe]]*Sharpe_Wgt+Table134568[[#This Row],[Index Gains]]*(1-Sharpe_Wgt))+100))</f>
        <v>106.91416780690881</v>
      </c>
      <c r="BZ29">
        <f>IF(Table134568[[#This Row],[$Return]]&gt;=0,1,-1)</f>
        <v>1</v>
      </c>
      <c r="CB29" s="6">
        <f t="shared" ca="1" si="30"/>
        <v>45613</v>
      </c>
      <c r="CC29">
        <f t="shared" ca="1" si="31"/>
        <v>16</v>
      </c>
      <c r="CD29" s="3">
        <v>5519401.9800000004</v>
      </c>
      <c r="CE29" s="8">
        <v>17051.71</v>
      </c>
      <c r="CF29" s="3">
        <v>1500000</v>
      </c>
      <c r="CG29" s="7">
        <f>Table1345689[[#This Row],[$Return]]/AVERAGE(Table1345689[[#This Row],[Starting]],Table1345689[[#This Row],[Starting]]+Table1345689[[#This Row],[Inflows]])</f>
        <v>2.7198303848431807E-3</v>
      </c>
      <c r="CH29" s="4">
        <f t="shared" si="38"/>
        <v>7036453.6900000004</v>
      </c>
      <c r="CI29" s="5">
        <f>IFERROR(CI28*(1+Table1345689[[#This Row],[Return]]),100*(1+Table1345689[[#This Row],[Return]]))</f>
        <v>101.55109001211335</v>
      </c>
      <c r="CJ29" s="24">
        <f ca="1">IF(Table1345689[[#This Row],[Day]]&lt;LeadDays,"NM",(AVERAGE(CG$14:CG29)/STDEV(CG$14:CG29)*SQRT(SharpePeriod)))</f>
        <v>4.0450934269773953</v>
      </c>
      <c r="CK29" s="20">
        <f>Table1345689[[#This Row],[Index Value]]-100</f>
        <v>1.5510900121133488</v>
      </c>
      <c r="CL29" s="23">
        <f ca="1">IF(Table1345689[[#This Row],[Day]]&lt;LeadDays,"NM",IF(Table1345689[[#This Row],[Index Gains]]&lt;0,Table1345689[[#This Row],[Index Value]],(Table1345689[[#This Row],[Index Gains]]*Table1345689[[#This Row],[30d_Sharpe]]*Sharpe_Wgt+Table1345689[[#This Row],[Index Gains]]*(1-Sharpe_Wgt))+100))</f>
        <v>103.91269701238167</v>
      </c>
      <c r="CM29">
        <f>IF(Table1345689[[#This Row],[$Return]]&gt;=0,1,-1)</f>
        <v>1</v>
      </c>
    </row>
    <row r="30" spans="2:91" x14ac:dyDescent="0.45">
      <c r="B30" s="6">
        <f t="shared" ca="1" si="16"/>
        <v>45614</v>
      </c>
      <c r="C30">
        <f t="shared" ca="1" si="13"/>
        <v>17</v>
      </c>
      <c r="D30" s="3">
        <f t="shared" ca="1" si="17"/>
        <v>110437</v>
      </c>
      <c r="E30" s="8">
        <f ca="1">RANDBETWEEN(0,RAND()/10*Table13[[#This Row],[Starting]])*Table13[[#This Row],[Rand]]</f>
        <v>2523</v>
      </c>
      <c r="F30" s="3">
        <f t="shared" ca="1" si="0"/>
        <v>932</v>
      </c>
      <c r="G30" s="7">
        <f ca="1">Table13[[#This Row],[$Return]]/AVERAGE(Table13[[#This Row],[Starting]],Table13[[#This Row],[Starting]]+Table13[[#This Row],[Inflows]])</f>
        <v>2.2749610019566647E-2</v>
      </c>
      <c r="H30" s="4">
        <f t="shared" ca="1" si="32"/>
        <v>113892</v>
      </c>
      <c r="I30" s="5">
        <f ca="1">I29*(1+Table13[[#This Row],[Return]])</f>
        <v>105.29687722270062</v>
      </c>
      <c r="J30" s="20">
        <f ca="1">IF(Table13[[#This Row],[Day]]&lt;LeadDays,"NM",(AVERAGE(G$14:G30)/STDEV(G$14:G30)*SQRT(SharpePeriod)))</f>
        <v>0.53143637185928105</v>
      </c>
      <c r="K30" s="20">
        <f ca="1">Table13[[#This Row],[Index Value]]-100</f>
        <v>5.2968772227006156</v>
      </c>
      <c r="L30" s="17">
        <f ca="1">IF(Table13[[#This Row],[Day]]&lt;LeadDays,"NM",IF(Table13[[#This Row],[Index Gains]]&lt;0,Table13[[#This Row],[Index Value]],(Table13[[#This Row],[Index Gains]]*Table13[[#This Row],[30d_Sharpe]]*Sharpe_Wgt+Table13[[#This Row],[Index Gains]]*(1-Sharpe_Wgt))+100)*Historical_Wgt+(100*(1+Table13[[#This Row],[Return]])*Today_Wgt))</f>
        <v>103.1654381100075</v>
      </c>
      <c r="M30">
        <f t="shared" ca="1" si="2"/>
        <v>1</v>
      </c>
      <c r="O30" s="6">
        <f t="shared" ca="1" si="18"/>
        <v>45614</v>
      </c>
      <c r="P30">
        <f t="shared" ca="1" si="14"/>
        <v>17</v>
      </c>
      <c r="Q30" s="3">
        <f t="shared" ca="1" si="19"/>
        <v>87708</v>
      </c>
      <c r="R30" s="8">
        <f ca="1">RANDBETWEEN(0,10000)*Table137[[#This Row],[Rand]]</f>
        <v>6388</v>
      </c>
      <c r="S30" s="3">
        <f t="shared" ca="1" si="3"/>
        <v>835</v>
      </c>
      <c r="T30" s="7">
        <f ca="1">Table137[[#This Row],[$Return]]/AVERAGE(Table137[[#This Row],[Starting]],Table137[[#This Row],[Starting]]+Table137[[#This Row],[Inflows]])</f>
        <v>7.2487531985634124E-2</v>
      </c>
      <c r="U30" s="4">
        <f t="shared" ca="1" si="33"/>
        <v>94931</v>
      </c>
      <c r="V30" s="5">
        <f ca="1">IFERROR(V29*(1+Table137[[#This Row],[Return]]),100*(1+Table137[[#This Row],[Return]]))</f>
        <v>85.078812313110404</v>
      </c>
      <c r="W30" s="20">
        <f ca="1">IF(Table137[[#This Row],[Day]]&lt;LeadDays,"NM",(AVERAGE(T$14:T30)/STDEV(T$14:T30)*SQRT(SharpePeriod)))</f>
        <v>-0.45533040868744346</v>
      </c>
      <c r="X30" s="20">
        <f ca="1">Table137[[#This Row],[Index Value]]-100</f>
        <v>-14.921187686889596</v>
      </c>
      <c r="Y30" s="23">
        <f ca="1">IF(Table137[[#This Row],[Day]]&lt;LeadDays,"NM",IF(Table137[[#This Row],[Index Gains]]&lt;0,Table137[[#This Row],[Index Value]],(Table137[[#This Row],[Index Gains]]*Table137[[#This Row],[30d_Sharpe]]*Sharpe_Wgt+Table137[[#This Row],[Index Gains]]*(1-Sharpe_Wgt))+100)*Historical_Wgt+(100*(1+Table137[[#This Row],[Return]])*Today_Wgt))</f>
        <v>96.163782755836905</v>
      </c>
      <c r="Z30">
        <f t="shared" ca="1" si="5"/>
        <v>1</v>
      </c>
      <c r="AB30" s="6">
        <f t="shared" ca="1" si="20"/>
        <v>45614</v>
      </c>
      <c r="AC30">
        <f t="shared" ca="1" si="15"/>
        <v>17</v>
      </c>
      <c r="AD30" s="3">
        <f t="shared" ca="1" si="21"/>
        <v>101805</v>
      </c>
      <c r="AE30" s="8">
        <f ca="1">RANDBETWEEN(0,1000)*Table134[[#This Row],[Rand]]</f>
        <v>776</v>
      </c>
      <c r="AF30" s="3">
        <v>0</v>
      </c>
      <c r="AG30" s="7">
        <f ca="1">Table134[[#This Row],[$Return]]/AVERAGE(Table134[[#This Row],[Starting]],Table134[[#This Row],[Starting]]+Table134[[#This Row],[Inflows]])</f>
        <v>7.622415401994008E-3</v>
      </c>
      <c r="AH30" s="4">
        <f t="shared" ca="1" si="34"/>
        <v>102581</v>
      </c>
      <c r="AI30" s="5">
        <f ca="1">IFERROR(AI29*(1+Table134[[#This Row],[Return]]),100*(1+Table134[[#This Row],[Return]]))</f>
        <v>102.58099999999999</v>
      </c>
      <c r="AJ30" s="24">
        <f ca="1">IF(Table134[[#This Row],[Day]]&lt;LeadDays,"NM",(AVERAGE(AG$14:AG30)/STDEV(AG$14:AG30)*SQRT(SharpePeriod)))</f>
        <v>1.4147811890620168</v>
      </c>
      <c r="AK30" s="20">
        <f ca="1">Table134[[#This Row],[Index Value]]-100</f>
        <v>2.5809999999999889</v>
      </c>
      <c r="AL30" s="23">
        <f ca="1">IF(Table134[[#This Row],[Day]]&lt;LeadDays,"NM",IF(Table134[[#This Row],[Index Gains]]&lt;0,Table134[[#This Row],[Index Value]],(Table134[[#This Row],[Index Gains]]*Table134[[#This Row],[30d_Sharpe]]*Sharpe_Wgt+Table134[[#This Row],[Index Gains]]*(1-Sharpe_Wgt))+100)*Historical_Wgt+(100*(1+Table134[[#This Row],[Return]])*Today_Wgt))</f>
        <v>101.93925833234195</v>
      </c>
      <c r="AM30">
        <f t="shared" ca="1" si="7"/>
        <v>1</v>
      </c>
      <c r="AO30" s="6">
        <f t="shared" ca="1" si="22"/>
        <v>45614</v>
      </c>
      <c r="AP30">
        <f t="shared" ca="1" si="23"/>
        <v>17</v>
      </c>
      <c r="AQ30" s="3">
        <f t="shared" ca="1" si="24"/>
        <v>206482</v>
      </c>
      <c r="AR30" s="8">
        <v>1000</v>
      </c>
      <c r="AS30" s="3">
        <v>0</v>
      </c>
      <c r="AT30" s="7">
        <f ca="1">Table1345[[#This Row],[$Return]]/AVERAGE(Table1345[[#This Row],[Starting]],Table1345[[#This Row],[Starting]]+Table1345[[#This Row],[Inflows]])</f>
        <v>4.8430371654672082E-3</v>
      </c>
      <c r="AU30" s="4">
        <f t="shared" ref="AU30:AU43" ca="1" si="39">AQ30+AR30+AS30</f>
        <v>207482</v>
      </c>
      <c r="AV30" s="5">
        <f ca="1">IFERROR(AV29*(1+Table1345[[#This Row],[Return]]),100*(1+Table1345[[#This Row],[Return]]))</f>
        <v>207.48200000000003</v>
      </c>
      <c r="AW30" s="24">
        <f ca="1">IF(Table1345[[#This Row],[Day]]&lt;LeadDays,"NM",(AVERAGE(AT$14:AT30)/STDEV(AT$14:AT30)*SQRT(SharpePeriod)))</f>
        <v>1.5510797792936826</v>
      </c>
      <c r="AX30" s="20">
        <f ca="1">Table1345[[#This Row],[Index Value]]-100</f>
        <v>107.48200000000003</v>
      </c>
      <c r="AY30" s="23">
        <f ca="1">IF(Table1345[[#This Row],[Day]]&lt;LeadDays,"NM",IF(Table1345[[#This Row],[Index Gains]]&lt;0,Table1345[[#This Row],[Index Value]],(Table1345[[#This Row],[Index Gains]]*Table1345[[#This Row],[30d_Sharpe]]*Sharpe_Wgt+Table1345[[#This Row],[Index Gains]]*(1-Sharpe_Wgt))+100)*Historical_Wgt+(100*(1+Table1345[[#This Row],[Return]])*Today_Wgt))</f>
        <v>168.79094106778427</v>
      </c>
      <c r="AZ30">
        <f t="shared" ca="1" si="9"/>
        <v>-1</v>
      </c>
      <c r="BB30" s="6">
        <f t="shared" ca="1" si="25"/>
        <v>45614</v>
      </c>
      <c r="BC30">
        <f t="shared" ca="1" si="26"/>
        <v>17</v>
      </c>
      <c r="BD30" s="3">
        <f t="shared" si="27"/>
        <v>155000</v>
      </c>
      <c r="BE30" s="8">
        <v>48000</v>
      </c>
      <c r="BF30" s="3">
        <v>0</v>
      </c>
      <c r="BG30" s="7">
        <f>Table13456[[#This Row],[$Return]]/AVERAGE(Table13456[[#This Row],[Starting]],Table13456[[#This Row],[Starting]]+Table13456[[#This Row],[Inflows]])</f>
        <v>0.30967741935483872</v>
      </c>
      <c r="BH30" s="4">
        <f t="shared" ref="BH30:BH43" si="40">BD30+BE30+BF30</f>
        <v>203000</v>
      </c>
      <c r="BI30" s="5">
        <f>IFERROR(BI29*(1+Table13456[[#This Row],[Return]]),100*(1+Table13456[[#This Row],[Return]]))</f>
        <v>202.99999999999994</v>
      </c>
      <c r="BJ30" s="24">
        <f ca="1">IF(Table13456[[#This Row],[Day]]&lt;LeadDays,"NM",(AVERAGE(BG$14:BG30)/STDEV(BG$14:BG30)*SQRT(SharpePeriod)))</f>
        <v>1.5919433237135048</v>
      </c>
      <c r="BK30" s="20">
        <f>Table13456[[#This Row],[Index Value]]-100</f>
        <v>102.99999999999994</v>
      </c>
      <c r="BL30" s="23">
        <f ca="1">IF(Table13456[[#This Row],[Day]]&lt;LeadDays,"NM",IF(Table13456[[#This Row],[Index Gains]]&lt;0,Table13456[[#This Row],[Index Value]],(Table13456[[#This Row],[Index Gains]]*Table13456[[#This Row],[30d_Sharpe]]*Sharpe_Wgt+Table13456[[#This Row],[Index Gains]]*(1-Sharpe_Wgt))+100)*Historical_Wgt+(100*(1+Table13456[[#This Row],[Return]])*Today_Wgt))</f>
        <v>182.22641155336464</v>
      </c>
      <c r="BM30">
        <f>IF(Table13456[[#This Row],[$Return]]&gt;=0,1,-1)</f>
        <v>1</v>
      </c>
      <c r="BO30" s="6">
        <f t="shared" ca="1" si="28"/>
        <v>45614</v>
      </c>
      <c r="BP30">
        <f t="shared" ca="1" si="29"/>
        <v>17</v>
      </c>
      <c r="BQ30" s="3">
        <v>390546.59</v>
      </c>
      <c r="BR30" s="8">
        <v>-3608.23</v>
      </c>
      <c r="BS30" s="3">
        <v>0</v>
      </c>
      <c r="BT30" s="7">
        <f>Table134568[[#This Row],[$Return]]/AVERAGE(Table134568[[#This Row],[Starting]],Table134568[[#This Row],[Starting]]+Table134568[[#This Row],[Inflows]])</f>
        <v>-9.2389233253835339E-3</v>
      </c>
      <c r="BU30" s="4">
        <f t="shared" si="37"/>
        <v>386938.36000000004</v>
      </c>
      <c r="BV30" s="5">
        <f>IFERROR(BV29*(1+Table134568[[#This Row],[Return]]),100*(1+Table134568[[#This Row],[Return]]))</f>
        <v>102.42654906128526</v>
      </c>
      <c r="BW30" s="24">
        <f ca="1">IF(Table134568[[#This Row],[Day]]&lt;LeadDays,"NM",(AVERAGE(BT$14:BT30)/STDEV(BT$14:BT30)*SQRT(SharpePeriod)))</f>
        <v>1.723777651409143</v>
      </c>
      <c r="BX30" s="20">
        <f>Table134568[[#This Row],[Index Value]]-100</f>
        <v>2.4265490612852574</v>
      </c>
      <c r="BY30" s="23">
        <f ca="1">IF(Table134568[[#This Row],[Day]]&lt;LeadDays,"NM",IF(Table134568[[#This Row],[Index Gains]]&lt;0,Table134568[[#This Row],[Index Value]],(Table134568[[#This Row],[Index Gains]]*Table134568[[#This Row],[30d_Sharpe]]*Sharpe_Wgt+Table134568[[#This Row],[Index Gains]]*(1-Sharpe_Wgt))+100))</f>
        <v>103.30469005158831</v>
      </c>
      <c r="BZ30">
        <f>IF(Table134568[[#This Row],[$Return]]&gt;=0,1,-1)</f>
        <v>-1</v>
      </c>
      <c r="CB30" s="6">
        <f t="shared" ca="1" si="30"/>
        <v>45614</v>
      </c>
      <c r="CC30">
        <f t="shared" ca="1" si="31"/>
        <v>17</v>
      </c>
      <c r="CD30" s="3">
        <v>7040738.4699999997</v>
      </c>
      <c r="CE30" s="8">
        <v>21336.49</v>
      </c>
      <c r="CF30" s="3">
        <v>0</v>
      </c>
      <c r="CG30" s="7">
        <f>Table1345689[[#This Row],[$Return]]/AVERAGE(Table1345689[[#This Row],[Starting]],Table1345689[[#This Row],[Starting]]+Table1345689[[#This Row],[Inflows]])</f>
        <v>3.0304335391682291E-3</v>
      </c>
      <c r="CH30" s="4">
        <f t="shared" si="38"/>
        <v>7062074.96</v>
      </c>
      <c r="CI30" s="5">
        <f>IFERROR(CI29*(1+Table1345689[[#This Row],[Return]]),100*(1+Table1345689[[#This Row],[Return]]))</f>
        <v>101.85883384122515</v>
      </c>
      <c r="CJ30" s="24">
        <f ca="1">IF(Table1345689[[#This Row],[Day]]&lt;LeadDays,"NM",(AVERAGE(CG$14:CG30)/STDEV(CG$14:CG30)*SQRT(SharpePeriod)))</f>
        <v>4.373118689981994</v>
      </c>
      <c r="CK30" s="20">
        <f>Table1345689[[#This Row],[Index Value]]-100</f>
        <v>1.8588338412251488</v>
      </c>
      <c r="CL30" s="23">
        <f ca="1">IF(Table1345689[[#This Row],[Day]]&lt;LeadDays,"NM",IF(Table1345689[[#This Row],[Index Gains]]&lt;0,Table1345689[[#This Row],[Index Value]],(Table1345689[[#This Row],[Index Gains]]*Table1345689[[#This Row],[30d_Sharpe]]*Sharpe_Wgt+Table1345689[[#This Row],[Index Gains]]*(1-Sharpe_Wgt))+100))</f>
        <v>104.99386742692893</v>
      </c>
      <c r="CM30">
        <f>IF(Table1345689[[#This Row],[$Return]]&gt;=0,1,-1)</f>
        <v>1</v>
      </c>
    </row>
    <row r="31" spans="2:91" x14ac:dyDescent="0.45">
      <c r="B31" s="6">
        <f t="shared" ca="1" si="16"/>
        <v>45615</v>
      </c>
      <c r="C31">
        <f t="shared" ca="1" si="13"/>
        <v>18</v>
      </c>
      <c r="D31" s="3">
        <f t="shared" ca="1" si="17"/>
        <v>113892</v>
      </c>
      <c r="E31" s="8">
        <f ca="1">RANDBETWEEN(0,RAND()/10*Table13[[#This Row],[Starting]])*Table13[[#This Row],[Rand]]</f>
        <v>303</v>
      </c>
      <c r="F31" s="3">
        <f t="shared" ca="1" si="0"/>
        <v>696</v>
      </c>
      <c r="G31" s="7">
        <f ca="1">Table13[[#This Row],[$Return]]/AVERAGE(Table13[[#This Row],[Starting]],Table13[[#This Row],[Starting]]+Table13[[#This Row],[Inflows]])</f>
        <v>2.652310924369748E-3</v>
      </c>
      <c r="H31" s="4">
        <f t="shared" ca="1" si="32"/>
        <v>114891</v>
      </c>
      <c r="I31" s="5">
        <f ca="1">I30*(1+Table13[[#This Row],[Return]])</f>
        <v>105.57615728046039</v>
      </c>
      <c r="J31" s="20">
        <f ca="1">IF(Table13[[#This Row],[Day]]&lt;LeadDays,"NM",(AVERAGE(G$14:G31)/STDEV(G$14:G31)*SQRT(SharpePeriod)))</f>
        <v>0.53873254375067925</v>
      </c>
      <c r="K31" s="20">
        <f ca="1">Table13[[#This Row],[Index Value]]-100</f>
        <v>5.5761572804603929</v>
      </c>
      <c r="L31" s="17">
        <f ca="1">IF(Table13[[#This Row],[Day]]&lt;LeadDays,"NM",IF(Table13[[#This Row],[Index Gains]]&lt;0,Table13[[#This Row],[Index Value]],(Table13[[#This Row],[Index Gains]]*Table13[[#This Row],[30d_Sharpe]]*Sharpe_Wgt+Table13[[#This Row],[Index Gains]]*(1-Sharpe_Wgt))+100)*Historical_Wgt+(100*(1+Table13[[#This Row],[Return]])*Today_Wgt))</f>
        <v>102.27766921534766</v>
      </c>
      <c r="M31">
        <f t="shared" ca="1" si="2"/>
        <v>1</v>
      </c>
      <c r="O31" s="6">
        <f t="shared" ca="1" si="18"/>
        <v>45615</v>
      </c>
      <c r="P31">
        <f t="shared" ca="1" si="14"/>
        <v>18</v>
      </c>
      <c r="Q31" s="3">
        <f t="shared" ca="1" si="19"/>
        <v>94931</v>
      </c>
      <c r="R31" s="8">
        <f ca="1">RANDBETWEEN(0,10000)*Table137[[#This Row],[Rand]]</f>
        <v>3830</v>
      </c>
      <c r="S31" s="3">
        <f t="shared" ca="1" si="3"/>
        <v>742</v>
      </c>
      <c r="T31" s="7">
        <f ca="1">Table137[[#This Row],[$Return]]/AVERAGE(Table137[[#This Row],[Starting]],Table137[[#This Row],[Starting]]+Table137[[#This Row],[Inflows]])</f>
        <v>4.0188033829300536E-2</v>
      </c>
      <c r="U31" s="4">
        <f t="shared" ca="1" si="33"/>
        <v>99503</v>
      </c>
      <c r="V31" s="5">
        <f ca="1">IFERROR(V30*(1+Table137[[#This Row],[Return]]),100*(1+Table137[[#This Row],[Return]]))</f>
        <v>88.497962500506404</v>
      </c>
      <c r="W31" s="20">
        <f ca="1">IF(Table137[[#This Row],[Day]]&lt;LeadDays,"NM",(AVERAGE(T$14:T31)/STDEV(T$14:T31)*SQRT(SharpePeriod)))</f>
        <v>-0.28048096291877705</v>
      </c>
      <c r="X31" s="20">
        <f ca="1">Table137[[#This Row],[Index Value]]-100</f>
        <v>-11.502037499493596</v>
      </c>
      <c r="Y31" s="23">
        <f ca="1">IF(Table137[[#This Row],[Day]]&lt;LeadDays,"NM",IF(Table137[[#This Row],[Index Gains]]&lt;0,Table137[[#This Row],[Index Value]],(Table137[[#This Row],[Index Gains]]*Table137[[#This Row],[30d_Sharpe]]*Sharpe_Wgt+Table137[[#This Row],[Index Gains]]*(1-Sharpe_Wgt))+100)*Historical_Wgt+(100*(1+Table137[[#This Row],[Return]])*Today_Wgt))</f>
        <v>96.258382941718224</v>
      </c>
      <c r="Z31">
        <f t="shared" ca="1" si="5"/>
        <v>1</v>
      </c>
      <c r="AB31" s="6">
        <f t="shared" ca="1" si="20"/>
        <v>45615</v>
      </c>
      <c r="AC31">
        <f t="shared" ca="1" si="15"/>
        <v>18</v>
      </c>
      <c r="AD31" s="3">
        <f t="shared" ca="1" si="21"/>
        <v>102581</v>
      </c>
      <c r="AE31" s="8">
        <f ca="1">RANDBETWEEN(0,1000)*Table134[[#This Row],[Rand]]</f>
        <v>410</v>
      </c>
      <c r="AF31" s="3">
        <v>0</v>
      </c>
      <c r="AG31" s="7">
        <f ca="1">Table134[[#This Row],[$Return]]/AVERAGE(Table134[[#This Row],[Starting]],Table134[[#This Row],[Starting]]+Table134[[#This Row],[Inflows]])</f>
        <v>3.9968415203595203E-3</v>
      </c>
      <c r="AH31" s="4">
        <f t="shared" ca="1" si="34"/>
        <v>102991</v>
      </c>
      <c r="AI31" s="5">
        <f ca="1">IFERROR(AI30*(1+Table134[[#This Row],[Return]]),100*(1+Table134[[#This Row],[Return]]))</f>
        <v>102.99099999999999</v>
      </c>
      <c r="AJ31" s="24">
        <f ca="1">IF(Table134[[#This Row],[Day]]&lt;LeadDays,"NM",(AVERAGE(AG$14:AG31)/STDEV(AG$14:AG31)*SQRT(SharpePeriod)))</f>
        <v>1.5825411543791428</v>
      </c>
      <c r="AK31" s="20">
        <f ca="1">Table134[[#This Row],[Index Value]]-100</f>
        <v>2.9909999999999854</v>
      </c>
      <c r="AL31" s="23">
        <f ca="1">IF(Table134[[#This Row],[Day]]&lt;LeadDays,"NM",IF(Table134[[#This Row],[Index Gains]]&lt;0,Table134[[#This Row],[Index Value]],(Table134[[#This Row],[Index Gains]]*Table134[[#This Row],[30d_Sharpe]]*Sharpe_Wgt+Table134[[#This Row],[Index Gains]]*(1-Sharpe_Wgt))+100)*Historical_Wgt+(100*(1+Table134[[#This Row],[Return]])*Today_Wgt))</f>
        <v>102.13093722420497</v>
      </c>
      <c r="AM31">
        <f t="shared" ca="1" si="7"/>
        <v>1</v>
      </c>
      <c r="AO31" s="6">
        <f t="shared" ca="1" si="22"/>
        <v>45615</v>
      </c>
      <c r="AP31">
        <f t="shared" ca="1" si="23"/>
        <v>18</v>
      </c>
      <c r="AQ31" s="3">
        <f t="shared" ca="1" si="24"/>
        <v>207482</v>
      </c>
      <c r="AR31" s="8">
        <v>-1000</v>
      </c>
      <c r="AS31" s="3">
        <v>0</v>
      </c>
      <c r="AT31" s="7">
        <f ca="1">Table1345[[#This Row],[$Return]]/AVERAGE(Table1345[[#This Row],[Starting]],Table1345[[#This Row],[Starting]]+Table1345[[#This Row],[Inflows]])</f>
        <v>-4.8196952024753955E-3</v>
      </c>
      <c r="AU31" s="4">
        <f t="shared" ca="1" si="39"/>
        <v>206482</v>
      </c>
      <c r="AV31" s="5">
        <f ca="1">IFERROR(AV30*(1+Table1345[[#This Row],[Return]]),100*(1+Table1345[[#This Row],[Return]]))</f>
        <v>206.48200000000003</v>
      </c>
      <c r="AW31" s="24">
        <f ca="1">IF(Table1345[[#This Row],[Day]]&lt;LeadDays,"NM",(AVERAGE(AT$14:AT31)/STDEV(AT$14:AT31)*SQRT(SharpePeriod)))</f>
        <v>1.4992616436238111</v>
      </c>
      <c r="AX31" s="20">
        <f ca="1">Table1345[[#This Row],[Index Value]]-100</f>
        <v>106.48200000000003</v>
      </c>
      <c r="AY31" s="23">
        <f ca="1">IF(Table1345[[#This Row],[Day]]&lt;LeadDays,"NM",IF(Table1345[[#This Row],[Index Gains]]&lt;0,Table1345[[#This Row],[Index Value]],(Table1345[[#This Row],[Index Gains]]*Table1345[[#This Row],[30d_Sharpe]]*Sharpe_Wgt+Table1345[[#This Row],[Index Gains]]*(1-Sharpe_Wgt))+100)*Historical_Wgt+(100*(1+Table1345[[#This Row],[Return]])*Today_Wgt))</f>
        <v>166.29060982396391</v>
      </c>
      <c r="AZ31">
        <f t="shared" ca="1" si="9"/>
        <v>-1</v>
      </c>
      <c r="BB31" s="6">
        <f t="shared" ca="1" si="25"/>
        <v>45615</v>
      </c>
      <c r="BC31">
        <f t="shared" ca="1" si="26"/>
        <v>18</v>
      </c>
      <c r="BD31" s="3">
        <f t="shared" si="27"/>
        <v>203000</v>
      </c>
      <c r="BE31" s="8">
        <v>-50000</v>
      </c>
      <c r="BF31" s="3">
        <v>0</v>
      </c>
      <c r="BG31" s="7">
        <f>Table13456[[#This Row],[$Return]]/AVERAGE(Table13456[[#This Row],[Starting]],Table13456[[#This Row],[Starting]]+Table13456[[#This Row],[Inflows]])</f>
        <v>-0.24630541871921183</v>
      </c>
      <c r="BH31" s="4">
        <f t="shared" si="40"/>
        <v>153000</v>
      </c>
      <c r="BI31" s="5">
        <f>IFERROR(BI30*(1+Table13456[[#This Row],[Return]]),100*(1+Table13456[[#This Row],[Return]]))</f>
        <v>152.99999999999994</v>
      </c>
      <c r="BJ31" s="24">
        <f ca="1">IF(Table13456[[#This Row],[Day]]&lt;LeadDays,"NM",(AVERAGE(BG$14:BG31)/STDEV(BG$14:BG31)*SQRT(SharpePeriod)))</f>
        <v>1.148743619881514</v>
      </c>
      <c r="BK31" s="20">
        <f>Table13456[[#This Row],[Index Value]]-100</f>
        <v>52.999999999999943</v>
      </c>
      <c r="BL31" s="23">
        <f ca="1">IF(Table13456[[#This Row],[Day]]&lt;LeadDays,"NM",IF(Table13456[[#This Row],[Index Gains]]&lt;0,Table13456[[#This Row],[Index Value]],(Table13456[[#This Row],[Index Gains]]*Table13456[[#This Row],[30d_Sharpe]]*Sharpe_Wgt+Table13456[[#This Row],[Index Gains]]*(1-Sharpe_Wgt))+100)*Historical_Wgt+(100*(1+Table13456[[#This Row],[Return]])*Today_Wgt))</f>
        <v>116.15558202746945</v>
      </c>
      <c r="BM31">
        <f>IF(Table13456[[#This Row],[$Return]]&gt;=0,1,-1)</f>
        <v>-1</v>
      </c>
      <c r="BO31" s="6">
        <f t="shared" ca="1" si="28"/>
        <v>45615</v>
      </c>
      <c r="BP31">
        <f t="shared" ca="1" si="29"/>
        <v>18</v>
      </c>
      <c r="BQ31" s="3">
        <v>391643.61</v>
      </c>
      <c r="BR31" s="8">
        <v>1097.02</v>
      </c>
      <c r="BS31" s="3">
        <v>0</v>
      </c>
      <c r="BT31" s="7">
        <f>Table134568[[#This Row],[$Return]]/AVERAGE(Table134568[[#This Row],[Starting]],Table134568[[#This Row],[Starting]]+Table134568[[#This Row],[Inflows]])</f>
        <v>2.8010670211113622E-3</v>
      </c>
      <c r="BU31" s="4">
        <f t="shared" si="37"/>
        <v>392740.63</v>
      </c>
      <c r="BV31" s="5">
        <f>IFERROR(BV30*(1+Table134568[[#This Row],[Return]]),100*(1+Table134568[[#This Row],[Return]]))</f>
        <v>102.71345268994708</v>
      </c>
      <c r="BW31" s="24">
        <f ca="1">IF(Table134568[[#This Row],[Day]]&lt;LeadDays,"NM",(AVERAGE(BT$14:BT31)/STDEV(BT$14:BT31)*SQRT(SharpePeriod)))</f>
        <v>1.8675656887461358</v>
      </c>
      <c r="BX31" s="20">
        <f>Table134568[[#This Row],[Index Value]]-100</f>
        <v>2.7134526899470757</v>
      </c>
      <c r="BY31" s="23">
        <f ca="1">IF(Table134568[[#This Row],[Day]]&lt;LeadDays,"NM",IF(Table134568[[#This Row],[Index Gains]]&lt;0,Table134568[[#This Row],[Index Value]],(Table134568[[#This Row],[Index Gains]]*Table134568[[#This Row],[30d_Sharpe]]*Sharpe_Wgt+Table134568[[#This Row],[Index Gains]]*(1-Sharpe_Wgt))+100))</f>
        <v>103.89050191586406</v>
      </c>
      <c r="BZ31">
        <f>IF(Table134568[[#This Row],[$Return]]&gt;=0,1,-1)</f>
        <v>1</v>
      </c>
      <c r="CB31" s="6">
        <f t="shared" ca="1" si="30"/>
        <v>45615</v>
      </c>
      <c r="CC31">
        <f t="shared" ca="1" si="31"/>
        <v>18</v>
      </c>
      <c r="CD31" s="3">
        <v>7050313.3899999997</v>
      </c>
      <c r="CE31" s="8">
        <v>9574.92</v>
      </c>
      <c r="CF31" s="3">
        <v>0</v>
      </c>
      <c r="CG31" s="7">
        <f>Table1345689[[#This Row],[$Return]]/AVERAGE(Table1345689[[#This Row],[Starting]],Table1345689[[#This Row],[Starting]]+Table1345689[[#This Row],[Inflows]])</f>
        <v>1.3580843106323251E-3</v>
      </c>
      <c r="CH31" s="4">
        <f t="shared" si="38"/>
        <v>7059888.3099999996</v>
      </c>
      <c r="CI31" s="5">
        <f>IFERROR(CI30*(1+Table1345689[[#This Row],[Return]]),100*(1+Table1345689[[#This Row],[Return]]))</f>
        <v>101.99716672536421</v>
      </c>
      <c r="CJ31" s="24">
        <f ca="1">IF(Table1345689[[#This Row],[Day]]&lt;LeadDays,"NM",(AVERAGE(CG$14:CG31)/STDEV(CG$14:CG31)*SQRT(SharpePeriod)))</f>
        <v>4.5653360557115041</v>
      </c>
      <c r="CK31" s="20">
        <f>Table1345689[[#This Row],[Index Value]]-100</f>
        <v>1.9971667253642096</v>
      </c>
      <c r="CL31" s="23">
        <f ca="1">IF(Table1345689[[#This Row],[Day]]&lt;LeadDays,"NM",IF(Table1345689[[#This Row],[Index Gains]]&lt;0,Table1345689[[#This Row],[Index Value]],(Table1345689[[#This Row],[Index Gains]]*Table1345689[[#This Row],[30d_Sharpe]]*Sharpe_Wgt+Table1345689[[#This Row],[Index Gains]]*(1-Sharpe_Wgt))+100))</f>
        <v>105.55745199296835</v>
      </c>
      <c r="CM31">
        <f>IF(Table1345689[[#This Row],[$Return]]&gt;=0,1,-1)</f>
        <v>1</v>
      </c>
    </row>
    <row r="32" spans="2:91" x14ac:dyDescent="0.45">
      <c r="B32" s="6">
        <f t="shared" ca="1" si="16"/>
        <v>45616</v>
      </c>
      <c r="C32">
        <f t="shared" ca="1" si="13"/>
        <v>19</v>
      </c>
      <c r="D32" s="3">
        <f t="shared" ca="1" si="17"/>
        <v>114891</v>
      </c>
      <c r="E32" s="8">
        <f ca="1">RANDBETWEEN(0,RAND()/10*Table13[[#This Row],[Starting]])*Table13[[#This Row],[Rand]]</f>
        <v>55</v>
      </c>
      <c r="F32" s="3">
        <f t="shared" ca="1" si="0"/>
        <v>653</v>
      </c>
      <c r="G32" s="7">
        <f ca="1">Table13[[#This Row],[$Return]]/AVERAGE(Table13[[#This Row],[Starting]],Table13[[#This Row],[Starting]]+Table13[[#This Row],[Inflows]])</f>
        <v>4.7735804022826391E-4</v>
      </c>
      <c r="H32" s="4">
        <f t="shared" ca="1" si="32"/>
        <v>115599</v>
      </c>
      <c r="I32" s="5">
        <f ca="1">I31*(1+Table13[[#This Row],[Return]])</f>
        <v>105.62655490799462</v>
      </c>
      <c r="J32" s="20">
        <f ca="1">IF(Table13[[#This Row],[Day]]&lt;LeadDays,"NM",(AVERAGE(G$14:G32)/STDEV(G$14:G32)*SQRT(SharpePeriod)))</f>
        <v>0.52881876154040508</v>
      </c>
      <c r="K32" s="20">
        <f ca="1">Table13[[#This Row],[Index Value]]-100</f>
        <v>5.6265549079946169</v>
      </c>
      <c r="L32" s="17">
        <f ca="1">IF(Table13[[#This Row],[Day]]&lt;LeadDays,"NM",IF(Table13[[#This Row],[Index Gains]]&lt;0,Table13[[#This Row],[Index Value]],(Table13[[#This Row],[Index Gains]]*Table13[[#This Row],[30d_Sharpe]]*Sharpe_Wgt+Table13[[#This Row],[Index Gains]]*(1-Sharpe_Wgt))+100)*Historical_Wgt+(100*(1+Table13[[#This Row],[Return]])*Today_Wgt))</f>
        <v>102.17436357855627</v>
      </c>
      <c r="M32">
        <f t="shared" ca="1" si="2"/>
        <v>1</v>
      </c>
      <c r="O32" s="6">
        <f t="shared" ca="1" si="18"/>
        <v>45616</v>
      </c>
      <c r="P32">
        <f t="shared" ca="1" si="14"/>
        <v>19</v>
      </c>
      <c r="Q32" s="3">
        <f t="shared" ca="1" si="19"/>
        <v>99503</v>
      </c>
      <c r="R32" s="8">
        <f ca="1">RANDBETWEEN(0,10000)*Table137[[#This Row],[Rand]]</f>
        <v>-8126</v>
      </c>
      <c r="S32" s="3">
        <f t="shared" ca="1" si="3"/>
        <v>727</v>
      </c>
      <c r="T32" s="7">
        <f ca="1">Table137[[#This Row],[$Return]]/AVERAGE(Table137[[#This Row],[Starting]],Table137[[#This Row],[Starting]]+Table137[[#This Row],[Inflows]])</f>
        <v>-8.136862711720147E-2</v>
      </c>
      <c r="U32" s="4">
        <f t="shared" ca="1" si="33"/>
        <v>92104</v>
      </c>
      <c r="V32" s="5">
        <f ca="1">IFERROR(V31*(1+Table137[[#This Row],[Return]]),100*(1+Table137[[#This Row],[Return]]))</f>
        <v>81.297004789170614</v>
      </c>
      <c r="W32" s="20">
        <f ca="1">IF(Table137[[#This Row],[Day]]&lt;LeadDays,"NM",(AVERAGE(T$14:T32)/STDEV(T$14:T32)*SQRT(SharpePeriod)))</f>
        <v>-0.57006116311492117</v>
      </c>
      <c r="X32" s="20">
        <f ca="1">Table137[[#This Row],[Index Value]]-100</f>
        <v>-18.702995210829386</v>
      </c>
      <c r="Y32" s="23">
        <f ca="1">IF(Table137[[#This Row],[Day]]&lt;LeadDays,"NM",IF(Table137[[#This Row],[Index Gains]]&lt;0,Table137[[#This Row],[Index Value]],(Table137[[#This Row],[Index Gains]]*Table137[[#This Row],[30d_Sharpe]]*Sharpe_Wgt+Table137[[#This Row],[Index Gains]]*(1-Sharpe_Wgt))+100)*Historical_Wgt+(100*(1+Table137[[#This Row],[Return]])*Today_Wgt))</f>
        <v>86.580071038725237</v>
      </c>
      <c r="Z32">
        <f t="shared" ca="1" si="5"/>
        <v>-1</v>
      </c>
      <c r="AB32" s="6">
        <f t="shared" ca="1" si="20"/>
        <v>45616</v>
      </c>
      <c r="AC32">
        <f t="shared" ca="1" si="15"/>
        <v>19</v>
      </c>
      <c r="AD32" s="3">
        <f t="shared" ca="1" si="21"/>
        <v>102991</v>
      </c>
      <c r="AE32" s="8">
        <f ca="1">RANDBETWEEN(0,1000)*Table134[[#This Row],[Rand]]</f>
        <v>-200</v>
      </c>
      <c r="AF32" s="3">
        <v>0</v>
      </c>
      <c r="AG32" s="7">
        <f ca="1">Table134[[#This Row],[$Return]]/AVERAGE(Table134[[#This Row],[Starting]],Table134[[#This Row],[Starting]]+Table134[[#This Row],[Inflows]])</f>
        <v>-1.9419172549057684E-3</v>
      </c>
      <c r="AH32" s="4">
        <f t="shared" ca="1" si="34"/>
        <v>102791</v>
      </c>
      <c r="AI32" s="5">
        <f ca="1">IFERROR(AI31*(1+Table134[[#This Row],[Return]]),100*(1+Table134[[#This Row],[Return]]))</f>
        <v>102.79099999999998</v>
      </c>
      <c r="AJ32" s="24">
        <f ca="1">IF(Table134[[#This Row],[Day]]&lt;LeadDays,"NM",(AVERAGE(AG$14:AG32)/STDEV(AG$14:AG32)*SQRT(SharpePeriod)))</f>
        <v>1.4265000387750788</v>
      </c>
      <c r="AK32" s="20">
        <f ca="1">Table134[[#This Row],[Index Value]]-100</f>
        <v>2.7909999999999826</v>
      </c>
      <c r="AL32" s="23">
        <f ca="1">IF(Table134[[#This Row],[Day]]&lt;LeadDays,"NM",IF(Table134[[#This Row],[Index Gains]]&lt;0,Table134[[#This Row],[Index Value]],(Table134[[#This Row],[Index Gains]]*Table134[[#This Row],[30d_Sharpe]]*Sharpe_Wgt+Table134[[#This Row],[Index Gains]]*(1-Sharpe_Wgt))+100)*Historical_Wgt+(100*(1+Table134[[#This Row],[Return]])*Today_Wgt))</f>
        <v>101.59599453931001</v>
      </c>
      <c r="AM32">
        <f t="shared" ca="1" si="7"/>
        <v>-1</v>
      </c>
      <c r="AO32" s="6">
        <f t="shared" ca="1" si="22"/>
        <v>45616</v>
      </c>
      <c r="AP32">
        <f t="shared" ca="1" si="23"/>
        <v>19</v>
      </c>
      <c r="AQ32" s="3">
        <f t="shared" ca="1" si="24"/>
        <v>206482</v>
      </c>
      <c r="AR32" s="8">
        <v>1000</v>
      </c>
      <c r="AS32" s="3">
        <v>0</v>
      </c>
      <c r="AT32" s="7">
        <f ca="1">Table1345[[#This Row],[$Return]]/AVERAGE(Table1345[[#This Row],[Starting]],Table1345[[#This Row],[Starting]]+Table1345[[#This Row],[Inflows]])</f>
        <v>4.8430371654672082E-3</v>
      </c>
      <c r="AU32" s="4">
        <f t="shared" ca="1" si="39"/>
        <v>207482</v>
      </c>
      <c r="AV32" s="5">
        <f ca="1">IFERROR(AV31*(1+Table1345[[#This Row],[Return]]),100*(1+Table1345[[#This Row],[Return]]))</f>
        <v>207.48200000000006</v>
      </c>
      <c r="AW32" s="24">
        <f ca="1">IF(Table1345[[#This Row],[Day]]&lt;LeadDays,"NM",(AVERAGE(AT$14:AT32)/STDEV(AT$14:AT32)*SQRT(SharpePeriod)))</f>
        <v>1.4654284063740017</v>
      </c>
      <c r="AX32" s="20">
        <f ca="1">Table1345[[#This Row],[Index Value]]-100</f>
        <v>107.48200000000006</v>
      </c>
      <c r="AY32" s="23">
        <f ca="1">IF(Table1345[[#This Row],[Day]]&lt;LeadDays,"NM",IF(Table1345[[#This Row],[Index Gains]]&lt;0,Table1345[[#This Row],[Index Value]],(Table1345[[#This Row],[Index Gains]]*Table1345[[#This Row],[30d_Sharpe]]*Sharpe_Wgt+Table1345[[#This Row],[Index Gains]]*(1-Sharpe_Wgt))+100)*Historical_Wgt+(100*(1+Table1345[[#This Row],[Return]])*Today_Wgt))</f>
        <v>166.48944585174601</v>
      </c>
      <c r="AZ32">
        <f t="shared" ca="1" si="9"/>
        <v>-1</v>
      </c>
      <c r="BB32" s="6">
        <f t="shared" ca="1" si="25"/>
        <v>45616</v>
      </c>
      <c r="BC32">
        <f t="shared" ca="1" si="26"/>
        <v>19</v>
      </c>
      <c r="BD32" s="3">
        <f t="shared" si="27"/>
        <v>153000</v>
      </c>
      <c r="BE32" s="8">
        <v>33500</v>
      </c>
      <c r="BF32" s="3">
        <v>0</v>
      </c>
      <c r="BG32" s="7">
        <f>Table13456[[#This Row],[$Return]]/AVERAGE(Table13456[[#This Row],[Starting]],Table13456[[#This Row],[Starting]]+Table13456[[#This Row],[Inflows]])</f>
        <v>0.21895424836601307</v>
      </c>
      <c r="BH32" s="4">
        <f t="shared" si="40"/>
        <v>186500</v>
      </c>
      <c r="BI32" s="5">
        <f>IFERROR(BI31*(1+Table13456[[#This Row],[Return]]),100*(1+Table13456[[#This Row],[Return]]))</f>
        <v>186.49999999999994</v>
      </c>
      <c r="BJ32" s="24">
        <f ca="1">IF(Table13456[[#This Row],[Day]]&lt;LeadDays,"NM",(AVERAGE(BG$14:BG32)/STDEV(BG$14:BG32)*SQRT(SharpePeriod)))</f>
        <v>1.3782066419704921</v>
      </c>
      <c r="BK32" s="20">
        <f>Table13456[[#This Row],[Index Value]]-100</f>
        <v>86.499999999999943</v>
      </c>
      <c r="BL32" s="23">
        <f ca="1">IF(Table13456[[#This Row],[Day]]&lt;LeadDays,"NM",IF(Table13456[[#This Row],[Index Gains]]&lt;0,Table13456[[#This Row],[Index Value]],(Table13456[[#This Row],[Index Gains]]*Table13456[[#This Row],[30d_Sharpe]]*Sharpe_Wgt+Table13456[[#This Row],[Index Gains]]*(1-Sharpe_Wgt))+100)*Historical_Wgt+(100*(1+Table13456[[#This Row],[Return]])*Today_Wgt))</f>
        <v>162.37643105091252</v>
      </c>
      <c r="BM32">
        <f>IF(Table13456[[#This Row],[$Return]]&gt;=0,1,-1)</f>
        <v>1</v>
      </c>
      <c r="BO32" s="6">
        <f t="shared" ca="1" si="28"/>
        <v>45616</v>
      </c>
      <c r="BP32">
        <f t="shared" ca="1" si="29"/>
        <v>19</v>
      </c>
      <c r="BQ32" s="3">
        <v>390172.05</v>
      </c>
      <c r="BR32" s="8">
        <v>-1471.55</v>
      </c>
      <c r="BS32" s="3">
        <v>500000</v>
      </c>
      <c r="BT32" s="7">
        <f>Table134568[[#This Row],[$Return]]/AVERAGE(Table134568[[#This Row],[Starting]],Table134568[[#This Row],[Starting]]+Table134568[[#This Row],[Inflows]])</f>
        <v>-2.2986789254544927E-3</v>
      </c>
      <c r="BU32" s="4">
        <f t="shared" si="37"/>
        <v>888700.5</v>
      </c>
      <c r="BV32" s="5">
        <f>IFERROR(BV31*(1+Table134568[[#This Row],[Return]]),100*(1+Table134568[[#This Row],[Return]]))</f>
        <v>102.47734744088802</v>
      </c>
      <c r="BW32" s="24">
        <f ca="1">IF(Table134568[[#This Row],[Day]]&lt;LeadDays,"NM",(AVERAGE(BT$14:BT32)/STDEV(BT$14:BT32)*SQRT(SharpePeriod)))</f>
        <v>1.6317027038032108</v>
      </c>
      <c r="BX32" s="20">
        <f>Table134568[[#This Row],[Index Value]]-100</f>
        <v>2.4773474408880247</v>
      </c>
      <c r="BY32" s="23">
        <f ca="1">IF(Table134568[[#This Row],[Day]]&lt;LeadDays,"NM",IF(Table134568[[#This Row],[Index Gains]]&lt;0,Table134568[[#This Row],[Index Value]],(Table134568[[#This Row],[Index Gains]]*Table134568[[#This Row],[30d_Sharpe]]*Sharpe_Wgt+Table134568[[#This Row],[Index Gains]]*(1-Sharpe_Wgt))+100))</f>
        <v>103.2598209792225</v>
      </c>
      <c r="BZ32">
        <f>IF(Table134568[[#This Row],[$Return]]&gt;=0,1,-1)</f>
        <v>-1</v>
      </c>
      <c r="CB32" s="6">
        <f t="shared" ca="1" si="30"/>
        <v>45616</v>
      </c>
      <c r="CC32">
        <f t="shared" ca="1" si="31"/>
        <v>19</v>
      </c>
      <c r="CD32" s="3">
        <v>7065002.1100000003</v>
      </c>
      <c r="CE32" s="8">
        <v>14688.72</v>
      </c>
      <c r="CF32" s="3">
        <v>0</v>
      </c>
      <c r="CG32" s="7">
        <f>Table1345689[[#This Row],[$Return]]/AVERAGE(Table1345689[[#This Row],[Starting]],Table1345689[[#This Row],[Starting]]+Table1345689[[#This Row],[Inflows]])</f>
        <v>2.0790821816187681E-3</v>
      </c>
      <c r="CH32" s="4">
        <f t="shared" si="38"/>
        <v>7079690.8300000001</v>
      </c>
      <c r="CI32" s="5">
        <f>IFERROR(CI31*(1+Table1345689[[#This Row],[Return]]),100*(1+Table1345689[[#This Row],[Return]]))</f>
        <v>102.20922721727851</v>
      </c>
      <c r="CJ32" s="24">
        <f ca="1">IF(Table1345689[[#This Row],[Day]]&lt;LeadDays,"NM",(AVERAGE(CG$14:CG32)/STDEV(CG$14:CG32)*SQRT(SharpePeriod)))</f>
        <v>4.8440283632027512</v>
      </c>
      <c r="CK32" s="20">
        <f>Table1345689[[#This Row],[Index Value]]-100</f>
        <v>2.2092272172785101</v>
      </c>
      <c r="CL32" s="23">
        <f ca="1">IF(Table1345689[[#This Row],[Day]]&lt;LeadDays,"NM",IF(Table1345689[[#This Row],[Index Gains]]&lt;0,Table1345689[[#This Row],[Index Value]],(Table1345689[[#This Row],[Index Gains]]*Table1345689[[#This Row],[30d_Sharpe]]*Sharpe_Wgt+Table1345689[[#This Row],[Index Gains]]*(1-Sharpe_Wgt))+100))</f>
        <v>106.45539325926755</v>
      </c>
      <c r="CM32">
        <f>IF(Table1345689[[#This Row],[$Return]]&gt;=0,1,-1)</f>
        <v>1</v>
      </c>
    </row>
    <row r="33" spans="2:91" x14ac:dyDescent="0.45">
      <c r="B33" s="6">
        <f t="shared" ca="1" si="16"/>
        <v>45617</v>
      </c>
      <c r="C33">
        <f t="shared" ca="1" si="13"/>
        <v>20</v>
      </c>
      <c r="D33" s="3">
        <f t="shared" ca="1" si="17"/>
        <v>115599</v>
      </c>
      <c r="E33" s="8">
        <f ca="1">RANDBETWEEN(0,RAND()/10*Table13[[#This Row],[Starting]])*Table13[[#This Row],[Rand]]</f>
        <v>616</v>
      </c>
      <c r="F33" s="3">
        <f t="shared" ca="1" si="0"/>
        <v>31</v>
      </c>
      <c r="G33" s="7">
        <f ca="1">Table13[[#This Row],[$Return]]/AVERAGE(Table13[[#This Row],[Starting]],Table13[[#This Row],[Starting]]+Table13[[#This Row],[Inflows]])</f>
        <v>5.3280514122363547E-3</v>
      </c>
      <c r="H33" s="4">
        <f t="shared" ca="1" si="32"/>
        <v>116246</v>
      </c>
      <c r="I33" s="5">
        <f ca="1">I32*(1+Table13[[#This Row],[Return]])</f>
        <v>106.18933862304181</v>
      </c>
      <c r="J33" s="20">
        <f ca="1">IF(Table13[[#This Row],[Day]]&lt;LeadDays,"NM",(AVERAGE(G$14:G33)/STDEV(G$14:G33)*SQRT(SharpePeriod)))</f>
        <v>0.55697704915357893</v>
      </c>
      <c r="K33" s="20">
        <f ca="1">Table13[[#This Row],[Index Value]]-100</f>
        <v>6.1893386230418059</v>
      </c>
      <c r="L33" s="17">
        <f ca="1">IF(Table13[[#This Row],[Day]]&lt;LeadDays,"NM",IF(Table13[[#This Row],[Index Gains]]&lt;0,Table13[[#This Row],[Index Value]],(Table13[[#This Row],[Index Gains]]*Table13[[#This Row],[30d_Sharpe]]*Sharpe_Wgt+Table13[[#This Row],[Index Gains]]*(1-Sharpe_Wgt))+100)*Historical_Wgt+(100*(1+Table13[[#This Row],[Return]])*Today_Wgt))</f>
        <v>102.67556711699078</v>
      </c>
      <c r="M33">
        <f t="shared" ca="1" si="2"/>
        <v>1</v>
      </c>
      <c r="O33" s="6">
        <f t="shared" ca="1" si="18"/>
        <v>45617</v>
      </c>
      <c r="P33">
        <f t="shared" ca="1" si="14"/>
        <v>20</v>
      </c>
      <c r="Q33" s="3">
        <f t="shared" ca="1" si="19"/>
        <v>92104</v>
      </c>
      <c r="R33" s="8">
        <f ca="1">RANDBETWEEN(0,10000)*Table137[[#This Row],[Rand]]</f>
        <v>-186</v>
      </c>
      <c r="S33" s="3">
        <f t="shared" ca="1" si="3"/>
        <v>228</v>
      </c>
      <c r="T33" s="7">
        <f ca="1">Table137[[#This Row],[$Return]]/AVERAGE(Table137[[#This Row],[Starting]],Table137[[#This Row],[Starting]]+Table137[[#This Row],[Inflows]])</f>
        <v>-2.016959812617927E-3</v>
      </c>
      <c r="U33" s="4">
        <f t="shared" ca="1" si="33"/>
        <v>92146</v>
      </c>
      <c r="V33" s="5">
        <f ca="1">IFERROR(V32*(1+Table137[[#This Row],[Return]]),100*(1+Table137[[#This Row],[Return]]))</f>
        <v>81.133031997624641</v>
      </c>
      <c r="W33" s="20">
        <f ca="1">IF(Table137[[#This Row],[Day]]&lt;LeadDays,"NM",(AVERAGE(T$14:T33)/STDEV(T$14:T33)*SQRT(SharpePeriod)))</f>
        <v>-0.56366211565202062</v>
      </c>
      <c r="X33" s="20">
        <f ca="1">Table137[[#This Row],[Index Value]]-100</f>
        <v>-18.866968002375359</v>
      </c>
      <c r="Y33" s="23">
        <f ca="1">IF(Table137[[#This Row],[Day]]&lt;LeadDays,"NM",IF(Table137[[#This Row],[Index Gains]]&lt;0,Table137[[#This Row],[Index Value]],(Table137[[#This Row],[Index Gains]]*Table137[[#This Row],[30d_Sharpe]]*Sharpe_Wgt+Table137[[#This Row],[Index Gains]]*(1-Sharpe_Wgt))+100)*Historical_Wgt+(100*(1+Table137[[#This Row],[Return]])*Today_Wgt))</f>
        <v>90.465668008181424</v>
      </c>
      <c r="Z33">
        <f t="shared" ca="1" si="5"/>
        <v>-1</v>
      </c>
      <c r="AB33" s="6">
        <f t="shared" ca="1" si="20"/>
        <v>45617</v>
      </c>
      <c r="AC33">
        <f t="shared" ca="1" si="15"/>
        <v>20</v>
      </c>
      <c r="AD33" s="3">
        <f t="shared" ca="1" si="21"/>
        <v>102791</v>
      </c>
      <c r="AE33" s="8">
        <f ca="1">RANDBETWEEN(0,1000)*Table134[[#This Row],[Rand]]</f>
        <v>361</v>
      </c>
      <c r="AF33" s="3">
        <v>0</v>
      </c>
      <c r="AG33" s="7">
        <f ca="1">Table134[[#This Row],[$Return]]/AVERAGE(Table134[[#This Row],[Starting]],Table134[[#This Row],[Starting]]+Table134[[#This Row],[Inflows]])</f>
        <v>3.5119806208714771E-3</v>
      </c>
      <c r="AH33" s="4">
        <f t="shared" ca="1" si="34"/>
        <v>103152</v>
      </c>
      <c r="AI33" s="5">
        <f ca="1">IFERROR(AI32*(1+Table134[[#This Row],[Return]]),100*(1+Table134[[#This Row],[Return]]))</f>
        <v>103.15199999999997</v>
      </c>
      <c r="AJ33" s="24">
        <f ca="1">IF(Table134[[#This Row],[Day]]&lt;LeadDays,"NM",(AVERAGE(AG$14:AG33)/STDEV(AG$14:AG33)*SQRT(SharpePeriod)))</f>
        <v>1.5625435619806005</v>
      </c>
      <c r="AK33" s="20">
        <f ca="1">Table134[[#This Row],[Index Value]]-100</f>
        <v>3.1519999999999726</v>
      </c>
      <c r="AL33" s="23">
        <f ca="1">IF(Table134[[#This Row],[Day]]&lt;LeadDays,"NM",IF(Table134[[#This Row],[Index Gains]]&lt;0,Table134[[#This Row],[Index Value]],(Table134[[#This Row],[Index Gains]]*Table134[[#This Row],[30d_Sharpe]]*Sharpe_Wgt+Table134[[#This Row],[Index Gains]]*(1-Sharpe_Wgt))+100)*Historical_Wgt+(100*(1+Table134[[#This Row],[Return]])*Today_Wgt))</f>
        <v>102.19488335788427</v>
      </c>
      <c r="AM33">
        <f t="shared" ca="1" si="7"/>
        <v>1</v>
      </c>
      <c r="AO33" s="6">
        <f t="shared" ca="1" si="22"/>
        <v>45617</v>
      </c>
      <c r="AP33">
        <f t="shared" ca="1" si="23"/>
        <v>20</v>
      </c>
      <c r="AQ33" s="3">
        <f t="shared" ca="1" si="24"/>
        <v>207482</v>
      </c>
      <c r="AR33" s="8">
        <v>-1000</v>
      </c>
      <c r="AS33" s="3">
        <v>0</v>
      </c>
      <c r="AT33" s="7">
        <f ca="1">Table1345[[#This Row],[$Return]]/AVERAGE(Table1345[[#This Row],[Starting]],Table1345[[#This Row],[Starting]]+Table1345[[#This Row],[Inflows]])</f>
        <v>-4.8196952024753955E-3</v>
      </c>
      <c r="AU33" s="4">
        <f t="shared" ca="1" si="39"/>
        <v>206482</v>
      </c>
      <c r="AV33" s="5">
        <f ca="1">IFERROR(AV32*(1+Table1345[[#This Row],[Return]]),100*(1+Table1345[[#This Row],[Return]]))</f>
        <v>206.48200000000006</v>
      </c>
      <c r="AW33" s="24">
        <f ca="1">IF(Table1345[[#This Row],[Day]]&lt;LeadDays,"NM",(AVERAGE(AT$14:AT33)/STDEV(AT$14:AT33)*SQRT(SharpePeriod)))</f>
        <v>1.4208697219361306</v>
      </c>
      <c r="AX33" s="20">
        <f ca="1">Table1345[[#This Row],[Index Value]]-100</f>
        <v>106.48200000000006</v>
      </c>
      <c r="AY33" s="23">
        <f ca="1">IF(Table1345[[#This Row],[Day]]&lt;LeadDays,"NM",IF(Table1345[[#This Row],[Index Gains]]&lt;0,Table1345[[#This Row],[Index Value]],(Table1345[[#This Row],[Index Gains]]*Table1345[[#This Row],[30d_Sharpe]]*Sharpe_Wgt+Table1345[[#This Row],[Index Gains]]*(1-Sharpe_Wgt))+100)*Historical_Wgt+(100*(1+Table1345[[#This Row],[Return]])*Today_Wgt))</f>
        <v>164.20377767267703</v>
      </c>
      <c r="AZ33">
        <f t="shared" ca="1" si="9"/>
        <v>-1</v>
      </c>
      <c r="BB33" s="6">
        <f t="shared" ca="1" si="25"/>
        <v>45617</v>
      </c>
      <c r="BC33">
        <f t="shared" ca="1" si="26"/>
        <v>20</v>
      </c>
      <c r="BD33" s="3">
        <f t="shared" si="27"/>
        <v>186500</v>
      </c>
      <c r="BE33" s="8">
        <v>-27000</v>
      </c>
      <c r="BF33" s="3">
        <v>0</v>
      </c>
      <c r="BG33" s="7">
        <f>Table13456[[#This Row],[$Return]]/AVERAGE(Table13456[[#This Row],[Starting]],Table13456[[#This Row],[Starting]]+Table13456[[#This Row],[Inflows]])</f>
        <v>-0.1447721179624665</v>
      </c>
      <c r="BH33" s="4">
        <f t="shared" si="40"/>
        <v>159500</v>
      </c>
      <c r="BI33" s="5">
        <f>IFERROR(BI32*(1+Table13456[[#This Row],[Return]]),100*(1+Table13456[[#This Row],[Return]]))</f>
        <v>159.49999999999994</v>
      </c>
      <c r="BJ33" s="24">
        <f ca="1">IF(Table13456[[#This Row],[Day]]&lt;LeadDays,"NM",(AVERAGE(BG$14:BG33)/STDEV(BG$14:BG33)*SQRT(SharpePeriod)))</f>
        <v>1.1447060524660928</v>
      </c>
      <c r="BK33" s="20">
        <f>Table13456[[#This Row],[Index Value]]-100</f>
        <v>59.499999999999943</v>
      </c>
      <c r="BL33" s="23">
        <f ca="1">IF(Table13456[[#This Row],[Day]]&lt;LeadDays,"NM",IF(Table13456[[#This Row],[Index Gains]]&lt;0,Table13456[[#This Row],[Index Value]],(Table13456[[#This Row],[Index Gains]]*Table13456[[#This Row],[30d_Sharpe]]*Sharpe_Wgt+Table13456[[#This Row],[Index Gains]]*(1-Sharpe_Wgt))+100)*Historical_Wgt+(100*(1+Table13456[[#This Row],[Return]])*Today_Wgt))</f>
        <v>124.66389663230977</v>
      </c>
      <c r="BM33">
        <f>IF(Table13456[[#This Row],[$Return]]&gt;=0,1,-1)</f>
        <v>-1</v>
      </c>
      <c r="BO33" s="6">
        <f t="shared" ca="1" si="28"/>
        <v>45617</v>
      </c>
      <c r="BP33">
        <f t="shared" ca="1" si="29"/>
        <v>20</v>
      </c>
      <c r="BQ33" s="3">
        <v>889125.05</v>
      </c>
      <c r="BR33" s="8">
        <v>-1047</v>
      </c>
      <c r="BS33" s="3">
        <v>0</v>
      </c>
      <c r="BT33" s="7">
        <f>Table134568[[#This Row],[$Return]]/AVERAGE(Table134568[[#This Row],[Starting]],Table134568[[#This Row],[Starting]]+Table134568[[#This Row],[Inflows]])</f>
        <v>-1.1775621438176779E-3</v>
      </c>
      <c r="BU33" s="4">
        <f t="shared" si="37"/>
        <v>888078.05</v>
      </c>
      <c r="BV33" s="5">
        <f>IFERROR(BV32*(1+Table134568[[#This Row],[Return]]),100*(1+Table134568[[#This Row],[Return]]))</f>
        <v>102.35667399594278</v>
      </c>
      <c r="BW33" s="24">
        <f ca="1">IF(Table134568[[#This Row],[Day]]&lt;LeadDays,"NM",(AVERAGE(BT$14:BT33)/STDEV(BT$14:BT33)*SQRT(SharpePeriod)))</f>
        <v>1.5037807764310622</v>
      </c>
      <c r="BX33" s="20">
        <f>Table134568[[#This Row],[Index Value]]-100</f>
        <v>2.3566739959427849</v>
      </c>
      <c r="BY33" s="23">
        <f ca="1">IF(Table134568[[#This Row],[Day]]&lt;LeadDays,"NM",IF(Table134568[[#This Row],[Index Gains]]&lt;0,Table134568[[#This Row],[Index Value]],(Table134568[[#This Row],[Index Gains]]*Table134568[[#This Row],[30d_Sharpe]]*Sharpe_Wgt+Table134568[[#This Row],[Index Gains]]*(1-Sharpe_Wgt))+100))</f>
        <v>102.95029752367826</v>
      </c>
      <c r="BZ33">
        <f>IF(Table134568[[#This Row],[$Return]]&gt;=0,1,-1)</f>
        <v>-1</v>
      </c>
      <c r="CB33" s="6">
        <f t="shared" ca="1" si="30"/>
        <v>45617</v>
      </c>
      <c r="CC33">
        <f t="shared" ca="1" si="31"/>
        <v>20</v>
      </c>
      <c r="CD33" s="3">
        <v>7069390.4100000001</v>
      </c>
      <c r="CE33" s="8">
        <v>4388.29</v>
      </c>
      <c r="CF33" s="3">
        <v>0</v>
      </c>
      <c r="CG33" s="7">
        <f>Table1345689[[#This Row],[$Return]]/AVERAGE(Table1345689[[#This Row],[Starting]],Table1345689[[#This Row],[Starting]]+Table1345689[[#This Row],[Inflows]])</f>
        <v>6.207451768107966E-4</v>
      </c>
      <c r="CH33" s="4">
        <f t="shared" si="38"/>
        <v>7073778.7000000002</v>
      </c>
      <c r="CI33" s="5">
        <f>IFERROR(CI32*(1+Table1345689[[#This Row],[Return]]),100*(1+Table1345689[[#This Row],[Return]]))</f>
        <v>102.27267310209919</v>
      </c>
      <c r="CJ33" s="24">
        <f ca="1">IF(Table1345689[[#This Row],[Day]]&lt;LeadDays,"NM",(AVERAGE(CG$14:CG33)/STDEV(CG$14:CG33)*SQRT(SharpePeriod)))</f>
        <v>4.8408799471392454</v>
      </c>
      <c r="CK33" s="20">
        <f>Table1345689[[#This Row],[Index Value]]-100</f>
        <v>2.2726731020991906</v>
      </c>
      <c r="CL33" s="23">
        <f ca="1">IF(Table1345689[[#This Row],[Day]]&lt;LeadDays,"NM",IF(Table1345689[[#This Row],[Index Gains]]&lt;0,Table1345689[[#This Row],[Index Value]],(Table1345689[[#This Row],[Index Gains]]*Table1345689[[#This Row],[30d_Sharpe]]*Sharpe_Wgt+Table1345689[[#This Row],[Index Gains]]*(1-Sharpe_Wgt))+100))</f>
        <v>106.63720537422695</v>
      </c>
      <c r="CM33">
        <f>IF(Table1345689[[#This Row],[$Return]]&gt;=0,1,-1)</f>
        <v>1</v>
      </c>
    </row>
    <row r="34" spans="2:91" x14ac:dyDescent="0.45">
      <c r="B34" s="6">
        <f t="shared" ca="1" si="16"/>
        <v>45618</v>
      </c>
      <c r="C34">
        <f t="shared" ca="1" si="13"/>
        <v>21</v>
      </c>
      <c r="D34" s="3">
        <f t="shared" ca="1" si="17"/>
        <v>116246</v>
      </c>
      <c r="E34" s="8">
        <f ca="1">RANDBETWEEN(0,RAND()/10*Table13[[#This Row],[Starting]])*Table13[[#This Row],[Rand]]</f>
        <v>1671</v>
      </c>
      <c r="F34" s="3">
        <f t="shared" ca="1" si="0"/>
        <v>808</v>
      </c>
      <c r="G34" s="7">
        <f ca="1">Table13[[#This Row],[$Return]]/AVERAGE(Table13[[#This Row],[Starting]],Table13[[#This Row],[Starting]]+Table13[[#This Row],[Inflows]])</f>
        <v>1.4324903557651094E-2</v>
      </c>
      <c r="H34" s="4">
        <f t="shared" ca="1" si="32"/>
        <v>118725</v>
      </c>
      <c r="I34" s="5">
        <f ca="1">I33*(1+Table13[[#This Row],[Return]])</f>
        <v>107.71049065766763</v>
      </c>
      <c r="J34" s="20">
        <f ca="1">IF(Table13[[#This Row],[Day]]&lt;LeadDays,"NM",(AVERAGE(G$14:G34)/STDEV(G$14:G34)*SQRT(SharpePeriod)))</f>
        <v>0.65013063420328587</v>
      </c>
      <c r="K34" s="20">
        <f ca="1">Table13[[#This Row],[Index Value]]-100</f>
        <v>7.7104906576676342</v>
      </c>
      <c r="L34" s="17">
        <f ca="1">IF(Table13[[#This Row],[Day]]&lt;LeadDays,"NM",IF(Table13[[#This Row],[Index Gains]]&lt;0,Table13[[#This Row],[Index Value]],(Table13[[#This Row],[Index Gains]]*Table13[[#This Row],[30d_Sharpe]]*Sharpe_Wgt+Table13[[#This Row],[Index Gains]]*(1-Sharpe_Wgt))+100)*Historical_Wgt+(100*(1+Table13[[#This Row],[Return]])*Today_Wgt))</f>
        <v>103.89707438762146</v>
      </c>
      <c r="M34">
        <f t="shared" ca="1" si="2"/>
        <v>1</v>
      </c>
      <c r="O34" s="6">
        <f t="shared" ca="1" si="18"/>
        <v>45618</v>
      </c>
      <c r="P34">
        <f t="shared" ca="1" si="14"/>
        <v>21</v>
      </c>
      <c r="Q34" s="3">
        <f t="shared" ca="1" si="19"/>
        <v>92146</v>
      </c>
      <c r="R34" s="8">
        <f ca="1">RANDBETWEEN(0,10000)*Table137[[#This Row],[Rand]]</f>
        <v>-9623</v>
      </c>
      <c r="S34" s="3">
        <f t="shared" ca="1" si="3"/>
        <v>872</v>
      </c>
      <c r="T34" s="7">
        <f ca="1">Table137[[#This Row],[$Return]]/AVERAGE(Table137[[#This Row],[Starting]],Table137[[#This Row],[Starting]]+Table137[[#This Row],[Inflows]])</f>
        <v>-0.103940290769264</v>
      </c>
      <c r="U34" s="4">
        <f t="shared" ca="1" si="33"/>
        <v>83395</v>
      </c>
      <c r="V34" s="5">
        <f ca="1">IFERROR(V33*(1+Table137[[#This Row],[Return]]),100*(1+Table137[[#This Row],[Return]]))</f>
        <v>72.700041060799535</v>
      </c>
      <c r="W34" s="20">
        <f ca="1">IF(Table137[[#This Row],[Day]]&lt;LeadDays,"NM",(AVERAGE(T$14:T34)/STDEV(T$14:T34)*SQRT(SharpePeriod)))</f>
        <v>-0.88535305350864979</v>
      </c>
      <c r="X34" s="20">
        <f ca="1">Table137[[#This Row],[Index Value]]-100</f>
        <v>-27.299958939200465</v>
      </c>
      <c r="Y34" s="23">
        <f ca="1">IF(Table137[[#This Row],[Day]]&lt;LeadDays,"NM",IF(Table137[[#This Row],[Index Gains]]&lt;0,Table137[[#This Row],[Index Value]],(Table137[[#This Row],[Index Gains]]*Table137[[#This Row],[30d_Sharpe]]*Sharpe_Wgt+Table137[[#This Row],[Index Gains]]*(1-Sharpe_Wgt))+100)*Historical_Wgt+(100*(1+Table137[[#This Row],[Return]])*Today_Wgt))</f>
        <v>81.153005991936567</v>
      </c>
      <c r="Z34">
        <f t="shared" ca="1" si="5"/>
        <v>-1</v>
      </c>
      <c r="AB34" s="6">
        <f t="shared" ca="1" si="20"/>
        <v>45618</v>
      </c>
      <c r="AC34">
        <f t="shared" ca="1" si="15"/>
        <v>21</v>
      </c>
      <c r="AD34" s="3">
        <f t="shared" ca="1" si="21"/>
        <v>103152</v>
      </c>
      <c r="AE34" s="8">
        <f ca="1">RANDBETWEEN(0,1000)*Table134[[#This Row],[Rand]]</f>
        <v>-51</v>
      </c>
      <c r="AF34" s="3">
        <v>0</v>
      </c>
      <c r="AG34" s="7">
        <f ca="1">Table134[[#This Row],[$Return]]/AVERAGE(Table134[[#This Row],[Starting]],Table134[[#This Row],[Starting]]+Table134[[#This Row],[Inflows]])</f>
        <v>-4.9441600744532346E-4</v>
      </c>
      <c r="AH34" s="4">
        <f t="shared" ca="1" si="34"/>
        <v>103101</v>
      </c>
      <c r="AI34" s="5">
        <f ca="1">IFERROR(AI33*(1+Table134[[#This Row],[Return]]),100*(1+Table134[[#This Row],[Return]]))</f>
        <v>103.10099999999997</v>
      </c>
      <c r="AJ34" s="24">
        <f ca="1">IF(Table134[[#This Row],[Day]]&lt;LeadDays,"NM",(AVERAGE(AG$14:AG34)/STDEV(AG$14:AG34)*SQRT(SharpePeriod)))</f>
        <v>1.4974366969828357</v>
      </c>
      <c r="AK34" s="20">
        <f ca="1">Table134[[#This Row],[Index Value]]-100</f>
        <v>3.1009999999999707</v>
      </c>
      <c r="AL34" s="23">
        <f ca="1">IF(Table134[[#This Row],[Day]]&lt;LeadDays,"NM",IF(Table134[[#This Row],[Index Gains]]&lt;0,Table134[[#This Row],[Index Value]],(Table134[[#This Row],[Index Gains]]*Table134[[#This Row],[30d_Sharpe]]*Sharpe_Wgt+Table134[[#This Row],[Index Gains]]*(1-Sharpe_Wgt))+100)*Historical_Wgt+(100*(1+Table134[[#This Row],[Return]])*Today_Wgt))</f>
        <v>101.91141699896366</v>
      </c>
      <c r="AM34">
        <f t="shared" ca="1" si="7"/>
        <v>-1</v>
      </c>
      <c r="AO34" s="6">
        <f t="shared" ca="1" si="22"/>
        <v>45618</v>
      </c>
      <c r="AP34">
        <f t="shared" ca="1" si="23"/>
        <v>21</v>
      </c>
      <c r="AQ34" s="3">
        <f t="shared" ca="1" si="24"/>
        <v>206482</v>
      </c>
      <c r="AR34" s="8">
        <v>1000</v>
      </c>
      <c r="AS34" s="3">
        <v>0</v>
      </c>
      <c r="AT34" s="7">
        <f ca="1">Table1345[[#This Row],[$Return]]/AVERAGE(Table1345[[#This Row],[Starting]],Table1345[[#This Row],[Starting]]+Table1345[[#This Row],[Inflows]])</f>
        <v>4.8430371654672082E-3</v>
      </c>
      <c r="AU34" s="4">
        <f t="shared" ca="1" si="39"/>
        <v>207482</v>
      </c>
      <c r="AV34" s="5">
        <f ca="1">IFERROR(AV33*(1+Table1345[[#This Row],[Return]]),100*(1+Table1345[[#This Row],[Return]]))</f>
        <v>207.48200000000008</v>
      </c>
      <c r="AW34" s="24">
        <f ca="1">IF(Table1345[[#This Row],[Day]]&lt;LeadDays,"NM",(AVERAGE(AT$14:AT34)/STDEV(AT$14:AT34)*SQRT(SharpePeriod)))</f>
        <v>1.3925746423268046</v>
      </c>
      <c r="AX34" s="20">
        <f ca="1">Table1345[[#This Row],[Index Value]]-100</f>
        <v>107.48200000000008</v>
      </c>
      <c r="AY34" s="23">
        <f ca="1">IF(Table1345[[#This Row],[Day]]&lt;LeadDays,"NM",IF(Table1345[[#This Row],[Index Gains]]&lt;0,Table1345[[#This Row],[Index Value]],(Table1345[[#This Row],[Index Gains]]*Table1345[[#This Row],[30d_Sharpe]]*Sharpe_Wgt+Table1345[[#This Row],[Index Gains]]*(1-Sharpe_Wgt))+100)*Historical_Wgt+(100*(1+Table1345[[#This Row],[Return]])*Today_Wgt))</f>
        <v>164.53182878491583</v>
      </c>
      <c r="AZ34">
        <f t="shared" ca="1" si="9"/>
        <v>-1</v>
      </c>
      <c r="BB34" s="6">
        <f t="shared" ca="1" si="25"/>
        <v>45618</v>
      </c>
      <c r="BC34">
        <f t="shared" ca="1" si="26"/>
        <v>21</v>
      </c>
      <c r="BD34" s="3">
        <f t="shared" si="27"/>
        <v>159500</v>
      </c>
      <c r="BE34" s="8">
        <v>-50000</v>
      </c>
      <c r="BF34" s="3">
        <v>0</v>
      </c>
      <c r="BG34" s="7">
        <f>Table13456[[#This Row],[$Return]]/AVERAGE(Table13456[[#This Row],[Starting]],Table13456[[#This Row],[Starting]]+Table13456[[#This Row],[Inflows]])</f>
        <v>-0.31347962382445144</v>
      </c>
      <c r="BH34" s="4">
        <f t="shared" si="40"/>
        <v>109500</v>
      </c>
      <c r="BI34" s="5">
        <f>IFERROR(BI33*(1+Table13456[[#This Row],[Return]]),100*(1+Table13456[[#This Row],[Return]]))</f>
        <v>109.49999999999994</v>
      </c>
      <c r="BJ34" s="24">
        <f ca="1">IF(Table13456[[#This Row],[Day]]&lt;LeadDays,"NM",(AVERAGE(BG$14:BG34)/STDEV(BG$14:BG34)*SQRT(SharpePeriod)))</f>
        <v>0.70788312708904366</v>
      </c>
      <c r="BK34" s="20">
        <f>Table13456[[#This Row],[Index Value]]-100</f>
        <v>9.4999999999999432</v>
      </c>
      <c r="BL34" s="23">
        <f ca="1">IF(Table13456[[#This Row],[Day]]&lt;LeadDays,"NM",IF(Table13456[[#This Row],[Index Gains]]&lt;0,Table13456[[#This Row],[Index Value]],(Table13456[[#This Row],[Index Gains]]*Table13456[[#This Row],[30d_Sharpe]]*Sharpe_Wgt+Table13456[[#This Row],[Index Gains]]*(1-Sharpe_Wgt))+100)*Historical_Wgt+(100*(1+Table13456[[#This Row],[Return]])*Today_Wgt))</f>
        <v>88.38224123561389</v>
      </c>
      <c r="BM34">
        <f>IF(Table13456[[#This Row],[$Return]]&gt;=0,1,-1)</f>
        <v>-1</v>
      </c>
      <c r="BO34" s="6">
        <f t="shared" ca="1" si="28"/>
        <v>45618</v>
      </c>
      <c r="BP34">
        <f t="shared" ca="1" si="29"/>
        <v>21</v>
      </c>
      <c r="BQ34" s="3">
        <v>889836.33</v>
      </c>
      <c r="BR34" s="8">
        <v>711.27</v>
      </c>
      <c r="BS34" s="3">
        <v>0</v>
      </c>
      <c r="BT34" s="7">
        <f>Table134568[[#This Row],[$Return]]/AVERAGE(Table134568[[#This Row],[Starting]],Table134568[[#This Row],[Starting]]+Table134568[[#This Row],[Inflows]])</f>
        <v>7.9932677057588787E-4</v>
      </c>
      <c r="BU34" s="4">
        <f t="shared" si="37"/>
        <v>890547.6</v>
      </c>
      <c r="BV34" s="5">
        <f>IFERROR(BV33*(1+Table134568[[#This Row],[Return]]),100*(1+Table134568[[#This Row],[Return]]))</f>
        <v>102.43849042561486</v>
      </c>
      <c r="BW34" s="24">
        <f ca="1">IF(Table134568[[#This Row],[Day]]&lt;LeadDays,"NM",(AVERAGE(BT$14:BT34)/STDEV(BT$14:BT34)*SQRT(SharpePeriod)))</f>
        <v>1.5191060831211263</v>
      </c>
      <c r="BX34" s="20">
        <f>Table134568[[#This Row],[Index Value]]-100</f>
        <v>2.4384904256148587</v>
      </c>
      <c r="BY34" s="23">
        <f ca="1">IF(Table134568[[#This Row],[Day]]&lt;LeadDays,"NM",IF(Table134568[[#This Row],[Index Gains]]&lt;0,Table134568[[#This Row],[Index Value]],(Table134568[[#This Row],[Index Gains]]*Table134568[[#This Row],[30d_Sharpe]]*Sharpe_Wgt+Table134568[[#This Row],[Index Gains]]*(1-Sharpe_Wgt))+100))</f>
        <v>103.0714080323995</v>
      </c>
      <c r="BZ34">
        <f>IF(Table134568[[#This Row],[$Return]]&gt;=0,1,-1)</f>
        <v>1</v>
      </c>
      <c r="CB34" s="6">
        <f t="shared" ca="1" si="30"/>
        <v>45618</v>
      </c>
      <c r="CC34">
        <f t="shared" ca="1" si="31"/>
        <v>21</v>
      </c>
      <c r="CD34" s="3">
        <v>7095948.6299999999</v>
      </c>
      <c r="CE34" s="8">
        <v>26558.23</v>
      </c>
      <c r="CF34" s="3">
        <v>0</v>
      </c>
      <c r="CG34" s="7">
        <f>Table1345689[[#This Row],[$Return]]/AVERAGE(Table1345689[[#This Row],[Starting]],Table1345689[[#This Row],[Starting]]+Table1345689[[#This Row],[Inflows]])</f>
        <v>3.7427314351907871E-3</v>
      </c>
      <c r="CH34" s="4">
        <f t="shared" si="38"/>
        <v>7122506.8600000003</v>
      </c>
      <c r="CI34" s="5">
        <f>IFERROR(CI33*(1+Table1345689[[#This Row],[Return]]),100*(1+Table1345689[[#This Row],[Return]]))</f>
        <v>102.6554522506794</v>
      </c>
      <c r="CJ34" s="24">
        <f ca="1">IF(Table1345689[[#This Row],[Day]]&lt;LeadDays,"NM",(AVERAGE(CG$14:CG34)/STDEV(CG$14:CG34)*SQRT(SharpePeriod)))</f>
        <v>5.0112918157421174</v>
      </c>
      <c r="CK34" s="20">
        <f>Table1345689[[#This Row],[Index Value]]-100</f>
        <v>2.6554522506794029</v>
      </c>
      <c r="CL34" s="23">
        <f ca="1">IF(Table1345689[[#This Row],[Day]]&lt;LeadDays,"NM",IF(Table1345689[[#This Row],[Index Gains]]&lt;0,Table1345689[[#This Row],[Index Value]],(Table1345689[[#This Row],[Index Gains]]*Table1345689[[#This Row],[30d_Sharpe]]*Sharpe_Wgt+Table1345689[[#This Row],[Index Gains]]*(1-Sharpe_Wgt))+100))</f>
        <v>107.98134919080154</v>
      </c>
      <c r="CM34">
        <f>IF(Table1345689[[#This Row],[$Return]]&gt;=0,1,-1)</f>
        <v>1</v>
      </c>
    </row>
    <row r="35" spans="2:91" x14ac:dyDescent="0.45">
      <c r="B35" s="6">
        <f t="shared" ca="1" si="16"/>
        <v>45619</v>
      </c>
      <c r="C35">
        <f t="shared" ca="1" si="13"/>
        <v>22</v>
      </c>
      <c r="D35" s="3">
        <f t="shared" ca="1" si="17"/>
        <v>118725</v>
      </c>
      <c r="E35" s="8">
        <f ca="1">RANDBETWEEN(0,RAND()/10*Table13[[#This Row],[Starting]])*Table13[[#This Row],[Rand]]</f>
        <v>4614</v>
      </c>
      <c r="F35" s="3">
        <f t="shared" ca="1" si="0"/>
        <v>480</v>
      </c>
      <c r="G35" s="7">
        <f ca="1">Table13[[#This Row],[$Return]]/AVERAGE(Table13[[#This Row],[Starting]],Table13[[#This Row],[Starting]]+Table13[[#This Row],[Inflows]])</f>
        <v>3.8784516454419368E-2</v>
      </c>
      <c r="H35" s="4">
        <f t="shared" ca="1" si="32"/>
        <v>123819</v>
      </c>
      <c r="I35" s="5">
        <f ca="1">I34*(1+Table13[[#This Row],[Return]])</f>
        <v>111.88798995489353</v>
      </c>
      <c r="J35" s="20">
        <f ca="1">IF(Table13[[#This Row],[Day]]&lt;LeadDays,"NM",(AVERAGE(G$14:G35)/STDEV(G$14:G35)*SQRT(SharpePeriod)))</f>
        <v>0.89865937852588385</v>
      </c>
      <c r="K35" s="20">
        <f ca="1">Table13[[#This Row],[Index Value]]-100</f>
        <v>11.887989954893527</v>
      </c>
      <c r="L35" s="17">
        <f ca="1">IF(Table13[[#This Row],[Day]]&lt;LeadDays,"NM",IF(Table13[[#This Row],[Index Gains]]&lt;0,Table13[[#This Row],[Index Value]],(Table13[[#This Row],[Index Gains]]*Table13[[#This Row],[30d_Sharpe]]*Sharpe_Wgt+Table13[[#This Row],[Index Gains]]*(1-Sharpe_Wgt))+100)*Historical_Wgt+(100*(1+Table13[[#This Row],[Return]])*Today_Wgt))</f>
        <v>107.582036727641</v>
      </c>
      <c r="M35">
        <f t="shared" ca="1" si="2"/>
        <v>1</v>
      </c>
      <c r="O35" s="6">
        <f t="shared" ca="1" si="18"/>
        <v>45619</v>
      </c>
      <c r="P35">
        <f t="shared" ca="1" si="14"/>
        <v>22</v>
      </c>
      <c r="Q35" s="3">
        <f t="shared" ca="1" si="19"/>
        <v>83395</v>
      </c>
      <c r="R35" s="8">
        <f ca="1">RANDBETWEEN(0,10000)*Table137[[#This Row],[Rand]]</f>
        <v>583</v>
      </c>
      <c r="S35" s="3">
        <f t="shared" ca="1" si="3"/>
        <v>289</v>
      </c>
      <c r="T35" s="7">
        <f ca="1">Table137[[#This Row],[$Return]]/AVERAGE(Table137[[#This Row],[Starting]],Table137[[#This Row],[Starting]]+Table137[[#This Row],[Inflows]])</f>
        <v>6.9787346105734411E-3</v>
      </c>
      <c r="U35" s="4">
        <f t="shared" ca="1" si="33"/>
        <v>84267</v>
      </c>
      <c r="V35" s="5">
        <f ca="1">IFERROR(V34*(1+Table137[[#This Row],[Return]]),100*(1+Table137[[#This Row],[Return]]))</f>
        <v>73.207395353540647</v>
      </c>
      <c r="W35" s="20">
        <f ca="1">IF(Table137[[#This Row],[Day]]&lt;LeadDays,"NM",(AVERAGE(T$14:T35)/STDEV(T$14:T35)*SQRT(SharpePeriod)))</f>
        <v>-0.84131863539729568</v>
      </c>
      <c r="X35" s="20">
        <f ca="1">Table137[[#This Row],[Index Value]]-100</f>
        <v>-26.792604646459353</v>
      </c>
      <c r="Y35" s="23">
        <f ca="1">IF(Table137[[#This Row],[Day]]&lt;LeadDays,"NM",IF(Table137[[#This Row],[Index Gains]]&lt;0,Table137[[#This Row],[Index Value]],(Table137[[#This Row],[Index Gains]]*Table137[[#This Row],[30d_Sharpe]]*Sharpe_Wgt+Table137[[#This Row],[Index Gains]]*(1-Sharpe_Wgt))+100)*Historical_Wgt+(100*(1+Table137[[#This Row],[Return]])*Today_Wgt))</f>
        <v>86.952634407299001</v>
      </c>
      <c r="Z35">
        <f t="shared" ca="1" si="5"/>
        <v>1</v>
      </c>
      <c r="AB35" s="6">
        <f t="shared" ca="1" si="20"/>
        <v>45619</v>
      </c>
      <c r="AC35">
        <f t="shared" ca="1" si="15"/>
        <v>22</v>
      </c>
      <c r="AD35" s="3">
        <f t="shared" ca="1" si="21"/>
        <v>103101</v>
      </c>
      <c r="AE35" s="8">
        <f ca="1">RANDBETWEEN(0,1000)*Table134[[#This Row],[Rand]]</f>
        <v>604</v>
      </c>
      <c r="AF35" s="3">
        <v>0</v>
      </c>
      <c r="AG35" s="7">
        <f ca="1">Table134[[#This Row],[$Return]]/AVERAGE(Table134[[#This Row],[Starting]],Table134[[#This Row],[Starting]]+Table134[[#This Row],[Inflows]])</f>
        <v>5.858333090852659E-3</v>
      </c>
      <c r="AH35" s="4">
        <f t="shared" ca="1" si="34"/>
        <v>103705</v>
      </c>
      <c r="AI35" s="5">
        <f ca="1">IFERROR(AI34*(1+Table134[[#This Row],[Return]]),100*(1+Table134[[#This Row],[Return]]))</f>
        <v>103.70499999999997</v>
      </c>
      <c r="AJ35" s="24">
        <f ca="1">IF(Table134[[#This Row],[Day]]&lt;LeadDays,"NM",(AVERAGE(AG$14:AG35)/STDEV(AG$14:AG35)*SQRT(SharpePeriod)))</f>
        <v>1.715701929772222</v>
      </c>
      <c r="AK35" s="20">
        <f ca="1">Table134[[#This Row],[Index Value]]-100</f>
        <v>3.7049999999999699</v>
      </c>
      <c r="AL35" s="23">
        <f ca="1">IF(Table134[[#This Row],[Day]]&lt;LeadDays,"NM",IF(Table134[[#This Row],[Index Gains]]&lt;0,Table134[[#This Row],[Index Value]],(Table134[[#This Row],[Index Gains]]*Table134[[#This Row],[30d_Sharpe]]*Sharpe_Wgt+Table134[[#This Row],[Index Gains]]*(1-Sharpe_Wgt))+100)*Historical_Wgt+(100*(1+Table134[[#This Row],[Return]])*Today_Wgt))</f>
        <v>102.80833556699413</v>
      </c>
      <c r="AM35">
        <f t="shared" ca="1" si="7"/>
        <v>1</v>
      </c>
      <c r="AO35" s="6">
        <f t="shared" ca="1" si="22"/>
        <v>45619</v>
      </c>
      <c r="AP35">
        <f t="shared" ca="1" si="23"/>
        <v>22</v>
      </c>
      <c r="AQ35" s="3">
        <f t="shared" ca="1" si="24"/>
        <v>207482</v>
      </c>
      <c r="AR35" s="8">
        <v>-1000</v>
      </c>
      <c r="AS35" s="3">
        <v>0</v>
      </c>
      <c r="AT35" s="7">
        <f ca="1">Table1345[[#This Row],[$Return]]/AVERAGE(Table1345[[#This Row],[Starting]],Table1345[[#This Row],[Starting]]+Table1345[[#This Row],[Inflows]])</f>
        <v>-4.8196952024753955E-3</v>
      </c>
      <c r="AU35" s="4">
        <f t="shared" ca="1" si="39"/>
        <v>206482</v>
      </c>
      <c r="AV35" s="5">
        <f ca="1">IFERROR(AV34*(1+Table1345[[#This Row],[Return]]),100*(1+Table1345[[#This Row],[Return]]))</f>
        <v>206.48200000000008</v>
      </c>
      <c r="AW35" s="24">
        <f ca="1">IF(Table1345[[#This Row],[Day]]&lt;LeadDays,"NM",(AVERAGE(AT$14:AT35)/STDEV(AT$14:AT35)*SQRT(SharpePeriod)))</f>
        <v>1.3536251925772127</v>
      </c>
      <c r="AX35" s="20">
        <f ca="1">Table1345[[#This Row],[Index Value]]-100</f>
        <v>106.48200000000008</v>
      </c>
      <c r="AY35" s="23">
        <f ca="1">IF(Table1345[[#This Row],[Day]]&lt;LeadDays,"NM",IF(Table1345[[#This Row],[Index Gains]]&lt;0,Table1345[[#This Row],[Index Value]],(Table1345[[#This Row],[Index Gains]]*Table1345[[#This Row],[30d_Sharpe]]*Sharpe_Wgt+Table1345[[#This Row],[Index Gains]]*(1-Sharpe_Wgt))+100)*Historical_Wgt+(100*(1+Table1345[[#This Row],[Return]])*Today_Wgt))</f>
        <v>162.41369467887796</v>
      </c>
      <c r="AZ35">
        <f t="shared" ca="1" si="9"/>
        <v>1</v>
      </c>
      <c r="BB35" s="6">
        <f t="shared" ca="1" si="25"/>
        <v>45619</v>
      </c>
      <c r="BC35">
        <f t="shared" ca="1" si="26"/>
        <v>22</v>
      </c>
      <c r="BD35" s="3">
        <f t="shared" si="27"/>
        <v>109500</v>
      </c>
      <c r="BE35" s="8">
        <v>44500</v>
      </c>
      <c r="BF35" s="3">
        <v>0</v>
      </c>
      <c r="BG35" s="7">
        <f>Table13456[[#This Row],[$Return]]/AVERAGE(Table13456[[#This Row],[Starting]],Table13456[[#This Row],[Starting]]+Table13456[[#This Row],[Inflows]])</f>
        <v>0.40639269406392692</v>
      </c>
      <c r="BH35" s="4">
        <f t="shared" si="40"/>
        <v>154000</v>
      </c>
      <c r="BI35" s="5">
        <f>IFERROR(BI34*(1+Table13456[[#This Row],[Return]]),100*(1+Table13456[[#This Row],[Return]]))</f>
        <v>153.99999999999991</v>
      </c>
      <c r="BJ35" s="24">
        <f ca="1">IF(Table13456[[#This Row],[Day]]&lt;LeadDays,"NM",(AVERAGE(BG$14:BG35)/STDEV(BG$14:BG35)*SQRT(SharpePeriod)))</f>
        <v>1.0688193794920211</v>
      </c>
      <c r="BK35" s="20">
        <f>Table13456[[#This Row],[Index Value]]-100</f>
        <v>53.999999999999915</v>
      </c>
      <c r="BL35" s="23">
        <f ca="1">IF(Table13456[[#This Row],[Day]]&lt;LeadDays,"NM",IF(Table13456[[#This Row],[Index Gains]]&lt;0,Table13456[[#This Row],[Index Value]],(Table13456[[#This Row],[Index Gains]]*Table13456[[#This Row],[30d_Sharpe]]*Sharpe_Wgt+Table13456[[#This Row],[Index Gains]]*(1-Sharpe_Wgt))+100)*Historical_Wgt+(100*(1+Table13456[[#This Row],[Return]])*Today_Wgt))</f>
        <v>148.24869632633857</v>
      </c>
      <c r="BM35">
        <f>IF(Table13456[[#This Row],[$Return]]&gt;=0,1,-1)</f>
        <v>1</v>
      </c>
      <c r="BO35" s="6">
        <f t="shared" ca="1" si="28"/>
        <v>45619</v>
      </c>
      <c r="BP35">
        <f t="shared" ca="1" si="29"/>
        <v>22</v>
      </c>
      <c r="BQ35" s="3">
        <v>890327.86</v>
      </c>
      <c r="BR35" s="8">
        <v>491.53</v>
      </c>
      <c r="BS35" s="3">
        <v>0</v>
      </c>
      <c r="BT35" s="7">
        <f>Table134568[[#This Row],[$Return]]/AVERAGE(Table134568[[#This Row],[Starting]],Table134568[[#This Row],[Starting]]+Table134568[[#This Row],[Inflows]])</f>
        <v>5.520775234417577E-4</v>
      </c>
      <c r="BU35" s="4">
        <f t="shared" si="37"/>
        <v>890819.39</v>
      </c>
      <c r="BV35" s="5">
        <f>IFERROR(BV34*(1+Table134568[[#This Row],[Return]]),100*(1+Table134568[[#This Row],[Return]]))</f>
        <v>102.49504441371414</v>
      </c>
      <c r="BW35" s="24">
        <f ca="1">IF(Table134568[[#This Row],[Day]]&lt;LeadDays,"NM",(AVERAGE(BT$14:BT35)/STDEV(BT$14:BT35)*SQRT(SharpePeriod)))</f>
        <v>1.5188898010681859</v>
      </c>
      <c r="BX35" s="20">
        <f>Table134568[[#This Row],[Index Value]]-100</f>
        <v>2.4950444137141403</v>
      </c>
      <c r="BY35" s="23">
        <f ca="1">IF(Table134568[[#This Row],[Day]]&lt;LeadDays,"NM",IF(Table134568[[#This Row],[Index Gains]]&lt;0,Table134568[[#This Row],[Index Value]],(Table134568[[#This Row],[Index Gains]]*Table134568[[#This Row],[30d_Sharpe]]*Sharpe_Wgt+Table134568[[#This Row],[Index Gains]]*(1-Sharpe_Wgt))+100))</f>
        <v>103.14237096345835</v>
      </c>
      <c r="BZ35">
        <f>IF(Table134568[[#This Row],[$Return]]&gt;=0,1,-1)</f>
        <v>1</v>
      </c>
      <c r="CB35" s="6">
        <f t="shared" ca="1" si="30"/>
        <v>45619</v>
      </c>
      <c r="CC35">
        <f t="shared" ca="1" si="31"/>
        <v>22</v>
      </c>
      <c r="CD35" s="3">
        <v>7110132.0099999998</v>
      </c>
      <c r="CE35" s="8">
        <v>14183.38</v>
      </c>
      <c r="CF35" s="3">
        <v>0</v>
      </c>
      <c r="CG35" s="7">
        <f>Table1345689[[#This Row],[$Return]]/AVERAGE(Table1345689[[#This Row],[Starting]],Table1345689[[#This Row],[Starting]]+Table1345689[[#This Row],[Inflows]])</f>
        <v>1.9948124704368183E-3</v>
      </c>
      <c r="CH35" s="4">
        <f t="shared" si="38"/>
        <v>7124315.3899999997</v>
      </c>
      <c r="CI35" s="5">
        <f>IFERROR(CI34*(1+Table1345689[[#This Row],[Return]]),100*(1+Table1345689[[#This Row],[Return]]))</f>
        <v>102.86023062698739</v>
      </c>
      <c r="CJ35" s="24">
        <f ca="1">IF(Table1345689[[#This Row],[Day]]&lt;LeadDays,"NM",(AVERAGE(CG$14:CG35)/STDEV(CG$14:CG35)*SQRT(SharpePeriod)))</f>
        <v>5.2371573645148031</v>
      </c>
      <c r="CK35" s="20">
        <f>Table1345689[[#This Row],[Index Value]]-100</f>
        <v>2.8602306269873878</v>
      </c>
      <c r="CL35" s="23">
        <f ca="1">IF(Table1345689[[#This Row],[Day]]&lt;LeadDays,"NM",IF(Table1345689[[#This Row],[Index Gains]]&lt;0,Table1345689[[#This Row],[Index Value]],(Table1345689[[#This Row],[Index Gains]]*Table1345689[[#This Row],[30d_Sharpe]]*Sharpe_Wgt+Table1345689[[#This Row],[Index Gains]]*(1-Sharpe_Wgt))+100))</f>
        <v>108.91985425966259</v>
      </c>
      <c r="CM35">
        <f>IF(Table1345689[[#This Row],[$Return]]&gt;=0,1,-1)</f>
        <v>1</v>
      </c>
    </row>
    <row r="36" spans="2:91" x14ac:dyDescent="0.45">
      <c r="B36" s="6">
        <f t="shared" ca="1" si="16"/>
        <v>45620</v>
      </c>
      <c r="C36">
        <f t="shared" ca="1" si="13"/>
        <v>23</v>
      </c>
      <c r="D36" s="3">
        <f t="shared" ca="1" si="17"/>
        <v>123819</v>
      </c>
      <c r="E36" s="8">
        <f ca="1">RANDBETWEEN(0,RAND()/10*Table13[[#This Row],[Starting]])*Table13[[#This Row],[Rand]]</f>
        <v>-6717</v>
      </c>
      <c r="F36" s="3">
        <f t="shared" ca="1" si="0"/>
        <v>545</v>
      </c>
      <c r="G36" s="7">
        <f ca="1">Table13[[#This Row],[$Return]]/AVERAGE(Table13[[#This Row],[Starting]],Table13[[#This Row],[Starting]]+Table13[[#This Row],[Inflows]])</f>
        <v>-5.4129412570562849E-2</v>
      </c>
      <c r="H36" s="4">
        <f t="shared" ca="1" si="32"/>
        <v>117647</v>
      </c>
      <c r="I36" s="5">
        <f ca="1">I35*(1+Table13[[#This Row],[Return]])</f>
        <v>105.8315587849341</v>
      </c>
      <c r="J36" s="20">
        <f ca="1">IF(Table13[[#This Row],[Day]]&lt;LeadDays,"NM",(AVERAGE(G$14:G36)/STDEV(G$14:G36)*SQRT(SharpePeriod)))</f>
        <v>0.47040607563814751</v>
      </c>
      <c r="K36" s="20">
        <f ca="1">Table13[[#This Row],[Index Value]]-100</f>
        <v>5.8315587849341028</v>
      </c>
      <c r="L36" s="17">
        <f ca="1">IF(Table13[[#This Row],[Day]]&lt;LeadDays,"NM",IF(Table13[[#This Row],[Index Gains]]&lt;0,Table13[[#This Row],[Index Value]],(Table13[[#This Row],[Index Gains]]*Table13[[#This Row],[30d_Sharpe]]*Sharpe_Wgt+Table13[[#This Row],[Index Gains]]*(1-Sharpe_Wgt))+100)*Historical_Wgt+(100*(1+Table13[[#This Row],[Return]])*Today_Wgt))</f>
        <v>99.437219238423893</v>
      </c>
      <c r="M36">
        <f t="shared" ca="1" si="2"/>
        <v>-1</v>
      </c>
      <c r="O36" s="6">
        <f t="shared" ca="1" si="18"/>
        <v>45620</v>
      </c>
      <c r="P36">
        <f t="shared" ca="1" si="14"/>
        <v>23</v>
      </c>
      <c r="Q36" s="3">
        <f t="shared" ca="1" si="19"/>
        <v>84267</v>
      </c>
      <c r="R36" s="8">
        <f ca="1">RANDBETWEEN(0,10000)*Table137[[#This Row],[Rand]]</f>
        <v>9455</v>
      </c>
      <c r="S36" s="3">
        <f t="shared" ca="1" si="3"/>
        <v>559</v>
      </c>
      <c r="T36" s="7">
        <f ca="1">Table137[[#This Row],[$Return]]/AVERAGE(Table137[[#This Row],[Starting]],Table137[[#This Row],[Starting]]+Table137[[#This Row],[Inflows]])</f>
        <v>0.11183195046512866</v>
      </c>
      <c r="U36" s="4">
        <f t="shared" ca="1" si="33"/>
        <v>94281</v>
      </c>
      <c r="V36" s="5">
        <f ca="1">IFERROR(V35*(1+Table137[[#This Row],[Return]]),100*(1+Table137[[#This Row],[Return]]))</f>
        <v>81.394321164398889</v>
      </c>
      <c r="W36" s="20">
        <f ca="1">IF(Table137[[#This Row],[Day]]&lt;LeadDays,"NM",(AVERAGE(T$14:T36)/STDEV(T$14:T36)*SQRT(SharpePeriod)))</f>
        <v>-0.43138231470926536</v>
      </c>
      <c r="X36" s="20">
        <f ca="1">Table137[[#This Row],[Index Value]]-100</f>
        <v>-18.605678835601111</v>
      </c>
      <c r="Y36" s="23">
        <f ca="1">IF(Table137[[#This Row],[Day]]&lt;LeadDays,"NM",IF(Table137[[#This Row],[Index Gains]]&lt;0,Table137[[#This Row],[Index Value]],(Table137[[#This Row],[Index Gains]]*Table137[[#This Row],[30d_Sharpe]]*Sharpe_Wgt+Table137[[#This Row],[Index Gains]]*(1-Sharpe_Wgt))+100)*Historical_Wgt+(100*(1+Table137[[#This Row],[Return]])*Today_Wgt))</f>
        <v>96.288758105455884</v>
      </c>
      <c r="Z36">
        <f t="shared" ca="1" si="5"/>
        <v>1</v>
      </c>
      <c r="AB36" s="6">
        <f t="shared" ca="1" si="20"/>
        <v>45620</v>
      </c>
      <c r="AC36">
        <f t="shared" ca="1" si="15"/>
        <v>23</v>
      </c>
      <c r="AD36" s="3">
        <f t="shared" ca="1" si="21"/>
        <v>103705</v>
      </c>
      <c r="AE36" s="8">
        <f ca="1">RANDBETWEEN(0,1000)*Table134[[#This Row],[Rand]]</f>
        <v>469</v>
      </c>
      <c r="AF36" s="3">
        <v>0</v>
      </c>
      <c r="AG36" s="7">
        <f ca="1">Table134[[#This Row],[$Return]]/AVERAGE(Table134[[#This Row],[Starting]],Table134[[#This Row],[Starting]]+Table134[[#This Row],[Inflows]])</f>
        <v>4.5224434694566317E-3</v>
      </c>
      <c r="AH36" s="4">
        <f t="shared" ca="1" si="34"/>
        <v>104174</v>
      </c>
      <c r="AI36" s="5">
        <f ca="1">IFERROR(AI35*(1+Table134[[#This Row],[Return]]),100*(1+Table134[[#This Row],[Return]]))</f>
        <v>104.17399999999996</v>
      </c>
      <c r="AJ36" s="24">
        <f ca="1">IF(Table134[[#This Row],[Day]]&lt;LeadDays,"NM",(AVERAGE(AG$14:AG36)/STDEV(AG$14:AG36)*SQRT(SharpePeriod)))</f>
        <v>1.8744531648865128</v>
      </c>
      <c r="AK36" s="20">
        <f ca="1">Table134[[#This Row],[Index Value]]-100</f>
        <v>4.173999999999964</v>
      </c>
      <c r="AL36" s="23">
        <f ca="1">IF(Table134[[#This Row],[Day]]&lt;LeadDays,"NM",IF(Table134[[#This Row],[Index Gains]]&lt;0,Table134[[#This Row],[Index Value]],(Table134[[#This Row],[Index Gains]]*Table134[[#This Row],[30d_Sharpe]]*Sharpe_Wgt+Table134[[#This Row],[Index Gains]]*(1-Sharpe_Wgt))+100)*Historical_Wgt+(100*(1+Table134[[#This Row],[Return]])*Today_Wgt))</f>
        <v>103.22561405103188</v>
      </c>
      <c r="AM36">
        <f t="shared" ca="1" si="7"/>
        <v>1</v>
      </c>
      <c r="AO36" s="6">
        <f t="shared" ca="1" si="22"/>
        <v>45620</v>
      </c>
      <c r="AP36">
        <f t="shared" ca="1" si="23"/>
        <v>23</v>
      </c>
      <c r="AQ36" s="3">
        <f t="shared" ca="1" si="24"/>
        <v>206482</v>
      </c>
      <c r="AR36" s="8">
        <v>1000</v>
      </c>
      <c r="AS36" s="3">
        <v>0</v>
      </c>
      <c r="AT36" s="7">
        <f ca="1">Table1345[[#This Row],[$Return]]/AVERAGE(Table1345[[#This Row],[Starting]],Table1345[[#This Row],[Starting]]+Table1345[[#This Row],[Inflows]])</f>
        <v>4.8430371654672082E-3</v>
      </c>
      <c r="AU36" s="4">
        <f t="shared" ca="1" si="39"/>
        <v>207482</v>
      </c>
      <c r="AV36" s="5">
        <f ca="1">IFERROR(AV35*(1+Table1345[[#This Row],[Return]]),100*(1+Table1345[[#This Row],[Return]]))</f>
        <v>207.48200000000011</v>
      </c>
      <c r="AW36" s="24">
        <f ca="1">IF(Table1345[[#This Row],[Day]]&lt;LeadDays,"NM",(AVERAGE(AT$14:AT36)/STDEV(AT$14:AT36)*SQRT(SharpePeriod)))</f>
        <v>1.329616176485152</v>
      </c>
      <c r="AX36" s="20">
        <f ca="1">Table1345[[#This Row],[Index Value]]-100</f>
        <v>107.48200000000011</v>
      </c>
      <c r="AY36" s="23">
        <f ca="1">IF(Table1345[[#This Row],[Day]]&lt;LeadDays,"NM",IF(Table1345[[#This Row],[Index Gains]]&lt;0,Table1345[[#This Row],[Index Value]],(Table1345[[#This Row],[Index Gains]]*Table1345[[#This Row],[30d_Sharpe]]*Sharpe_Wgt+Table1345[[#This Row],[Index Gains]]*(1-Sharpe_Wgt))+100)*Historical_Wgt+(100*(1+Table1345[[#This Row],[Return]])*Today_Wgt))</f>
        <v>162.8401033285177</v>
      </c>
      <c r="AZ36">
        <f t="shared" ca="1" si="9"/>
        <v>1</v>
      </c>
      <c r="BB36" s="6">
        <f t="shared" ca="1" si="25"/>
        <v>45620</v>
      </c>
      <c r="BC36">
        <f t="shared" ca="1" si="26"/>
        <v>23</v>
      </c>
      <c r="BD36" s="3">
        <f t="shared" si="27"/>
        <v>154000</v>
      </c>
      <c r="BE36" s="8">
        <v>-45000</v>
      </c>
      <c r="BF36" s="3">
        <v>0</v>
      </c>
      <c r="BG36" s="7">
        <f>Table13456[[#This Row],[$Return]]/AVERAGE(Table13456[[#This Row],[Starting]],Table13456[[#This Row],[Starting]]+Table13456[[#This Row],[Inflows]])</f>
        <v>-0.29220779220779219</v>
      </c>
      <c r="BH36" s="4">
        <f t="shared" si="40"/>
        <v>109000</v>
      </c>
      <c r="BI36" s="5">
        <f>IFERROR(BI35*(1+Table13456[[#This Row],[Return]]),100*(1+Table13456[[#This Row],[Return]]))</f>
        <v>108.99999999999996</v>
      </c>
      <c r="BJ36" s="24">
        <f ca="1">IF(Table13456[[#This Row],[Day]]&lt;LeadDays,"NM",(AVERAGE(BG$14:BG36)/STDEV(BG$14:BG36)*SQRT(SharpePeriod)))</f>
        <v>0.72306103374655384</v>
      </c>
      <c r="BK36" s="20">
        <f>Table13456[[#This Row],[Index Value]]-100</f>
        <v>8.9999999999999574</v>
      </c>
      <c r="BL36" s="23">
        <f ca="1">IF(Table13456[[#This Row],[Day]]&lt;LeadDays,"NM",IF(Table13456[[#This Row],[Index Gains]]&lt;0,Table13456[[#This Row],[Index Value]],(Table13456[[#This Row],[Index Gains]]*Table13456[[#This Row],[30d_Sharpe]]*Sharpe_Wgt+Table13456[[#This Row],[Index Gains]]*(1-Sharpe_Wgt))+100)*Historical_Wgt+(100*(1+Table13456[[#This Row],[Return]])*Today_Wgt))</f>
        <v>89.266497715540126</v>
      </c>
      <c r="BM36">
        <f>IF(Table13456[[#This Row],[$Return]]&gt;=0,1,-1)</f>
        <v>-1</v>
      </c>
      <c r="BO36" s="6">
        <f t="shared" ca="1" si="28"/>
        <v>45620</v>
      </c>
      <c r="BP36">
        <f t="shared" ca="1" si="29"/>
        <v>23</v>
      </c>
      <c r="BQ36" s="3">
        <v>888231.6</v>
      </c>
      <c r="BR36" s="8">
        <v>-2096.2600000000002</v>
      </c>
      <c r="BS36" s="3">
        <v>0</v>
      </c>
      <c r="BT36" s="7">
        <f>Table134568[[#This Row],[$Return]]/AVERAGE(Table134568[[#This Row],[Starting]],Table134568[[#This Row],[Starting]]+Table134568[[#This Row],[Inflows]])</f>
        <v>-2.3600376298253747E-3</v>
      </c>
      <c r="BU36" s="4">
        <f t="shared" si="37"/>
        <v>886135.34</v>
      </c>
      <c r="BV36" s="5">
        <f>IFERROR(BV35*(1+Table134568[[#This Row],[Return]]),100*(1+Table134568[[#This Row],[Return]]))</f>
        <v>102.25315225202715</v>
      </c>
      <c r="BW36" s="24">
        <f ca="1">IF(Table134568[[#This Row],[Day]]&lt;LeadDays,"NM",(AVERAGE(BT$14:BT36)/STDEV(BT$14:BT36)*SQRT(SharpePeriod)))</f>
        <v>1.3237450274646281</v>
      </c>
      <c r="BX36" s="20">
        <f>Table134568[[#This Row],[Index Value]]-100</f>
        <v>2.2531522520271494</v>
      </c>
      <c r="BY36" s="23">
        <f ca="1">IF(Table134568[[#This Row],[Day]]&lt;LeadDays,"NM",IF(Table134568[[#This Row],[Index Gains]]&lt;0,Table134568[[#This Row],[Index Value]],(Table134568[[#This Row],[Index Gains]]*Table134568[[#This Row],[30d_Sharpe]]*Sharpe_Wgt+Table134568[[#This Row],[Index Gains]]*(1-Sharpe_Wgt))+100))</f>
        <v>102.6178756708844</v>
      </c>
      <c r="BZ36">
        <f>IF(Table134568[[#This Row],[$Return]]&gt;=0,1,-1)</f>
        <v>-1</v>
      </c>
      <c r="CB36" s="6">
        <f t="shared" ca="1" si="30"/>
        <v>45620</v>
      </c>
      <c r="CC36">
        <f t="shared" ca="1" si="31"/>
        <v>23</v>
      </c>
      <c r="CD36" s="3">
        <v>7114567.6699999999</v>
      </c>
      <c r="CE36" s="8">
        <v>4435.6499999999996</v>
      </c>
      <c r="CF36" s="3">
        <v>0</v>
      </c>
      <c r="CG36" s="7">
        <f>Table1345689[[#This Row],[$Return]]/AVERAGE(Table1345689[[#This Row],[Starting]],Table1345689[[#This Row],[Starting]]+Table1345689[[#This Row],[Inflows]])</f>
        <v>6.2346023057786165E-4</v>
      </c>
      <c r="CH36" s="4">
        <f t="shared" si="38"/>
        <v>7119003.3200000003</v>
      </c>
      <c r="CI36" s="5">
        <f>IFERROR(CI35*(1+Table1345689[[#This Row],[Return]]),100*(1+Table1345689[[#This Row],[Return]]))</f>
        <v>102.92435989009138</v>
      </c>
      <c r="CJ36" s="24">
        <f ca="1">IF(Table1345689[[#This Row],[Day]]&lt;LeadDays,"NM",(AVERAGE(CG$14:CG36)/STDEV(CG$14:CG36)*SQRT(SharpePeriod)))</f>
        <v>5.2119244859860139</v>
      </c>
      <c r="CK36" s="20">
        <f>Table1345689[[#This Row],[Index Value]]-100</f>
        <v>2.924359890091381</v>
      </c>
      <c r="CL36" s="23">
        <f ca="1">IF(Table1345689[[#This Row],[Day]]&lt;LeadDays,"NM",IF(Table1345689[[#This Row],[Index Gains]]&lt;0,Table1345689[[#This Row],[Index Value]],(Table1345689[[#This Row],[Index Gains]]*Table1345689[[#This Row],[30d_Sharpe]]*Sharpe_Wgt+Table1345689[[#This Row],[Index Gains]]*(1-Sharpe_Wgt))+100))</f>
        <v>109.08295140354701</v>
      </c>
      <c r="CM36">
        <f>IF(Table1345689[[#This Row],[$Return]]&gt;=0,1,-1)</f>
        <v>1</v>
      </c>
    </row>
    <row r="37" spans="2:91" x14ac:dyDescent="0.45">
      <c r="B37" s="6">
        <f t="shared" ca="1" si="16"/>
        <v>45621</v>
      </c>
      <c r="C37">
        <f t="shared" ca="1" si="13"/>
        <v>24</v>
      </c>
      <c r="D37" s="3">
        <f t="shared" ca="1" si="17"/>
        <v>117647</v>
      </c>
      <c r="E37" s="8">
        <f ca="1">RANDBETWEEN(0,RAND()/10*Table13[[#This Row],[Starting]])*Table13[[#This Row],[Rand]]</f>
        <v>-124</v>
      </c>
      <c r="F37" s="3">
        <f t="shared" ca="1" si="0"/>
        <v>64</v>
      </c>
      <c r="G37" s="7">
        <f ca="1">Table13[[#This Row],[$Return]]/AVERAGE(Table13[[#This Row],[Starting]],Table13[[#This Row],[Starting]]+Table13[[#This Row],[Inflows]])</f>
        <v>-1.0537139166716235E-3</v>
      </c>
      <c r="H37" s="4">
        <f t="shared" ca="1" si="32"/>
        <v>117587</v>
      </c>
      <c r="I37" s="5">
        <f ca="1">I36*(1+Table13[[#This Row],[Return]])</f>
        <v>105.72004259861937</v>
      </c>
      <c r="J37" s="20">
        <f ca="1">IF(Table13[[#This Row],[Day]]&lt;LeadDays,"NM",(AVERAGE(G$14:G37)/STDEV(G$14:G37)*SQRT(SharpePeriod)))</f>
        <v>0.45402336507600588</v>
      </c>
      <c r="K37" s="20">
        <f ca="1">Table13[[#This Row],[Index Value]]-100</f>
        <v>5.7200425986193721</v>
      </c>
      <c r="L37" s="17">
        <f ca="1">IF(Table13[[#This Row],[Day]]&lt;LeadDays,"NM",IF(Table13[[#This Row],[Index Gains]]&lt;0,Table13[[#This Row],[Index Value]],(Table13[[#This Row],[Index Gains]]*Table13[[#This Row],[30d_Sharpe]]*Sharpe_Wgt+Table13[[#This Row],[Index Gains]]*(1-Sharpe_Wgt))+100)*Historical_Wgt+(100*(1+Table13[[#This Row],[Return]])*Today_Wgt))</f>
        <v>102.02658320107207</v>
      </c>
      <c r="M37">
        <f t="shared" ca="1" si="2"/>
        <v>-1</v>
      </c>
      <c r="O37" s="6">
        <f t="shared" ca="1" si="18"/>
        <v>45621</v>
      </c>
      <c r="P37">
        <f t="shared" ca="1" si="14"/>
        <v>24</v>
      </c>
      <c r="Q37" s="3">
        <f t="shared" ca="1" si="19"/>
        <v>94281</v>
      </c>
      <c r="R37" s="8">
        <f ca="1">RANDBETWEEN(0,10000)*Table137[[#This Row],[Rand]]</f>
        <v>8447</v>
      </c>
      <c r="S37" s="3">
        <f t="shared" ca="1" si="3"/>
        <v>253</v>
      </c>
      <c r="T37" s="7">
        <f ca="1">Table137[[#This Row],[$Return]]/AVERAGE(Table137[[#This Row],[Starting]],Table137[[#This Row],[Starting]]+Table137[[#This Row],[Inflows]])</f>
        <v>8.9473823583931356E-2</v>
      </c>
      <c r="U37" s="4">
        <f t="shared" ca="1" si="33"/>
        <v>102981</v>
      </c>
      <c r="V37" s="5">
        <f ca="1">IFERROR(V36*(1+Table137[[#This Row],[Return]]),100*(1+Table137[[#This Row],[Return]]))</f>
        <v>88.676982296996172</v>
      </c>
      <c r="W37" s="20">
        <f ca="1">IF(Table137[[#This Row],[Day]]&lt;LeadDays,"NM",(AVERAGE(T$14:T37)/STDEV(T$14:T37)*SQRT(SharpePeriod)))</f>
        <v>-0.14721025516871311</v>
      </c>
      <c r="X37" s="20">
        <f ca="1">Table137[[#This Row],[Index Value]]-100</f>
        <v>-11.323017703003828</v>
      </c>
      <c r="Y37" s="23">
        <f ca="1">IF(Table137[[#This Row],[Day]]&lt;LeadDays,"NM",IF(Table137[[#This Row],[Index Gains]]&lt;0,Table137[[#This Row],[Index Value]],(Table137[[#This Row],[Index Gains]]*Table137[[#This Row],[30d_Sharpe]]*Sharpe_Wgt+Table137[[#This Row],[Index Gains]]*(1-Sharpe_Wgt))+100)*Historical_Wgt+(100*(1+Table137[[#This Row],[Return]])*Today_Wgt))</f>
        <v>98.812182327694657</v>
      </c>
      <c r="Z37">
        <f t="shared" ca="1" si="5"/>
        <v>1</v>
      </c>
      <c r="AB37" s="6">
        <f t="shared" ca="1" si="20"/>
        <v>45621</v>
      </c>
      <c r="AC37">
        <f t="shared" ca="1" si="15"/>
        <v>24</v>
      </c>
      <c r="AD37" s="3">
        <f t="shared" ca="1" si="21"/>
        <v>104174</v>
      </c>
      <c r="AE37" s="8">
        <f ca="1">RANDBETWEEN(0,1000)*Table134[[#This Row],[Rand]]</f>
        <v>267</v>
      </c>
      <c r="AF37" s="3">
        <v>0</v>
      </c>
      <c r="AG37" s="7">
        <f ca="1">Table134[[#This Row],[$Return]]/AVERAGE(Table134[[#This Row],[Starting]],Table134[[#This Row],[Starting]]+Table134[[#This Row],[Inflows]])</f>
        <v>2.5630195634227348E-3</v>
      </c>
      <c r="AH37" s="4">
        <f t="shared" ca="1" si="34"/>
        <v>104441</v>
      </c>
      <c r="AI37" s="5">
        <f ca="1">IFERROR(AI36*(1+Table134[[#This Row],[Return]]),100*(1+Table134[[#This Row],[Return]]))</f>
        <v>104.44099999999996</v>
      </c>
      <c r="AJ37" s="24">
        <f ca="1">IF(Table134[[#This Row],[Day]]&lt;LeadDays,"NM",(AVERAGE(AG$14:AG37)/STDEV(AG$14:AG37)*SQRT(SharpePeriod)))</f>
        <v>1.9499810018416894</v>
      </c>
      <c r="AK37" s="20">
        <f ca="1">Table134[[#This Row],[Index Value]]-100</f>
        <v>4.4409999999999599</v>
      </c>
      <c r="AL37" s="23">
        <f ca="1">IF(Table134[[#This Row],[Day]]&lt;LeadDays,"NM",IF(Table134[[#This Row],[Index Gains]]&lt;0,Table134[[#This Row],[Index Value]],(Table134[[#This Row],[Index Gains]]*Table134[[#This Row],[30d_Sharpe]]*Sharpe_Wgt+Table134[[#This Row],[Index Gains]]*(1-Sharpe_Wgt))+100)*Historical_Wgt+(100*(1+Table134[[#This Row],[Return]])*Today_Wgt))</f>
        <v>103.40336738546584</v>
      </c>
      <c r="AM37">
        <f t="shared" ca="1" si="7"/>
        <v>1</v>
      </c>
      <c r="AO37" s="6">
        <f t="shared" ca="1" si="22"/>
        <v>45621</v>
      </c>
      <c r="AP37">
        <f t="shared" ca="1" si="23"/>
        <v>24</v>
      </c>
      <c r="AQ37" s="3">
        <f t="shared" ca="1" si="24"/>
        <v>207482</v>
      </c>
      <c r="AR37" s="8">
        <v>-1000</v>
      </c>
      <c r="AS37" s="3">
        <v>0</v>
      </c>
      <c r="AT37" s="7">
        <f ca="1">Table1345[[#This Row],[$Return]]/AVERAGE(Table1345[[#This Row],[Starting]],Table1345[[#This Row],[Starting]]+Table1345[[#This Row],[Inflows]])</f>
        <v>-4.8196952024753955E-3</v>
      </c>
      <c r="AU37" s="4">
        <f t="shared" ca="1" si="39"/>
        <v>206482</v>
      </c>
      <c r="AV37" s="5">
        <f ca="1">IFERROR(AV36*(1+Table1345[[#This Row],[Return]]),100*(1+Table1345[[#This Row],[Return]]))</f>
        <v>206.48200000000011</v>
      </c>
      <c r="AW37" s="24">
        <f ca="1">IF(Table1345[[#This Row],[Day]]&lt;LeadDays,"NM",(AVERAGE(AT$14:AT37)/STDEV(AT$14:AT37)*SQRT(SharpePeriod)))</f>
        <v>1.2951118595457896</v>
      </c>
      <c r="AX37" s="20">
        <f ca="1">Table1345[[#This Row],[Index Value]]-100</f>
        <v>106.48200000000011</v>
      </c>
      <c r="AY37" s="23">
        <f ca="1">IF(Table1345[[#This Row],[Day]]&lt;LeadDays,"NM",IF(Table1345[[#This Row],[Index Gains]]&lt;0,Table1345[[#This Row],[Index Value]],(Table1345[[#This Row],[Index Gains]]*Table1345[[#This Row],[30d_Sharpe]]*Sharpe_Wgt+Table1345[[#This Row],[Index Gains]]*(1-Sharpe_Wgt))+100)*Historical_Wgt+(100*(1+Table1345[[#This Row],[Return]])*Today_Wgt))</f>
        <v>160.856040496915</v>
      </c>
      <c r="AZ37">
        <f t="shared" ca="1" si="9"/>
        <v>-1</v>
      </c>
      <c r="BB37" s="6">
        <f t="shared" ca="1" si="25"/>
        <v>45621</v>
      </c>
      <c r="BC37">
        <f t="shared" ca="1" si="26"/>
        <v>24</v>
      </c>
      <c r="BD37" s="3">
        <f t="shared" si="27"/>
        <v>109000</v>
      </c>
      <c r="BE37" s="8">
        <v>35000</v>
      </c>
      <c r="BF37" s="3">
        <v>0</v>
      </c>
      <c r="BG37" s="7">
        <f>Table13456[[#This Row],[$Return]]/AVERAGE(Table13456[[#This Row],[Starting]],Table13456[[#This Row],[Starting]]+Table13456[[#This Row],[Inflows]])</f>
        <v>0.32110091743119268</v>
      </c>
      <c r="BH37" s="4">
        <f t="shared" si="40"/>
        <v>144000</v>
      </c>
      <c r="BI37" s="5">
        <f>IFERROR(BI36*(1+Table13456[[#This Row],[Return]]),100*(1+Table13456[[#This Row],[Return]]))</f>
        <v>143.99999999999994</v>
      </c>
      <c r="BJ37" s="24">
        <f ca="1">IF(Table13456[[#This Row],[Day]]&lt;LeadDays,"NM",(AVERAGE(BG$14:BG37)/STDEV(BG$14:BG37)*SQRT(SharpePeriod)))</f>
        <v>0.98158833965266967</v>
      </c>
      <c r="BK37" s="20">
        <f>Table13456[[#This Row],[Index Value]]-100</f>
        <v>43.999999999999943</v>
      </c>
      <c r="BL37" s="23">
        <f ca="1">IF(Table13456[[#This Row],[Day]]&lt;LeadDays,"NM",IF(Table13456[[#This Row],[Index Gains]]&lt;0,Table13456[[#This Row],[Index Value]],(Table13456[[#This Row],[Index Gains]]*Table13456[[#This Row],[30d_Sharpe]]*Sharpe_Wgt+Table13456[[#This Row],[Index Gains]]*(1-Sharpe_Wgt))+100)*Historical_Wgt+(100*(1+Table13456[[#This Row],[Return]])*Today_Wgt))</f>
        <v>137.852517607739</v>
      </c>
      <c r="BM37">
        <f>IF(Table13456[[#This Row],[$Return]]&gt;=0,1,-1)</f>
        <v>1</v>
      </c>
      <c r="BO37" s="6">
        <f t="shared" ca="1" si="28"/>
        <v>45621</v>
      </c>
      <c r="BP37">
        <f t="shared" ca="1" si="29"/>
        <v>24</v>
      </c>
      <c r="BQ37" s="3">
        <v>890659.69</v>
      </c>
      <c r="BR37" s="8">
        <v>2428.09</v>
      </c>
      <c r="BS37" s="3">
        <v>0</v>
      </c>
      <c r="BT37" s="7">
        <f>Table134568[[#This Row],[$Return]]/AVERAGE(Table134568[[#This Row],[Starting]],Table134568[[#This Row],[Starting]]+Table134568[[#This Row],[Inflows]])</f>
        <v>2.7261703064163601E-3</v>
      </c>
      <c r="BU37" s="4">
        <f t="shared" si="37"/>
        <v>893087.77999999991</v>
      </c>
      <c r="BV37" s="5">
        <f>IFERROR(BV36*(1+Table134568[[#This Row],[Return]]),100*(1+Table134568[[#This Row],[Return]]))</f>
        <v>102.5319117594341</v>
      </c>
      <c r="BW37" s="24">
        <f ca="1">IF(Table134568[[#This Row],[Day]]&lt;LeadDays,"NM",(AVERAGE(BT$14:BT37)/STDEV(BT$14:BT37)*SQRT(SharpePeriod)))</f>
        <v>1.44856326999747</v>
      </c>
      <c r="BX37" s="20">
        <f>Table134568[[#This Row],[Index Value]]-100</f>
        <v>2.5319117594340952</v>
      </c>
      <c r="BY37" s="23">
        <f ca="1">IF(Table134568[[#This Row],[Day]]&lt;LeadDays,"NM",IF(Table134568[[#This Row],[Index Gains]]&lt;0,Table134568[[#This Row],[Index Value]],(Table134568[[#This Row],[Index Gains]]*Table134568[[#This Row],[30d_Sharpe]]*Sharpe_Wgt+Table134568[[#This Row],[Index Gains]]*(1-Sharpe_Wgt))+100))</f>
        <v>103.09977306851249</v>
      </c>
      <c r="BZ37">
        <f>IF(Table134568[[#This Row],[$Return]]&gt;=0,1,-1)</f>
        <v>1</v>
      </c>
      <c r="CB37" s="6">
        <f t="shared" ca="1" si="30"/>
        <v>45621</v>
      </c>
      <c r="CC37">
        <f t="shared" ca="1" si="31"/>
        <v>24</v>
      </c>
      <c r="CD37" s="3">
        <v>7130404.3600000003</v>
      </c>
      <c r="CE37" s="8">
        <v>15836.69</v>
      </c>
      <c r="CF37" s="3">
        <v>0</v>
      </c>
      <c r="CG37" s="7">
        <f>Table1345689[[#This Row],[$Return]]/AVERAGE(Table1345689[[#This Row],[Starting]],Table1345689[[#This Row],[Starting]]+Table1345689[[#This Row],[Inflows]])</f>
        <v>2.2210086834402194E-3</v>
      </c>
      <c r="CH37" s="4">
        <f t="shared" si="38"/>
        <v>7146241.0500000007</v>
      </c>
      <c r="CI37" s="5">
        <f>IFERROR(CI36*(1+Table1345689[[#This Row],[Return]]),100*(1+Table1345689[[#This Row],[Return]]))</f>
        <v>103.1529557871448</v>
      </c>
      <c r="CJ37" s="24">
        <f ca="1">IF(Table1345689[[#This Row],[Day]]&lt;LeadDays,"NM",(AVERAGE(CG$14:CG37)/STDEV(CG$14:CG37)*SQRT(SharpePeriod)))</f>
        <v>5.4368275826396824</v>
      </c>
      <c r="CK37" s="20">
        <f>Table1345689[[#This Row],[Index Value]]-100</f>
        <v>3.1529557871448048</v>
      </c>
      <c r="CL37" s="23">
        <f ca="1">IF(Table1345689[[#This Row],[Day]]&lt;LeadDays,"NM",IF(Table1345689[[#This Row],[Index Gains]]&lt;0,Table1345689[[#This Row],[Index Value]],(Table1345689[[#This Row],[Index Gains]]*Table1345689[[#This Row],[30d_Sharpe]]*Sharpe_Wgt+Table1345689[[#This Row],[Index Gains]]*(1-Sharpe_Wgt))+100))</f>
        <v>110.14751638876855</v>
      </c>
      <c r="CM37">
        <f>IF(Table1345689[[#This Row],[$Return]]&gt;=0,1,-1)</f>
        <v>1</v>
      </c>
    </row>
    <row r="38" spans="2:91" x14ac:dyDescent="0.45">
      <c r="B38" s="6">
        <f t="shared" ca="1" si="16"/>
        <v>45622</v>
      </c>
      <c r="C38">
        <f t="shared" ca="1" si="13"/>
        <v>25</v>
      </c>
      <c r="D38" s="3">
        <f t="shared" ca="1" si="17"/>
        <v>117587</v>
      </c>
      <c r="E38" s="8">
        <f ca="1">RANDBETWEEN(0,RAND()/10*Table13[[#This Row],[Starting]])*Table13[[#This Row],[Rand]]</f>
        <v>-250</v>
      </c>
      <c r="F38" s="3">
        <f t="shared" ca="1" si="0"/>
        <v>969</v>
      </c>
      <c r="G38" s="7">
        <f ca="1">Table13[[#This Row],[$Return]]/AVERAGE(Table13[[#This Row],[Starting]],Table13[[#This Row],[Starting]]+Table13[[#This Row],[Inflows]])</f>
        <v>-2.1173610905256559E-3</v>
      </c>
      <c r="H38" s="4">
        <f t="shared" ca="1" si="32"/>
        <v>118306</v>
      </c>
      <c r="I38" s="5">
        <f ca="1">I37*(1+Table13[[#This Row],[Return]])</f>
        <v>105.49619509393234</v>
      </c>
      <c r="J38" s="20">
        <f ca="1">IF(Table13[[#This Row],[Day]]&lt;LeadDays,"NM",(AVERAGE(G$14:G38)/STDEV(G$14:G38)*SQRT(SharpePeriod)))</f>
        <v>0.43169034266010059</v>
      </c>
      <c r="K38" s="20">
        <f ca="1">Table13[[#This Row],[Index Value]]-100</f>
        <v>5.496195093932343</v>
      </c>
      <c r="L38" s="17">
        <f ca="1">IF(Table13[[#This Row],[Day]]&lt;LeadDays,"NM",IF(Table13[[#This Row],[Index Gains]]&lt;0,Table13[[#This Row],[Index Value]],(Table13[[#This Row],[Index Gains]]*Table13[[#This Row],[30d_Sharpe]]*Sharpe_Wgt+Table13[[#This Row],[Index Gains]]*(1-Sharpe_Wgt))+100)*Historical_Wgt+(100*(1+Table13[[#This Row],[Return]])*Today_Wgt))</f>
        <v>101.8613443048134</v>
      </c>
      <c r="M38">
        <f t="shared" ca="1" si="2"/>
        <v>-1</v>
      </c>
      <c r="O38" s="6">
        <f t="shared" ca="1" si="18"/>
        <v>45622</v>
      </c>
      <c r="P38">
        <f t="shared" ca="1" si="14"/>
        <v>25</v>
      </c>
      <c r="Q38" s="3">
        <f t="shared" ca="1" si="19"/>
        <v>102981</v>
      </c>
      <c r="R38" s="8">
        <f ca="1">RANDBETWEEN(0,10000)*Table137[[#This Row],[Rand]]</f>
        <v>9173</v>
      </c>
      <c r="S38" s="3">
        <f t="shared" ca="1" si="3"/>
        <v>555</v>
      </c>
      <c r="T38" s="7">
        <f ca="1">Table137[[#This Row],[$Return]]/AVERAGE(Table137[[#This Row],[Starting]],Table137[[#This Row],[Starting]]+Table137[[#This Row],[Inflows]])</f>
        <v>8.8835301694291505E-2</v>
      </c>
      <c r="U38" s="4">
        <f t="shared" ca="1" si="33"/>
        <v>112709</v>
      </c>
      <c r="V38" s="5">
        <f ca="1">IFERROR(V37*(1+Table137[[#This Row],[Return]]),100*(1+Table137[[#This Row],[Return]]))</f>
        <v>96.554628772689185</v>
      </c>
      <c r="W38" s="20">
        <f ca="1">IF(Table137[[#This Row],[Day]]&lt;LeadDays,"NM",(AVERAGE(T$14:T38)/STDEV(T$14:T38)*SQRT(SharpePeriod)))</f>
        <v>0.10774964755426525</v>
      </c>
      <c r="X38" s="20">
        <f ca="1">Table137[[#This Row],[Index Value]]-100</f>
        <v>-3.4453712273108152</v>
      </c>
      <c r="Y38" s="23">
        <f ca="1">IF(Table137[[#This Row],[Day]]&lt;LeadDays,"NM",IF(Table137[[#This Row],[Index Gains]]&lt;0,Table137[[#This Row],[Index Value]],(Table137[[#This Row],[Index Gains]]*Table137[[#This Row],[30d_Sharpe]]*Sharpe_Wgt+Table137[[#This Row],[Index Gains]]*(1-Sharpe_Wgt))+100)*Historical_Wgt+(100*(1+Table137[[#This Row],[Return]])*Today_Wgt))</f>
        <v>102.71907947105916</v>
      </c>
      <c r="Z38">
        <f t="shared" ca="1" si="5"/>
        <v>1</v>
      </c>
      <c r="AB38" s="6">
        <f t="shared" ref="AB38:AB43" ca="1" si="41">AB37+1</f>
        <v>45622</v>
      </c>
      <c r="AC38">
        <f t="shared" ca="1" si="15"/>
        <v>25</v>
      </c>
      <c r="AD38" s="3">
        <f t="shared" ref="AD38:AD43" ca="1" si="42">AH37</f>
        <v>104441</v>
      </c>
      <c r="AE38" s="8">
        <f ca="1">RANDBETWEEN(0,1000)*Table134[[#This Row],[Rand]]</f>
        <v>427</v>
      </c>
      <c r="AF38" s="3">
        <v>0</v>
      </c>
      <c r="AG38" s="7">
        <f ca="1">Table134[[#This Row],[$Return]]/AVERAGE(Table134[[#This Row],[Starting]],Table134[[#This Row],[Starting]]+Table134[[#This Row],[Inflows]])</f>
        <v>4.0884327036317157E-3</v>
      </c>
      <c r="AH38" s="4">
        <f t="shared" ref="AH38:AH43" ca="1" si="43">AD38+AE38+AF38</f>
        <v>104868</v>
      </c>
      <c r="AI38" s="5">
        <f ca="1">IFERROR(AI37*(1+Table134[[#This Row],[Return]]),100*(1+Table134[[#This Row],[Return]]))</f>
        <v>104.86799999999995</v>
      </c>
      <c r="AJ38" s="24">
        <f ca="1">IF(Table134[[#This Row],[Day]]&lt;LeadDays,"NM",(AVERAGE(AG$14:AG38)/STDEV(AG$14:AG38)*SQRT(SharpePeriod)))</f>
        <v>2.0823049787478691</v>
      </c>
      <c r="AK38" s="20">
        <f ca="1">Table134[[#This Row],[Index Value]]-100</f>
        <v>4.8679999999999524</v>
      </c>
      <c r="AL38" s="23">
        <f ca="1">IF(Table134[[#This Row],[Day]]&lt;LeadDays,"NM",IF(Table134[[#This Row],[Index Gains]]&lt;0,Table134[[#This Row],[Index Value]],(Table134[[#This Row],[Index Gains]]*Table134[[#This Row],[30d_Sharpe]]*Sharpe_Wgt+Table134[[#This Row],[Index Gains]]*(1-Sharpe_Wgt))+100)*Historical_Wgt+(100*(1+Table134[[#This Row],[Return]])*Today_Wgt))</f>
        <v>103.9555867943177</v>
      </c>
      <c r="AM38">
        <f t="shared" ca="1" si="7"/>
        <v>1</v>
      </c>
      <c r="AO38" s="6">
        <f t="shared" ca="1" si="22"/>
        <v>45622</v>
      </c>
      <c r="AP38">
        <f t="shared" ca="1" si="23"/>
        <v>25</v>
      </c>
      <c r="AQ38" s="3">
        <f t="shared" ca="1" si="24"/>
        <v>206482</v>
      </c>
      <c r="AR38" s="8">
        <v>1000</v>
      </c>
      <c r="AS38" s="3">
        <v>0</v>
      </c>
      <c r="AT38" s="7">
        <f ca="1">Table1345[[#This Row],[$Return]]/AVERAGE(Table1345[[#This Row],[Starting]],Table1345[[#This Row],[Starting]]+Table1345[[#This Row],[Inflows]])</f>
        <v>4.8430371654672082E-3</v>
      </c>
      <c r="AU38" s="4">
        <f t="shared" ca="1" si="39"/>
        <v>207482</v>
      </c>
      <c r="AV38" s="5">
        <f ca="1">IFERROR(AV37*(1+Table1345[[#This Row],[Return]]),100*(1+Table1345[[#This Row],[Return]]))</f>
        <v>207.48200000000014</v>
      </c>
      <c r="AW38" s="24">
        <f ca="1">IF(Table1345[[#This Row],[Day]]&lt;LeadDays,"NM",(AVERAGE(AT$14:AT38)/STDEV(AT$14:AT38)*SQRT(SharpePeriod)))</f>
        <v>1.2744965494163043</v>
      </c>
      <c r="AX38" s="20">
        <f ca="1">Table1345[[#This Row],[Index Value]]-100</f>
        <v>107.48200000000014</v>
      </c>
      <c r="AY38" s="23">
        <f ca="1">IF(Table1345[[#This Row],[Day]]&lt;LeadDays,"NM",IF(Table1345[[#This Row],[Index Gains]]&lt;0,Table1345[[#This Row],[Index Value]],(Table1345[[#This Row],[Index Gains]]*Table1345[[#This Row],[30d_Sharpe]]*Sharpe_Wgt+Table1345[[#This Row],[Index Gains]]*(1-Sharpe_Wgt))+100)*Historical_Wgt+(100*(1+Table1345[[#This Row],[Return]])*Today_Wgt))</f>
        <v>161.35901138936424</v>
      </c>
      <c r="AZ38">
        <f t="shared" ca="1" si="9"/>
        <v>1</v>
      </c>
      <c r="BB38" s="6">
        <f t="shared" ca="1" si="25"/>
        <v>45622</v>
      </c>
      <c r="BC38">
        <f t="shared" ca="1" si="26"/>
        <v>25</v>
      </c>
      <c r="BD38" s="3">
        <f t="shared" si="27"/>
        <v>144000</v>
      </c>
      <c r="BE38" s="8">
        <v>-52000</v>
      </c>
      <c r="BF38" s="3">
        <v>0</v>
      </c>
      <c r="BG38" s="7">
        <f>Table13456[[#This Row],[$Return]]/AVERAGE(Table13456[[#This Row],[Starting]],Table13456[[#This Row],[Starting]]+Table13456[[#This Row],[Inflows]])</f>
        <v>-0.3611111111111111</v>
      </c>
      <c r="BH38" s="4">
        <f t="shared" si="40"/>
        <v>92000</v>
      </c>
      <c r="BI38" s="5">
        <f>IFERROR(BI37*(1+Table13456[[#This Row],[Return]]),100*(1+Table13456[[#This Row],[Return]]))</f>
        <v>91.999999999999957</v>
      </c>
      <c r="BJ38" s="24">
        <f ca="1">IF(Table13456[[#This Row],[Day]]&lt;LeadDays,"NM",(AVERAGE(BG$14:BG38)/STDEV(BG$14:BG38)*SQRT(SharpePeriod)))</f>
        <v>0.60700211096047374</v>
      </c>
      <c r="BK38" s="20">
        <f>Table13456[[#This Row],[Index Value]]-100</f>
        <v>-8.0000000000000426</v>
      </c>
      <c r="BL38" s="23">
        <f ca="1">IF(Table13456[[#This Row],[Day]]&lt;LeadDays,"NM",IF(Table13456[[#This Row],[Index Gains]]&lt;0,Table13456[[#This Row],[Index Value]],(Table13456[[#This Row],[Index Gains]]*Table13456[[#This Row],[30d_Sharpe]]*Sharpe_Wgt+Table13456[[#This Row],[Index Gains]]*(1-Sharpe_Wgt))+100)*Historical_Wgt+(100*(1+Table13456[[#This Row],[Return]])*Today_Wgt))</f>
        <v>77.944444444444429</v>
      </c>
      <c r="BM38">
        <f>IF(Table13456[[#This Row],[$Return]]&gt;=0,1,-1)</f>
        <v>-1</v>
      </c>
      <c r="BO38" s="6">
        <f t="shared" ca="1" si="28"/>
        <v>45622</v>
      </c>
      <c r="BP38">
        <f t="shared" ca="1" si="29"/>
        <v>25</v>
      </c>
      <c r="BQ38" s="3">
        <v>890682.71</v>
      </c>
      <c r="BR38" s="8">
        <v>23.03</v>
      </c>
      <c r="BS38" s="3">
        <v>0</v>
      </c>
      <c r="BT38" s="7">
        <f>Table134568[[#This Row],[$Return]]/AVERAGE(Table134568[[#This Row],[Starting]],Table134568[[#This Row],[Starting]]+Table134568[[#This Row],[Inflows]])</f>
        <v>2.5856570180867217E-5</v>
      </c>
      <c r="BU38" s="4">
        <f t="shared" si="37"/>
        <v>890705.74</v>
      </c>
      <c r="BV38" s="5">
        <f>IFERROR(BV37*(1+Table134568[[#This Row],[Return]]),100*(1+Table134568[[#This Row],[Return]]))</f>
        <v>102.53456288300629</v>
      </c>
      <c r="BW38" s="24">
        <f ca="1">IF(Table134568[[#This Row],[Day]]&lt;LeadDays,"NM",(AVERAGE(BT$14:BT38)/STDEV(BT$14:BT38)*SQRT(SharpePeriod)))</f>
        <v>1.4200170269209551</v>
      </c>
      <c r="BX38" s="20">
        <f>Table134568[[#This Row],[Index Value]]-100</f>
        <v>2.5345628830062878</v>
      </c>
      <c r="BY38" s="23">
        <f ca="1">IF(Table134568[[#This Row],[Day]]&lt;LeadDays,"NM",IF(Table134568[[#This Row],[Index Gains]]&lt;0,Table134568[[#This Row],[Index Value]],(Table134568[[#This Row],[Index Gains]]*Table134568[[#This Row],[30d_Sharpe]]*Sharpe_Wgt+Table134568[[#This Row],[Index Gains]]*(1-Sharpe_Wgt))+100))</f>
        <v>103.06684266633854</v>
      </c>
      <c r="BZ38">
        <f>IF(Table134568[[#This Row],[$Return]]&gt;=0,1,-1)</f>
        <v>1</v>
      </c>
      <c r="CB38" s="6">
        <f t="shared" ca="1" si="30"/>
        <v>45622</v>
      </c>
      <c r="CC38">
        <f t="shared" ca="1" si="31"/>
        <v>25</v>
      </c>
      <c r="CD38" s="3">
        <v>7131183.96</v>
      </c>
      <c r="CE38" s="8">
        <v>779.6</v>
      </c>
      <c r="CF38" s="3">
        <v>0</v>
      </c>
      <c r="CG38" s="7">
        <f>Table1345689[[#This Row],[$Return]]/AVERAGE(Table1345689[[#This Row],[Starting]],Table1345689[[#This Row],[Starting]]+Table1345689[[#This Row],[Inflows]])</f>
        <v>1.0932266007620984E-4</v>
      </c>
      <c r="CH38" s="4">
        <f t="shared" si="38"/>
        <v>7131963.5599999996</v>
      </c>
      <c r="CI38" s="5">
        <f>IFERROR(CI37*(1+Table1345689[[#This Row],[Return]]),100*(1+Table1345689[[#This Row],[Return]]))</f>
        <v>103.16423274266617</v>
      </c>
      <c r="CJ38" s="24">
        <f ca="1">IF(Table1345689[[#This Row],[Day]]&lt;LeadDays,"NM",(AVERAGE(CG$14:CG38)/STDEV(CG$14:CG38)*SQRT(SharpePeriod)))</f>
        <v>5.2604533183297608</v>
      </c>
      <c r="CK38" s="20">
        <f>Table1345689[[#This Row],[Index Value]]-100</f>
        <v>3.1642327426661723</v>
      </c>
      <c r="CL38" s="23">
        <f ca="1">IF(Table1345689[[#This Row],[Day]]&lt;LeadDays,"NM",IF(Table1345689[[#This Row],[Index Gains]]&lt;0,Table1345689[[#This Row],[Index Value]],(Table1345689[[#This Row],[Index Gains]]*Table1345689[[#This Row],[30d_Sharpe]]*Sharpe_Wgt+Table1345689[[#This Row],[Index Gains]]*(1-Sharpe_Wgt))+100))</f>
        <v>109.90476568689606</v>
      </c>
      <c r="CM38">
        <f>IF(Table1345689[[#This Row],[$Return]]&gt;=0,1,-1)</f>
        <v>1</v>
      </c>
    </row>
    <row r="39" spans="2:91" x14ac:dyDescent="0.45">
      <c r="B39" s="6">
        <f t="shared" ref="B39:B43" ca="1" si="44">B38+1</f>
        <v>45623</v>
      </c>
      <c r="C39">
        <f t="shared" ca="1" si="13"/>
        <v>26</v>
      </c>
      <c r="D39" s="3">
        <f t="shared" ref="D39:D43" ca="1" si="45">H38</f>
        <v>118306</v>
      </c>
      <c r="E39" s="8">
        <f ca="1">RANDBETWEEN(0,RAND()/10*Table13[[#This Row],[Starting]])*Table13[[#This Row],[Rand]]</f>
        <v>-1206</v>
      </c>
      <c r="F39" s="3">
        <f t="shared" ca="1" si="0"/>
        <v>406</v>
      </c>
      <c r="G39" s="7">
        <f ca="1">Table13[[#This Row],[$Return]]/AVERAGE(Table13[[#This Row],[Starting]],Table13[[#This Row],[Starting]]+Table13[[#This Row],[Inflows]])</f>
        <v>-1.017644229552186E-2</v>
      </c>
      <c r="H39" s="4">
        <f t="shared" ref="H39:H43" ca="1" si="46">D39+E39+F39</f>
        <v>117506</v>
      </c>
      <c r="I39" s="5">
        <f ca="1">I38*(1+Table13[[#This Row],[Return]])</f>
        <v>104.42261915216183</v>
      </c>
      <c r="J39" s="20">
        <f ca="1">IF(Table13[[#This Row],[Day]]&lt;LeadDays,"NM",(AVERAGE(G$14:G39)/STDEV(G$14:G39)*SQRT(SharpePeriod)))</f>
        <v>0.35964807374862745</v>
      </c>
      <c r="K39" s="20">
        <f ca="1">Table13[[#This Row],[Index Value]]-100</f>
        <v>4.422619152161829</v>
      </c>
      <c r="L39" s="17">
        <f ca="1">IF(Table13[[#This Row],[Day]]&lt;LeadDays,"NM",IF(Table13[[#This Row],[Index Gains]]&lt;0,Table13[[#This Row],[Index Value]],(Table13[[#This Row],[Index Gains]]*Table13[[#This Row],[30d_Sharpe]]*Sharpe_Wgt+Table13[[#This Row],[Index Gains]]*(1-Sharpe_Wgt))+100)*Historical_Wgt+(100*(1+Table13[[#This Row],[Return]])*Today_Wgt))</f>
        <v>100.99447928801406</v>
      </c>
      <c r="M39">
        <f t="shared" ca="1" si="2"/>
        <v>-1</v>
      </c>
      <c r="O39" s="6">
        <f t="shared" ca="1" si="18"/>
        <v>45623</v>
      </c>
      <c r="P39">
        <f t="shared" ca="1" si="14"/>
        <v>26</v>
      </c>
      <c r="Q39" s="3">
        <f t="shared" ca="1" si="19"/>
        <v>112709</v>
      </c>
      <c r="R39" s="8">
        <f ca="1">RANDBETWEEN(0,10000)*Table137[[#This Row],[Rand]]</f>
        <v>-6922</v>
      </c>
      <c r="S39" s="3">
        <f t="shared" ca="1" si="3"/>
        <v>501</v>
      </c>
      <c r="T39" s="7">
        <f ca="1">Table137[[#This Row],[$Return]]/AVERAGE(Table137[[#This Row],[Starting]],Table137[[#This Row],[Starting]]+Table137[[#This Row],[Inflows]])</f>
        <v>-6.1278599852159402E-2</v>
      </c>
      <c r="U39" s="4">
        <f t="shared" ca="1" si="33"/>
        <v>106288</v>
      </c>
      <c r="V39" s="5">
        <f ca="1">IFERROR(V38*(1+Table137[[#This Row],[Return]]),100*(1+Table137[[#This Row],[Return]]))</f>
        <v>90.637896312253758</v>
      </c>
      <c r="W39" s="20">
        <f ca="1">IF(Table137[[#This Row],[Day]]&lt;LeadDays,"NM",(AVERAGE(T$14:T39)/STDEV(T$14:T39)*SQRT(SharpePeriod)))</f>
        <v>-6.1474731449657392E-2</v>
      </c>
      <c r="X39" s="20">
        <f ca="1">Table137[[#This Row],[Index Value]]-100</f>
        <v>-9.3621036877462416</v>
      </c>
      <c r="Y39" s="23">
        <f ca="1">IF(Table137[[#This Row],[Day]]&lt;LeadDays,"NM",IF(Table137[[#This Row],[Index Gains]]&lt;0,Table137[[#This Row],[Index Value]],(Table137[[#This Row],[Index Gains]]*Table137[[#This Row],[30d_Sharpe]]*Sharpe_Wgt+Table137[[#This Row],[Index Gains]]*(1-Sharpe_Wgt))+100)*Historical_Wgt+(100*(1+Table137[[#This Row],[Return]])*Today_Wgt))</f>
        <v>92.255018163518912</v>
      </c>
      <c r="Z39">
        <f t="shared" ca="1" si="5"/>
        <v>-1</v>
      </c>
      <c r="AB39" s="6">
        <f t="shared" ca="1" si="41"/>
        <v>45623</v>
      </c>
      <c r="AC39">
        <f t="shared" ca="1" si="15"/>
        <v>26</v>
      </c>
      <c r="AD39" s="3">
        <f t="shared" ca="1" si="42"/>
        <v>104868</v>
      </c>
      <c r="AE39" s="8">
        <f ca="1">RANDBETWEEN(0,1000)*Table134[[#This Row],[Rand]]</f>
        <v>27</v>
      </c>
      <c r="AF39" s="3">
        <v>0</v>
      </c>
      <c r="AG39" s="7">
        <f ca="1">Table134[[#This Row],[$Return]]/AVERAGE(Table134[[#This Row],[Starting]],Table134[[#This Row],[Starting]]+Table134[[#This Row],[Inflows]])</f>
        <v>2.5746652935118434E-4</v>
      </c>
      <c r="AH39" s="4">
        <f t="shared" ca="1" si="43"/>
        <v>104895</v>
      </c>
      <c r="AI39" s="5">
        <f ca="1">IFERROR(AI38*(1+Table134[[#This Row],[Return]]),100*(1+Table134[[#This Row],[Return]]))</f>
        <v>104.89499999999994</v>
      </c>
      <c r="AJ39" s="24">
        <f ca="1">IF(Table134[[#This Row],[Day]]&lt;LeadDays,"NM",(AVERAGE(AG$14:AG39)/STDEV(AG$14:AG39)*SQRT(SharpePeriod)))</f>
        <v>2.0500494146080297</v>
      </c>
      <c r="AK39" s="20">
        <f ca="1">Table134[[#This Row],[Index Value]]-100</f>
        <v>4.8949999999999392</v>
      </c>
      <c r="AL39" s="23">
        <f ca="1">IF(Table134[[#This Row],[Day]]&lt;LeadDays,"NM",IF(Table134[[#This Row],[Index Gains]]&lt;0,Table134[[#This Row],[Index Value]],(Table134[[#This Row],[Index Gains]]*Table134[[#This Row],[30d_Sharpe]]*Sharpe_Wgt+Table134[[#This Row],[Index Gains]]*(1-Sharpe_Wgt))+100)*Historical_Wgt+(100*(1+Table134[[#This Row],[Return]])*Today_Wgt))</f>
        <v>103.74537129759409</v>
      </c>
      <c r="AM39">
        <f t="shared" ca="1" si="7"/>
        <v>1</v>
      </c>
      <c r="AO39" s="6">
        <f t="shared" ca="1" si="22"/>
        <v>45623</v>
      </c>
      <c r="AP39">
        <f t="shared" ca="1" si="23"/>
        <v>26</v>
      </c>
      <c r="AQ39" s="3">
        <f t="shared" ca="1" si="24"/>
        <v>207482</v>
      </c>
      <c r="AR39" s="8">
        <v>-1000</v>
      </c>
      <c r="AS39" s="3">
        <v>0</v>
      </c>
      <c r="AT39" s="7">
        <f ca="1">Table1345[[#This Row],[$Return]]/AVERAGE(Table1345[[#This Row],[Starting]],Table1345[[#This Row],[Starting]]+Table1345[[#This Row],[Inflows]])</f>
        <v>-4.8196952024753955E-3</v>
      </c>
      <c r="AU39" s="4">
        <f t="shared" ca="1" si="39"/>
        <v>206482</v>
      </c>
      <c r="AV39" s="5">
        <f ca="1">IFERROR(AV38*(1+Table1345[[#This Row],[Return]]),100*(1+Table1345[[#This Row],[Return]]))</f>
        <v>206.48200000000014</v>
      </c>
      <c r="AW39" s="24">
        <f ca="1">IF(Table1345[[#This Row],[Day]]&lt;LeadDays,"NM",(AVERAGE(AT$14:AT39)/STDEV(AT$14:AT39)*SQRT(SharpePeriod)))</f>
        <v>1.2435889448397959</v>
      </c>
      <c r="AX39" s="20">
        <f ca="1">Table1345[[#This Row],[Index Value]]-100</f>
        <v>106.48200000000014</v>
      </c>
      <c r="AY39" s="23">
        <f ca="1">IF(Table1345[[#This Row],[Day]]&lt;LeadDays,"NM",IF(Table1345[[#This Row],[Index Gains]]&lt;0,Table1345[[#This Row],[Index Value]],(Table1345[[#This Row],[Index Gains]]*Table1345[[#This Row],[30d_Sharpe]]*Sharpe_Wgt+Table1345[[#This Row],[Index Gains]]*(1-Sharpe_Wgt))+100)*Historical_Wgt+(100*(1+Table1345[[#This Row],[Return]])*Today_Wgt))</f>
        <v>159.4844747459841</v>
      </c>
      <c r="AZ39">
        <f t="shared" ca="1" si="9"/>
        <v>1</v>
      </c>
      <c r="BB39" s="6">
        <f t="shared" ca="1" si="25"/>
        <v>45623</v>
      </c>
      <c r="BC39">
        <f t="shared" ca="1" si="26"/>
        <v>26</v>
      </c>
      <c r="BD39" s="3">
        <f t="shared" si="27"/>
        <v>92000</v>
      </c>
      <c r="BE39" s="8">
        <v>65000</v>
      </c>
      <c r="BF39" s="3">
        <v>0</v>
      </c>
      <c r="BG39" s="7">
        <f>Table13456[[#This Row],[$Return]]/AVERAGE(Table13456[[#This Row],[Starting]],Table13456[[#This Row],[Starting]]+Table13456[[#This Row],[Inflows]])</f>
        <v>0.70652173913043481</v>
      </c>
      <c r="BH39" s="4">
        <f t="shared" si="40"/>
        <v>157000</v>
      </c>
      <c r="BI39" s="5">
        <f>IFERROR(BI38*(1+Table13456[[#This Row],[Return]]),100*(1+Table13456[[#This Row],[Return]]))</f>
        <v>156.99999999999994</v>
      </c>
      <c r="BJ39" s="24">
        <f ca="1">IF(Table13456[[#This Row],[Day]]&lt;LeadDays,"NM",(AVERAGE(BG$14:BG39)/STDEV(BG$14:BG39)*SQRT(SharpePeriod)))</f>
        <v>1.0483517359983867</v>
      </c>
      <c r="BK39" s="20">
        <f>Table13456[[#This Row],[Index Value]]-100</f>
        <v>56.999999999999943</v>
      </c>
      <c r="BL39" s="23">
        <f ca="1">IF(Table13456[[#This Row],[Day]]&lt;LeadDays,"NM",IF(Table13456[[#This Row],[Index Gains]]&lt;0,Table13456[[#This Row],[Index Value]],(Table13456[[#This Row],[Index Gains]]*Table13456[[#This Row],[30d_Sharpe]]*Sharpe_Wgt+Table13456[[#This Row],[Index Gains]]*(1-Sharpe_Wgt))+100)*Historical_Wgt+(100*(1+Table13456[[#This Row],[Return]])*Today_Wgt))</f>
        <v>164.5150991944987</v>
      </c>
      <c r="BM39">
        <f>IF(Table13456[[#This Row],[$Return]]&gt;=0,1,-1)</f>
        <v>1</v>
      </c>
      <c r="BO39" s="6">
        <f t="shared" ca="1" si="28"/>
        <v>45623</v>
      </c>
      <c r="BP39">
        <f t="shared" ca="1" si="29"/>
        <v>26</v>
      </c>
      <c r="BQ39" s="3">
        <v>890200.99</v>
      </c>
      <c r="BR39" s="8">
        <v>-481.73</v>
      </c>
      <c r="BS39" s="3">
        <v>0</v>
      </c>
      <c r="BT39" s="7">
        <f>Table134568[[#This Row],[$Return]]/AVERAGE(Table134568[[#This Row],[Starting]],Table134568[[#This Row],[Starting]]+Table134568[[#This Row],[Inflows]])</f>
        <v>-5.4114745480119048E-4</v>
      </c>
      <c r="BU39" s="4">
        <f t="shared" si="37"/>
        <v>889719.26</v>
      </c>
      <c r="BV39" s="5">
        <f>IFERROR(BV38*(1+Table134568[[#This Row],[Return]]),100*(1+Table134568[[#This Row],[Return]]))</f>
        <v>102.479076565273</v>
      </c>
      <c r="BW39" s="24">
        <f ca="1">IF(Table134568[[#This Row],[Day]]&lt;LeadDays,"NM",(AVERAGE(BT$14:BT39)/STDEV(BT$14:BT39)*SQRT(SharpePeriod)))</f>
        <v>1.3593462332785446</v>
      </c>
      <c r="BX39" s="20">
        <f>Table134568[[#This Row],[Index Value]]-100</f>
        <v>2.4790765652730045</v>
      </c>
      <c r="BY39" s="23">
        <f ca="1">IF(Table134568[[#This Row],[Day]]&lt;LeadDays,"NM",IF(Table134568[[#This Row],[Index Gains]]&lt;0,Table134568[[#This Row],[Index Value]],(Table134568[[#This Row],[Index Gains]]*Table134568[[#This Row],[30d_Sharpe]]*Sharpe_Wgt+Table134568[[#This Row],[Index Gains]]*(1-Sharpe_Wgt))+100))</f>
        <v>102.92449997814299</v>
      </c>
      <c r="BZ39">
        <f>IF(Table134568[[#This Row],[$Return]]&gt;=0,1,-1)</f>
        <v>-1</v>
      </c>
      <c r="CB39" s="6">
        <f t="shared" ca="1" si="30"/>
        <v>45623</v>
      </c>
      <c r="CC39">
        <f t="shared" ca="1" si="31"/>
        <v>26</v>
      </c>
      <c r="CD39" s="3">
        <v>7160323.9100000001</v>
      </c>
      <c r="CE39" s="8">
        <v>29139.96</v>
      </c>
      <c r="CF39" s="3">
        <v>0</v>
      </c>
      <c r="CG39" s="7">
        <f>Table1345689[[#This Row],[$Return]]/AVERAGE(Table1345689[[#This Row],[Starting]],Table1345689[[#This Row],[Starting]]+Table1345689[[#This Row],[Inflows]])</f>
        <v>4.0696427097807082E-3</v>
      </c>
      <c r="CH39" s="4">
        <f t="shared" si="38"/>
        <v>7189463.8700000001</v>
      </c>
      <c r="CI39" s="5">
        <f>IFERROR(CI38*(1+Table1345689[[#This Row],[Return]]),100*(1+Table1345689[[#This Row],[Return]]))</f>
        <v>103.58407431035748</v>
      </c>
      <c r="CJ39" s="24">
        <f ca="1">IF(Table1345689[[#This Row],[Day]]&lt;LeadDays,"NM",(AVERAGE(CG$14:CG39)/STDEV(CG$14:CG39)*SQRT(SharpePeriod)))</f>
        <v>5.3519615178643463</v>
      </c>
      <c r="CK39" s="20">
        <f>Table1345689[[#This Row],[Index Value]]-100</f>
        <v>3.5840743103574795</v>
      </c>
      <c r="CL39" s="23">
        <f ca="1">IF(Table1345689[[#This Row],[Day]]&lt;LeadDays,"NM",IF(Table1345689[[#This Row],[Index Gains]]&lt;0,Table1345689[[#This Row],[Index Value]],(Table1345689[[#This Row],[Index Gains]]*Table1345689[[#This Row],[30d_Sharpe]]*Sharpe_Wgt+Table1345689[[#This Row],[Index Gains]]*(1-Sharpe_Wgt))+100))</f>
        <v>111.38295104827846</v>
      </c>
      <c r="CM39">
        <f>IF(Table1345689[[#This Row],[$Return]]&gt;=0,1,-1)</f>
        <v>1</v>
      </c>
    </row>
    <row r="40" spans="2:91" x14ac:dyDescent="0.45">
      <c r="B40" s="6">
        <f t="shared" ca="1" si="44"/>
        <v>45624</v>
      </c>
      <c r="C40">
        <f t="shared" ca="1" si="13"/>
        <v>27</v>
      </c>
      <c r="D40" s="3">
        <f t="shared" ca="1" si="45"/>
        <v>117506</v>
      </c>
      <c r="E40" s="8">
        <f ca="1">RANDBETWEEN(0,RAND()/10*Table13[[#This Row],[Starting]])*Table13[[#This Row],[Rand]]</f>
        <v>2542</v>
      </c>
      <c r="F40" s="3">
        <f t="shared" ca="1" si="0"/>
        <v>58</v>
      </c>
      <c r="G40" s="7">
        <f ca="1">Table13[[#This Row],[$Return]]/AVERAGE(Table13[[#This Row],[Starting]],Table13[[#This Row],[Starting]]+Table13[[#This Row],[Inflows]])</f>
        <v>2.1627600289275534E-2</v>
      </c>
      <c r="H40" s="4">
        <f t="shared" ca="1" si="46"/>
        <v>120106</v>
      </c>
      <c r="I40" s="5">
        <f ca="1">I39*(1+Table13[[#This Row],[Return]])</f>
        <v>106.68102982034402</v>
      </c>
      <c r="J40" s="20">
        <f ca="1">IF(Table13[[#This Row],[Day]]&lt;LeadDays,"NM",(AVERAGE(G$14:G40)/STDEV(G$14:G40)*SQRT(SharpePeriod)))</f>
        <v>0.48133317048019075</v>
      </c>
      <c r="K40" s="20">
        <f ca="1">Table13[[#This Row],[Index Value]]-100</f>
        <v>6.6810298203440226</v>
      </c>
      <c r="L40" s="17">
        <f ca="1">IF(Table13[[#This Row],[Day]]&lt;LeadDays,"NM",IF(Table13[[#This Row],[Index Gains]]&lt;0,Table13[[#This Row],[Index Value]],(Table13[[#This Row],[Index Gains]]*Table13[[#This Row],[30d_Sharpe]]*Sharpe_Wgt+Table13[[#This Row],[Index Gains]]*(1-Sharpe_Wgt))+100)*Historical_Wgt+(100*(1+Table13[[#This Row],[Return]])*Today_Wgt))</f>
        <v>103.5555877859245</v>
      </c>
      <c r="M40">
        <f t="shared" ca="1" si="2"/>
        <v>1</v>
      </c>
      <c r="O40" s="6">
        <f t="shared" ca="1" si="18"/>
        <v>45624</v>
      </c>
      <c r="P40">
        <f t="shared" ca="1" si="14"/>
        <v>27</v>
      </c>
      <c r="Q40" s="3">
        <f t="shared" ca="1" si="19"/>
        <v>106288</v>
      </c>
      <c r="R40" s="8">
        <f ca="1">RANDBETWEEN(0,10000)*Table137[[#This Row],[Rand]]</f>
        <v>-3842</v>
      </c>
      <c r="S40" s="3">
        <f t="shared" ca="1" si="3"/>
        <v>435</v>
      </c>
      <c r="T40" s="7">
        <f ca="1">Table137[[#This Row],[$Return]]/AVERAGE(Table137[[#This Row],[Starting]],Table137[[#This Row],[Starting]]+Table137[[#This Row],[Inflows]])</f>
        <v>-3.6073254432869663E-2</v>
      </c>
      <c r="U40" s="4">
        <f t="shared" ca="1" si="33"/>
        <v>102881</v>
      </c>
      <c r="V40" s="5">
        <f ca="1">IFERROR(V39*(1+Table137[[#This Row],[Return]]),100*(1+Table137[[#This Row],[Return]]))</f>
        <v>87.368292417321769</v>
      </c>
      <c r="W40" s="20">
        <f ca="1">IF(Table137[[#This Row],[Day]]&lt;LeadDays,"NM",(AVERAGE(T$14:T40)/STDEV(T$14:T40)*SQRT(SharpePeriod)))</f>
        <v>-0.15565502762518557</v>
      </c>
      <c r="X40" s="20">
        <f ca="1">Table137[[#This Row],[Index Value]]-100</f>
        <v>-12.631707582678231</v>
      </c>
      <c r="Y40" s="23">
        <f ca="1">IF(Table137[[#This Row],[Day]]&lt;LeadDays,"NM",IF(Table137[[#This Row],[Index Gains]]&lt;0,Table137[[#This Row],[Index Value]],(Table137[[#This Row],[Index Gains]]*Table137[[#This Row],[30d_Sharpe]]*Sharpe_Wgt+Table137[[#This Row],[Index Gains]]*(1-Sharpe_Wgt))+100)*Historical_Wgt+(100*(1+Table137[[#This Row],[Return]])*Today_Wgt))</f>
        <v>91.880483487017401</v>
      </c>
      <c r="Z40">
        <f t="shared" ca="1" si="5"/>
        <v>-1</v>
      </c>
      <c r="AB40" s="6">
        <f t="shared" ca="1" si="41"/>
        <v>45624</v>
      </c>
      <c r="AC40">
        <f t="shared" ca="1" si="15"/>
        <v>27</v>
      </c>
      <c r="AD40" s="3">
        <f t="shared" ca="1" si="42"/>
        <v>104895</v>
      </c>
      <c r="AE40" s="8">
        <f ca="1">RANDBETWEEN(0,1000)*Table134[[#This Row],[Rand]]</f>
        <v>-900</v>
      </c>
      <c r="AF40" s="3">
        <v>0</v>
      </c>
      <c r="AG40" s="7">
        <f ca="1">Table134[[#This Row],[$Return]]/AVERAGE(Table134[[#This Row],[Starting]],Table134[[#This Row],[Starting]]+Table134[[#This Row],[Inflows]])</f>
        <v>-8.5800085800085794E-3</v>
      </c>
      <c r="AH40" s="4">
        <f t="shared" ca="1" si="43"/>
        <v>103995</v>
      </c>
      <c r="AI40" s="5">
        <f ca="1">IFERROR(AI39*(1+Table134[[#This Row],[Return]]),100*(1+Table134[[#This Row],[Return]]))</f>
        <v>103.99499999999993</v>
      </c>
      <c r="AJ40" s="24">
        <f ca="1">IF(Table134[[#This Row],[Day]]&lt;LeadDays,"NM",(AVERAGE(AG$14:AG40)/STDEV(AG$14:AG40)*SQRT(SharpePeriod)))</f>
        <v>1.5286534487412073</v>
      </c>
      <c r="AK40" s="20">
        <f ca="1">Table134[[#This Row],[Index Value]]-100</f>
        <v>3.9949999999999335</v>
      </c>
      <c r="AL40" s="23">
        <f ca="1">IF(Table134[[#This Row],[Day]]&lt;LeadDays,"NM",IF(Table134[[#This Row],[Index Gains]]&lt;0,Table134[[#This Row],[Index Value]],(Table134[[#This Row],[Index Gains]]*Table134[[#This Row],[30d_Sharpe]]*Sharpe_Wgt+Table134[[#This Row],[Index Gains]]*(1-Sharpe_Wgt))+100)*Historical_Wgt+(100*(1+Table134[[#This Row],[Return]])*Today_Wgt))</f>
        <v>102.09649220292981</v>
      </c>
      <c r="AM40">
        <f t="shared" ca="1" si="7"/>
        <v>-1</v>
      </c>
      <c r="AO40" s="6">
        <f ca="1">AO39+1</f>
        <v>45624</v>
      </c>
      <c r="AP40">
        <f ca="1">AO40-$B$14+1</f>
        <v>27</v>
      </c>
      <c r="AQ40" s="3">
        <f ca="1">AU39</f>
        <v>206482</v>
      </c>
      <c r="AR40" s="8">
        <v>1000</v>
      </c>
      <c r="AS40" s="3">
        <v>0</v>
      </c>
      <c r="AT40" s="7">
        <f ca="1">Table1345[[#This Row],[$Return]]/AVERAGE(Table1345[[#This Row],[Starting]],Table1345[[#This Row],[Starting]]+Table1345[[#This Row],[Inflows]])</f>
        <v>4.8430371654672082E-3</v>
      </c>
      <c r="AU40" s="4">
        <f t="shared" ca="1" si="39"/>
        <v>207482</v>
      </c>
      <c r="AV40" s="5">
        <f ca="1">IFERROR(AV39*(1+Table1345[[#This Row],[Return]]),100*(1+Table1345[[#This Row],[Return]]))</f>
        <v>207.48200000000017</v>
      </c>
      <c r="AW40" s="24">
        <f ca="1">IF(Table1345[[#This Row],[Day]]&lt;LeadDays,"NM",(AVERAGE(AT$14:AT40)/STDEV(AT$14:AT40)*SQRT(SharpePeriod)))</f>
        <v>1.2257122654897792</v>
      </c>
      <c r="AX40" s="20">
        <f ca="1">Table1345[[#This Row],[Index Value]]-100</f>
        <v>107.48200000000017</v>
      </c>
      <c r="AY40" s="23">
        <f ca="1">IF(Table1345[[#This Row],[Day]]&lt;LeadDays,"NM",IF(Table1345[[#This Row],[Index Gains]]&lt;0,Table1345[[#This Row],[Index Value]],(Table1345[[#This Row],[Index Gains]]*Table1345[[#This Row],[30d_Sharpe]]*Sharpe_Wgt+Table1345[[#This Row],[Index Gains]]*(1-Sharpe_Wgt))+100)*Historical_Wgt+(100*(1+Table1345[[#This Row],[Return]])*Today_Wgt))</f>
        <v>160.04815328811657</v>
      </c>
      <c r="AZ40">
        <f t="shared" ca="1" si="9"/>
        <v>1</v>
      </c>
      <c r="BB40" s="6">
        <f ca="1">BB39+1</f>
        <v>45624</v>
      </c>
      <c r="BC40">
        <f ca="1">BB40-$B$14+1</f>
        <v>27</v>
      </c>
      <c r="BD40" s="3">
        <f>BH39</f>
        <v>157000</v>
      </c>
      <c r="BE40" s="8">
        <v>-40000</v>
      </c>
      <c r="BF40" s="3">
        <v>0</v>
      </c>
      <c r="BG40" s="7">
        <f>Table13456[[#This Row],[$Return]]/AVERAGE(Table13456[[#This Row],[Starting]],Table13456[[#This Row],[Starting]]+Table13456[[#This Row],[Inflows]])</f>
        <v>-0.25477707006369427</v>
      </c>
      <c r="BH40" s="4">
        <f t="shared" si="40"/>
        <v>117000</v>
      </c>
      <c r="BI40" s="5">
        <f>IFERROR(BI39*(1+Table13456[[#This Row],[Return]]),100*(1+Table13456[[#This Row],[Return]]))</f>
        <v>116.99999999999997</v>
      </c>
      <c r="BJ40" s="24">
        <f ca="1">IF(Table13456[[#This Row],[Day]]&lt;LeadDays,"NM",(AVERAGE(BG$14:BG40)/STDEV(BG$14:BG40)*SQRT(SharpePeriod)))</f>
        <v>0.82648438748789477</v>
      </c>
      <c r="BK40" s="20">
        <f>Table13456[[#This Row],[Index Value]]-100</f>
        <v>16.999999999999972</v>
      </c>
      <c r="BL40" s="23">
        <f ca="1">IF(Table13456[[#This Row],[Day]]&lt;LeadDays,"NM",IF(Table13456[[#This Row],[Index Gains]]&lt;0,Table13456[[#This Row],[Index Value]],(Table13456[[#This Row],[Index Gains]]*Table13456[[#This Row],[30d_Sharpe]]*Sharpe_Wgt+Table13456[[#This Row],[Index Gains]]*(1-Sharpe_Wgt))+100)*Historical_Wgt+(100*(1+Table13456[[#This Row],[Return]])*Today_Wgt))</f>
        <v>95.023705143638836</v>
      </c>
      <c r="BM40">
        <f>IF(Table13456[[#This Row],[$Return]]&gt;=0,1,-1)</f>
        <v>-1</v>
      </c>
      <c r="BO40" s="6">
        <f ca="1">BO39+1</f>
        <v>45624</v>
      </c>
      <c r="BP40">
        <f ca="1">BO40-$B$14+1</f>
        <v>27</v>
      </c>
      <c r="BQ40" s="3">
        <v>889031.92</v>
      </c>
      <c r="BR40" s="8">
        <v>-1169.06</v>
      </c>
      <c r="BS40" s="3">
        <v>28146.09</v>
      </c>
      <c r="BT40" s="7">
        <f>Table134568[[#This Row],[$Return]]/AVERAGE(Table134568[[#This Row],[Starting]],Table134568[[#This Row],[Starting]]+Table134568[[#This Row],[Inflows]])</f>
        <v>-1.2944896167191371E-3</v>
      </c>
      <c r="BU40" s="4">
        <f t="shared" si="37"/>
        <v>916008.95</v>
      </c>
      <c r="BV40" s="5">
        <f>IFERROR(BV39*(1+Table134568[[#This Row],[Return]]),100*(1+Table134568[[#This Row],[Return]]))</f>
        <v>102.34641846472829</v>
      </c>
      <c r="BW40" s="24">
        <f ca="1">IF(Table134568[[#This Row],[Day]]&lt;LeadDays,"NM",(AVERAGE(BT$14:BT40)/STDEV(BT$14:BT40)*SQRT(SharpePeriod)))</f>
        <v>1.2566130640144064</v>
      </c>
      <c r="BX40" s="20">
        <f>Table134568[[#This Row],[Index Value]]-100</f>
        <v>2.3464184647282877</v>
      </c>
      <c r="BY40" s="23">
        <f ca="1">IF(Table134568[[#This Row],[Day]]&lt;LeadDays,"NM",IF(Table134568[[#This Row],[Index Gains]]&lt;0,Table134568[[#This Row],[Index Value]],(Table134568[[#This Row],[Index Gains]]*Table134568[[#This Row],[30d_Sharpe]]*Sharpe_Wgt+Table134568[[#This Row],[Index Gains]]*(1-Sharpe_Wgt))+100))</f>
        <v>102.64747928057524</v>
      </c>
      <c r="BZ40">
        <f>IF(Table134568[[#This Row],[$Return]]&gt;=0,1,-1)</f>
        <v>-1</v>
      </c>
      <c r="CB40" s="6">
        <f ca="1">CB39+1</f>
        <v>45624</v>
      </c>
      <c r="CC40">
        <f ca="1">CB40-$B$14+1</f>
        <v>27</v>
      </c>
      <c r="CD40" s="3">
        <v>7212075.4100000001</v>
      </c>
      <c r="CE40" s="8">
        <v>51751.5</v>
      </c>
      <c r="CF40" s="3">
        <v>0</v>
      </c>
      <c r="CG40" s="7">
        <f>Table1345689[[#This Row],[$Return]]/AVERAGE(Table1345689[[#This Row],[Starting]],Table1345689[[#This Row],[Starting]]+Table1345689[[#This Row],[Inflows]])</f>
        <v>7.1756737219141192E-3</v>
      </c>
      <c r="CH40" s="4">
        <f t="shared" si="38"/>
        <v>7263826.9100000001</v>
      </c>
      <c r="CI40" s="5">
        <f>IFERROR(CI39*(1+Table1345689[[#This Row],[Return]]),100*(1+Table1345689[[#This Row],[Return]]))</f>
        <v>104.32735983039512</v>
      </c>
      <c r="CJ40" s="24">
        <f ca="1">IF(Table1345689[[#This Row],[Day]]&lt;LeadDays,"NM",(AVERAGE(CG$14:CG40)/STDEV(CG$14:CG40)*SQRT(SharpePeriod)))</f>
        <v>4.8842536707584809</v>
      </c>
      <c r="CK40" s="20">
        <f>Table1345689[[#This Row],[Index Value]]-100</f>
        <v>4.3273598303951246</v>
      </c>
      <c r="CL40" s="23">
        <f ca="1">IF(Table1345689[[#This Row],[Day]]&lt;LeadDays,"NM",IF(Table1345689[[#This Row],[Index Gains]]&lt;0,Table1345689[[#This Row],[Index Value]],(Table1345689[[#This Row],[Index Gains]]*Table1345689[[#This Row],[30d_Sharpe]]*Sharpe_Wgt+Table1345689[[#This Row],[Index Gains]]*(1-Sharpe_Wgt))+100))</f>
        <v>112.73164148334766</v>
      </c>
      <c r="CM40">
        <f>IF(Table1345689[[#This Row],[$Return]]&gt;=0,1,-1)</f>
        <v>1</v>
      </c>
    </row>
    <row r="41" spans="2:91" x14ac:dyDescent="0.45">
      <c r="B41" s="6">
        <f t="shared" ca="1" si="44"/>
        <v>45625</v>
      </c>
      <c r="C41">
        <f t="shared" ca="1" si="13"/>
        <v>28</v>
      </c>
      <c r="D41" s="3">
        <f t="shared" ca="1" si="45"/>
        <v>120106</v>
      </c>
      <c r="E41" s="8">
        <f ca="1">RANDBETWEEN(0,RAND()/10*Table13[[#This Row],[Starting]])*Table13[[#This Row],[Rand]]</f>
        <v>126</v>
      </c>
      <c r="F41" s="3">
        <f t="shared" ca="1" si="0"/>
        <v>95</v>
      </c>
      <c r="G41" s="7">
        <f ca="1">Table13[[#This Row],[$Return]]/AVERAGE(Table13[[#This Row],[Starting]],Table13[[#This Row],[Starting]]+Table13[[#This Row],[Inflows]])</f>
        <v>1.0486585908858251E-3</v>
      </c>
      <c r="H41" s="4">
        <f t="shared" ca="1" si="46"/>
        <v>120327</v>
      </c>
      <c r="I41" s="5">
        <f ca="1">I40*(1+Table13[[#This Row],[Return]])</f>
        <v>106.79290179874967</v>
      </c>
      <c r="J41" s="20">
        <f ca="1">IF(Table13[[#This Row],[Day]]&lt;LeadDays,"NM",(AVERAGE(G$14:G41)/STDEV(G$14:G41)*SQRT(SharpePeriod)))</f>
        <v>0.47916506187534691</v>
      </c>
      <c r="K41" s="20">
        <f ca="1">Table13[[#This Row],[Index Value]]-100</f>
        <v>6.7929017987496678</v>
      </c>
      <c r="L41" s="17">
        <f ca="1">IF(Table13[[#This Row],[Day]]&lt;LeadDays,"NM",IF(Table13[[#This Row],[Index Gains]]&lt;0,Table13[[#This Row],[Index Value]],(Table13[[#This Row],[Index Gains]]*Table13[[#This Row],[30d_Sharpe]]*Sharpe_Wgt+Table13[[#This Row],[Index Gains]]*(1-Sharpe_Wgt))+100)*Historical_Wgt+(100*(1+Table13[[#This Row],[Return]])*Today_Wgt))</f>
        <v>102.56438868190946</v>
      </c>
      <c r="M41">
        <f t="shared" ca="1" si="2"/>
        <v>1</v>
      </c>
      <c r="O41" s="6">
        <f t="shared" ca="1" si="18"/>
        <v>45625</v>
      </c>
      <c r="P41">
        <f t="shared" ca="1" si="14"/>
        <v>28</v>
      </c>
      <c r="Q41" s="3">
        <f t="shared" ca="1" si="19"/>
        <v>102881</v>
      </c>
      <c r="R41" s="8">
        <f ca="1">RANDBETWEEN(0,10000)*Table137[[#This Row],[Rand]]</f>
        <v>-7717</v>
      </c>
      <c r="S41" s="3">
        <f t="shared" ca="1" si="3"/>
        <v>350</v>
      </c>
      <c r="T41" s="7">
        <f ca="1">Table137[[#This Row],[$Return]]/AVERAGE(Table137[[#This Row],[Starting]],Table137[[#This Row],[Starting]]+Table137[[#This Row],[Inflows]])</f>
        <v>-7.4881617761217198E-2</v>
      </c>
      <c r="U41" s="4">
        <f t="shared" ca="1" si="33"/>
        <v>95514</v>
      </c>
      <c r="V41" s="5">
        <f ca="1">IFERROR(V40*(1+Table137[[#This Row],[Return]]),100*(1+Table137[[#This Row],[Return]]))</f>
        <v>80.826013340077637</v>
      </c>
      <c r="W41" s="20">
        <f ca="1">IF(Table137[[#This Row],[Day]]&lt;LeadDays,"NM",(AVERAGE(T$14:T41)/STDEV(T$14:T41)*SQRT(SharpePeriod)))</f>
        <v>-0.34213361599478975</v>
      </c>
      <c r="X41" s="20">
        <f ca="1">Table137[[#This Row],[Index Value]]-100</f>
        <v>-19.173986659922363</v>
      </c>
      <c r="Y41" s="23">
        <f ca="1">IF(Table137[[#This Row],[Day]]&lt;LeadDays,"NM",IF(Table137[[#This Row],[Index Gains]]&lt;0,Table137[[#This Row],[Index Value]],(Table137[[#This Row],[Index Gains]]*Table137[[#This Row],[30d_Sharpe]]*Sharpe_Wgt+Table137[[#This Row],[Index Gains]]*(1-Sharpe_Wgt))+100)*Historical_Wgt+(100*(1+Table137[[#This Row],[Return]])*Today_Wgt))</f>
        <v>86.668925781977961</v>
      </c>
      <c r="Z41">
        <f t="shared" ca="1" si="5"/>
        <v>-1</v>
      </c>
      <c r="AB41" s="6">
        <f t="shared" ca="1" si="41"/>
        <v>45625</v>
      </c>
      <c r="AC41">
        <f t="shared" ca="1" si="15"/>
        <v>28</v>
      </c>
      <c r="AD41" s="3">
        <f t="shared" ca="1" si="42"/>
        <v>103995</v>
      </c>
      <c r="AE41" s="8">
        <f ca="1">RANDBETWEEN(0,1000)*Table134[[#This Row],[Rand]]</f>
        <v>-633</v>
      </c>
      <c r="AF41" s="3">
        <v>0</v>
      </c>
      <c r="AG41" s="7">
        <f ca="1">Table134[[#This Row],[$Return]]/AVERAGE(Table134[[#This Row],[Starting]],Table134[[#This Row],[Starting]]+Table134[[#This Row],[Inflows]])</f>
        <v>-6.0868310976489254E-3</v>
      </c>
      <c r="AH41" s="4">
        <f t="shared" ca="1" si="43"/>
        <v>103362</v>
      </c>
      <c r="AI41" s="5">
        <f ca="1">IFERROR(AI40*(1+Table134[[#This Row],[Return]]),100*(1+Table134[[#This Row],[Return]]))</f>
        <v>103.36199999999992</v>
      </c>
      <c r="AJ41" s="24">
        <f ca="1">IF(Table134[[#This Row],[Day]]&lt;LeadDays,"NM",(AVERAGE(AG$14:AG41)/STDEV(AG$14:AG41)*SQRT(SharpePeriod)))</f>
        <v>1.2248767778202116</v>
      </c>
      <c r="AK41" s="20">
        <f ca="1">Table134[[#This Row],[Index Value]]-100</f>
        <v>3.3619999999999237</v>
      </c>
      <c r="AL41" s="23">
        <f ca="1">IF(Table134[[#This Row],[Day]]&lt;LeadDays,"NM",IF(Table134[[#This Row],[Index Gains]]&lt;0,Table134[[#This Row],[Index Value]],(Table134[[#This Row],[Index Gains]]*Table134[[#This Row],[30d_Sharpe]]*Sharpe_Wgt+Table134[[#This Row],[Index Gains]]*(1-Sharpe_Wgt))+100)*Historical_Wgt+(100*(1+Table134[[#This Row],[Return]])*Today_Wgt))</f>
        <v>101.5656673768754</v>
      </c>
      <c r="AM41">
        <f t="shared" ca="1" si="7"/>
        <v>-1</v>
      </c>
      <c r="AO41" s="6">
        <f ca="1">AO40+1</f>
        <v>45625</v>
      </c>
      <c r="AP41">
        <f ca="1">AO41-$B$14+1</f>
        <v>28</v>
      </c>
      <c r="AQ41" s="3">
        <f ca="1">AU40</f>
        <v>207482</v>
      </c>
      <c r="AR41" s="8">
        <v>-1000</v>
      </c>
      <c r="AS41" s="3">
        <v>0</v>
      </c>
      <c r="AT41" s="7">
        <f ca="1">Table1345[[#This Row],[$Return]]/AVERAGE(Table1345[[#This Row],[Starting]],Table1345[[#This Row],[Starting]]+Table1345[[#This Row],[Inflows]])</f>
        <v>-4.8196952024753955E-3</v>
      </c>
      <c r="AU41" s="4">
        <f t="shared" ca="1" si="39"/>
        <v>206482</v>
      </c>
      <c r="AV41" s="5">
        <f ca="1">IFERROR(AV40*(1+Table1345[[#This Row],[Return]]),100*(1+Table1345[[#This Row],[Return]]))</f>
        <v>206.48200000000017</v>
      </c>
      <c r="AW41" s="24">
        <f ca="1">IF(Table1345[[#This Row],[Day]]&lt;LeadDays,"NM",(AVERAGE(AT$14:AT41)/STDEV(AT$14:AT41)*SQRT(SharpePeriod)))</f>
        <v>1.1977660843632498</v>
      </c>
      <c r="AX41" s="20">
        <f ca="1">Table1345[[#This Row],[Index Value]]-100</f>
        <v>106.48200000000017</v>
      </c>
      <c r="AY41" s="23">
        <f ca="1">IF(Table1345[[#This Row],[Day]]&lt;LeadDays,"NM",IF(Table1345[[#This Row],[Index Gains]]&lt;0,Table1345[[#This Row],[Index Value]],(Table1345[[#This Row],[Index Gains]]*Table1345[[#This Row],[30d_Sharpe]]*Sharpe_Wgt+Table1345[[#This Row],[Index Gains]]*(1-Sharpe_Wgt))+100)*Historical_Wgt+(100*(1+Table1345[[#This Row],[Return]])*Today_Wgt))</f>
        <v>158.26464728866821</v>
      </c>
      <c r="AZ41">
        <f t="shared" ca="1" si="9"/>
        <v>1</v>
      </c>
      <c r="BB41" s="6">
        <f ca="1">BB40+1</f>
        <v>45625</v>
      </c>
      <c r="BC41">
        <f ca="1">BB41-$B$14+1</f>
        <v>28</v>
      </c>
      <c r="BD41" s="3">
        <f>BH40</f>
        <v>117000</v>
      </c>
      <c r="BE41" s="8">
        <v>25000</v>
      </c>
      <c r="BF41" s="3">
        <v>0</v>
      </c>
      <c r="BG41" s="7">
        <f>Table13456[[#This Row],[$Return]]/AVERAGE(Table13456[[#This Row],[Starting]],Table13456[[#This Row],[Starting]]+Table13456[[#This Row],[Inflows]])</f>
        <v>0.21367521367521367</v>
      </c>
      <c r="BH41" s="4">
        <f t="shared" si="40"/>
        <v>142000</v>
      </c>
      <c r="BI41" s="5">
        <f>IFERROR(BI40*(1+Table13456[[#This Row],[Return]]),100*(1+Table13456[[#This Row],[Return]]))</f>
        <v>141.99999999999994</v>
      </c>
      <c r="BJ41" s="24">
        <f ca="1">IF(Table13456[[#This Row],[Day]]&lt;LeadDays,"NM",(AVERAGE(BG$14:BG41)/STDEV(BG$14:BG41)*SQRT(SharpePeriod)))</f>
        <v>0.95466182906119124</v>
      </c>
      <c r="BK41" s="20">
        <f>Table13456[[#This Row],[Index Value]]-100</f>
        <v>41.999999999999943</v>
      </c>
      <c r="BL41" s="23">
        <f ca="1">IF(Table13456[[#This Row],[Day]]&lt;LeadDays,"NM",IF(Table13456[[#This Row],[Index Gains]]&lt;0,Table13456[[#This Row],[Index Value]],(Table13456[[#This Row],[Index Gains]]*Table13456[[#This Row],[30d_Sharpe]]*Sharpe_Wgt+Table13456[[#This Row],[Index Gains]]*(1-Sharpe_Wgt))+100)*Historical_Wgt+(100*(1+Table13456[[#This Row],[Return]])*Today_Wgt))</f>
        <v>131.20770988890317</v>
      </c>
      <c r="BM41">
        <f>IF(Table13456[[#This Row],[$Return]]&gt;=0,1,-1)</f>
        <v>1</v>
      </c>
      <c r="BO41" s="6">
        <f ca="1">BO40+1</f>
        <v>45625</v>
      </c>
      <c r="BP41">
        <f ca="1">BO41-$B$14+1</f>
        <v>28</v>
      </c>
      <c r="BQ41" s="3">
        <v>916947.45</v>
      </c>
      <c r="BR41" s="8">
        <v>-230.56</v>
      </c>
      <c r="BS41" s="3">
        <v>0</v>
      </c>
      <c r="BT41" s="7">
        <f>Table134568[[#This Row],[$Return]]/AVERAGE(Table134568[[#This Row],[Starting]],Table134568[[#This Row],[Starting]]+Table134568[[#This Row],[Inflows]])</f>
        <v>-2.5144298072915739E-4</v>
      </c>
      <c r="BU41" s="4">
        <f t="shared" si="37"/>
        <v>916716.8899999999</v>
      </c>
      <c r="BV41" s="5">
        <f>IFERROR(BV40*(1+Table134568[[#This Row],[Return]]),100*(1+Table134568[[#This Row],[Return]]))</f>
        <v>102.32068417620256</v>
      </c>
      <c r="BW41" s="24">
        <f ca="1">IF(Table134568[[#This Row],[Day]]&lt;LeadDays,"NM",(AVERAGE(BT$14:BT41)/STDEV(BT$14:BT41)*SQRT(SharpePeriod)))</f>
        <v>1.2195613127325329</v>
      </c>
      <c r="BX41" s="20">
        <f>Table134568[[#This Row],[Index Value]]-100</f>
        <v>2.3206841762025618</v>
      </c>
      <c r="BY41" s="23">
        <f ca="1">IF(Table134568[[#This Row],[Day]]&lt;LeadDays,"NM",IF(Table134568[[#This Row],[Index Gains]]&lt;0,Table134568[[#This Row],[Index Value]],(Table134568[[#This Row],[Index Gains]]*Table134568[[#This Row],[30d_Sharpe]]*Sharpe_Wgt+Table134568[[#This Row],[Index Gains]]*(1-Sharpe_Wgt))+100))</f>
        <v>102.57545040828489</v>
      </c>
      <c r="BZ41">
        <f>IF(Table134568[[#This Row],[$Return]]&gt;=0,1,-1)</f>
        <v>-1</v>
      </c>
      <c r="CB41" s="6">
        <f ca="1">CB40+1</f>
        <v>45625</v>
      </c>
      <c r="CC41">
        <f ca="1">CB41-$B$14+1</f>
        <v>28</v>
      </c>
      <c r="CD41" s="3">
        <v>7219520.9199999999</v>
      </c>
      <c r="CE41" s="8">
        <v>7445.51</v>
      </c>
      <c r="CF41" s="3">
        <v>0</v>
      </c>
      <c r="CG41" s="7">
        <f>Table1345689[[#This Row],[$Return]]/AVERAGE(Table1345689[[#This Row],[Starting]],Table1345689[[#This Row],[Starting]]+Table1345689[[#This Row],[Inflows]])</f>
        <v>1.0313025036569879E-3</v>
      </c>
      <c r="CH41" s="4">
        <f t="shared" si="38"/>
        <v>7226966.4299999997</v>
      </c>
      <c r="CI41" s="5">
        <f>IFERROR(CI40*(1+Table1345689[[#This Row],[Return]]),100*(1+Table1345689[[#This Row],[Return]]))</f>
        <v>104.43495289778814</v>
      </c>
      <c r="CJ41" s="24">
        <f ca="1">IF(Table1345689[[#This Row],[Day]]&lt;LeadDays,"NM",(AVERAGE(CG$14:CG41)/STDEV(CG$14:CG41)*SQRT(SharpePeriod)))</f>
        <v>4.9076242848306864</v>
      </c>
      <c r="CK41" s="20">
        <f>Table1345689[[#This Row],[Index Value]]-100</f>
        <v>4.4349528977881363</v>
      </c>
      <c r="CL41" s="23">
        <f ca="1">IF(Table1345689[[#This Row],[Day]]&lt;LeadDays,"NM",IF(Table1345689[[#This Row],[Index Gains]]&lt;0,Table1345689[[#This Row],[Index Value]],(Table1345689[[#This Row],[Index Gains]]*Table1345689[[#This Row],[30d_Sharpe]]*Sharpe_Wgt+Table1345689[[#This Row],[Index Gains]]*(1-Sharpe_Wgt))+100))</f>
        <v>113.10001772052671</v>
      </c>
      <c r="CM41">
        <f>IF(Table1345689[[#This Row],[$Return]]&gt;=0,1,-1)</f>
        <v>1</v>
      </c>
    </row>
    <row r="42" spans="2:91" x14ac:dyDescent="0.45">
      <c r="B42" s="6">
        <f t="shared" ca="1" si="44"/>
        <v>45626</v>
      </c>
      <c r="C42">
        <f t="shared" ca="1" si="13"/>
        <v>29</v>
      </c>
      <c r="D42" s="3">
        <f t="shared" ca="1" si="45"/>
        <v>120327</v>
      </c>
      <c r="E42" s="8">
        <f ca="1">RANDBETWEEN(0,RAND()/10*Table13[[#This Row],[Starting]])*Table13[[#This Row],[Rand]]</f>
        <v>1826</v>
      </c>
      <c r="F42" s="3">
        <f t="shared" ca="1" si="0"/>
        <v>732</v>
      </c>
      <c r="G42" s="7">
        <f ca="1">Table13[[#This Row],[$Return]]/AVERAGE(Table13[[#This Row],[Starting]],Table13[[#This Row],[Starting]]+Table13[[#This Row],[Inflows]])</f>
        <v>1.5129294988110329E-2</v>
      </c>
      <c r="H42" s="4">
        <f t="shared" ca="1" si="46"/>
        <v>122885</v>
      </c>
      <c r="I42" s="5">
        <f ca="1">I41*(1+Table13[[#This Row],[Return]])</f>
        <v>108.40860311269925</v>
      </c>
      <c r="J42" s="20">
        <f ca="1">IF(Table13[[#This Row],[Day]]&lt;LeadDays,"NM",(AVERAGE(G$14:G42)/STDEV(G$14:G42)*SQRT(SharpePeriod)))</f>
        <v>0.55784144862351326</v>
      </c>
      <c r="K42" s="20">
        <f ca="1">Table13[[#This Row],[Index Value]]-100</f>
        <v>8.4086031126992538</v>
      </c>
      <c r="L42" s="17">
        <f ca="1">IF(Table13[[#This Row],[Day]]&lt;LeadDays,"NM",IF(Table13[[#This Row],[Index Gains]]&lt;0,Table13[[#This Row],[Index Value]],(Table13[[#This Row],[Index Gains]]*Table13[[#This Row],[30d_Sharpe]]*Sharpe_Wgt+Table13[[#This Row],[Index Gains]]*(1-Sharpe_Wgt))+100)*Historical_Wgt+(100*(1+Table13[[#This Row],[Return]])*Today_Wgt))</f>
        <v>104.03128236290242</v>
      </c>
      <c r="M42">
        <f t="shared" ca="1" si="2"/>
        <v>1</v>
      </c>
      <c r="O42" s="6">
        <f t="shared" ca="1" si="18"/>
        <v>45626</v>
      </c>
      <c r="P42">
        <f t="shared" ca="1" si="14"/>
        <v>29</v>
      </c>
      <c r="Q42" s="3">
        <f t="shared" ca="1" si="19"/>
        <v>95514</v>
      </c>
      <c r="R42" s="8">
        <f ca="1">RANDBETWEEN(0,10000)*Table137[[#This Row],[Rand]]</f>
        <v>9915</v>
      </c>
      <c r="S42" s="3">
        <f t="shared" ca="1" si="3"/>
        <v>819</v>
      </c>
      <c r="T42" s="7">
        <f ca="1">Table137[[#This Row],[$Return]]/AVERAGE(Table137[[#This Row],[Starting]],Table137[[#This Row],[Starting]]+Table137[[#This Row],[Inflows]])</f>
        <v>0.10336361788300051</v>
      </c>
      <c r="U42" s="4">
        <f t="shared" ca="1" si="33"/>
        <v>106248</v>
      </c>
      <c r="V42" s="5">
        <f ca="1">IFERROR(V41*(1+Table137[[#This Row],[Return]]),100*(1+Table137[[#This Row],[Return]]))</f>
        <v>89.180482497967716</v>
      </c>
      <c r="W42" s="20">
        <f ca="1">IF(Table137[[#This Row],[Day]]&lt;LeadDays,"NM",(AVERAGE(T$14:T42)/STDEV(T$14:T42)*SQRT(SharpePeriod)))</f>
        <v>-7.3666888285571053E-2</v>
      </c>
      <c r="X42" s="20">
        <f ca="1">Table137[[#This Row],[Index Value]]-100</f>
        <v>-10.819517502032284</v>
      </c>
      <c r="Y42" s="23">
        <f ca="1">IF(Table137[[#This Row],[Day]]&lt;LeadDays,"NM",IF(Table137[[#This Row],[Index Gains]]&lt;0,Table137[[#This Row],[Index Value]],(Table137[[#This Row],[Index Gains]]*Table137[[#This Row],[30d_Sharpe]]*Sharpe_Wgt+Table137[[#This Row],[Index Gains]]*(1-Sharpe_Wgt))+100)*Historical_Wgt+(100*(1+Table137[[#This Row],[Return]])*Today_Wgt))</f>
        <v>99.758422143133885</v>
      </c>
      <c r="Z42">
        <f t="shared" ca="1" si="5"/>
        <v>1</v>
      </c>
      <c r="AB42" s="6">
        <f t="shared" ca="1" si="41"/>
        <v>45626</v>
      </c>
      <c r="AC42">
        <f t="shared" ca="1" si="15"/>
        <v>29</v>
      </c>
      <c r="AD42" s="3">
        <f t="shared" ca="1" si="42"/>
        <v>103362</v>
      </c>
      <c r="AE42" s="8">
        <f ca="1">RANDBETWEEN(0,1000)*Table134[[#This Row],[Rand]]</f>
        <v>-776</v>
      </c>
      <c r="AF42" s="3">
        <v>0</v>
      </c>
      <c r="AG42" s="7">
        <f ca="1">Table134[[#This Row],[$Return]]/AVERAGE(Table134[[#This Row],[Starting]],Table134[[#This Row],[Starting]]+Table134[[#This Row],[Inflows]])</f>
        <v>-7.5075946672858501E-3</v>
      </c>
      <c r="AH42" s="4">
        <f t="shared" ca="1" si="43"/>
        <v>102586</v>
      </c>
      <c r="AI42" s="5">
        <f ca="1">IFERROR(AI41*(1+Table134[[#This Row],[Return]]),100*(1+Table134[[#This Row],[Return]]))</f>
        <v>102.58599999999991</v>
      </c>
      <c r="AJ42" s="24">
        <f ca="1">IF(Table134[[#This Row],[Day]]&lt;LeadDays,"NM",(AVERAGE(AG$14:AG42)/STDEV(AG$14:AG42)*SQRT(SharpePeriod)))</f>
        <v>0.89286344438718956</v>
      </c>
      <c r="AK42" s="20">
        <f ca="1">Table134[[#This Row],[Index Value]]-100</f>
        <v>2.5859999999999133</v>
      </c>
      <c r="AL42" s="23">
        <f ca="1">IF(Table134[[#This Row],[Day]]&lt;LeadDays,"NM",IF(Table134[[#This Row],[Index Gains]]&lt;0,Table134[[#This Row],[Index Value]],(Table134[[#This Row],[Index Gains]]*Table134[[#This Row],[30d_Sharpe]]*Sharpe_Wgt+Table134[[#This Row],[Index Gains]]*(1-Sharpe_Wgt))+100)*Historical_Wgt+(100*(1+Table134[[#This Row],[Return]])*Today_Wgt))</f>
        <v>100.84835648343198</v>
      </c>
      <c r="AM42">
        <f t="shared" ca="1" si="7"/>
        <v>-1</v>
      </c>
      <c r="AO42" s="6">
        <f ca="1">AO41+1</f>
        <v>45626</v>
      </c>
      <c r="AP42">
        <f ca="1">AO42-$B$14+1</f>
        <v>29</v>
      </c>
      <c r="AQ42" s="3">
        <f ca="1">AU41</f>
        <v>206482</v>
      </c>
      <c r="AR42" s="8">
        <v>1000</v>
      </c>
      <c r="AS42" s="3">
        <v>0</v>
      </c>
      <c r="AT42" s="7">
        <f ca="1">Table1345[[#This Row],[$Return]]/AVERAGE(Table1345[[#This Row],[Starting]],Table1345[[#This Row],[Starting]]+Table1345[[#This Row],[Inflows]])</f>
        <v>4.8430371654672082E-3</v>
      </c>
      <c r="AU42" s="4">
        <f t="shared" ca="1" si="39"/>
        <v>207482</v>
      </c>
      <c r="AV42" s="5">
        <f ca="1">IFERROR(AV41*(1+Table1345[[#This Row],[Return]]),100*(1+Table1345[[#This Row],[Return]]))</f>
        <v>207.4820000000002</v>
      </c>
      <c r="AW42" s="24">
        <f ca="1">IF(Table1345[[#This Row],[Day]]&lt;LeadDays,"NM",(AVERAGE(AT$14:AT42)/STDEV(AT$14:AT42)*SQRT(SharpePeriod)))</f>
        <v>1.182135106187058</v>
      </c>
      <c r="AX42" s="20">
        <f ca="1">Table1345[[#This Row],[Index Value]]-100</f>
        <v>107.4820000000002</v>
      </c>
      <c r="AY42" s="23">
        <f ca="1">IF(Table1345[[#This Row],[Day]]&lt;LeadDays,"NM",IF(Table1345[[#This Row],[Index Gains]]&lt;0,Table1345[[#This Row],[Index Value]],(Table1345[[#This Row],[Index Gains]]*Table1345[[#This Row],[30d_Sharpe]]*Sharpe_Wgt+Table1345[[#This Row],[Index Gains]]*(1-Sharpe_Wgt))+100)*Historical_Wgt+(100*(1+Table1345[[#This Row],[Return]])*Today_Wgt))</f>
        <v>158.87721322907282</v>
      </c>
      <c r="AZ42">
        <f t="shared" ca="1" si="9"/>
        <v>-1</v>
      </c>
      <c r="BB42" s="6">
        <f ca="1">BB41+1</f>
        <v>45626</v>
      </c>
      <c r="BC42">
        <f ca="1">BB42-$B$14+1</f>
        <v>29</v>
      </c>
      <c r="BD42" s="3">
        <f>BH41</f>
        <v>142000</v>
      </c>
      <c r="BE42" s="8">
        <v>-17000</v>
      </c>
      <c r="BF42" s="3">
        <v>0</v>
      </c>
      <c r="BG42" s="7">
        <f>Table13456[[#This Row],[$Return]]/AVERAGE(Table13456[[#This Row],[Starting]],Table13456[[#This Row],[Starting]]+Table13456[[#This Row],[Inflows]])</f>
        <v>-0.11971830985915492</v>
      </c>
      <c r="BH42" s="4">
        <f t="shared" si="40"/>
        <v>125000</v>
      </c>
      <c r="BI42" s="5">
        <f>IFERROR(BI41*(1+Table13456[[#This Row],[Return]]),100*(1+Table13456[[#This Row],[Return]]))</f>
        <v>124.99999999999996</v>
      </c>
      <c r="BJ42" s="24">
        <f ca="1">IF(Table13456[[#This Row],[Day]]&lt;LeadDays,"NM",(AVERAGE(BG$14:BG42)/STDEV(BG$14:BG42)*SQRT(SharpePeriod)))</f>
        <v>0.85181289954791362</v>
      </c>
      <c r="BK42" s="20">
        <f>Table13456[[#This Row],[Index Value]]-100</f>
        <v>24.999999999999957</v>
      </c>
      <c r="BL42" s="23">
        <f ca="1">IF(Table13456[[#This Row],[Day]]&lt;LeadDays,"NM",IF(Table13456[[#This Row],[Index Gains]]&lt;0,Table13456[[#This Row],[Index Value]],(Table13456[[#This Row],[Index Gains]]*Table13456[[#This Row],[30d_Sharpe]]*Sharpe_Wgt+Table13456[[#This Row],[Index Gains]]*(1-Sharpe_Wgt))+100)*Historical_Wgt+(100*(1+Table13456[[#This Row],[Return]])*Today_Wgt))</f>
        <v>105.5879151292167</v>
      </c>
      <c r="BM42">
        <f>IF(Table13456[[#This Row],[$Return]]&gt;=0,1,-1)</f>
        <v>-1</v>
      </c>
      <c r="BO42" s="6">
        <f ca="1">BO41+1</f>
        <v>45626</v>
      </c>
      <c r="BP42">
        <f ca="1">BO42-$B$14+1</f>
        <v>29</v>
      </c>
      <c r="BQ42" s="3">
        <v>919569.69</v>
      </c>
      <c r="BR42" s="8">
        <v>2622.24</v>
      </c>
      <c r="BS42" s="3">
        <v>0</v>
      </c>
      <c r="BT42" s="7">
        <f>Table134568[[#This Row],[$Return]]/AVERAGE(Table134568[[#This Row],[Starting]],Table134568[[#This Row],[Starting]]+Table134568[[#This Row],[Inflows]])</f>
        <v>2.851594640967342E-3</v>
      </c>
      <c r="BU42" s="4">
        <f t="shared" si="37"/>
        <v>922191.92999999993</v>
      </c>
      <c r="BV42" s="5">
        <f>IFERROR(BV41*(1+Table134568[[#This Row],[Return]]),100*(1+Table134568[[#This Row],[Return]]))</f>
        <v>102.61246129085953</v>
      </c>
      <c r="BW42" s="24">
        <f ca="1">IF(Table134568[[#This Row],[Day]]&lt;LeadDays,"NM",(AVERAGE(BT$14:BT42)/STDEV(BT$14:BT42)*SQRT(SharpePeriod)))</f>
        <v>1.3397891549136565</v>
      </c>
      <c r="BX42" s="20">
        <f>Table134568[[#This Row],[Index Value]]-100</f>
        <v>2.6124612908595282</v>
      </c>
      <c r="BY42" s="23">
        <f ca="1">IF(Table134568[[#This Row],[Day]]&lt;LeadDays,"NM",IF(Table134568[[#This Row],[Index Gains]]&lt;0,Table134568[[#This Row],[Index Value]],(Table134568[[#This Row],[Index Gains]]*Table134568[[#This Row],[30d_Sharpe]]*Sharpe_Wgt+Table134568[[#This Row],[Index Gains]]*(1-Sharpe_Wgt))+100))</f>
        <v>103.05630429799243</v>
      </c>
      <c r="BZ42">
        <f>IF(Table134568[[#This Row],[$Return]]&gt;=0,1,-1)</f>
        <v>1</v>
      </c>
      <c r="CB42" s="6">
        <f ca="1">CB41+1</f>
        <v>45626</v>
      </c>
      <c r="CC42">
        <f ca="1">CB42-$B$14+1</f>
        <v>29</v>
      </c>
      <c r="CD42" s="3">
        <v>7220945.1399999997</v>
      </c>
      <c r="CE42" s="8">
        <v>1424.22</v>
      </c>
      <c r="CF42" s="3">
        <v>0</v>
      </c>
      <c r="CG42" s="7">
        <f>Table1345689[[#This Row],[$Return]]/AVERAGE(Table1345689[[#This Row],[Starting]],Table1345689[[#This Row],[Starting]]+Table1345689[[#This Row],[Inflows]])</f>
        <v>1.9723456865924896E-4</v>
      </c>
      <c r="CH42" s="4">
        <f t="shared" si="38"/>
        <v>7222369.3599999994</v>
      </c>
      <c r="CI42" s="5">
        <f>IFERROR(CI41*(1+Table1345689[[#This Row],[Return]]),100*(1+Table1345689[[#This Row],[Return]]))</f>
        <v>104.45555108067587</v>
      </c>
      <c r="CJ42" s="24">
        <f ca="1">IF(Table1345689[[#This Row],[Day]]&lt;LeadDays,"NM",(AVERAGE(CG$14:CG42)/STDEV(CG$14:CG42)*SQRT(SharpePeriod)))</f>
        <v>4.7950724714957236</v>
      </c>
      <c r="CK42" s="20">
        <f>Table1345689[[#This Row],[Index Value]]-100</f>
        <v>4.4555510806758747</v>
      </c>
      <c r="CL42" s="23">
        <f ca="1">IF(Table1345689[[#This Row],[Day]]&lt;LeadDays,"NM",IF(Table1345689[[#This Row],[Index Gains]]&lt;0,Table1345689[[#This Row],[Index Value]],(Table1345689[[#This Row],[Index Gains]]*Table1345689[[#This Row],[30d_Sharpe]]*Sharpe_Wgt+Table1345689[[#This Row],[Index Gains]]*(1-Sharpe_Wgt))+100))</f>
        <v>112.91012070648389</v>
      </c>
      <c r="CM42">
        <f>IF(Table1345689[[#This Row],[$Return]]&gt;=0,1,-1)</f>
        <v>1</v>
      </c>
    </row>
    <row r="43" spans="2:91" x14ac:dyDescent="0.45">
      <c r="B43" s="6">
        <f t="shared" ca="1" si="44"/>
        <v>45627</v>
      </c>
      <c r="C43">
        <f t="shared" ca="1" si="13"/>
        <v>30</v>
      </c>
      <c r="D43" s="3">
        <f t="shared" ca="1" si="45"/>
        <v>122885</v>
      </c>
      <c r="E43" s="8">
        <f ca="1">RANDBETWEEN(0,RAND()/10*Table13[[#This Row],[Starting]])*Table13[[#This Row],[Rand]]</f>
        <v>3320</v>
      </c>
      <c r="F43" s="3">
        <f t="shared" ca="1" si="0"/>
        <v>379</v>
      </c>
      <c r="G43" s="7">
        <f ca="1">Table13[[#This Row],[$Return]]/AVERAGE(Table13[[#This Row],[Starting]],Table13[[#This Row],[Starting]]+Table13[[#This Row],[Inflows]])</f>
        <v>2.6975531080768153E-2</v>
      </c>
      <c r="H43" s="4">
        <f t="shared" ca="1" si="46"/>
        <v>126584</v>
      </c>
      <c r="I43" s="5">
        <f ca="1">I42*(1+Table13[[#This Row],[Return]])</f>
        <v>111.33298275538854</v>
      </c>
      <c r="J43" s="20">
        <f ca="1">IF(Table13[[#This Row],[Day]]&lt;LeadDays,"NM",(AVERAGE(G$14:G43)/STDEV(G$14:G43)*SQRT(SharpePeriod)))</f>
        <v>0.69657064642248789</v>
      </c>
      <c r="K43" s="20">
        <f ca="1">Table13[[#This Row],[Index Value]]-100</f>
        <v>11.332982755388542</v>
      </c>
      <c r="L43" s="17">
        <f ca="1">IF(Table13[[#This Row],[Day]]&lt;LeadDays,"NM",IF(Table13[[#This Row],[Index Gains]]&lt;0,Table13[[#This Row],[Index Value]],(Table13[[#This Row],[Index Gains]]*Table13[[#This Row],[30d_Sharpe]]*Sharpe_Wgt+Table13[[#This Row],[Index Gains]]*(1-Sharpe_Wgt))+100)*Historical_Wgt+(100*(1+Table13[[#This Row],[Return]])*Today_Wgt))</f>
        <v>106.15557802383952</v>
      </c>
      <c r="M43">
        <f t="shared" ca="1" si="2"/>
        <v>1</v>
      </c>
      <c r="O43" s="6">
        <f t="shared" ca="1" si="18"/>
        <v>45627</v>
      </c>
      <c r="P43">
        <f t="shared" ca="1" si="14"/>
        <v>30</v>
      </c>
      <c r="Q43" s="3">
        <f t="shared" ca="1" si="19"/>
        <v>106248</v>
      </c>
      <c r="R43" s="8">
        <f ca="1">RANDBETWEEN(0,10000)*Table137[[#This Row],[Rand]]</f>
        <v>-1477</v>
      </c>
      <c r="S43" s="3">
        <f t="shared" ca="1" si="3"/>
        <v>736</v>
      </c>
      <c r="T43" s="7">
        <f ca="1">Table137[[#This Row],[$Return]]/AVERAGE(Table137[[#This Row],[Starting]],Table137[[#This Row],[Starting]]+Table137[[#This Row],[Inflows]])</f>
        <v>-1.3853455391310873E-2</v>
      </c>
      <c r="U43" s="4">
        <f t="shared" ca="1" si="33"/>
        <v>105507</v>
      </c>
      <c r="V43" s="5">
        <f ca="1">IFERROR(V42*(1+Table137[[#This Row],[Return]]),100*(1+Table137[[#This Row],[Return]]))</f>
        <v>87.945024661906544</v>
      </c>
      <c r="W43" s="20">
        <f ca="1">IF(Table137[[#This Row],[Day]]&lt;LeadDays,"NM",(AVERAGE(T$14:T43)/STDEV(T$14:T43)*SQRT(SharpePeriod)))</f>
        <v>-0.10555649654866785</v>
      </c>
      <c r="X43" s="20">
        <f ca="1">Table137[[#This Row],[Index Value]]-100</f>
        <v>-12.054975338093456</v>
      </c>
      <c r="Y43" s="23">
        <f ca="1">IF(Table137[[#This Row],[Day]]&lt;LeadDays,"NM",IF(Table137[[#This Row],[Index Gains]]&lt;0,Table137[[#This Row],[Index Value]],(Table137[[#This Row],[Index Gains]]*Table137[[#This Row],[30d_Sharpe]]*Sharpe_Wgt+Table137[[#This Row],[Index Gains]]*(1-Sharpe_Wgt))+100)*Historical_Wgt+(100*(1+Table137[[#This Row],[Return]])*Today_Wgt))</f>
        <v>93.279839561387718</v>
      </c>
      <c r="Z43">
        <f t="shared" ca="1" si="5"/>
        <v>-1</v>
      </c>
      <c r="AB43" s="6">
        <f t="shared" ca="1" si="41"/>
        <v>45627</v>
      </c>
      <c r="AC43">
        <f t="shared" ca="1" si="15"/>
        <v>30</v>
      </c>
      <c r="AD43" s="3">
        <f t="shared" ca="1" si="42"/>
        <v>102586</v>
      </c>
      <c r="AE43" s="8">
        <f ca="1">RANDBETWEEN(0,1000)*Table134[[#This Row],[Rand]]</f>
        <v>137</v>
      </c>
      <c r="AF43" s="3">
        <v>0</v>
      </c>
      <c r="AG43" s="7">
        <f ca="1">Table134[[#This Row],[$Return]]/AVERAGE(Table134[[#This Row],[Starting]],Table134[[#This Row],[Starting]]+Table134[[#This Row],[Inflows]])</f>
        <v>1.3354648782484939E-3</v>
      </c>
      <c r="AH43" s="4">
        <f t="shared" ca="1" si="43"/>
        <v>102723</v>
      </c>
      <c r="AI43" s="5">
        <f ca="1">IFERROR(AI42*(1+Table134[[#This Row],[Return]]),100*(1+Table134[[#This Row],[Return]]))</f>
        <v>102.7229999999999</v>
      </c>
      <c r="AJ43" s="24">
        <f ca="1">IF(Table134[[#This Row],[Day]]&lt;LeadDays,"NM",(AVERAGE(AG$14:AG43)/STDEV(AG$14:AG43)*SQRT(SharpePeriod)))</f>
        <v>0.9234538393198678</v>
      </c>
      <c r="AK43" s="20">
        <f ca="1">Table134[[#This Row],[Index Value]]-100</f>
        <v>2.7229999999998995</v>
      </c>
      <c r="AL43" s="23">
        <f ca="1">IF(Table134[[#This Row],[Day]]&lt;LeadDays,"NM",IF(Table134[[#This Row],[Index Gains]]&lt;0,Table134[[#This Row],[Index Value]],(Table134[[#This Row],[Index Gains]]*Table134[[#This Row],[30d_Sharpe]]*Sharpe_Wgt+Table134[[#This Row],[Index Gains]]*(1-Sharpe_Wgt))+100)*Historical_Wgt+(100*(1+Table134[[#This Row],[Return]])*Today_Wgt))</f>
        <v>101.37616444502937</v>
      </c>
      <c r="AM43">
        <f t="shared" ca="1" si="7"/>
        <v>1</v>
      </c>
      <c r="AO43" s="6">
        <f ca="1">AO42+1</f>
        <v>45627</v>
      </c>
      <c r="AP43">
        <f ca="1">AO43-$B$14+1</f>
        <v>30</v>
      </c>
      <c r="AQ43" s="3">
        <f ca="1">AU42</f>
        <v>207482</v>
      </c>
      <c r="AR43" s="8">
        <v>-1000</v>
      </c>
      <c r="AS43" s="3">
        <v>0</v>
      </c>
      <c r="AT43" s="7">
        <f ca="1">Table1345[[#This Row],[$Return]]/AVERAGE(Table1345[[#This Row],[Starting]],Table1345[[#This Row],[Starting]]+Table1345[[#This Row],[Inflows]])</f>
        <v>-4.8196952024753955E-3</v>
      </c>
      <c r="AU43" s="4">
        <f t="shared" ca="1" si="39"/>
        <v>206482</v>
      </c>
      <c r="AV43" s="5">
        <f ca="1">IFERROR(AV42*(1+Table1345[[#This Row],[Return]]),100*(1+Table1345[[#This Row],[Return]]))</f>
        <v>206.4820000000002</v>
      </c>
      <c r="AW43" s="24">
        <f ca="1">IF(Table1345[[#This Row],[Day]]&lt;LeadDays,"NM",(AVERAGE(AT$14:AT43)/STDEV(AT$14:AT43)*SQRT(SharpePeriod)))</f>
        <v>1.1566636922043845</v>
      </c>
      <c r="AX43" s="20">
        <f ca="1">Table1345[[#This Row],[Index Value]]-100</f>
        <v>106.4820000000002</v>
      </c>
      <c r="AY43" s="23">
        <f ca="1">IF(Table1345[[#This Row],[Day]]&lt;LeadDays,"NM",IF(Table1345[[#This Row],[Index Gains]]&lt;0,Table1345[[#This Row],[Index Value]],(Table1345[[#This Row],[Index Gains]]*Table1345[[#This Row],[30d_Sharpe]]*Sharpe_Wgt+Table1345[[#This Row],[Index Gains]]*(1-Sharpe_Wgt))+100)*Historical_Wgt+(100*(1+Table1345[[#This Row],[Return]])*Today_Wgt))</f>
        <v>157.17048105820317</v>
      </c>
      <c r="AZ43">
        <f t="shared" ca="1" si="9"/>
        <v>1</v>
      </c>
      <c r="BB43" s="6">
        <f ca="1">BB42+1</f>
        <v>45627</v>
      </c>
      <c r="BC43">
        <f ca="1">BB43-$B$14+1</f>
        <v>30</v>
      </c>
      <c r="BD43" s="3">
        <f>BH42</f>
        <v>125000</v>
      </c>
      <c r="BE43" s="8">
        <v>10000</v>
      </c>
      <c r="BF43" s="3">
        <v>0</v>
      </c>
      <c r="BG43" s="7">
        <f>Table13456[[#This Row],[$Return]]/AVERAGE(Table13456[[#This Row],[Starting]],Table13456[[#This Row],[Starting]]+Table13456[[#This Row],[Inflows]])</f>
        <v>0.08</v>
      </c>
      <c r="BH43" s="4">
        <f t="shared" si="40"/>
        <v>135000</v>
      </c>
      <c r="BI43" s="5">
        <f>IFERROR(BI42*(1+Table13456[[#This Row],[Return]]),100*(1+Table13456[[#This Row],[Return]]))</f>
        <v>134.99999999999997</v>
      </c>
      <c r="BJ43" s="24">
        <f ca="1">IF(Table13456[[#This Row],[Day]]&lt;LeadDays,"NM",(AVERAGE(BG$14:BG43)/STDEV(BG$14:BG43)*SQRT(SharpePeriod)))</f>
        <v>0.89091860323865335</v>
      </c>
      <c r="BK43" s="20">
        <f>Table13456[[#This Row],[Index Value]]-100</f>
        <v>34.999999999999972</v>
      </c>
      <c r="BL43" s="23">
        <f ca="1">IF(Table13456[[#This Row],[Day]]&lt;LeadDays,"NM",IF(Table13456[[#This Row],[Index Gains]]&lt;0,Table13456[[#This Row],[Index Value]],(Table13456[[#This Row],[Index Gains]]*Table13456[[#This Row],[30d_Sharpe]]*Sharpe_Wgt+Table13456[[#This Row],[Index Gains]]*(1-Sharpe_Wgt))+100)*Historical_Wgt+(100*(1+Table13456[[#This Row],[Return]])*Today_Wgt))</f>
        <v>120.5455377783382</v>
      </c>
      <c r="BM43">
        <f>IF(Table13456[[#This Row],[$Return]]&gt;=0,1,-1)</f>
        <v>1</v>
      </c>
      <c r="BO43" s="6">
        <f ca="1">BO42+1</f>
        <v>45627</v>
      </c>
      <c r="BP43">
        <f ca="1">BO43-$B$14+1</f>
        <v>30</v>
      </c>
      <c r="BQ43" s="3">
        <v>918217.07</v>
      </c>
      <c r="BR43" s="8">
        <v>-1352.61</v>
      </c>
      <c r="BS43" s="3">
        <v>0</v>
      </c>
      <c r="BT43" s="7">
        <f>Table134568[[#This Row],[$Return]]/AVERAGE(Table134568[[#This Row],[Starting]],Table134568[[#This Row],[Starting]]+Table134568[[#This Row],[Inflows]])</f>
        <v>-1.4730830477808477E-3</v>
      </c>
      <c r="BU43" s="4">
        <f t="shared" si="37"/>
        <v>916864.46</v>
      </c>
      <c r="BV43" s="5">
        <f>IFERROR(BV42*(1+Table134568[[#This Row],[Return]]),100*(1+Table134568[[#This Row],[Return]]))</f>
        <v>102.46130461364089</v>
      </c>
      <c r="BW43" s="24">
        <f ca="1">IF(Table134568[[#This Row],[Day]]&lt;LeadDays,"NM",(AVERAGE(BT$14:BT43)/STDEV(BT$14:BT43)*SQRT(SharpePeriod)))</f>
        <v>1.234463663068565</v>
      </c>
      <c r="BX43" s="20">
        <f>Table134568[[#This Row],[Index Value]]-100</f>
        <v>2.4613046136408911</v>
      </c>
      <c r="BY43" s="23">
        <f ca="1">IF(Table134568[[#This Row],[Day]]&lt;LeadDays,"NM",IF(Table134568[[#This Row],[Index Gains]]&lt;0,Table134568[[#This Row],[Index Value]],(Table134568[[#This Row],[Index Gains]]*Table134568[[#This Row],[30d_Sharpe]]*Sharpe_Wgt+Table134568[[#This Row],[Index Gains]]*(1-Sharpe_Wgt))+100))</f>
        <v>102.74984786146179</v>
      </c>
      <c r="BZ43">
        <f>IF(Table134568[[#This Row],[$Return]]&gt;=0,1,-1)</f>
        <v>-1</v>
      </c>
      <c r="CB43" s="6">
        <f ca="1">CB42+1</f>
        <v>45627</v>
      </c>
      <c r="CC43">
        <f ca="1">CB43-$B$14+1</f>
        <v>30</v>
      </c>
      <c r="CD43" s="3">
        <v>7277963.9500000002</v>
      </c>
      <c r="CE43" s="8">
        <v>57018.82</v>
      </c>
      <c r="CF43" s="3">
        <v>0</v>
      </c>
      <c r="CG43" s="7">
        <f>Table1345689[[#This Row],[$Return]]/AVERAGE(Table1345689[[#This Row],[Starting]],Table1345689[[#This Row],[Starting]]+Table1345689[[#This Row],[Inflows]])</f>
        <v>7.8344466105798715E-3</v>
      </c>
      <c r="CH43" s="4">
        <f t="shared" si="38"/>
        <v>7334982.7700000005</v>
      </c>
      <c r="CI43" s="5">
        <f>IFERROR(CI42*(1+Table1345689[[#This Row],[Return]]),100*(1+Table1345689[[#This Row],[Return]]))</f>
        <v>105.27390251879613</v>
      </c>
      <c r="CJ43" s="24">
        <f ca="1">IF(Table1345689[[#This Row],[Day]]&lt;LeadDays,"NM",(AVERAGE(CG$14:CG43)/STDEV(CG$14:CG43)*SQRT(SharpePeriod)))</f>
        <v>4.5928016436706915</v>
      </c>
      <c r="CK43" s="20">
        <f>Table1345689[[#This Row],[Index Value]]-100</f>
        <v>5.2739025187961346</v>
      </c>
      <c r="CL43" s="23">
        <f ca="1">IF(Table1345689[[#This Row],[Day]]&lt;LeadDays,"NM",IF(Table1345689[[#This Row],[Index Gains]]&lt;0,Table1345689[[#This Row],[Index Value]],(Table1345689[[#This Row],[Index Gains]]*Table1345689[[#This Row],[30d_Sharpe]]*Sharpe_Wgt+Table1345689[[#This Row],[Index Gains]]*(1-Sharpe_Wgt))+100))</f>
        <v>114.74794533784102</v>
      </c>
      <c r="CM43">
        <f>IF(Table1345689[[#This Row],[$Return]]&gt;=0,1,-1)</f>
        <v>1</v>
      </c>
    </row>
    <row r="44" spans="2:91" x14ac:dyDescent="0.45">
      <c r="B44" t="s">
        <v>10</v>
      </c>
      <c r="E44" s="8">
        <f ca="1">SUBTOTAL(109,Table13[$Return])</f>
        <v>12307</v>
      </c>
      <c r="F44" s="4">
        <f ca="1">SUBTOTAL(109,Table13[Inflows])</f>
        <v>14277</v>
      </c>
      <c r="G44" s="4"/>
      <c r="J44" s="4"/>
      <c r="K44" s="4"/>
      <c r="L44" s="4"/>
      <c r="M44" s="25">
        <f ca="1">COUNTIF(Table13[Rand],1)/COUNT(Table13[Rand])</f>
        <v>0.73333333333333328</v>
      </c>
      <c r="O44" t="s">
        <v>10</v>
      </c>
      <c r="R44" s="27">
        <f ca="1">SUBTOTAL(109,Table137[$Return])</f>
        <v>-11133</v>
      </c>
      <c r="S44" s="4">
        <f ca="1">SUBTOTAL(109,Table137[Inflows])</f>
        <v>16640</v>
      </c>
      <c r="T44" s="4"/>
      <c r="W44" s="4"/>
      <c r="X44" s="4"/>
      <c r="Y44" s="4"/>
      <c r="Z44" s="25">
        <f ca="1">COUNTIF(Table137[Rand],1)/COUNT(Table137[Rand])</f>
        <v>0.4</v>
      </c>
      <c r="AB44" t="s">
        <v>10</v>
      </c>
      <c r="AE44" s="4">
        <f ca="1">SUBTOTAL(109,Table134[$Return])</f>
        <v>2723</v>
      </c>
      <c r="AF44" s="4">
        <f>SUBTOTAL(109,Table134[Inflows])</f>
        <v>0</v>
      </c>
      <c r="AG44" s="4"/>
      <c r="AJ44" s="4"/>
      <c r="AK44" s="4"/>
      <c r="AL44" s="4"/>
      <c r="AM44" s="25">
        <f ca="1">COUNTIF(Table134[Rand],1)/COUNT(Table134[Rand])</f>
        <v>0.6333333333333333</v>
      </c>
      <c r="AO44" t="s">
        <v>10</v>
      </c>
      <c r="AR44" s="4">
        <f ca="1">SUBTOTAL(109,Table1345[$Return])</f>
        <v>106482</v>
      </c>
      <c r="AS44" s="4">
        <f>SUBTOTAL(109,Table1345[Inflows])</f>
        <v>0</v>
      </c>
      <c r="AT44" s="4">
        <f ca="1">Table1345[[#Totals],[$Return]]-Table1345[[#Totals],[Inflows]]</f>
        <v>106482</v>
      </c>
      <c r="AW44" s="4">
        <f ca="1">SUBTOTAL(109,Table1345[30d_Sharpe])</f>
        <v>21.833987994035368</v>
      </c>
      <c r="AX44" s="4"/>
      <c r="AY44" s="4"/>
      <c r="AZ44" s="25">
        <f ca="1">COUNTIF(Table1345[Rand],1)/COUNT(Table1345[Rand])</f>
        <v>0.6</v>
      </c>
      <c r="BB44" t="s">
        <v>10</v>
      </c>
      <c r="BE44" s="4">
        <f>SUBTOTAL(109,Table13456[$Return])</f>
        <v>35000</v>
      </c>
      <c r="BF44" s="4">
        <f>SUBTOTAL(109,Table13456[Inflows])</f>
        <v>0</v>
      </c>
      <c r="BG44" s="4">
        <f>Table13456[[#Totals],[$Return]]-Table13456[[#Totals],[Inflows]]</f>
        <v>35000</v>
      </c>
      <c r="BJ44" s="4">
        <f ca="1">SUBTOTAL(109,Table13456[30d_Sharpe])</f>
        <v>17.227263244757083</v>
      </c>
      <c r="BK44" s="4"/>
      <c r="BL44" s="4"/>
      <c r="BM44" s="25">
        <f>COUNTIF(Table13456[Rand],1)/COUNT(Table13456[Rand])</f>
        <v>0.5</v>
      </c>
      <c r="BO44" t="s">
        <v>10</v>
      </c>
      <c r="BR44" s="4">
        <f>SUBTOTAL(109,Table134568[$Return])</f>
        <v>4997.3900000000031</v>
      </c>
      <c r="BS44" s="4">
        <f>SUBTOTAL(109,Table134568[Inflows])</f>
        <v>658157.09</v>
      </c>
      <c r="BT44" s="4">
        <f>Table134568[[#Totals],[$Return]]-Table134568[[#Totals],[Inflows]]</f>
        <v>-653159.69999999995</v>
      </c>
      <c r="BW44" s="4">
        <f ca="1">SUBTOTAL(109,Table134568[30d_Sharpe])</f>
        <v>26.435857625739455</v>
      </c>
      <c r="BX44" s="4"/>
      <c r="BY44" s="4"/>
      <c r="BZ44" s="25">
        <f>COUNTIF(Table134568[Rand],1)/COUNT(Table134568[Rand])</f>
        <v>0.56666666666666665</v>
      </c>
      <c r="CB44" t="s">
        <v>10</v>
      </c>
      <c r="CE44" s="4">
        <f>SUBTOTAL(109,Table1345689[$Return])</f>
        <v>359264.73000000004</v>
      </c>
      <c r="CF44" s="4">
        <f>SUBTOTAL(109,Table1345689[Inflows])</f>
        <v>0</v>
      </c>
      <c r="CG44" s="4">
        <f>Table1345689[[#Totals],[$Return]]-Table1345689[[#Totals],[Inflows]]</f>
        <v>359264.73000000004</v>
      </c>
      <c r="CJ44" s="4">
        <f ca="1">SUBTOTAL(109,Table1345689[30d_Sharpe])</f>
        <v>77.03605677148758</v>
      </c>
      <c r="CK44" s="4"/>
      <c r="CL44" s="4"/>
      <c r="CM44" s="25">
        <f>COUNTIF(Table1345689[Rand],1)/COUNT(Table1345689[Rand])</f>
        <v>0.93333333333333335</v>
      </c>
    </row>
  </sheetData>
  <conditionalFormatting sqref="G3:G9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{F31DBD1C-F45F-4777-AC28-A551387892AB}</x14:id>
        </ext>
      </extLst>
    </cfRule>
  </conditionalFormatting>
  <conditionalFormatting sqref="H3:H9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{168D9FF8-B479-4199-AFAB-14F4A98A6B6B}</x14:id>
        </ext>
      </extLst>
    </cfRule>
  </conditionalFormatting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31DBD1C-F45F-4777-AC28-A551387892A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G3:G9</xm:sqref>
        </x14:conditionalFormatting>
        <x14:conditionalFormatting xmlns:xm="http://schemas.microsoft.com/office/excel/2006/main">
          <x14:cfRule type="dataBar" id="{168D9FF8-B479-4199-AFAB-14F4A98A6B6B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H3:H9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48413-9C9B-41D7-BC88-EAF7DE42D19B}">
  <dimension ref="B4:O32"/>
  <sheetViews>
    <sheetView topLeftCell="C1" workbookViewId="0">
      <selection activeCell="K2" sqref="K2"/>
    </sheetView>
  </sheetViews>
  <sheetFormatPr defaultRowHeight="14.25" x14ac:dyDescent="0.45"/>
  <cols>
    <col min="3" max="3" width="6.265625" customWidth="1"/>
    <col min="4" max="6" width="11" bestFit="1" customWidth="1"/>
    <col min="8" max="8" width="10.59765625" customWidth="1"/>
    <col min="9" max="9" width="13.59765625" bestFit="1" customWidth="1"/>
    <col min="10" max="12" width="13.59765625" customWidth="1"/>
    <col min="13" max="13" width="7.265625" customWidth="1"/>
  </cols>
  <sheetData>
    <row r="4" spans="2:15" x14ac:dyDescent="0.45">
      <c r="B4" t="s">
        <v>7</v>
      </c>
      <c r="C4" t="s">
        <v>6</v>
      </c>
      <c r="D4" t="s">
        <v>0</v>
      </c>
      <c r="E4" t="s">
        <v>2</v>
      </c>
      <c r="F4" t="s">
        <v>4</v>
      </c>
      <c r="G4" t="s">
        <v>1</v>
      </c>
      <c r="H4" t="s">
        <v>3</v>
      </c>
      <c r="I4" t="s">
        <v>8</v>
      </c>
      <c r="J4" t="s">
        <v>12</v>
      </c>
      <c r="K4" t="s">
        <v>11</v>
      </c>
      <c r="L4" t="s">
        <v>9</v>
      </c>
      <c r="M4" t="s">
        <v>5</v>
      </c>
    </row>
    <row r="5" spans="2:15" x14ac:dyDescent="0.45">
      <c r="B5" s="6">
        <f ca="1">TODAY()</f>
        <v>45598</v>
      </c>
      <c r="C5">
        <v>1</v>
      </c>
      <c r="D5" s="3">
        <v>100000</v>
      </c>
      <c r="E5" s="8">
        <f ca="1">RANDBETWEEN(0,10000)*Table1[[#This Row],[Rand]]</f>
        <v>255</v>
      </c>
      <c r="F5" s="3">
        <f t="shared" ref="F5:F30" ca="1" si="0">RANDBETWEEN(0,1000)</f>
        <v>710</v>
      </c>
      <c r="G5" s="7">
        <f ca="1">Table1[[#This Row],[$Return]]/AVERAGE(Table1[[#This Row],[Starting]],Table1[[#This Row],[Starting]]+Table1[[#This Row],[Inflows]])</f>
        <v>2.5409795226944347E-3</v>
      </c>
      <c r="H5" s="4">
        <f t="shared" ref="H5:H16" ca="1" si="1">D5+E5+F5</f>
        <v>100965</v>
      </c>
      <c r="I5" s="5">
        <f ca="1">100*(1+Table1[[#This Row],[Return]])</f>
        <v>100.25409795226945</v>
      </c>
      <c r="J5" s="9" t="e">
        <f ca="1">AVERAGE($G$5:G5)/STDEV($G$5:G5)</f>
        <v>#DIV/0!</v>
      </c>
      <c r="K5" s="8">
        <f ca="1">-Table1[[#This Row],[Starting]]-Table1[[#This Row],[Inflows]]+Table1[[#This Row],[$Return]]</f>
        <v>-100455</v>
      </c>
      <c r="L5" s="1"/>
      <c r="M5">
        <v>1</v>
      </c>
      <c r="O5" s="4">
        <f ca="1">-Table1[[#This Row],[Starting]]+Table1[[#This Row],[$Return]]-Table1[[#This Row],[Inflows]]</f>
        <v>-100455</v>
      </c>
    </row>
    <row r="6" spans="2:15" x14ac:dyDescent="0.45">
      <c r="B6" s="6">
        <f ca="1">B5+1</f>
        <v>45599</v>
      </c>
      <c r="C6">
        <f ca="1">B6-$B$5+1</f>
        <v>2</v>
      </c>
      <c r="D6" s="3">
        <f ca="1">H5</f>
        <v>100965</v>
      </c>
      <c r="E6" s="8">
        <f ca="1">RANDBETWEEN(0,10000)*Table1[[#This Row],[Rand]]</f>
        <v>2274</v>
      </c>
      <c r="F6" s="3">
        <f t="shared" ca="1" si="0"/>
        <v>731</v>
      </c>
      <c r="G6" s="7">
        <f ca="1">Table1[[#This Row],[$Return]]/AVERAGE(Table1[[#This Row],[Starting]],Table1[[#This Row],[Starting]]+Table1[[#This Row],[Inflows]])</f>
        <v>2.2441416947513334E-2</v>
      </c>
      <c r="H6" s="4">
        <f t="shared" ca="1" si="1"/>
        <v>103970</v>
      </c>
      <c r="I6" s="5">
        <f ca="1">100*(1+Table1[[#This Row],[Return]])</f>
        <v>102.24414169475133</v>
      </c>
      <c r="J6" s="10">
        <f ca="1">AVERAGE($G$5:G6)/STDEV($G$5:G6)</f>
        <v>0.88768008347110705</v>
      </c>
      <c r="K6" s="8">
        <f ca="1">-Table1[[#This Row],[Inflows]]+Table1[[#This Row],[$Return]]</f>
        <v>1543</v>
      </c>
      <c r="L6" s="1"/>
      <c r="M6">
        <v>1</v>
      </c>
      <c r="O6" s="4">
        <f ca="1">Table1[[#This Row],[$Return]]-Table1[[#This Row],[Inflows]]</f>
        <v>1543</v>
      </c>
    </row>
    <row r="7" spans="2:15" x14ac:dyDescent="0.45">
      <c r="B7" s="6">
        <f t="shared" ref="B7:B16" ca="1" si="2">B6+1</f>
        <v>45600</v>
      </c>
      <c r="C7">
        <f t="shared" ref="C7:C30" ca="1" si="3">B7-$B$5+1</f>
        <v>3</v>
      </c>
      <c r="D7" s="3">
        <f t="shared" ref="D7:D16" ca="1" si="4">H6</f>
        <v>103970</v>
      </c>
      <c r="E7" s="8">
        <f ca="1">RANDBETWEEN(0,10000)*Table1[[#This Row],[Rand]]</f>
        <v>-9772</v>
      </c>
      <c r="F7" s="3">
        <f t="shared" ca="1" si="0"/>
        <v>861</v>
      </c>
      <c r="G7" s="7">
        <f ca="1">Table1[[#This Row],[$Return]]/AVERAGE(Table1[[#This Row],[Starting]],Table1[[#This Row],[Starting]]+Table1[[#This Row],[Inflows]])</f>
        <v>-9.3601084285994798E-2</v>
      </c>
      <c r="H7" s="4">
        <f t="shared" ca="1" si="1"/>
        <v>95059</v>
      </c>
      <c r="I7" s="5">
        <f ca="1">100*(1+Table1[[#This Row],[Return]])</f>
        <v>90.639891571400526</v>
      </c>
      <c r="J7" s="10">
        <f ca="1">AVERAGE($G$5:G7)/STDEV($G$5:G7)</f>
        <v>-0.36858872437391088</v>
      </c>
      <c r="K7" s="8">
        <f ca="1">-Table1[[#This Row],[Inflows]]+Table1[[#This Row],[$Return]]</f>
        <v>-10633</v>
      </c>
      <c r="L7" s="1"/>
      <c r="M7">
        <v>-1</v>
      </c>
      <c r="O7" s="4">
        <f ca="1">Table1[[#This Row],[$Return]]-Table1[[#This Row],[Inflows]]</f>
        <v>-10633</v>
      </c>
    </row>
    <row r="8" spans="2:15" x14ac:dyDescent="0.45">
      <c r="B8" s="6">
        <f t="shared" ca="1" si="2"/>
        <v>45601</v>
      </c>
      <c r="C8">
        <f t="shared" ca="1" si="3"/>
        <v>4</v>
      </c>
      <c r="D8" s="3">
        <f t="shared" ca="1" si="4"/>
        <v>95059</v>
      </c>
      <c r="E8" s="8">
        <f ca="1">RANDBETWEEN(0,10000)*Table1[[#This Row],[Rand]]</f>
        <v>3509</v>
      </c>
      <c r="F8" s="3">
        <f t="shared" ca="1" si="0"/>
        <v>968</v>
      </c>
      <c r="G8" s="7">
        <f ca="1">Table1[[#This Row],[$Return]]/AVERAGE(Table1[[#This Row],[Starting]],Table1[[#This Row],[Starting]]+Table1[[#This Row],[Inflows]])</f>
        <v>3.6726918769559254E-2</v>
      </c>
      <c r="H8" s="4">
        <f t="shared" ca="1" si="1"/>
        <v>99536</v>
      </c>
      <c r="I8" s="5">
        <f ca="1">100*(1+Table1[[#This Row],[Return]])</f>
        <v>103.67269187695594</v>
      </c>
      <c r="J8" s="10">
        <f ca="1">AVERAGE($G$5:G8)/STDEV($G$5:G8)</f>
        <v>-0.13563668337761428</v>
      </c>
      <c r="K8" s="8">
        <f ca="1">-Table1[[#This Row],[Inflows]]+Table1[[#This Row],[$Return]]</f>
        <v>2541</v>
      </c>
      <c r="L8" s="1"/>
      <c r="M8">
        <v>1</v>
      </c>
      <c r="O8" s="4">
        <f ca="1">Table1[[#This Row],[$Return]]-Table1[[#This Row],[Inflows]]</f>
        <v>2541</v>
      </c>
    </row>
    <row r="9" spans="2:15" x14ac:dyDescent="0.45">
      <c r="B9" s="6">
        <f t="shared" ca="1" si="2"/>
        <v>45602</v>
      </c>
      <c r="C9">
        <f t="shared" ca="1" si="3"/>
        <v>5</v>
      </c>
      <c r="D9" s="3">
        <f t="shared" ca="1" si="4"/>
        <v>99536</v>
      </c>
      <c r="E9" s="8">
        <f ca="1">RANDBETWEEN(0,10000)*Table1[[#This Row],[Rand]]</f>
        <v>-3997</v>
      </c>
      <c r="F9" s="3">
        <f t="shared" ca="1" si="0"/>
        <v>278</v>
      </c>
      <c r="G9" s="7">
        <f ca="1">Table1[[#This Row],[$Return]]/AVERAGE(Table1[[#This Row],[Starting]],Table1[[#This Row],[Starting]]+Table1[[#This Row],[Inflows]])</f>
        <v>-4.0100326059694005E-2</v>
      </c>
      <c r="H9" s="4">
        <f t="shared" ca="1" si="1"/>
        <v>95817</v>
      </c>
      <c r="I9" s="5">
        <f ca="1">100*(1+Table1[[#This Row],[Return]])</f>
        <v>95.9899673940306</v>
      </c>
      <c r="J9" s="10">
        <f ca="1">AVERAGE($G$5:G9)/STDEV($G$5:G9)</f>
        <v>-0.27220703947151836</v>
      </c>
      <c r="K9" s="8">
        <f ca="1">-Table1[[#This Row],[Inflows]]+Table1[[#This Row],[$Return]]</f>
        <v>-4275</v>
      </c>
      <c r="L9" s="1"/>
      <c r="M9">
        <v>-1</v>
      </c>
      <c r="O9" s="4">
        <f ca="1">Table1[[#This Row],[$Return]]-Table1[[#This Row],[Inflows]]</f>
        <v>-4275</v>
      </c>
    </row>
    <row r="10" spans="2:15" x14ac:dyDescent="0.45">
      <c r="B10" s="6">
        <f t="shared" ca="1" si="2"/>
        <v>45603</v>
      </c>
      <c r="C10">
        <f t="shared" ca="1" si="3"/>
        <v>6</v>
      </c>
      <c r="D10" s="3">
        <f t="shared" ca="1" si="4"/>
        <v>95817</v>
      </c>
      <c r="E10" s="8">
        <f ca="1">RANDBETWEEN(0,10000)*Table1[[#This Row],[Rand]]</f>
        <v>-6405</v>
      </c>
      <c r="F10" s="3">
        <f t="shared" ca="1" si="0"/>
        <v>689</v>
      </c>
      <c r="G10" s="7">
        <f ca="1">Table1[[#This Row],[$Return]]/AVERAGE(Table1[[#This Row],[Starting]],Table1[[#This Row],[Starting]]+Table1[[#This Row],[Inflows]])</f>
        <v>-6.6606698106830703E-2</v>
      </c>
      <c r="H10" s="4">
        <f t="shared" ca="1" si="1"/>
        <v>90101</v>
      </c>
      <c r="I10" s="5">
        <f ca="1">100*(1+Table1[[#This Row],[Return]])</f>
        <v>93.339330189316925</v>
      </c>
      <c r="J10" s="10">
        <f ca="1">AVERAGE($G$5:G10)/STDEV($G$5:G10)</f>
        <v>-0.44516650527173462</v>
      </c>
      <c r="K10" s="8">
        <f ca="1">-Table1[[#This Row],[Inflows]]+Table1[[#This Row],[$Return]]</f>
        <v>-7094</v>
      </c>
      <c r="L10" s="1"/>
      <c r="M10">
        <v>-1</v>
      </c>
      <c r="O10" s="4">
        <f ca="1">Table1[[#This Row],[$Return]]-Table1[[#This Row],[Inflows]]</f>
        <v>-7094</v>
      </c>
    </row>
    <row r="11" spans="2:15" x14ac:dyDescent="0.45">
      <c r="B11" s="6">
        <f t="shared" ca="1" si="2"/>
        <v>45604</v>
      </c>
      <c r="C11">
        <f t="shared" ca="1" si="3"/>
        <v>7</v>
      </c>
      <c r="D11" s="3">
        <f t="shared" ca="1" si="4"/>
        <v>90101</v>
      </c>
      <c r="E11" s="8">
        <f ca="1">RANDBETWEEN(0,10000)*Table1[[#This Row],[Rand]]</f>
        <v>7235</v>
      </c>
      <c r="F11" s="3">
        <f t="shared" ca="1" si="0"/>
        <v>368</v>
      </c>
      <c r="G11" s="7">
        <f ca="1">Table1[[#This Row],[$Return]]/AVERAGE(Table1[[#This Row],[Starting]],Table1[[#This Row],[Starting]]+Table1[[#This Row],[Inflows]])</f>
        <v>8.0135127651326354E-2</v>
      </c>
      <c r="H11" s="4">
        <f t="shared" ca="1" si="1"/>
        <v>97704</v>
      </c>
      <c r="I11" s="5">
        <f ca="1">100*(1+Table1[[#This Row],[Return]])</f>
        <v>108.01351276513262</v>
      </c>
      <c r="J11" s="10">
        <f ca="1">AVERAGE($G$5:G11)/STDEV($G$5:G11)</f>
        <v>-0.13609092198166581</v>
      </c>
      <c r="K11" s="8">
        <f ca="1">-Table1[[#This Row],[Inflows]]+Table1[[#This Row],[$Return]]</f>
        <v>6867</v>
      </c>
      <c r="L11" s="1"/>
      <c r="M11">
        <v>1</v>
      </c>
      <c r="O11" s="4">
        <f ca="1">Table1[[#This Row],[$Return]]-Table1[[#This Row],[Inflows]]</f>
        <v>6867</v>
      </c>
    </row>
    <row r="12" spans="2:15" x14ac:dyDescent="0.45">
      <c r="B12" s="6">
        <f t="shared" ca="1" si="2"/>
        <v>45605</v>
      </c>
      <c r="C12">
        <f t="shared" ca="1" si="3"/>
        <v>8</v>
      </c>
      <c r="D12" s="3">
        <f t="shared" ca="1" si="4"/>
        <v>97704</v>
      </c>
      <c r="E12" s="8">
        <f ca="1">RANDBETWEEN(0,10000)*Table1[[#This Row],[Rand]]</f>
        <v>-3704</v>
      </c>
      <c r="F12" s="3">
        <f t="shared" ca="1" si="0"/>
        <v>742</v>
      </c>
      <c r="G12" s="7">
        <f ca="1">Table1[[#This Row],[$Return]]/AVERAGE(Table1[[#This Row],[Starting]],Table1[[#This Row],[Starting]]+Table1[[#This Row],[Inflows]])</f>
        <v>-3.7767015039510576E-2</v>
      </c>
      <c r="H12" s="4">
        <f t="shared" ca="1" si="1"/>
        <v>94742</v>
      </c>
      <c r="I12" s="5">
        <f ca="1">100*(1+Table1[[#This Row],[Return]])</f>
        <v>96.22329849604894</v>
      </c>
      <c r="J12" s="10">
        <f ca="1">AVERAGE($G$5:G12)/STDEV($G$5:G12)</f>
        <v>-0.20824871528545572</v>
      </c>
      <c r="K12" s="8">
        <f ca="1">-Table1[[#This Row],[Inflows]]+Table1[[#This Row],[$Return]]</f>
        <v>-4446</v>
      </c>
      <c r="L12" s="1"/>
      <c r="M12">
        <v>-1</v>
      </c>
      <c r="O12" s="4">
        <f ca="1">Table1[[#This Row],[$Return]]-Table1[[#This Row],[Inflows]]</f>
        <v>-4446</v>
      </c>
    </row>
    <row r="13" spans="2:15" x14ac:dyDescent="0.45">
      <c r="B13" s="6">
        <f t="shared" ca="1" si="2"/>
        <v>45606</v>
      </c>
      <c r="C13">
        <f t="shared" ca="1" si="3"/>
        <v>9</v>
      </c>
      <c r="D13" s="3">
        <f t="shared" ca="1" si="4"/>
        <v>94742</v>
      </c>
      <c r="E13" s="8">
        <f ca="1">RANDBETWEEN(0,10000)*Table1[[#This Row],[Rand]]</f>
        <v>2905</v>
      </c>
      <c r="F13" s="3">
        <f t="shared" ca="1" si="0"/>
        <v>858</v>
      </c>
      <c r="G13" s="7">
        <f ca="1">Table1[[#This Row],[$Return]]/AVERAGE(Table1[[#This Row],[Starting]],Table1[[#This Row],[Starting]]+Table1[[#This Row],[Inflows]])</f>
        <v>3.0524004160931376E-2</v>
      </c>
      <c r="H13" s="4">
        <f t="shared" ca="1" si="1"/>
        <v>98505</v>
      </c>
      <c r="I13" s="5">
        <f ca="1">100*(1+Table1[[#This Row],[Return]])</f>
        <v>103.05240041609314</v>
      </c>
      <c r="J13" s="10">
        <f ca="1">AVERAGE($G$5:G13)/STDEV($G$5:G13)</f>
        <v>-0.13069224180385247</v>
      </c>
      <c r="K13" s="8">
        <f ca="1">-Table1[[#This Row],[Inflows]]+Table1[[#This Row],[$Return]]</f>
        <v>2047</v>
      </c>
      <c r="L13" s="1"/>
      <c r="M13">
        <v>1</v>
      </c>
      <c r="O13" s="4">
        <f ca="1">Table1[[#This Row],[$Return]]-Table1[[#This Row],[Inflows]]</f>
        <v>2047</v>
      </c>
    </row>
    <row r="14" spans="2:15" x14ac:dyDescent="0.45">
      <c r="B14" s="6">
        <f t="shared" ca="1" si="2"/>
        <v>45607</v>
      </c>
      <c r="C14">
        <f t="shared" ca="1" si="3"/>
        <v>10</v>
      </c>
      <c r="D14" s="3">
        <f t="shared" ca="1" si="4"/>
        <v>98505</v>
      </c>
      <c r="E14" s="8">
        <f ca="1">RANDBETWEEN(0,10000)*Table1[[#This Row],[Rand]]</f>
        <v>9490</v>
      </c>
      <c r="F14" s="3">
        <f t="shared" ca="1" si="0"/>
        <v>775</v>
      </c>
      <c r="G14" s="7">
        <f ca="1">Table1[[#This Row],[$Return]]/AVERAGE(Table1[[#This Row],[Starting]],Table1[[#This Row],[Starting]]+Table1[[#This Row],[Inflows]])</f>
        <v>9.596278787572364E-2</v>
      </c>
      <c r="H14" s="4">
        <f t="shared" ca="1" si="1"/>
        <v>108770</v>
      </c>
      <c r="I14" s="5">
        <f ca="1">100*(1+Table1[[#This Row],[Return]])</f>
        <v>109.59627878757236</v>
      </c>
      <c r="J14" s="10">
        <f ca="1">AVERAGE($G$5:G14)/STDEV($G$5:G14)</f>
        <v>4.8824455413943174E-2</v>
      </c>
      <c r="K14" s="8">
        <f ca="1">-Table1[[#This Row],[Inflows]]+Table1[[#This Row],[$Return]]</f>
        <v>8715</v>
      </c>
      <c r="L14" s="1"/>
      <c r="M14">
        <v>1</v>
      </c>
      <c r="O14" s="4">
        <f ca="1">Table1[[#This Row],[$Return]]-Table1[[#This Row],[Inflows]]</f>
        <v>8715</v>
      </c>
    </row>
    <row r="15" spans="2:15" x14ac:dyDescent="0.45">
      <c r="B15" s="6">
        <f t="shared" ca="1" si="2"/>
        <v>45608</v>
      </c>
      <c r="C15">
        <f t="shared" ca="1" si="3"/>
        <v>11</v>
      </c>
      <c r="D15" s="3">
        <f t="shared" ca="1" si="4"/>
        <v>108770</v>
      </c>
      <c r="E15" s="8">
        <f ca="1">RANDBETWEEN(0,10000)*Table1[[#This Row],[Rand]]</f>
        <v>-6864</v>
      </c>
      <c r="F15" s="3">
        <f t="shared" ca="1" si="0"/>
        <v>848</v>
      </c>
      <c r="G15" s="7">
        <f ca="1">Table1[[#This Row],[$Return]]/AVERAGE(Table1[[#This Row],[Starting]],Table1[[#This Row],[Starting]]+Table1[[#This Row],[Inflows]])</f>
        <v>-6.2860596736084406E-2</v>
      </c>
      <c r="H15" s="4">
        <f t="shared" ca="1" si="1"/>
        <v>102754</v>
      </c>
      <c r="I15" s="5">
        <f ca="1">100*(1+Table1[[#This Row],[Return]])</f>
        <v>93.713940326391551</v>
      </c>
      <c r="J15" s="10">
        <f ca="1">AVERAGE($G$5:G15)/STDEV($G$5:G15)</f>
        <v>-4.776495708719522E-2</v>
      </c>
      <c r="K15" s="8">
        <f ca="1">-Table1[[#This Row],[Inflows]]+Table1[[#This Row],[$Return]]</f>
        <v>-7712</v>
      </c>
      <c r="L15" s="1"/>
      <c r="M15">
        <v>-1</v>
      </c>
      <c r="O15" s="4">
        <f ca="1">Table1[[#This Row],[$Return]]-Table1[[#This Row],[Inflows]]</f>
        <v>-7712</v>
      </c>
    </row>
    <row r="16" spans="2:15" x14ac:dyDescent="0.45">
      <c r="B16" s="6">
        <f t="shared" ca="1" si="2"/>
        <v>45609</v>
      </c>
      <c r="C16">
        <f t="shared" ca="1" si="3"/>
        <v>12</v>
      </c>
      <c r="D16" s="3">
        <f t="shared" ca="1" si="4"/>
        <v>102754</v>
      </c>
      <c r="E16" s="8">
        <f ca="1">RANDBETWEEN(0,10000)*Table1[[#This Row],[Rand]]</f>
        <v>3141</v>
      </c>
      <c r="F16" s="3">
        <f t="shared" ca="1" si="0"/>
        <v>812</v>
      </c>
      <c r="G16" s="7">
        <f ca="1">Table1[[#This Row],[$Return]]/AVERAGE(Table1[[#This Row],[Starting]],Table1[[#This Row],[Starting]]+Table1[[#This Row],[Inflows]])</f>
        <v>3.0447848003101977E-2</v>
      </c>
      <c r="H16" s="4">
        <f t="shared" ca="1" si="1"/>
        <v>106707</v>
      </c>
      <c r="I16" s="5">
        <f ca="1">100*(1+Table1[[#This Row],[Return]])</f>
        <v>103.04478480031021</v>
      </c>
      <c r="J16" s="10">
        <f ca="1">AVERAGE($G$5:G16)/STDEV($G$5:G16)</f>
        <v>-2.9979316502494677E-3</v>
      </c>
      <c r="K16" s="8">
        <f ca="1">-Table1[[#This Row],[Inflows]]+Table1[[#This Row],[$Return]]</f>
        <v>2329</v>
      </c>
      <c r="L16" s="1"/>
      <c r="M16">
        <v>1</v>
      </c>
      <c r="O16" s="4">
        <f ca="1">Table1[[#This Row],[$Return]]-Table1[[#This Row],[Inflows]]</f>
        <v>2329</v>
      </c>
    </row>
    <row r="17" spans="2:15" x14ac:dyDescent="0.45">
      <c r="B17" s="6">
        <f t="shared" ref="B17:B30" ca="1" si="5">B16+1</f>
        <v>45610</v>
      </c>
      <c r="C17">
        <f t="shared" ca="1" si="3"/>
        <v>13</v>
      </c>
      <c r="D17" s="3">
        <f t="shared" ref="D17:D30" ca="1" si="6">H16</f>
        <v>106707</v>
      </c>
      <c r="E17" s="8">
        <f ca="1">RANDBETWEEN(0,10000)*Table1[[#This Row],[Rand]]</f>
        <v>5313</v>
      </c>
      <c r="F17" s="3">
        <f t="shared" ca="1" si="0"/>
        <v>222</v>
      </c>
      <c r="G17" s="7">
        <f ca="1">Table1[[#This Row],[$Return]]/AVERAGE(Table1[[#This Row],[Starting]],Table1[[#This Row],[Starting]]+Table1[[#This Row],[Inflows]])</f>
        <v>4.9738808066056281E-2</v>
      </c>
      <c r="H17" s="4">
        <f t="shared" ref="H17:H30" ca="1" si="7">D17+E17+F17</f>
        <v>112242</v>
      </c>
      <c r="I17" s="5">
        <f ca="1">100*(1+Table1[[#This Row],[Return]])</f>
        <v>104.97388080660564</v>
      </c>
      <c r="J17" s="10">
        <f ca="1">AVERAGE($G$5:G17)/STDEV($G$5:G17)</f>
        <v>6.199261854180721E-2</v>
      </c>
      <c r="K17" s="8">
        <f ca="1">-Table1[[#This Row],[Inflows]]+Table1[[#This Row],[$Return]]</f>
        <v>5091</v>
      </c>
      <c r="L17" s="1"/>
      <c r="M17">
        <v>1</v>
      </c>
      <c r="O17" s="4">
        <f ca="1">Table1[[#This Row],[$Return]]-Table1[[#This Row],[Inflows]]</f>
        <v>5091</v>
      </c>
    </row>
    <row r="18" spans="2:15" x14ac:dyDescent="0.45">
      <c r="B18" s="6">
        <f t="shared" ca="1" si="5"/>
        <v>45611</v>
      </c>
      <c r="C18">
        <f t="shared" ca="1" si="3"/>
        <v>14</v>
      </c>
      <c r="D18" s="3">
        <f t="shared" ca="1" si="6"/>
        <v>112242</v>
      </c>
      <c r="E18" s="8">
        <f ca="1">RANDBETWEEN(0,10000)*Table1[[#This Row],[Rand]]</f>
        <v>7684</v>
      </c>
      <c r="F18" s="3">
        <f t="shared" ca="1" si="0"/>
        <v>905</v>
      </c>
      <c r="G18" s="7">
        <f ca="1">Table1[[#This Row],[$Return]]/AVERAGE(Table1[[#This Row],[Starting]],Table1[[#This Row],[Starting]]+Table1[[#This Row],[Inflows]])</f>
        <v>6.8184339075997497E-2</v>
      </c>
      <c r="H18" s="4">
        <f t="shared" ca="1" si="7"/>
        <v>120831</v>
      </c>
      <c r="I18" s="5">
        <f ca="1">100*(1+Table1[[#This Row],[Return]])</f>
        <v>106.81843390759975</v>
      </c>
      <c r="J18" s="10">
        <f ca="1">AVERAGE($G$5:G18)/STDEV($G$5:G18)</f>
        <v>0.13946993318280912</v>
      </c>
      <c r="K18" s="8">
        <f ca="1">-Table1[[#This Row],[Inflows]]+Table1[[#This Row],[$Return]]</f>
        <v>6779</v>
      </c>
      <c r="L18" s="1"/>
      <c r="M18">
        <v>1</v>
      </c>
      <c r="O18" s="4">
        <f ca="1">Table1[[#This Row],[Starting]]+Table1[[#This Row],[$Return]]-Table1[[#This Row],[Inflows]]</f>
        <v>119021</v>
      </c>
    </row>
    <row r="19" spans="2:15" x14ac:dyDescent="0.45">
      <c r="B19" s="6">
        <f t="shared" ca="1" si="5"/>
        <v>45612</v>
      </c>
      <c r="C19">
        <f t="shared" ca="1" si="3"/>
        <v>15</v>
      </c>
      <c r="D19" s="3">
        <f t="shared" ca="1" si="6"/>
        <v>120831</v>
      </c>
      <c r="E19" s="8">
        <f ca="1">RANDBETWEEN(0,10000)*Table1[[#This Row],[Rand]]</f>
        <v>7234</v>
      </c>
      <c r="F19" s="3">
        <f t="shared" ca="1" si="0"/>
        <v>635</v>
      </c>
      <c r="G19" s="7">
        <f ca="1">Table1[[#This Row],[$Return]]/AVERAGE(Table1[[#This Row],[Starting]],Table1[[#This Row],[Starting]]+Table1[[#This Row],[Inflows]])</f>
        <v>5.9711841252677499E-2</v>
      </c>
      <c r="H19" s="4">
        <f t="shared" ca="1" si="7"/>
        <v>128700</v>
      </c>
      <c r="I19" s="5">
        <f ca="1">100*(1+Table1[[#This Row],[Return]])</f>
        <v>105.97118412526775</v>
      </c>
      <c r="J19" s="10">
        <f ca="1">AVERAGE($G$5:G19)/STDEV($G$5:G19)</f>
        <v>0.19944343753883598</v>
      </c>
      <c r="K19" s="8">
        <f ca="1">-Table1[[#This Row],[Inflows]]+Table1[[#This Row],[$Return]]</f>
        <v>6599</v>
      </c>
      <c r="L19" s="1"/>
      <c r="M19">
        <v>1</v>
      </c>
    </row>
    <row r="20" spans="2:15" x14ac:dyDescent="0.45">
      <c r="B20" s="6">
        <f t="shared" ca="1" si="5"/>
        <v>45613</v>
      </c>
      <c r="C20">
        <f t="shared" ca="1" si="3"/>
        <v>16</v>
      </c>
      <c r="D20" s="3">
        <f t="shared" ca="1" si="6"/>
        <v>128700</v>
      </c>
      <c r="E20" s="8">
        <f ca="1">RANDBETWEEN(0,10000)*Table1[[#This Row],[Rand]]</f>
        <v>-7959</v>
      </c>
      <c r="F20" s="3">
        <f t="shared" ca="1" si="0"/>
        <v>843</v>
      </c>
      <c r="G20" s="7">
        <f ca="1">Table1[[#This Row],[$Return]]/AVERAGE(Table1[[#This Row],[Starting]],Table1[[#This Row],[Starting]]+Table1[[#This Row],[Inflows]])</f>
        <v>-6.1639618498855728E-2</v>
      </c>
      <c r="H20" s="4">
        <f t="shared" ca="1" si="7"/>
        <v>121584</v>
      </c>
      <c r="I20" s="5">
        <f ca="1">100*(1+Table1[[#This Row],[Return]])</f>
        <v>93.836038150114433</v>
      </c>
      <c r="J20" s="10">
        <f ca="1">AVERAGE($G$5:G20)/STDEV($G$5:G20)</f>
        <v>0.11945936614327754</v>
      </c>
      <c r="K20" s="8">
        <f ca="1">-Table1[[#This Row],[Inflows]]+Table1[[#This Row],[$Return]]</f>
        <v>-8802</v>
      </c>
      <c r="L20" s="1"/>
      <c r="M20">
        <v>-1</v>
      </c>
    </row>
    <row r="21" spans="2:15" x14ac:dyDescent="0.45">
      <c r="B21" s="6">
        <f t="shared" ca="1" si="5"/>
        <v>45614</v>
      </c>
      <c r="C21">
        <f t="shared" ca="1" si="3"/>
        <v>17</v>
      </c>
      <c r="D21" s="3">
        <f t="shared" ca="1" si="6"/>
        <v>121584</v>
      </c>
      <c r="E21" s="8">
        <f ca="1">RANDBETWEEN(0,10000)*Table1[[#This Row],[Rand]]</f>
        <v>-9327</v>
      </c>
      <c r="F21" s="3">
        <f t="shared" ca="1" si="0"/>
        <v>773</v>
      </c>
      <c r="G21" s="7">
        <f ca="1">Table1[[#This Row],[$Return]]/AVERAGE(Table1[[#This Row],[Starting]],Table1[[#This Row],[Starting]]+Table1[[#This Row],[Inflows]])</f>
        <v>-7.646931020205705E-2</v>
      </c>
      <c r="H21" s="4">
        <f t="shared" ca="1" si="7"/>
        <v>113030</v>
      </c>
      <c r="I21" s="5">
        <f ca="1">100*(1+Table1[[#This Row],[Return]])</f>
        <v>92.353068979794301</v>
      </c>
      <c r="J21" s="10">
        <f ca="1">AVERAGE($G$5:G21)/STDEV($G$5:G21)</f>
        <v>3.5960939539927843E-2</v>
      </c>
      <c r="K21" s="8">
        <f ca="1">-Table1[[#This Row],[Inflows]]+Table1[[#This Row],[$Return]]</f>
        <v>-10100</v>
      </c>
      <c r="L21" s="1"/>
      <c r="M21">
        <v>-1</v>
      </c>
    </row>
    <row r="22" spans="2:15" x14ac:dyDescent="0.45">
      <c r="B22" s="6">
        <f t="shared" ca="1" si="5"/>
        <v>45615</v>
      </c>
      <c r="C22">
        <f t="shared" ca="1" si="3"/>
        <v>18</v>
      </c>
      <c r="D22" s="3">
        <f t="shared" ca="1" si="6"/>
        <v>113030</v>
      </c>
      <c r="E22" s="8">
        <f ca="1">RANDBETWEEN(0,10000)*Table1[[#This Row],[Rand]]</f>
        <v>6416</v>
      </c>
      <c r="F22" s="3">
        <f t="shared" ca="1" si="0"/>
        <v>111</v>
      </c>
      <c r="G22" s="7">
        <f ca="1">Table1[[#This Row],[$Return]]/AVERAGE(Table1[[#This Row],[Starting]],Table1[[#This Row],[Starting]]+Table1[[#This Row],[Inflows]])</f>
        <v>5.673583262221947E-2</v>
      </c>
      <c r="H22" s="4">
        <f t="shared" ca="1" si="7"/>
        <v>119557</v>
      </c>
      <c r="I22" s="5">
        <f ca="1">100*(1+Table1[[#This Row],[Return]])</f>
        <v>105.67358326222194</v>
      </c>
      <c r="J22" s="10">
        <f ca="1">AVERAGE($G$5:G22)/STDEV($G$5:G22)</f>
        <v>8.6158632590721748E-2</v>
      </c>
      <c r="K22" s="8">
        <f ca="1">-Table1[[#This Row],[Inflows]]+Table1[[#This Row],[$Return]]</f>
        <v>6305</v>
      </c>
      <c r="L22" s="1"/>
      <c r="M22">
        <v>1</v>
      </c>
    </row>
    <row r="23" spans="2:15" x14ac:dyDescent="0.45">
      <c r="B23" s="6">
        <f t="shared" ca="1" si="5"/>
        <v>45616</v>
      </c>
      <c r="C23">
        <f t="shared" ca="1" si="3"/>
        <v>19</v>
      </c>
      <c r="D23" s="3">
        <f t="shared" ca="1" si="6"/>
        <v>119557</v>
      </c>
      <c r="E23" s="8">
        <f ca="1">RANDBETWEEN(0,10000)*Table1[[#This Row],[Rand]]</f>
        <v>3299</v>
      </c>
      <c r="F23" s="3">
        <f t="shared" ca="1" si="0"/>
        <v>188</v>
      </c>
      <c r="G23" s="7">
        <f ca="1">Table1[[#This Row],[$Return]]/AVERAGE(Table1[[#This Row],[Starting]],Table1[[#This Row],[Starting]]+Table1[[#This Row],[Inflows]])</f>
        <v>2.7571854811075543E-2</v>
      </c>
      <c r="H23" s="4">
        <f t="shared" ca="1" si="7"/>
        <v>123044</v>
      </c>
      <c r="I23" s="5">
        <f ca="1">100*(1+Table1[[#This Row],[Return]])</f>
        <v>102.75718548110756</v>
      </c>
      <c r="J23" s="10">
        <f ca="1">AVERAGE($G$5:G23)/STDEV($G$5:G23)</f>
        <v>0.10819068800212799</v>
      </c>
      <c r="K23" s="8">
        <f ca="1">-Table1[[#This Row],[Inflows]]+Table1[[#This Row],[$Return]]</f>
        <v>3111</v>
      </c>
      <c r="L23" s="1"/>
      <c r="M23">
        <v>1</v>
      </c>
    </row>
    <row r="24" spans="2:15" x14ac:dyDescent="0.45">
      <c r="B24" s="6">
        <f t="shared" ca="1" si="5"/>
        <v>45617</v>
      </c>
      <c r="C24">
        <f t="shared" ca="1" si="3"/>
        <v>20</v>
      </c>
      <c r="D24" s="3">
        <f t="shared" ca="1" si="6"/>
        <v>123044</v>
      </c>
      <c r="E24" s="8">
        <f ca="1">RANDBETWEEN(0,10000)*Table1[[#This Row],[Rand]]</f>
        <v>-4171</v>
      </c>
      <c r="F24" s="3">
        <f t="shared" ca="1" si="0"/>
        <v>563</v>
      </c>
      <c r="G24" s="7">
        <f ca="1">Table1[[#This Row],[$Return]]/AVERAGE(Table1[[#This Row],[Starting]],Table1[[#This Row],[Starting]]+Table1[[#This Row],[Inflows]])</f>
        <v>-3.3821067013715733E-2</v>
      </c>
      <c r="H24" s="4">
        <f t="shared" ca="1" si="7"/>
        <v>119436</v>
      </c>
      <c r="I24" s="5">
        <f ca="1">100*(1+Table1[[#This Row],[Return]])</f>
        <v>96.617893298628417</v>
      </c>
      <c r="J24" s="10">
        <f ca="1">AVERAGE($G$5:G24)/STDEV($G$5:G24)</f>
        <v>7.5333414784871974E-2</v>
      </c>
      <c r="K24" s="8">
        <f ca="1">-Table1[[#This Row],[Inflows]]+Table1[[#This Row],[$Return]]</f>
        <v>-4734</v>
      </c>
      <c r="L24" s="1"/>
      <c r="M24">
        <v>-1</v>
      </c>
    </row>
    <row r="25" spans="2:15" x14ac:dyDescent="0.45">
      <c r="B25" s="6">
        <f t="shared" ca="1" si="5"/>
        <v>45618</v>
      </c>
      <c r="C25">
        <f t="shared" ca="1" si="3"/>
        <v>21</v>
      </c>
      <c r="D25" s="3">
        <f t="shared" ca="1" si="6"/>
        <v>119436</v>
      </c>
      <c r="E25" s="8">
        <f ca="1">RANDBETWEEN(0,10000)*Table1[[#This Row],[Rand]]</f>
        <v>7985</v>
      </c>
      <c r="F25" s="3">
        <f t="shared" ca="1" si="0"/>
        <v>253</v>
      </c>
      <c r="G25" s="7">
        <f ca="1">Table1[[#This Row],[$Return]]/AVERAGE(Table1[[#This Row],[Starting]],Table1[[#This Row],[Starting]]+Table1[[#This Row],[Inflows]])</f>
        <v>6.6785154208050188E-2</v>
      </c>
      <c r="H25" s="4">
        <f t="shared" ca="1" si="7"/>
        <v>127674</v>
      </c>
      <c r="I25" s="5">
        <f ca="1">100*(1+Table1[[#This Row],[Return]])</f>
        <v>106.67851542080501</v>
      </c>
      <c r="J25" s="10">
        <f ca="1">AVERAGE($G$5:G25)/STDEV($G$5:G25)</f>
        <v>0.12600076425740073</v>
      </c>
      <c r="K25" s="8">
        <f ca="1">-Table1[[#This Row],[Inflows]]+Table1[[#This Row],[$Return]]</f>
        <v>7732</v>
      </c>
      <c r="L25" s="1"/>
      <c r="M25">
        <v>1</v>
      </c>
    </row>
    <row r="26" spans="2:15" x14ac:dyDescent="0.45">
      <c r="B26" s="6">
        <f t="shared" ca="1" si="5"/>
        <v>45619</v>
      </c>
      <c r="C26">
        <f t="shared" ca="1" si="3"/>
        <v>22</v>
      </c>
      <c r="D26" s="3">
        <f t="shared" ca="1" si="6"/>
        <v>127674</v>
      </c>
      <c r="E26" s="8">
        <f ca="1">RANDBETWEEN(0,10000)*Table1[[#This Row],[Rand]]</f>
        <v>1505</v>
      </c>
      <c r="F26" s="3">
        <f t="shared" ca="1" si="0"/>
        <v>190</v>
      </c>
      <c r="G26" s="7">
        <f ca="1">Table1[[#This Row],[$Return]]/AVERAGE(Table1[[#This Row],[Starting]],Table1[[#This Row],[Starting]]+Table1[[#This Row],[Inflows]])</f>
        <v>1.1779070040463649E-2</v>
      </c>
      <c r="H26" s="4">
        <f t="shared" ca="1" si="7"/>
        <v>129369</v>
      </c>
      <c r="I26" s="5">
        <f ca="1">100*(1+Table1[[#This Row],[Return]])</f>
        <v>101.17790700404636</v>
      </c>
      <c r="J26" s="10">
        <f ca="1">AVERAGE($G$5:G26)/STDEV($G$5:G26)</f>
        <v>0.13261306489538102</v>
      </c>
      <c r="K26" s="8">
        <f ca="1">-Table1[[#This Row],[Inflows]]+Table1[[#This Row],[$Return]]</f>
        <v>1315</v>
      </c>
      <c r="L26" s="1"/>
      <c r="M26">
        <v>1</v>
      </c>
    </row>
    <row r="27" spans="2:15" x14ac:dyDescent="0.45">
      <c r="B27" s="6">
        <f t="shared" ca="1" si="5"/>
        <v>45620</v>
      </c>
      <c r="C27">
        <f t="shared" ca="1" si="3"/>
        <v>23</v>
      </c>
      <c r="D27" s="3">
        <f t="shared" ca="1" si="6"/>
        <v>129369</v>
      </c>
      <c r="E27" s="8">
        <f ca="1">RANDBETWEEN(0,10000)*Table1[[#This Row],[Rand]]</f>
        <v>-2570</v>
      </c>
      <c r="F27" s="3">
        <f t="shared" ca="1" si="0"/>
        <v>90</v>
      </c>
      <c r="G27" s="7">
        <f ca="1">Table1[[#This Row],[$Return]]/AVERAGE(Table1[[#This Row],[Starting]],Table1[[#This Row],[Starting]]+Table1[[#This Row],[Inflows]])</f>
        <v>-1.9858747894354552E-2</v>
      </c>
      <c r="H27" s="4">
        <f t="shared" ca="1" si="7"/>
        <v>126889</v>
      </c>
      <c r="I27" s="5">
        <f ca="1">100*(1+Table1[[#This Row],[Return]])</f>
        <v>98.014125210564544</v>
      </c>
      <c r="J27" s="10">
        <f ca="1">AVERAGE($G$5:G27)/STDEV($G$5:G27)</f>
        <v>0.11374244220843681</v>
      </c>
      <c r="K27" s="8">
        <f ca="1">-Table1[[#This Row],[Inflows]]+Table1[[#This Row],[$Return]]</f>
        <v>-2660</v>
      </c>
      <c r="L27" s="1"/>
      <c r="M27">
        <v>-1</v>
      </c>
    </row>
    <row r="28" spans="2:15" x14ac:dyDescent="0.45">
      <c r="B28" s="6">
        <f t="shared" ca="1" si="5"/>
        <v>45621</v>
      </c>
      <c r="C28">
        <f t="shared" ca="1" si="3"/>
        <v>24</v>
      </c>
      <c r="D28" s="3">
        <f t="shared" ca="1" si="6"/>
        <v>126889</v>
      </c>
      <c r="E28" s="8">
        <f ca="1">RANDBETWEEN(0,10000)*Table1[[#This Row],[Rand]]</f>
        <v>-3788</v>
      </c>
      <c r="F28" s="3">
        <f t="shared" ca="1" si="0"/>
        <v>581</v>
      </c>
      <c r="G28" s="7">
        <f ca="1">Table1[[#This Row],[$Return]]/AVERAGE(Table1[[#This Row],[Starting]],Table1[[#This Row],[Starting]]+Table1[[#This Row],[Inflows]])</f>
        <v>-2.9784674416867499E-2</v>
      </c>
      <c r="H28" s="4">
        <f t="shared" ca="1" si="7"/>
        <v>123682</v>
      </c>
      <c r="I28" s="5">
        <f ca="1">100*(1+Table1[[#This Row],[Return]])</f>
        <v>97.021532558313254</v>
      </c>
      <c r="J28" s="10">
        <f ca="1">AVERAGE($G$5:G28)/STDEV($G$5:G28)</f>
        <v>8.8008345519216699E-2</v>
      </c>
      <c r="K28" s="8">
        <f ca="1">-Table1[[#This Row],[Inflows]]+Table1[[#This Row],[$Return]]</f>
        <v>-4369</v>
      </c>
      <c r="L28" s="1"/>
      <c r="M28">
        <v>-1</v>
      </c>
    </row>
    <row r="29" spans="2:15" x14ac:dyDescent="0.45">
      <c r="B29" s="6">
        <f t="shared" ca="1" si="5"/>
        <v>45622</v>
      </c>
      <c r="C29">
        <f t="shared" ca="1" si="3"/>
        <v>25</v>
      </c>
      <c r="D29" s="3">
        <f t="shared" ca="1" si="6"/>
        <v>123682</v>
      </c>
      <c r="E29" s="8">
        <f ca="1">RANDBETWEEN(0,10000)*Table1[[#This Row],[Rand]]</f>
        <v>9181</v>
      </c>
      <c r="F29" s="3">
        <f t="shared" ca="1" si="0"/>
        <v>621</v>
      </c>
      <c r="G29" s="7">
        <f ca="1">Table1[[#This Row],[$Return]]/AVERAGE(Table1[[#This Row],[Starting]],Table1[[#This Row],[Starting]]+Table1[[#This Row],[Inflows]])</f>
        <v>7.4044801096840529E-2</v>
      </c>
      <c r="H29" s="4">
        <f t="shared" ca="1" si="7"/>
        <v>133484</v>
      </c>
      <c r="I29" s="5">
        <f ca="1">100*(1+Table1[[#This Row],[Return]])</f>
        <v>107.40448010968406</v>
      </c>
      <c r="J29" s="10">
        <f ca="1">AVERAGE($G$5:G29)/STDEV($G$5:G29)</f>
        <v>0.13663482510527597</v>
      </c>
      <c r="K29" s="8">
        <f ca="1">-Table1[[#This Row],[Inflows]]+Table1[[#This Row],[$Return]]</f>
        <v>8560</v>
      </c>
      <c r="L29" s="1"/>
      <c r="M29">
        <v>1</v>
      </c>
    </row>
    <row r="30" spans="2:15" x14ac:dyDescent="0.45">
      <c r="B30" s="6">
        <f t="shared" ca="1" si="5"/>
        <v>45623</v>
      </c>
      <c r="C30">
        <f t="shared" ca="1" si="3"/>
        <v>26</v>
      </c>
      <c r="D30" s="3">
        <f t="shared" ca="1" si="6"/>
        <v>133484</v>
      </c>
      <c r="E30" s="8">
        <f ca="1">RANDBETWEEN(0,10000)*Table1[[#This Row],[Rand]]</f>
        <v>6390</v>
      </c>
      <c r="F30" s="3">
        <f t="shared" ca="1" si="0"/>
        <v>19</v>
      </c>
      <c r="G30" s="7">
        <f ca="1">Table1[[#This Row],[$Return]]/AVERAGE(Table1[[#This Row],[Starting]],Table1[[#This Row],[Starting]]+Table1[[#This Row],[Inflows]])</f>
        <v>4.7867499166626089E-2</v>
      </c>
      <c r="H30" s="4">
        <f t="shared" ca="1" si="7"/>
        <v>139893</v>
      </c>
      <c r="I30" s="5">
        <f ca="1">100*(1+Table1[[#This Row],[Return]])</f>
        <v>104.78674991666261</v>
      </c>
      <c r="J30" s="10">
        <f ca="1">AVERAGE($G$5:G30)/STDEV($G$5:G30)</f>
        <v>0.1660086887181135</v>
      </c>
      <c r="K30" s="8">
        <f ca="1">100000+Table1[[#This Row],[$Return]]</f>
        <v>106390</v>
      </c>
      <c r="L30" s="2">
        <f ca="1">XIRR(Table1[IRR Gains],Table1[Date])*Table1[[#This Row],[Day]]/365</f>
        <v>0.21905540427116496</v>
      </c>
      <c r="M30">
        <v>1</v>
      </c>
    </row>
    <row r="31" spans="2:15" x14ac:dyDescent="0.45">
      <c r="B31" t="s">
        <v>10</v>
      </c>
      <c r="E31" s="4">
        <f ca="1">SUBTOTAL(109,Table1[$Return])</f>
        <v>25259</v>
      </c>
      <c r="F31" s="4">
        <f ca="1">SUBTOTAL(109,Table1[Inflows])</f>
        <v>14634</v>
      </c>
      <c r="G31" s="4">
        <f ca="1">Table1[[#Totals],[$Return]]-Table1[[#Totals],[Inflows]]</f>
        <v>10625</v>
      </c>
      <c r="J31" s="4" t="e">
        <f ca="1">SUBTOTAL(109,Table1[Sharpe])</f>
        <v>#DIV/0!</v>
      </c>
      <c r="K31" s="4">
        <f ca="1">SUBTOTAL(109,Table1[IRR Gains])</f>
        <v>10644</v>
      </c>
      <c r="M31">
        <f>COUNTIF(Table1[Rand],-1)</f>
        <v>10</v>
      </c>
    </row>
    <row r="32" spans="2:15" x14ac:dyDescent="0.45">
      <c r="K32" s="4">
        <f ca="1">Table1[[#Totals],[IRR Gains]]-Table1[[#Totals],[Return]]</f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HeadingPairs>
  <TitlesOfParts>
    <vt:vector size="15" baseType="lpstr">
      <vt:lpstr>Factors</vt:lpstr>
      <vt:lpstr>Example</vt:lpstr>
      <vt:lpstr>Version 2</vt:lpstr>
      <vt:lpstr>Version 1</vt:lpstr>
      <vt:lpstr>IRR</vt:lpstr>
      <vt:lpstr>'Version 2'!Historical_Wgt</vt:lpstr>
      <vt:lpstr>Historical_Wgt</vt:lpstr>
      <vt:lpstr>'Version 2'!LeadDays</vt:lpstr>
      <vt:lpstr>LeadDays</vt:lpstr>
      <vt:lpstr>'Version 2'!Sharpe_Wgt</vt:lpstr>
      <vt:lpstr>Sharpe_Wgt</vt:lpstr>
      <vt:lpstr>'Version 2'!SharpePeriod</vt:lpstr>
      <vt:lpstr>SharpePeriod</vt:lpstr>
      <vt:lpstr>'Version 2'!Today_Wgt</vt:lpstr>
      <vt:lpstr>Today_Wgt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Augustine Fan</dc:creator>
  <cp:lastModifiedBy>Augustine Fan</cp:lastModifiedBy>
  <dcterms:created xsi:type="dcterms:W3CDTF">2024-08-04T04:57:28Z</dcterms:created>
  <dcterms:modified xsi:type="dcterms:W3CDTF">2024-11-02T06:07:21Z</dcterms:modified>
</cp:coreProperties>
</file>