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Universidad_Maestria\Semestre_3\Administración de la configuración del software\Project\"/>
    </mc:Choice>
  </mc:AlternateContent>
  <xr:revisionPtr revIDLastSave="0" documentId="8_{42D920E9-D3F9-4D93-83C7-E771E04FDE48}" xr6:coauthVersionLast="47" xr6:coauthVersionMax="47" xr10:uidLastSave="{00000000-0000-0000-0000-000000000000}"/>
  <bookViews>
    <workbookView xWindow="-108" yWindow="-108" windowWidth="23256" windowHeight="12456" xr2:uid="{208855C3-8F3A-4726-B249-6D5749E193A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F24" i="1"/>
  <c r="L24" i="1" s="1"/>
  <c r="N24" i="1" s="1"/>
  <c r="G23" i="1"/>
  <c r="F23" i="1"/>
  <c r="L23" i="1" s="1"/>
  <c r="N23" i="1" s="1"/>
  <c r="G22" i="1"/>
  <c r="F22" i="1"/>
  <c r="L22" i="1" s="1"/>
  <c r="N22" i="1" s="1"/>
  <c r="G21" i="1"/>
  <c r="F21" i="1"/>
  <c r="L21" i="1" s="1"/>
  <c r="N21" i="1" s="1"/>
  <c r="M22" i="1"/>
  <c r="M23" i="1"/>
  <c r="M24" i="1"/>
  <c r="M21" i="1"/>
  <c r="J22" i="1"/>
  <c r="J23" i="1"/>
  <c r="J24" i="1"/>
  <c r="J21" i="1"/>
  <c r="I24" i="1"/>
  <c r="I23" i="1"/>
  <c r="I22" i="1"/>
  <c r="I21" i="1"/>
  <c r="M9" i="1"/>
  <c r="K9" i="1"/>
  <c r="M15" i="1"/>
  <c r="M16" i="1"/>
  <c r="M14" i="1"/>
  <c r="K17" i="1"/>
  <c r="M17" i="1" s="1"/>
  <c r="K16" i="1"/>
  <c r="K15" i="1"/>
  <c r="K14" i="1"/>
  <c r="I9" i="1"/>
  <c r="I7" i="1"/>
  <c r="C13" i="1"/>
  <c r="B13" i="1"/>
  <c r="C12" i="1"/>
  <c r="B12" i="1"/>
  <c r="H16" i="1"/>
  <c r="H17" i="1"/>
  <c r="G17" i="1"/>
  <c r="G16" i="1"/>
  <c r="G14" i="1"/>
  <c r="H14" i="1" s="1"/>
  <c r="G15" i="1"/>
  <c r="H15" i="1" s="1"/>
  <c r="K6" i="1"/>
  <c r="K5" i="1"/>
  <c r="K3" i="1"/>
  <c r="K4" i="1"/>
  <c r="J6" i="1"/>
  <c r="J5" i="1"/>
  <c r="J4" i="1"/>
  <c r="J3" i="1"/>
  <c r="C11" i="1"/>
  <c r="C10" i="1"/>
  <c r="C5" i="1"/>
  <c r="C4" i="1"/>
  <c r="C6" i="1"/>
  <c r="C7" i="1"/>
  <c r="C8" i="1"/>
  <c r="C3" i="1"/>
  <c r="B14" i="1"/>
  <c r="B15" i="1"/>
  <c r="B16" i="1" s="1"/>
  <c r="H24" i="1" l="1"/>
  <c r="H21" i="1"/>
  <c r="H22" i="1"/>
  <c r="H23" i="1"/>
  <c r="L5" i="1"/>
  <c r="M5" i="1" s="1"/>
  <c r="L3" i="1"/>
  <c r="M3" i="1" s="1"/>
  <c r="C14" i="1"/>
  <c r="C15" i="1"/>
  <c r="L9" i="1" l="1"/>
  <c r="J9" i="1"/>
  <c r="K7" i="1"/>
  <c r="L7" i="1" s="1"/>
  <c r="M7" i="1" s="1"/>
  <c r="J7" i="1" l="1"/>
</calcChain>
</file>

<file path=xl/sharedStrings.xml><?xml version="1.0" encoding="utf-8"?>
<sst xmlns="http://schemas.openxmlformats.org/spreadsheetml/2006/main" count="77" uniqueCount="56">
  <si>
    <t>Project Manager</t>
  </si>
  <si>
    <t>Year</t>
  </si>
  <si>
    <t>Montly</t>
  </si>
  <si>
    <t>Personnel:</t>
  </si>
  <si>
    <t>Finance advisor</t>
  </si>
  <si>
    <t>Legal adviser</t>
  </si>
  <si>
    <t>Senior developer</t>
  </si>
  <si>
    <t>Semi senior developer</t>
  </si>
  <si>
    <t>Junior developer</t>
  </si>
  <si>
    <t>Office and Services</t>
  </si>
  <si>
    <t>Office rent</t>
  </si>
  <si>
    <t>Services (water, internet, electricity)</t>
  </si>
  <si>
    <t>Total (Services and Office)</t>
  </si>
  <si>
    <t>Total (Personal, Office, Services)</t>
  </si>
  <si>
    <t>Monthly</t>
  </si>
  <si>
    <t>Total of the project</t>
  </si>
  <si>
    <t>Web Designer</t>
  </si>
  <si>
    <t>Graphic Designer</t>
  </si>
  <si>
    <t>Number of people</t>
  </si>
  <si>
    <t>Change Request</t>
  </si>
  <si>
    <t>CR 4</t>
  </si>
  <si>
    <t>Months work</t>
  </si>
  <si>
    <t>Software Engineer</t>
  </si>
  <si>
    <t>Sound Engineer</t>
  </si>
  <si>
    <t>CR3</t>
  </si>
  <si>
    <t xml:space="preserve"> </t>
  </si>
  <si>
    <t>CR 3</t>
  </si>
  <si>
    <t>CR 2</t>
  </si>
  <si>
    <t>CR 1</t>
  </si>
  <si>
    <t>Team</t>
  </si>
  <si>
    <t>Salary for change request</t>
  </si>
  <si>
    <t>Total</t>
  </si>
  <si>
    <t>Budget</t>
  </si>
  <si>
    <t>CR1</t>
  </si>
  <si>
    <t>CR2</t>
  </si>
  <si>
    <t>CR4</t>
  </si>
  <si>
    <t>Time</t>
  </si>
  <si>
    <t>Origin Time (Months)</t>
  </si>
  <si>
    <t>New Time (Months)</t>
  </si>
  <si>
    <t>Percentage</t>
  </si>
  <si>
    <t>Total (Team devoloper and Project Manager)</t>
  </si>
  <si>
    <t>Total (Personal legal and finance)</t>
  </si>
  <si>
    <t>Effort</t>
  </si>
  <si>
    <t>Human Resource</t>
  </si>
  <si>
    <t>Human Resources</t>
  </si>
  <si>
    <t>New Members</t>
  </si>
  <si>
    <t>Percentaje</t>
  </si>
  <si>
    <t>Team Members 
(Original Team)</t>
  </si>
  <si>
    <t>Change 
Request</t>
  </si>
  <si>
    <t>Potential
Risk</t>
  </si>
  <si>
    <t>Law Mandatory</t>
  </si>
  <si>
    <t>First Approval</t>
  </si>
  <si>
    <t>Ranking</t>
  </si>
  <si>
    <t>Final 
Decision</t>
  </si>
  <si>
    <t>New Personnel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</si>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</sst>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5">
    <xf numFmtId="0" fontId="0" fillId="0" borderId="0" xfId="0"/>
    <xf numFmtId="44" fontId="0" fillId="0" borderId="0" xfId="1" applyFont="1"/>
    <xf numFmtId="4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44" fontId="0" fillId="0" borderId="2" xfId="1" applyFont="1" applyBorder="1" applyAlignment="1">
      <alignment horizontal="center"/>
    </xf>
    <xf numFmtId="44" fontId="0" fillId="0" borderId="2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44" fontId="0" fillId="0" borderId="5" xfId="1" applyFont="1" applyBorder="1" applyAlignment="1">
      <alignment horizontal="center"/>
    </xf>
    <xf numFmtId="44" fontId="0" fillId="0" borderId="5" xfId="0" applyNumberFormat="1" applyBorder="1" applyAlignment="1">
      <alignment horizontal="left"/>
    </xf>
    <xf numFmtId="44" fontId="0" fillId="0" borderId="5" xfId="0" applyNumberFormat="1" applyBorder="1"/>
    <xf numFmtId="0" fontId="0" fillId="0" borderId="5" xfId="0" applyBorder="1"/>
    <xf numFmtId="44" fontId="0" fillId="0" borderId="2" xfId="0" applyNumberFormat="1" applyBorder="1" applyAlignment="1">
      <alignment horizontal="left"/>
    </xf>
    <xf numFmtId="44" fontId="0" fillId="0" borderId="2" xfId="0" applyNumberFormat="1" applyBorder="1"/>
    <xf numFmtId="44" fontId="0" fillId="0" borderId="2" xfId="1" applyFont="1" applyBorder="1"/>
    <xf numFmtId="44" fontId="0" fillId="0" borderId="5" xfId="1" applyFont="1" applyBorder="1"/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left"/>
    </xf>
    <xf numFmtId="44" fontId="2" fillId="2" borderId="8" xfId="1" applyFont="1" applyFill="1" applyBorder="1" applyAlignment="1">
      <alignment horizontal="center"/>
    </xf>
    <xf numFmtId="44" fontId="3" fillId="2" borderId="8" xfId="0" applyNumberFormat="1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44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4" fontId="3" fillId="3" borderId="7" xfId="0" applyNumberFormat="1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10" xfId="0" applyBorder="1"/>
    <xf numFmtId="44" fontId="0" fillId="0" borderId="0" xfId="1" applyFont="1" applyBorder="1"/>
    <xf numFmtId="44" fontId="0" fillId="0" borderId="11" xfId="0" applyNumberFormat="1" applyBorder="1"/>
    <xf numFmtId="44" fontId="0" fillId="0" borderId="0" xfId="1" applyFont="1" applyFill="1" applyBorder="1"/>
    <xf numFmtId="0" fontId="0" fillId="0" borderId="4" xfId="0" applyBorder="1"/>
    <xf numFmtId="0" fontId="3" fillId="4" borderId="4" xfId="0" applyFont="1" applyFill="1" applyBorder="1" applyAlignment="1">
      <alignment horizontal="center"/>
    </xf>
    <xf numFmtId="44" fontId="0" fillId="0" borderId="11" xfId="1" applyFont="1" applyBorder="1"/>
    <xf numFmtId="44" fontId="0" fillId="0" borderId="6" xfId="1" applyFont="1" applyBorder="1"/>
    <xf numFmtId="44" fontId="0" fillId="0" borderId="11" xfId="1" applyFont="1" applyFill="1" applyBorder="1"/>
    <xf numFmtId="0" fontId="3" fillId="0" borderId="0" xfId="0" applyFont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44" fontId="0" fillId="4" borderId="5" xfId="0" applyNumberFormat="1" applyFill="1" applyBorder="1" applyAlignment="1">
      <alignment horizontal="center"/>
    </xf>
    <xf numFmtId="44" fontId="0" fillId="4" borderId="6" xfId="0" applyNumberFormat="1" applyFill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44" fontId="0" fillId="0" borderId="4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4" fontId="0" fillId="0" borderId="2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4" fontId="0" fillId="0" borderId="5" xfId="0" applyNumberFormat="1" applyBorder="1" applyAlignment="1">
      <alignment horizontal="center" vertical="center"/>
    </xf>
    <xf numFmtId="0" fontId="0" fillId="0" borderId="0" xfId="2" applyNumberFormat="1" applyFont="1" applyBorder="1" applyAlignment="1">
      <alignment horizontal="center" vertical="center"/>
    </xf>
    <xf numFmtId="0" fontId="0" fillId="0" borderId="0" xfId="1" applyNumberFormat="1" applyFont="1" applyBorder="1" applyAlignment="1">
      <alignment horizontal="center" vertical="center"/>
    </xf>
    <xf numFmtId="0" fontId="0" fillId="0" borderId="5" xfId="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/>
    </xf>
    <xf numFmtId="44" fontId="3" fillId="5" borderId="8" xfId="1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68A75-4671-4D94-8CE5-D4514D32DCAB}">
  <dimension ref="A1:O24"/>
  <sheetViews>
    <sheetView tabSelected="1" topLeftCell="C6" workbookViewId="0">
      <selection activeCell="F21" sqref="F21"/>
    </sheetView>
  </sheetViews>
  <sheetFormatPr baseColWidth="10" defaultRowHeight="14.4" x14ac:dyDescent="0.3"/>
  <cols>
    <col min="1" max="1" width="38.33203125" customWidth="1"/>
    <col min="2" max="2" width="12.33203125" bestFit="1" customWidth="1"/>
    <col min="3" max="3" width="11.6640625" bestFit="1" customWidth="1"/>
    <col min="4" max="4" width="9.5546875" customWidth="1"/>
    <col min="5" max="5" width="18.33203125" customWidth="1"/>
    <col min="6" max="6" width="19.5546875" style="4" customWidth="1"/>
    <col min="7" max="7" width="20.5546875" style="5" customWidth="1"/>
    <col min="8" max="8" width="20.5546875" style="4" customWidth="1"/>
    <col min="9" max="9" width="12.33203125" style="1" bestFit="1" customWidth="1"/>
    <col min="10" max="10" width="12.33203125" bestFit="1" customWidth="1"/>
    <col min="11" max="11" width="23.88671875" customWidth="1"/>
    <col min="12" max="12" width="18.44140625" style="23" customWidth="1"/>
    <col min="13" max="13" width="16.33203125" style="24" customWidth="1"/>
  </cols>
  <sheetData>
    <row r="1" spans="1:15" ht="15" thickBot="1" x14ac:dyDescent="0.35">
      <c r="E1" s="61" t="s">
        <v>32</v>
      </c>
      <c r="F1" s="62"/>
      <c r="G1" s="62"/>
      <c r="H1" s="62"/>
      <c r="I1" s="62"/>
      <c r="J1" s="62"/>
      <c r="K1" s="62"/>
      <c r="L1" s="62"/>
      <c r="M1" s="63"/>
    </row>
    <row r="2" spans="1:15" ht="15" thickBot="1" x14ac:dyDescent="0.35">
      <c r="A2" s="38" t="s">
        <v>3</v>
      </c>
      <c r="B2" s="39" t="s">
        <v>1</v>
      </c>
      <c r="C2" s="40" t="s">
        <v>2</v>
      </c>
      <c r="D2" s="3"/>
      <c r="E2" s="25" t="s">
        <v>19</v>
      </c>
      <c r="F2" s="26" t="s">
        <v>18</v>
      </c>
      <c r="G2" s="27" t="s">
        <v>54</v>
      </c>
      <c r="H2" s="26" t="s">
        <v>21</v>
      </c>
      <c r="I2" s="28" t="s">
        <v>2</v>
      </c>
      <c r="J2" s="26" t="s">
        <v>1</v>
      </c>
      <c r="K2" s="26" t="s">
        <v>30</v>
      </c>
      <c r="L2" s="29" t="s">
        <v>31</v>
      </c>
      <c r="M2" s="30" t="s">
        <v>39</v>
      </c>
    </row>
    <row r="3" spans="1:15" x14ac:dyDescent="0.3">
      <c r="A3" s="41" t="s">
        <v>0</v>
      </c>
      <c r="B3" s="42">
        <v>87300</v>
      </c>
      <c r="C3" s="47">
        <f>ROUND(B3/12,0)</f>
        <v>7275</v>
      </c>
      <c r="D3" s="2"/>
      <c r="E3" s="69" t="s">
        <v>20</v>
      </c>
      <c r="F3" s="6">
        <v>2</v>
      </c>
      <c r="G3" s="7" t="s">
        <v>16</v>
      </c>
      <c r="H3" s="6">
        <v>1</v>
      </c>
      <c r="I3" s="8">
        <v>7500</v>
      </c>
      <c r="J3" s="8">
        <f>I3*12</f>
        <v>90000</v>
      </c>
      <c r="K3" s="9">
        <f>H3*I3*F3</f>
        <v>15000</v>
      </c>
      <c r="L3" s="73">
        <f>SUM(K3,K4)</f>
        <v>21500</v>
      </c>
      <c r="M3" s="59">
        <f>ROUND(L3/B16*100,2)</f>
        <v>3.56</v>
      </c>
      <c r="N3" s="2"/>
    </row>
    <row r="4" spans="1:15" ht="15" thickBot="1" x14ac:dyDescent="0.35">
      <c r="A4" s="41" t="s">
        <v>4</v>
      </c>
      <c r="B4" s="42">
        <v>79908</v>
      </c>
      <c r="C4" s="47">
        <f t="shared" ref="C4:C8" si="0">ROUND(B4/12,0)</f>
        <v>6659</v>
      </c>
      <c r="D4" s="2"/>
      <c r="E4" s="70"/>
      <c r="F4" s="10">
        <v>1</v>
      </c>
      <c r="G4" s="11" t="s">
        <v>17</v>
      </c>
      <c r="H4" s="10">
        <v>1</v>
      </c>
      <c r="I4" s="12">
        <v>6500</v>
      </c>
      <c r="J4" s="12">
        <f>I4*12</f>
        <v>78000</v>
      </c>
      <c r="K4" s="12">
        <f>H4*I4</f>
        <v>6500</v>
      </c>
      <c r="L4" s="74"/>
      <c r="M4" s="60"/>
    </row>
    <row r="5" spans="1:15" x14ac:dyDescent="0.3">
      <c r="A5" s="41" t="s">
        <v>5</v>
      </c>
      <c r="B5" s="42">
        <v>102648</v>
      </c>
      <c r="C5" s="47">
        <f>ROUND(B5/12,0)</f>
        <v>8554</v>
      </c>
      <c r="D5" s="2" t="s">
        <v>25</v>
      </c>
      <c r="E5" s="69" t="s">
        <v>26</v>
      </c>
      <c r="F5" s="6">
        <v>2</v>
      </c>
      <c r="G5" s="7" t="s">
        <v>22</v>
      </c>
      <c r="H5" s="6">
        <v>8</v>
      </c>
      <c r="I5" s="18">
        <v>9500</v>
      </c>
      <c r="J5" s="17">
        <f>I5*12</f>
        <v>114000</v>
      </c>
      <c r="K5" s="17">
        <f>F5*H5*I5</f>
        <v>152000</v>
      </c>
      <c r="L5" s="73">
        <f>SUM(K5:K6)</f>
        <v>220000</v>
      </c>
      <c r="M5" s="59">
        <f>ROUND(L5/B16*100,2)</f>
        <v>36.42</v>
      </c>
    </row>
    <row r="6" spans="1:15" ht="15" thickBot="1" x14ac:dyDescent="0.35">
      <c r="A6" s="41" t="s">
        <v>6</v>
      </c>
      <c r="B6" s="42">
        <v>120912</v>
      </c>
      <c r="C6" s="47">
        <f t="shared" si="0"/>
        <v>10076</v>
      </c>
      <c r="D6" s="2"/>
      <c r="E6" s="70"/>
      <c r="F6" s="10">
        <v>1</v>
      </c>
      <c r="G6" s="13" t="s">
        <v>23</v>
      </c>
      <c r="H6" s="10">
        <v>8</v>
      </c>
      <c r="I6" s="19">
        <v>8500</v>
      </c>
      <c r="J6" s="14">
        <f>I6*12</f>
        <v>102000</v>
      </c>
      <c r="K6" s="14">
        <f>F6*H6*I6</f>
        <v>68000</v>
      </c>
      <c r="L6" s="75"/>
      <c r="M6" s="60"/>
    </row>
    <row r="7" spans="1:15" x14ac:dyDescent="0.3">
      <c r="A7" s="41" t="s">
        <v>7</v>
      </c>
      <c r="B7" s="42">
        <v>103968</v>
      </c>
      <c r="C7" s="47">
        <f t="shared" si="0"/>
        <v>8664</v>
      </c>
      <c r="D7" s="2" t="s">
        <v>25</v>
      </c>
      <c r="E7" s="69" t="s">
        <v>27</v>
      </c>
      <c r="F7" s="6">
        <v>1</v>
      </c>
      <c r="G7" s="16" t="s">
        <v>29</v>
      </c>
      <c r="H7" s="6">
        <v>1.5</v>
      </c>
      <c r="I7" s="18">
        <f>C12</f>
        <v>31665</v>
      </c>
      <c r="J7" s="17">
        <f>I7*12</f>
        <v>379980</v>
      </c>
      <c r="K7" s="17">
        <f>F7*H7*I7</f>
        <v>47497.5</v>
      </c>
      <c r="L7" s="73">
        <f>SUM(K7)</f>
        <v>47497.5</v>
      </c>
      <c r="M7" s="59">
        <f>ROUND(L7/B16*100,2)</f>
        <v>7.86</v>
      </c>
    </row>
    <row r="8" spans="1:15" ht="15" thickBot="1" x14ac:dyDescent="0.35">
      <c r="A8" s="41" t="s">
        <v>8</v>
      </c>
      <c r="B8" s="42">
        <v>67800</v>
      </c>
      <c r="C8" s="47">
        <f t="shared" si="0"/>
        <v>5650</v>
      </c>
      <c r="D8" s="2"/>
      <c r="E8" s="70"/>
      <c r="F8" s="10"/>
      <c r="G8" s="13"/>
      <c r="H8" s="10"/>
      <c r="I8" s="19"/>
      <c r="J8" s="15"/>
      <c r="K8" s="15"/>
      <c r="L8" s="75"/>
      <c r="M8" s="60"/>
    </row>
    <row r="9" spans="1:15" x14ac:dyDescent="0.3">
      <c r="A9" s="38" t="s">
        <v>9</v>
      </c>
      <c r="B9" s="39" t="s">
        <v>1</v>
      </c>
      <c r="C9" s="40" t="s">
        <v>14</v>
      </c>
      <c r="D9" s="3"/>
      <c r="E9" s="71" t="s">
        <v>28</v>
      </c>
      <c r="F9" s="6">
        <v>1</v>
      </c>
      <c r="G9" s="7" t="s">
        <v>29</v>
      </c>
      <c r="H9" s="6">
        <v>2</v>
      </c>
      <c r="I9" s="18">
        <f>C12</f>
        <v>31665</v>
      </c>
      <c r="J9" s="17">
        <f>I9*12</f>
        <v>379980</v>
      </c>
      <c r="K9" s="17">
        <f>F9*H9*I9</f>
        <v>63330</v>
      </c>
      <c r="L9" s="73">
        <f>SUM(K9)</f>
        <v>63330</v>
      </c>
      <c r="M9" s="21">
        <f>ROUND(L9/B16*100,2)</f>
        <v>10.48</v>
      </c>
    </row>
    <row r="10" spans="1:15" ht="15" thickBot="1" x14ac:dyDescent="0.35">
      <c r="A10" s="41" t="s">
        <v>10</v>
      </c>
      <c r="B10" s="42">
        <v>37776</v>
      </c>
      <c r="C10" s="47">
        <f>ROUND(B10/12,0)</f>
        <v>3148</v>
      </c>
      <c r="D10" s="2"/>
      <c r="E10" s="72"/>
      <c r="F10" s="10"/>
      <c r="G10" s="11"/>
      <c r="H10" s="10"/>
      <c r="I10" s="19"/>
      <c r="J10" s="15"/>
      <c r="K10" s="15"/>
      <c r="L10" s="74"/>
      <c r="M10" s="22"/>
    </row>
    <row r="11" spans="1:15" ht="15" thickBot="1" x14ac:dyDescent="0.35">
      <c r="A11" s="45" t="s">
        <v>11</v>
      </c>
      <c r="B11" s="19">
        <v>3708</v>
      </c>
      <c r="C11" s="48">
        <f>ROUND(B11/12,0)</f>
        <v>309</v>
      </c>
      <c r="D11" s="2"/>
      <c r="E11" s="2"/>
    </row>
    <row r="12" spans="1:15" ht="15" thickBot="1" x14ac:dyDescent="0.35">
      <c r="A12" s="41" t="s">
        <v>40</v>
      </c>
      <c r="B12" s="2">
        <f>SUM(B3,B6,B7,B8)</f>
        <v>379980</v>
      </c>
      <c r="C12" s="43">
        <f>SUM(C3,C6,C7,C8)</f>
        <v>31665</v>
      </c>
      <c r="E12" s="64" t="s">
        <v>36</v>
      </c>
      <c r="F12" s="65"/>
      <c r="G12" s="65"/>
      <c r="H12" s="66"/>
      <c r="J12" s="61" t="s">
        <v>44</v>
      </c>
      <c r="K12" s="62"/>
      <c r="L12" s="62"/>
      <c r="M12" s="63"/>
    </row>
    <row r="13" spans="1:15" ht="29.4" thickBot="1" x14ac:dyDescent="0.35">
      <c r="A13" s="41" t="s">
        <v>41</v>
      </c>
      <c r="B13" s="44">
        <f>SUM(B4,B5)</f>
        <v>182556</v>
      </c>
      <c r="C13" s="49">
        <f>SUM(C4,C5)</f>
        <v>15213</v>
      </c>
      <c r="D13" s="2"/>
      <c r="E13" s="35" t="s">
        <v>19</v>
      </c>
      <c r="F13" s="36" t="s">
        <v>37</v>
      </c>
      <c r="G13" s="36" t="s">
        <v>38</v>
      </c>
      <c r="H13" s="37" t="s">
        <v>39</v>
      </c>
      <c r="J13" s="54" t="s">
        <v>48</v>
      </c>
      <c r="K13" s="55" t="s">
        <v>45</v>
      </c>
      <c r="L13" s="56" t="s">
        <v>47</v>
      </c>
      <c r="M13" s="57" t="s">
        <v>46</v>
      </c>
    </row>
    <row r="14" spans="1:15" x14ac:dyDescent="0.3">
      <c r="A14" s="41" t="s">
        <v>12</v>
      </c>
      <c r="B14" s="2">
        <f>SUM(B10:B11)</f>
        <v>41484</v>
      </c>
      <c r="C14" s="43">
        <f>SUM(C10:C11)</f>
        <v>3457</v>
      </c>
      <c r="D14" s="2"/>
      <c r="E14" s="31" t="s">
        <v>33</v>
      </c>
      <c r="F14" s="24">
        <v>12</v>
      </c>
      <c r="G14" s="24">
        <f>H9</f>
        <v>2</v>
      </c>
      <c r="H14" s="32">
        <f>ROUND(G14/F14*100,2)</f>
        <v>16.670000000000002</v>
      </c>
      <c r="J14" s="33" t="s">
        <v>33</v>
      </c>
      <c r="K14" s="50">
        <f>SUM(F10)</f>
        <v>0</v>
      </c>
      <c r="L14" s="24">
        <v>7</v>
      </c>
      <c r="M14" s="51">
        <f>ROUND(K14/L14*100,2)</f>
        <v>0</v>
      </c>
      <c r="N14" s="50"/>
      <c r="O14" s="23"/>
    </row>
    <row r="15" spans="1:15" x14ac:dyDescent="0.3">
      <c r="A15" s="41" t="s">
        <v>13</v>
      </c>
      <c r="B15" s="2">
        <f>SUM(B3:B8,B10:B11)</f>
        <v>604020</v>
      </c>
      <c r="C15" s="43">
        <f>SUM(C3:C8,C10:C11)</f>
        <v>50335</v>
      </c>
      <c r="D15" s="2"/>
      <c r="E15" s="33" t="s">
        <v>34</v>
      </c>
      <c r="F15" s="24">
        <v>12</v>
      </c>
      <c r="G15" s="24">
        <f>H7</f>
        <v>1.5</v>
      </c>
      <c r="H15" s="32">
        <f t="shared" ref="H15:H17" si="1">ROUND(G15/F15*100,2)</f>
        <v>12.5</v>
      </c>
      <c r="J15" s="52" t="s">
        <v>34</v>
      </c>
      <c r="K15" s="4">
        <f>SUM(F8)</f>
        <v>0</v>
      </c>
      <c r="L15" s="24">
        <v>7</v>
      </c>
      <c r="M15" s="51">
        <f t="shared" ref="M15:M17" si="2">ROUND(K15/L15*100,2)</f>
        <v>0</v>
      </c>
    </row>
    <row r="16" spans="1:15" ht="15" thickBot="1" x14ac:dyDescent="0.35">
      <c r="A16" s="46" t="s">
        <v>15</v>
      </c>
      <c r="B16" s="67">
        <f>B15</f>
        <v>604020</v>
      </c>
      <c r="C16" s="68"/>
      <c r="E16" s="33" t="s">
        <v>24</v>
      </c>
      <c r="F16" s="24">
        <v>12</v>
      </c>
      <c r="G16" s="24">
        <f>H5</f>
        <v>8</v>
      </c>
      <c r="H16" s="32">
        <f t="shared" si="1"/>
        <v>66.67</v>
      </c>
      <c r="J16" s="52" t="s">
        <v>24</v>
      </c>
      <c r="K16" s="4">
        <f>SUM(F5:F6)</f>
        <v>3</v>
      </c>
      <c r="L16" s="24">
        <v>7</v>
      </c>
      <c r="M16" s="51">
        <f t="shared" si="2"/>
        <v>42.86</v>
      </c>
    </row>
    <row r="17" spans="5:14" ht="15" thickBot="1" x14ac:dyDescent="0.35">
      <c r="E17" s="34" t="s">
        <v>35</v>
      </c>
      <c r="F17" s="20">
        <v>12</v>
      </c>
      <c r="G17" s="20">
        <f>H3</f>
        <v>1</v>
      </c>
      <c r="H17" s="22">
        <f t="shared" si="1"/>
        <v>8.33</v>
      </c>
      <c r="J17" s="53" t="s">
        <v>35</v>
      </c>
      <c r="K17" s="10">
        <f>SUM(F3:F4)</f>
        <v>3</v>
      </c>
      <c r="L17" s="20">
        <v>7</v>
      </c>
      <c r="M17" s="58">
        <f t="shared" si="2"/>
        <v>42.86</v>
      </c>
    </row>
    <row r="19" spans="5:14" ht="15" thickBot="1" x14ac:dyDescent="0.35"/>
    <row r="20" spans="5:14" ht="29.4" thickBot="1" x14ac:dyDescent="0.35">
      <c r="E20" s="80" t="s">
        <v>48</v>
      </c>
      <c r="F20" s="81" t="s">
        <v>32</v>
      </c>
      <c r="G20" s="81" t="s">
        <v>36</v>
      </c>
      <c r="H20" s="81" t="s">
        <v>43</v>
      </c>
      <c r="I20" s="82" t="s">
        <v>42</v>
      </c>
      <c r="J20" s="83" t="s">
        <v>49</v>
      </c>
      <c r="K20" s="81" t="s">
        <v>50</v>
      </c>
      <c r="L20" s="81" t="s">
        <v>51</v>
      </c>
      <c r="M20" s="81" t="s">
        <v>52</v>
      </c>
      <c r="N20" s="84" t="s">
        <v>53</v>
      </c>
    </row>
    <row r="21" spans="5:14" x14ac:dyDescent="0.3">
      <c r="E21" s="33" t="s">
        <v>33</v>
      </c>
      <c r="F21" s="79" t="str">
        <f>IF(M9&lt;25,"Accepted", "Rejected")</f>
        <v>Accepted</v>
      </c>
      <c r="G21" s="79" t="str">
        <f>IF(H14&lt;30,"Accepted", "Rejected")</f>
        <v>Accepted</v>
      </c>
      <c r="H21" s="79" t="str">
        <f>IF(F21="Accepted","Accepted","Rejected")</f>
        <v>Accepted</v>
      </c>
      <c r="I21" s="76">
        <f>ROUND(AVERAGE(H14,M9),2)</f>
        <v>13.58</v>
      </c>
      <c r="J21" s="79" t="str">
        <f>IF(ROUND(I21,0)&lt;10,"Low",IF(ROUND(I21,0)&lt;15,"Medium",IF(ROUND(I21,0)&lt;25,"Medium","High")))</f>
        <v>Medium</v>
      </c>
      <c r="K21" s="79" t="s">
        <v>55</v>
      </c>
      <c r="L21" s="79" t="str">
        <f>IF(F21="Accepted",IF(G21="Accepted","Accepted","Rejected"),"Rejected")</f>
        <v>Accepted</v>
      </c>
      <c r="M21" s="79">
        <f>_xlfn.RANK.EQ(I21,$I$21:$I$24,1)</f>
        <v>3</v>
      </c>
      <c r="N21" s="32" t="str">
        <f>IF(L21="Accepted","Accepted","Rejected")</f>
        <v>Accepted</v>
      </c>
    </row>
    <row r="22" spans="5:14" x14ac:dyDescent="0.3">
      <c r="E22" s="33" t="s">
        <v>34</v>
      </c>
      <c r="F22" s="79" t="str">
        <f>IF(M7&lt;25,"Accepted", "Rejected")</f>
        <v>Accepted</v>
      </c>
      <c r="G22" s="79" t="str">
        <f>IF(H15&lt;30,"Accepted", "Rejected")</f>
        <v>Accepted</v>
      </c>
      <c r="H22" s="79" t="str">
        <f>IF(F22="Accepted","Accepted","Rejected")</f>
        <v>Accepted</v>
      </c>
      <c r="I22" s="77">
        <f>ROUND(AVERAGE(H15,M7),2)</f>
        <v>10.18</v>
      </c>
      <c r="J22" s="79" t="str">
        <f t="shared" ref="J22:J24" si="3">IF(ROUND(I22,0)&lt;10,"Low",IF(ROUND(I22,0)&lt;15,"Medium",IF(ROUND(I22,0)&lt;25,"Medium","High")))</f>
        <v>Medium</v>
      </c>
      <c r="K22" s="79" t="s">
        <v>55</v>
      </c>
      <c r="L22" s="79" t="str">
        <f>IF(F22="Accepted",IF(G22="Accepted","Accepted","Rejected"),"Rejected")</f>
        <v>Accepted</v>
      </c>
      <c r="M22" s="79">
        <f t="shared" ref="M22:M24" si="4">_xlfn.RANK.EQ(I22,$I$21:$I$24,1)</f>
        <v>2</v>
      </c>
      <c r="N22" s="32" t="str">
        <f>IF(L22="Accepted","Accepted","Rejected")</f>
        <v>Accepted</v>
      </c>
    </row>
    <row r="23" spans="5:14" x14ac:dyDescent="0.3">
      <c r="E23" s="33" t="s">
        <v>24</v>
      </c>
      <c r="F23" s="79" t="str">
        <f>IF(M5&lt;25,"Accepted", "Rejected")</f>
        <v>Rejected</v>
      </c>
      <c r="G23" s="79" t="str">
        <f>IF(H16&lt;30,"Accepted", "Rejected")</f>
        <v>Rejected</v>
      </c>
      <c r="H23" s="79" t="str">
        <f>IF(F23="Accepted","Accepted","Rejected")</f>
        <v>Rejected</v>
      </c>
      <c r="I23" s="77">
        <f>ROUND(AVERAGE(H16,M5),2)</f>
        <v>51.55</v>
      </c>
      <c r="J23" s="79" t="str">
        <f t="shared" si="3"/>
        <v>High</v>
      </c>
      <c r="K23" s="79" t="s">
        <v>55</v>
      </c>
      <c r="L23" s="79" t="str">
        <f>IF(F23="Accepted",IF(G23="Accepted","Accepted","Rejected"),"Rejected")</f>
        <v>Rejected</v>
      </c>
      <c r="M23" s="79">
        <f t="shared" si="4"/>
        <v>4</v>
      </c>
      <c r="N23" s="32" t="str">
        <f>IF(L23="Accepted","Accepted","Rejected")</f>
        <v>Rejected</v>
      </c>
    </row>
    <row r="24" spans="5:14" ht="15" thickBot="1" x14ac:dyDescent="0.35">
      <c r="E24" s="34" t="s">
        <v>35</v>
      </c>
      <c r="F24" s="20" t="str">
        <f>IF(M3&lt;25,"Accepted", "Rejected")</f>
        <v>Accepted</v>
      </c>
      <c r="G24" s="20" t="str">
        <f>IF(H17&lt;30,"Accepted", "Rejected")</f>
        <v>Accepted</v>
      </c>
      <c r="H24" s="20" t="str">
        <f>IF(F24="Accepted","Accepted","Rejected")</f>
        <v>Accepted</v>
      </c>
      <c r="I24" s="78">
        <f>ROUND(AVERAGE(H17,M3),2)</f>
        <v>5.95</v>
      </c>
      <c r="J24" s="20" t="str">
        <f t="shared" si="3"/>
        <v>Low</v>
      </c>
      <c r="K24" s="20" t="s">
        <v>55</v>
      </c>
      <c r="L24" s="20" t="str">
        <f>IF(F24="Accepted",IF(G24="Accepted","Accepted","Rejected"),"Rejected")</f>
        <v>Accepted</v>
      </c>
      <c r="M24" s="20">
        <f t="shared" si="4"/>
        <v>1</v>
      </c>
      <c r="N24" s="22" t="str">
        <f>IF(L24="Accepted","Accepted","Rejected")</f>
        <v>Accepted</v>
      </c>
    </row>
  </sheetData>
  <mergeCells count="15">
    <mergeCell ref="M7:M8"/>
    <mergeCell ref="E1:M1"/>
    <mergeCell ref="E12:H12"/>
    <mergeCell ref="B16:C16"/>
    <mergeCell ref="J12:M12"/>
    <mergeCell ref="E3:E4"/>
    <mergeCell ref="E5:E6"/>
    <mergeCell ref="E7:E8"/>
    <mergeCell ref="E9:E10"/>
    <mergeCell ref="L3:L4"/>
    <mergeCell ref="M3:M4"/>
    <mergeCell ref="L5:L6"/>
    <mergeCell ref="L7:L8"/>
    <mergeCell ref="L9:L10"/>
    <mergeCell ref="M5:M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PLASCENCIA JR, EFREN</dc:creator>
  <cp:lastModifiedBy>PLASCENCIA JR, EFREN</cp:lastModifiedBy>
  <dcterms:created xsi:type="dcterms:W3CDTF">2023-11-30T02:30:19Z</dcterms:created>
  <dcterms:modified xsi:type="dcterms:W3CDTF">2023-11-30T08:55:32Z</dcterms:modified>
</cp:coreProperties>
</file>