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651f\Documents\Personal\"/>
    </mc:Choice>
  </mc:AlternateContent>
  <xr:revisionPtr revIDLastSave="0" documentId="13_ncr:1_{7CC9FCBE-8EC8-4B33-A925-31262ADA8621}" xr6:coauthVersionLast="47" xr6:coauthVersionMax="47" xr10:uidLastSave="{00000000-0000-0000-0000-000000000000}"/>
  <bookViews>
    <workbookView xWindow="31635" yWindow="14055" windowWidth="10680" windowHeight="13080" activeTab="1" xr2:uid="{802AFC5B-184F-4E58-8D3A-021CBB84F1FE}"/>
  </bookViews>
  <sheets>
    <sheet name="Playground" sheetId="3" r:id="rId1"/>
    <sheet name="Sheet1" sheetId="5" r:id="rId2"/>
    <sheet name="6312 Cates Ave" sheetId="1" r:id="rId3"/>
    <sheet name="4451 Catleman Av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5" i="5" l="1"/>
  <c r="U48" i="5"/>
  <c r="R56" i="5"/>
  <c r="U56" i="5" s="1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54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U27" i="5"/>
  <c r="U28" i="5"/>
  <c r="U29" i="5"/>
  <c r="U30" i="5"/>
  <c r="U31" i="5"/>
  <c r="U32" i="5"/>
  <c r="U33" i="5"/>
  <c r="U34" i="5"/>
  <c r="U35" i="5"/>
  <c r="T35" i="5" s="1"/>
  <c r="S63" i="5" s="1"/>
  <c r="U36" i="5"/>
  <c r="U37" i="5"/>
  <c r="U38" i="5"/>
  <c r="U39" i="5"/>
  <c r="U40" i="5"/>
  <c r="U26" i="5"/>
  <c r="V26" i="5"/>
  <c r="K6" i="5"/>
  <c r="K7" i="5"/>
  <c r="K8" i="5"/>
  <c r="K9" i="5"/>
  <c r="K10" i="5"/>
  <c r="K11" i="5"/>
  <c r="K12" i="5"/>
  <c r="K13" i="5"/>
  <c r="K14" i="5"/>
  <c r="K15" i="5"/>
  <c r="K5" i="5"/>
  <c r="T26" i="5"/>
  <c r="S54" i="5" s="1"/>
  <c r="H11" i="3"/>
  <c r="H10" i="3"/>
  <c r="I6" i="5"/>
  <c r="I7" i="5"/>
  <c r="I8" i="5"/>
  <c r="I9" i="5"/>
  <c r="I10" i="5"/>
  <c r="I11" i="5"/>
  <c r="I12" i="5"/>
  <c r="I13" i="5"/>
  <c r="I14" i="5"/>
  <c r="I15" i="5"/>
  <c r="I5" i="5"/>
  <c r="B21" i="5"/>
  <c r="C21" i="5"/>
  <c r="J54" i="3"/>
  <c r="J53" i="3"/>
  <c r="P54" i="3"/>
  <c r="P53" i="3"/>
  <c r="R54" i="3"/>
  <c r="R53" i="3"/>
  <c r="N54" i="3"/>
  <c r="N53" i="3"/>
  <c r="L54" i="3"/>
  <c r="L53" i="3"/>
  <c r="C91" i="4"/>
  <c r="D91" i="4" s="1"/>
  <c r="C90" i="4"/>
  <c r="D90" i="4" s="1"/>
  <c r="D84" i="4"/>
  <c r="C83" i="4"/>
  <c r="C82" i="4"/>
  <c r="B81" i="4"/>
  <c r="C81" i="4" s="1"/>
  <c r="C80" i="4"/>
  <c r="C79" i="4"/>
  <c r="C78" i="4"/>
  <c r="D74" i="4"/>
  <c r="C73" i="4"/>
  <c r="C72" i="4"/>
  <c r="B71" i="4"/>
  <c r="C71" i="4" s="1"/>
  <c r="C70" i="4"/>
  <c r="C69" i="4"/>
  <c r="C68" i="4"/>
  <c r="B61" i="4"/>
  <c r="B56" i="4"/>
  <c r="B53" i="4"/>
  <c r="C52" i="4"/>
  <c r="D52" i="4" s="1"/>
  <c r="C51" i="4"/>
  <c r="C53" i="4" s="1"/>
  <c r="C50" i="4"/>
  <c r="C45" i="4"/>
  <c r="D45" i="4" s="1"/>
  <c r="B44" i="4"/>
  <c r="B46" i="4" s="1"/>
  <c r="B43" i="4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C43" i="4" s="1"/>
  <c r="C27" i="4"/>
  <c r="D27" i="4" s="1"/>
  <c r="D26" i="4"/>
  <c r="C26" i="4"/>
  <c r="C25" i="4"/>
  <c r="D25" i="4" s="1"/>
  <c r="C24" i="4"/>
  <c r="D24" i="4" s="1"/>
  <c r="C23" i="4"/>
  <c r="D23" i="4" s="1"/>
  <c r="C22" i="4"/>
  <c r="D22" i="4" s="1"/>
  <c r="C21" i="4"/>
  <c r="D21" i="4" s="1"/>
  <c r="D20" i="4"/>
  <c r="C20" i="4"/>
  <c r="B18" i="4"/>
  <c r="B19" i="4" s="1"/>
  <c r="C17" i="4"/>
  <c r="D17" i="4" s="1"/>
  <c r="C16" i="4"/>
  <c r="D16" i="4" s="1"/>
  <c r="S53" i="3"/>
  <c r="Q54" i="3"/>
  <c r="Q53" i="3"/>
  <c r="O54" i="3"/>
  <c r="O53" i="3"/>
  <c r="M54" i="3"/>
  <c r="M53" i="3"/>
  <c r="K54" i="3"/>
  <c r="K53" i="3"/>
  <c r="I54" i="3"/>
  <c r="I53" i="3"/>
  <c r="B48" i="3"/>
  <c r="B50" i="3" s="1"/>
  <c r="C46" i="3"/>
  <c r="B47" i="3"/>
  <c r="C3" i="3"/>
  <c r="D3" i="3" s="1"/>
  <c r="C2" i="3"/>
  <c r="D2" i="3" s="1"/>
  <c r="D88" i="3"/>
  <c r="C87" i="3"/>
  <c r="C86" i="3"/>
  <c r="B85" i="3"/>
  <c r="C85" i="3" s="1"/>
  <c r="C84" i="3"/>
  <c r="C83" i="3"/>
  <c r="C82" i="3"/>
  <c r="D78" i="3"/>
  <c r="C77" i="3"/>
  <c r="C76" i="3"/>
  <c r="B75" i="3"/>
  <c r="C75" i="3" s="1"/>
  <c r="C74" i="3"/>
  <c r="C73" i="3"/>
  <c r="C72" i="3"/>
  <c r="B65" i="3"/>
  <c r="B57" i="3"/>
  <c r="B60" i="3" s="1"/>
  <c r="C56" i="3"/>
  <c r="D56" i="3" s="1"/>
  <c r="C55" i="3"/>
  <c r="D55" i="3" s="1"/>
  <c r="C54" i="3"/>
  <c r="D54" i="3" s="1"/>
  <c r="C49" i="3"/>
  <c r="D49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B22" i="3"/>
  <c r="B97" i="3" s="1"/>
  <c r="B6" i="3" s="1"/>
  <c r="C21" i="3"/>
  <c r="D21" i="3" s="1"/>
  <c r="C20" i="3"/>
  <c r="D20" i="3" s="1"/>
  <c r="C8" i="1"/>
  <c r="D8" i="1"/>
  <c r="B8" i="1"/>
  <c r="D84" i="1"/>
  <c r="D74" i="1"/>
  <c r="C17" i="1"/>
  <c r="D17" i="1" s="1"/>
  <c r="C16" i="1"/>
  <c r="D16" i="1" s="1"/>
  <c r="C91" i="1"/>
  <c r="D91" i="1" s="1"/>
  <c r="C90" i="1"/>
  <c r="D90" i="1" s="1"/>
  <c r="C79" i="1"/>
  <c r="C80" i="1"/>
  <c r="C82" i="1"/>
  <c r="C83" i="1"/>
  <c r="C78" i="1"/>
  <c r="C73" i="1"/>
  <c r="C72" i="1"/>
  <c r="C69" i="1"/>
  <c r="C70" i="1"/>
  <c r="C68" i="1"/>
  <c r="C51" i="1"/>
  <c r="D51" i="1" s="1"/>
  <c r="C52" i="1"/>
  <c r="D52" i="1" s="1"/>
  <c r="C50" i="1"/>
  <c r="D50" i="1" s="1"/>
  <c r="C45" i="1"/>
  <c r="D45" i="1" s="1"/>
  <c r="C35" i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34" i="1"/>
  <c r="D34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0" i="1"/>
  <c r="D20" i="1" s="1"/>
  <c r="B61" i="1"/>
  <c r="B81" i="1"/>
  <c r="C81" i="1" s="1"/>
  <c r="B71" i="1"/>
  <c r="C71" i="1" s="1"/>
  <c r="B53" i="1"/>
  <c r="B56" i="1" s="1"/>
  <c r="B44" i="1"/>
  <c r="B46" i="1" s="1"/>
  <c r="B43" i="1"/>
  <c r="B18" i="1"/>
  <c r="B19" i="1" s="1"/>
  <c r="B30" i="1" s="1"/>
  <c r="B31" i="1" s="1"/>
  <c r="V63" i="5" l="1"/>
  <c r="U63" i="5"/>
  <c r="T32" i="5"/>
  <c r="S60" i="5" s="1"/>
  <c r="V56" i="5"/>
  <c r="T29" i="5"/>
  <c r="S57" i="5" s="1"/>
  <c r="T38" i="5"/>
  <c r="S66" i="5" s="1"/>
  <c r="T39" i="5"/>
  <c r="S67" i="5" s="1"/>
  <c r="T34" i="5"/>
  <c r="S62" i="5" s="1"/>
  <c r="T40" i="5"/>
  <c r="S68" i="5" s="1"/>
  <c r="T28" i="5"/>
  <c r="S56" i="5" s="1"/>
  <c r="T37" i="5"/>
  <c r="S65" i="5" s="1"/>
  <c r="T27" i="5"/>
  <c r="S55" i="5" s="1"/>
  <c r="T36" i="5"/>
  <c r="S64" i="5" s="1"/>
  <c r="T33" i="5"/>
  <c r="S61" i="5" s="1"/>
  <c r="T31" i="5"/>
  <c r="S59" i="5" s="1"/>
  <c r="T30" i="5"/>
  <c r="S58" i="5" s="1"/>
  <c r="C44" i="4"/>
  <c r="C46" i="4" s="1"/>
  <c r="C61" i="4"/>
  <c r="D44" i="4"/>
  <c r="D46" i="4" s="1"/>
  <c r="C54" i="4"/>
  <c r="C55" i="4" s="1"/>
  <c r="B54" i="4"/>
  <c r="B55" i="4" s="1"/>
  <c r="C56" i="4"/>
  <c r="B97" i="4"/>
  <c r="B3" i="4" s="1"/>
  <c r="B60" i="4"/>
  <c r="B30" i="4"/>
  <c r="B31" i="4" s="1"/>
  <c r="B63" i="4"/>
  <c r="D63" i="4" s="1"/>
  <c r="D64" i="4" s="1"/>
  <c r="B77" i="4"/>
  <c r="B84" i="4" s="1"/>
  <c r="B67" i="4"/>
  <c r="B74" i="4" s="1"/>
  <c r="B62" i="4"/>
  <c r="C19" i="4" s="1"/>
  <c r="C18" i="4"/>
  <c r="D51" i="4"/>
  <c r="D53" i="4" s="1"/>
  <c r="D34" i="4"/>
  <c r="D43" i="4" s="1"/>
  <c r="B96" i="4"/>
  <c r="B2" i="4" s="1"/>
  <c r="D50" i="4"/>
  <c r="C65" i="3"/>
  <c r="C48" i="3"/>
  <c r="C50" i="3" s="1"/>
  <c r="D57" i="3"/>
  <c r="C47" i="3"/>
  <c r="D46" i="3"/>
  <c r="D48" i="3" s="1"/>
  <c r="F48" i="3" s="1"/>
  <c r="B58" i="3"/>
  <c r="B59" i="3" s="1"/>
  <c r="C22" i="3"/>
  <c r="D22" i="3" s="1"/>
  <c r="D97" i="3" s="1"/>
  <c r="D6" i="3" s="1"/>
  <c r="B23" i="3"/>
  <c r="B34" i="3" s="1"/>
  <c r="B35" i="3" s="1"/>
  <c r="D60" i="3"/>
  <c r="D38" i="3"/>
  <c r="C57" i="3"/>
  <c r="C44" i="1"/>
  <c r="C46" i="1" s="1"/>
  <c r="D43" i="1"/>
  <c r="C61" i="1"/>
  <c r="D53" i="1"/>
  <c r="D56" i="1" s="1"/>
  <c r="D35" i="1"/>
  <c r="D44" i="1" s="1"/>
  <c r="D46" i="1" s="1"/>
  <c r="C18" i="1"/>
  <c r="C53" i="1"/>
  <c r="C56" i="1" s="1"/>
  <c r="C43" i="1"/>
  <c r="C54" i="1" s="1"/>
  <c r="C55" i="1" s="1"/>
  <c r="B54" i="1"/>
  <c r="B55" i="1" s="1"/>
  <c r="B57" i="1" s="1"/>
  <c r="B10" i="1" s="1"/>
  <c r="B60" i="1"/>
  <c r="B96" i="1"/>
  <c r="B2" i="1" s="1"/>
  <c r="B97" i="1"/>
  <c r="B3" i="1" s="1"/>
  <c r="B67" i="1"/>
  <c r="B74" i="1" s="1"/>
  <c r="B77" i="1"/>
  <c r="B84" i="1" s="1"/>
  <c r="B62" i="1"/>
  <c r="C19" i="1" s="1"/>
  <c r="C97" i="1" s="1"/>
  <c r="C3" i="1" s="1"/>
  <c r="B63" i="1"/>
  <c r="D63" i="1" s="1"/>
  <c r="D64" i="1" s="1"/>
  <c r="B47" i="1"/>
  <c r="B48" i="1" s="1"/>
  <c r="B9" i="1" s="1"/>
  <c r="V66" i="5" l="1"/>
  <c r="U66" i="5"/>
  <c r="V60" i="5"/>
  <c r="U60" i="5"/>
  <c r="U65" i="5"/>
  <c r="V65" i="5"/>
  <c r="V62" i="5"/>
  <c r="U62" i="5"/>
  <c r="V67" i="5"/>
  <c r="U67" i="5"/>
  <c r="V57" i="5"/>
  <c r="U57" i="5"/>
  <c r="V58" i="5"/>
  <c r="U58" i="5"/>
  <c r="V59" i="5"/>
  <c r="U59" i="5"/>
  <c r="V61" i="5"/>
  <c r="U61" i="5"/>
  <c r="V64" i="5"/>
  <c r="U64" i="5"/>
  <c r="D54" i="4"/>
  <c r="D55" i="4" s="1"/>
  <c r="D86" i="4"/>
  <c r="D98" i="4" s="1"/>
  <c r="D87" i="4"/>
  <c r="D99" i="4" s="1"/>
  <c r="C97" i="4"/>
  <c r="C3" i="4" s="1"/>
  <c r="C60" i="4"/>
  <c r="C77" i="4"/>
  <c r="C84" i="4" s="1"/>
  <c r="C67" i="4"/>
  <c r="C74" i="4" s="1"/>
  <c r="C63" i="4"/>
  <c r="B64" i="4"/>
  <c r="D56" i="4"/>
  <c r="B8" i="4"/>
  <c r="B47" i="4"/>
  <c r="B48" i="4" s="1"/>
  <c r="B9" i="4" s="1"/>
  <c r="D18" i="4"/>
  <c r="C96" i="4"/>
  <c r="C2" i="4" s="1"/>
  <c r="C30" i="4"/>
  <c r="C31" i="4" s="1"/>
  <c r="B57" i="4"/>
  <c r="B10" i="4" s="1"/>
  <c r="D50" i="3"/>
  <c r="D47" i="3"/>
  <c r="F47" i="3" s="1"/>
  <c r="C58" i="3"/>
  <c r="C59" i="3" s="1"/>
  <c r="B64" i="3"/>
  <c r="B71" i="3"/>
  <c r="B78" i="3" s="1"/>
  <c r="B81" i="3"/>
  <c r="B88" i="3" s="1"/>
  <c r="C97" i="3"/>
  <c r="C6" i="3" s="1"/>
  <c r="B98" i="3"/>
  <c r="B7" i="3" s="1"/>
  <c r="B66" i="3"/>
  <c r="C23" i="3" s="1"/>
  <c r="C67" i="3" s="1"/>
  <c r="B67" i="3"/>
  <c r="D67" i="3" s="1"/>
  <c r="D68" i="3" s="1"/>
  <c r="D91" i="3" s="1"/>
  <c r="D100" i="3" s="1"/>
  <c r="D23" i="3"/>
  <c r="C60" i="3"/>
  <c r="B12" i="3"/>
  <c r="B51" i="3"/>
  <c r="B52" i="3" s="1"/>
  <c r="B13" i="3" s="1"/>
  <c r="B61" i="3"/>
  <c r="B14" i="3" s="1"/>
  <c r="D54" i="1"/>
  <c r="D55" i="1" s="1"/>
  <c r="D86" i="1"/>
  <c r="D98" i="1" s="1"/>
  <c r="D4" i="1" s="1"/>
  <c r="D87" i="1"/>
  <c r="D99" i="1" s="1"/>
  <c r="D5" i="1" s="1"/>
  <c r="C96" i="1"/>
  <c r="C2" i="1" s="1"/>
  <c r="D18" i="1"/>
  <c r="C77" i="1"/>
  <c r="C84" i="1" s="1"/>
  <c r="C67" i="1"/>
  <c r="C74" i="1" s="1"/>
  <c r="C63" i="1"/>
  <c r="C60" i="1"/>
  <c r="C64" i="1" s="1"/>
  <c r="C30" i="1"/>
  <c r="C31" i="1" s="1"/>
  <c r="B64" i="1"/>
  <c r="B87" i="4" l="1"/>
  <c r="B99" i="4" s="1"/>
  <c r="B86" i="4"/>
  <c r="B98" i="4" s="1"/>
  <c r="C8" i="4"/>
  <c r="C47" i="4"/>
  <c r="C48" i="4" s="1"/>
  <c r="C9" i="4" s="1"/>
  <c r="C57" i="4"/>
  <c r="C10" i="4" s="1"/>
  <c r="C64" i="4"/>
  <c r="D96" i="4"/>
  <c r="D2" i="4" s="1"/>
  <c r="D19" i="4"/>
  <c r="D5" i="4"/>
  <c r="D101" i="4"/>
  <c r="D7" i="4" s="1"/>
  <c r="D12" i="4" s="1"/>
  <c r="D4" i="4"/>
  <c r="D100" i="4"/>
  <c r="D6" i="4" s="1"/>
  <c r="D58" i="3"/>
  <c r="D59" i="3" s="1"/>
  <c r="C81" i="3"/>
  <c r="C88" i="3" s="1"/>
  <c r="C64" i="3"/>
  <c r="C68" i="3" s="1"/>
  <c r="C98" i="3"/>
  <c r="C7" i="3" s="1"/>
  <c r="C71" i="3"/>
  <c r="C78" i="3" s="1"/>
  <c r="D90" i="3"/>
  <c r="D99" i="3" s="1"/>
  <c r="D8" i="3" s="1"/>
  <c r="C34" i="3"/>
  <c r="C35" i="3" s="1"/>
  <c r="C61" i="3" s="1"/>
  <c r="C14" i="3" s="1"/>
  <c r="D98" i="3"/>
  <c r="D7" i="3" s="1"/>
  <c r="D34" i="3"/>
  <c r="D35" i="3" s="1"/>
  <c r="B68" i="3"/>
  <c r="D102" i="3"/>
  <c r="D11" i="3" s="1"/>
  <c r="D16" i="3" s="1"/>
  <c r="D9" i="3"/>
  <c r="D19" i="1"/>
  <c r="D96" i="1"/>
  <c r="D2" i="1" s="1"/>
  <c r="D101" i="1"/>
  <c r="D7" i="1" s="1"/>
  <c r="D12" i="1" s="1"/>
  <c r="D100" i="1"/>
  <c r="D6" i="1" s="1"/>
  <c r="C86" i="1"/>
  <c r="C98" i="1" s="1"/>
  <c r="C87" i="1"/>
  <c r="C99" i="1" s="1"/>
  <c r="C47" i="1"/>
  <c r="C48" i="1" s="1"/>
  <c r="C9" i="1" s="1"/>
  <c r="C57" i="1"/>
  <c r="C10" i="1" s="1"/>
  <c r="B87" i="1"/>
  <c r="B86" i="1"/>
  <c r="B100" i="4" l="1"/>
  <c r="B6" i="4" s="1"/>
  <c r="B4" i="4"/>
  <c r="D30" i="4"/>
  <c r="D31" i="4" s="1"/>
  <c r="D97" i="4"/>
  <c r="D3" i="4" s="1"/>
  <c r="C86" i="4"/>
  <c r="C98" i="4" s="1"/>
  <c r="C87" i="4"/>
  <c r="C99" i="4" s="1"/>
  <c r="B5" i="4"/>
  <c r="B101" i="4"/>
  <c r="B7" i="4" s="1"/>
  <c r="B12" i="4" s="1"/>
  <c r="C12" i="3"/>
  <c r="C51" i="3"/>
  <c r="C52" i="3" s="1"/>
  <c r="C13" i="3" s="1"/>
  <c r="D101" i="3"/>
  <c r="D10" i="3" s="1"/>
  <c r="B91" i="3"/>
  <c r="B100" i="3" s="1"/>
  <c r="B90" i="3"/>
  <c r="B99" i="3" s="1"/>
  <c r="D61" i="3"/>
  <c r="D14" i="3" s="1"/>
  <c r="D12" i="3"/>
  <c r="D51" i="3"/>
  <c r="D52" i="3" s="1"/>
  <c r="D13" i="3" s="1"/>
  <c r="C91" i="3"/>
  <c r="C100" i="3" s="1"/>
  <c r="C90" i="3"/>
  <c r="C99" i="3" s="1"/>
  <c r="C101" i="1"/>
  <c r="C7" i="1" s="1"/>
  <c r="C12" i="1" s="1"/>
  <c r="C5" i="1"/>
  <c r="C100" i="1"/>
  <c r="C6" i="1" s="1"/>
  <c r="C4" i="1"/>
  <c r="D97" i="1"/>
  <c r="D3" i="1" s="1"/>
  <c r="D30" i="1"/>
  <c r="D31" i="1" s="1"/>
  <c r="B98" i="1"/>
  <c r="B99" i="1"/>
  <c r="D8" i="4" l="1"/>
  <c r="D47" i="4"/>
  <c r="D48" i="4" s="1"/>
  <c r="D9" i="4" s="1"/>
  <c r="D57" i="4"/>
  <c r="D10" i="4" s="1"/>
  <c r="C101" i="4"/>
  <c r="C7" i="4" s="1"/>
  <c r="C12" i="4" s="1"/>
  <c r="C5" i="4"/>
  <c r="C4" i="4"/>
  <c r="C100" i="4"/>
  <c r="C6" i="4" s="1"/>
  <c r="B8" i="3"/>
  <c r="B101" i="3"/>
  <c r="B10" i="3" s="1"/>
  <c r="B102" i="3"/>
  <c r="B11" i="3" s="1"/>
  <c r="B16" i="3" s="1"/>
  <c r="B9" i="3"/>
  <c r="C8" i="3"/>
  <c r="C101" i="3"/>
  <c r="C10" i="3" s="1"/>
  <c r="C9" i="3"/>
  <c r="C102" i="3"/>
  <c r="C11" i="3" s="1"/>
  <c r="C16" i="3" s="1"/>
  <c r="B101" i="1"/>
  <c r="B7" i="1" s="1"/>
  <c r="B12" i="1" s="1"/>
  <c r="B5" i="1"/>
  <c r="B100" i="1"/>
  <c r="B6" i="1" s="1"/>
  <c r="B4" i="1"/>
  <c r="D47" i="1"/>
  <c r="D48" i="1" s="1"/>
  <c r="D9" i="1" s="1"/>
  <c r="D57" i="1"/>
  <c r="D10" i="1" s="1"/>
</calcChain>
</file>

<file path=xl/sharedStrings.xml><?xml version="1.0" encoding="utf-8"?>
<sst xmlns="http://schemas.openxmlformats.org/spreadsheetml/2006/main" count="350" uniqueCount="135">
  <si>
    <t>Basic Info</t>
  </si>
  <si>
    <t>$ Purchase Price</t>
  </si>
  <si>
    <t>% Down Payment</t>
  </si>
  <si>
    <t>$ Down Payment</t>
  </si>
  <si>
    <t>$ Loan Amount</t>
  </si>
  <si>
    <t>% Interest Rate</t>
  </si>
  <si>
    <t>Est. Monthly Tax</t>
  </si>
  <si>
    <t>Est. Monthly Ins</t>
  </si>
  <si>
    <t>HOA Fee</t>
  </si>
  <si>
    <t>PITI</t>
  </si>
  <si>
    <t>Principal &amp; Int</t>
  </si>
  <si>
    <t>Total PITI</t>
  </si>
  <si>
    <t>Rental Income</t>
  </si>
  <si>
    <t>U1 Actual</t>
  </si>
  <si>
    <t>U1 Appraised</t>
  </si>
  <si>
    <t>U2 Actual</t>
  </si>
  <si>
    <t>U2 Appraised</t>
  </si>
  <si>
    <t>U3 Actual</t>
  </si>
  <si>
    <t>U3 Appraised</t>
  </si>
  <si>
    <t>U4 Actual</t>
  </si>
  <si>
    <t>U4 Appraised</t>
  </si>
  <si>
    <t>Sewer</t>
  </si>
  <si>
    <t>Water</t>
  </si>
  <si>
    <t>Electric</t>
  </si>
  <si>
    <t>Service (Lawn)</t>
  </si>
  <si>
    <t>Total Rent Actual</t>
  </si>
  <si>
    <t>Total Rent Appraised</t>
  </si>
  <si>
    <t>Net Self Sufficiency</t>
  </si>
  <si>
    <t>Appraiser Vac Est.</t>
  </si>
  <si>
    <t>PITI / NSS</t>
  </si>
  <si>
    <t>Self-Sufficient?</t>
  </si>
  <si>
    <t>Monthly Income</t>
  </si>
  <si>
    <t>CC Debt</t>
  </si>
  <si>
    <t>401K Debt</t>
  </si>
  <si>
    <t>Pre-DTI</t>
  </si>
  <si>
    <t>Adjusted DTI</t>
  </si>
  <si>
    <t>Allowable Rent</t>
  </si>
  <si>
    <t>Adjusted Income</t>
  </si>
  <si>
    <t>Total Liabilities</t>
  </si>
  <si>
    <t>Loan Orig. Fee</t>
  </si>
  <si>
    <t>Appraisal Fee</t>
  </si>
  <si>
    <t>Credit Report Fee</t>
  </si>
  <si>
    <t>Title Ins. + Search</t>
  </si>
  <si>
    <t>Recording Fees</t>
  </si>
  <si>
    <t>Prepaid Ins (12m)</t>
  </si>
  <si>
    <t>Prepaid Taxes (6m)</t>
  </si>
  <si>
    <t>MIP Upfront (FHA)</t>
  </si>
  <si>
    <t>MIP Monthly</t>
  </si>
  <si>
    <t>Attorney/Notary fees</t>
  </si>
  <si>
    <t>Inspection Fees</t>
  </si>
  <si>
    <t>Closing Costs Static</t>
  </si>
  <si>
    <t>Static Total</t>
  </si>
  <si>
    <t>Closing Costs Variable</t>
  </si>
  <si>
    <t>Low</t>
  </si>
  <si>
    <t>High</t>
  </si>
  <si>
    <t>Total Low</t>
  </si>
  <si>
    <t>Total High</t>
  </si>
  <si>
    <t>Total Low Closing Cost</t>
  </si>
  <si>
    <t>Total High Closing Cost</t>
  </si>
  <si>
    <t>Funds Avail</t>
  </si>
  <si>
    <t>Savings</t>
  </si>
  <si>
    <t>401k Reserves</t>
  </si>
  <si>
    <t>Down Payment</t>
  </si>
  <si>
    <t>Loan Amt</t>
  </si>
  <si>
    <t>MyClosing High</t>
  </si>
  <si>
    <t>MyClosing Low</t>
  </si>
  <si>
    <t>Total Cost OoP Low</t>
  </si>
  <si>
    <t>Total OoP</t>
  </si>
  <si>
    <t>Roll Into Loan</t>
  </si>
  <si>
    <t>Seller Covered</t>
  </si>
  <si>
    <t>Self Sufficient</t>
  </si>
  <si>
    <t>Remaining Savings</t>
  </si>
  <si>
    <t>Reserve Required</t>
  </si>
  <si>
    <t>To buy 1M</t>
  </si>
  <si>
    <t>High Sav</t>
  </si>
  <si>
    <t>Mid Sav</t>
  </si>
  <si>
    <t>Low Sav</t>
  </si>
  <si>
    <t>SSF Rent</t>
  </si>
  <si>
    <t>DTI Rent</t>
  </si>
  <si>
    <t>.9M</t>
  </si>
  <si>
    <t>.8M</t>
  </si>
  <si>
    <t>.7M</t>
  </si>
  <si>
    <t>.6M</t>
  </si>
  <si>
    <t>.5M</t>
  </si>
  <si>
    <t>.84M</t>
  </si>
  <si>
    <t>.76M</t>
  </si>
  <si>
    <t>.56M</t>
  </si>
  <si>
    <t>840K, with 2060 Rent per unit</t>
  </si>
  <si>
    <t>I can roll in UFPMI and don’t need much extra cash, or seller concessions</t>
  </si>
  <si>
    <t>at 760K, with 1900 rent per unit</t>
  </si>
  <si>
    <t>I can roll in UFPMI without extra cash or seller concessions</t>
  </si>
  <si>
    <t>Bargin Side</t>
  </si>
  <si>
    <t>560K, with 1450 rent per unit</t>
  </si>
  <si>
    <t>I can fully fund this without rolling the UFPMI</t>
  </si>
  <si>
    <t>Expensive Unicorn</t>
  </si>
  <si>
    <t>1M, with 3100 rent per unit</t>
  </si>
  <si>
    <t>Achievable with another 13k… Seller concessions would be ideal</t>
  </si>
  <si>
    <t>.66M</t>
  </si>
  <si>
    <t>Fully Achievable</t>
  </si>
  <si>
    <t>at 660k, with 1680 rent per unit</t>
  </si>
  <si>
    <t>A small stretch can fully fund this</t>
  </si>
  <si>
    <t>13k</t>
  </si>
  <si>
    <t>30k</t>
  </si>
  <si>
    <t>18k</t>
  </si>
  <si>
    <t>4k</t>
  </si>
  <si>
    <t>12k</t>
  </si>
  <si>
    <t>-</t>
  </si>
  <si>
    <t>5k</t>
  </si>
  <si>
    <t>"-6k"</t>
  </si>
  <si>
    <t>"-2k"</t>
  </si>
  <si>
    <t>"-11k"</t>
  </si>
  <si>
    <t>Comfortable high side - DTI Becomes Rent Limiter</t>
  </si>
  <si>
    <t>.92M</t>
  </si>
  <si>
    <t>24k</t>
  </si>
  <si>
    <t>9k</t>
  </si>
  <si>
    <t>920K, with 2570 Rent per unit</t>
  </si>
  <si>
    <t>Achievable with another 9k…</t>
  </si>
  <si>
    <t>Expensive Hopefull</t>
  </si>
  <si>
    <t>Goal</t>
  </si>
  <si>
    <t>There's a reason it's being sold…</t>
  </si>
  <si>
    <t>Reasonable, but not ideal</t>
  </si>
  <si>
    <t>Goal - Fair</t>
  </si>
  <si>
    <t>Optimal</t>
  </si>
  <si>
    <t>But DTI determines Rent</t>
  </si>
  <si>
    <t>Unicorn - with perfect rent</t>
  </si>
  <si>
    <t>Value</t>
  </si>
  <si>
    <t>Happy</t>
  </si>
  <si>
    <t>Settle</t>
  </si>
  <si>
    <t>Unicorn</t>
  </si>
  <si>
    <t>Skeptical</t>
  </si>
  <si>
    <r>
      <t>= 0.002694x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- 0.157424x + 601.149268</t>
    </r>
  </si>
  <si>
    <t>574K*ln(total_rent)-4.4M</t>
  </si>
  <si>
    <t>Max offer</t>
  </si>
  <si>
    <t>Min Rent</t>
  </si>
  <si>
    <r>
      <t>0.0027*Ask</t>
    </r>
    <r>
      <rPr>
        <vertAlign val="superscript"/>
        <sz val="11"/>
        <color theme="1"/>
        <rFont val="Aptos Narrow"/>
        <family val="2"/>
        <scheme val="minor"/>
      </rPr>
      <t xml:space="preserve">2 </t>
    </r>
    <r>
      <rPr>
        <sz val="11"/>
        <color theme="1"/>
        <rFont val="Aptos Narrow"/>
        <family val="2"/>
        <scheme val="minor"/>
      </rPr>
      <t>- 0.1574*Ask + 600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</si>
</sst>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10" fontId="0" fillId="2" borderId="0" xfId="2" applyNumberFormat="1" applyFont="1" applyFill="1"/>
    <xf numFmtId="44" fontId="0" fillId="3" borderId="0" xfId="0" applyNumberFormat="1" applyFill="1"/>
    <xf numFmtId="10" fontId="0" fillId="0" borderId="0" xfId="0" applyNumberFormat="1"/>
    <xf numFmtId="44" fontId="0" fillId="3" borderId="0" xfId="1" applyFont="1" applyFill="1"/>
    <xf numFmtId="44" fontId="0" fillId="4" borderId="0" xfId="1" applyFont="1" applyFill="1"/>
    <xf numFmtId="9" fontId="0" fillId="4" borderId="0" xfId="2" applyFont="1" applyFill="1"/>
    <xf numFmtId="0" fontId="0" fillId="4" borderId="0" xfId="0" applyFill="1" applyAlignment="1">
      <alignment horizontal="right"/>
    </xf>
    <xf numFmtId="10" fontId="0" fillId="4" borderId="0" xfId="2" applyNumberFormat="1" applyFont="1" applyFill="1"/>
    <xf numFmtId="0" fontId="0" fillId="0" borderId="0" xfId="1" applyNumberFormat="1" applyFont="1"/>
    <xf numFmtId="44" fontId="0" fillId="4" borderId="0" xfId="0" applyNumberFormat="1" applyFill="1"/>
    <xf numFmtId="44" fontId="0" fillId="0" borderId="0" xfId="1" applyFont="1" applyFill="1"/>
    <xf numFmtId="44" fontId="0" fillId="0" borderId="0" xfId="0" applyNumberFormat="1" applyFill="1"/>
    <xf numFmtId="44" fontId="0" fillId="2" borderId="0" xfId="0" applyNumberFormat="1" applyFill="1"/>
    <xf numFmtId="8" fontId="0" fillId="4" borderId="0" xfId="0" applyNumberFormat="1" applyFill="1"/>
    <xf numFmtId="10" fontId="0" fillId="0" borderId="0" xfId="0" applyNumberFormat="1" applyFill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/>
    <xf numFmtId="0" fontId="2" fillId="6" borderId="0" xfId="0" applyFont="1" applyFill="1"/>
    <xf numFmtId="0" fontId="2" fillId="2" borderId="0" xfId="0" applyFont="1" applyFill="1"/>
    <xf numFmtId="0" fontId="2" fillId="9" borderId="0" xfId="0" applyFont="1" applyFill="1"/>
    <xf numFmtId="164" fontId="2" fillId="0" borderId="0" xfId="0" applyNumberFormat="1" applyFont="1"/>
    <xf numFmtId="0" fontId="2" fillId="5" borderId="0" xfId="0" applyFont="1" applyFill="1"/>
    <xf numFmtId="0" fontId="2" fillId="10" borderId="0" xfId="0" applyFont="1" applyFill="1"/>
    <xf numFmtId="0" fontId="0" fillId="0" borderId="0" xfId="0" applyFont="1"/>
    <xf numFmtId="0" fontId="0" fillId="8" borderId="0" xfId="0" applyFont="1" applyFill="1"/>
    <xf numFmtId="0" fontId="0" fillId="6" borderId="0" xfId="0" applyFont="1" applyFill="1"/>
    <xf numFmtId="0" fontId="0" fillId="5" borderId="0" xfId="0" applyFont="1" applyFill="1"/>
    <xf numFmtId="0" fontId="2" fillId="7" borderId="0" xfId="0" applyFont="1" applyFill="1"/>
    <xf numFmtId="2" fontId="2" fillId="0" borderId="0" xfId="0" applyNumberFormat="1" applyFont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1" fontId="0" fillId="0" borderId="0" xfId="0" applyNumberFormat="1"/>
    <xf numFmtId="165" fontId="0" fillId="0" borderId="0" xfId="1" applyNumberFormat="1" applyFont="1"/>
    <xf numFmtId="0" fontId="0" fillId="0" borderId="0" xfId="0" applyFont="1" applyAlignment="1">
      <alignment horizontal="right"/>
    </xf>
    <xf numFmtId="0" fontId="0" fillId="0" borderId="0" xfId="0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00"/>
      <color rgb="FFC00000"/>
      <color rgb="FFB5D64A"/>
      <color rgb="FF660033"/>
      <color rgb="FFA50021"/>
      <color rgb="FF9D28A0"/>
      <color rgb="FF78206E"/>
      <color rgb="FF0070C0"/>
      <color rgb="FFFC8004"/>
      <color rgb="FF0C8C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Playground!$H$47</c:f>
              <c:strCache>
                <c:ptCount val="1"/>
                <c:pt idx="0">
                  <c:v>High Sav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Playground!$I$46:$S$46</c:f>
              <c:numCache>
                <c:formatCode>General</c:formatCode>
                <c:ptCount val="11"/>
                <c:pt idx="0">
                  <c:v>1</c:v>
                </c:pt>
                <c:pt idx="1">
                  <c:v>0.92</c:v>
                </c:pt>
                <c:pt idx="2">
                  <c:v>0.9</c:v>
                </c:pt>
                <c:pt idx="3">
                  <c:v>0.84</c:v>
                </c:pt>
                <c:pt idx="4">
                  <c:v>0.8</c:v>
                </c:pt>
                <c:pt idx="5">
                  <c:v>0.76</c:v>
                </c:pt>
                <c:pt idx="6">
                  <c:v>0.7</c:v>
                </c:pt>
                <c:pt idx="7">
                  <c:v>0.66</c:v>
                </c:pt>
                <c:pt idx="8">
                  <c:v>0.6</c:v>
                </c:pt>
                <c:pt idx="9">
                  <c:v>0.56000000000000005</c:v>
                </c:pt>
                <c:pt idx="10">
                  <c:v>0.5</c:v>
                </c:pt>
              </c:numCache>
            </c:numRef>
          </c:cat>
          <c:val>
            <c:numRef>
              <c:f>Playground!$I$47:$S$47</c:f>
              <c:numCache>
                <c:formatCode>General</c:formatCode>
                <c:ptCount val="11"/>
                <c:pt idx="0">
                  <c:v>80</c:v>
                </c:pt>
                <c:pt idx="1">
                  <c:v>74</c:v>
                </c:pt>
                <c:pt idx="2">
                  <c:v>72</c:v>
                </c:pt>
                <c:pt idx="3">
                  <c:v>68</c:v>
                </c:pt>
                <c:pt idx="4">
                  <c:v>65</c:v>
                </c:pt>
                <c:pt idx="5">
                  <c:v>62</c:v>
                </c:pt>
                <c:pt idx="6">
                  <c:v>58</c:v>
                </c:pt>
                <c:pt idx="7">
                  <c:v>55</c:v>
                </c:pt>
                <c:pt idx="8">
                  <c:v>51</c:v>
                </c:pt>
                <c:pt idx="9">
                  <c:v>48</c:v>
                </c:pt>
                <c:pt idx="1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6-4669-8D15-5AF4B2F235A9}"/>
            </c:ext>
          </c:extLst>
        </c:ser>
        <c:ser>
          <c:idx val="1"/>
          <c:order val="1"/>
          <c:tx>
            <c:strRef>
              <c:f>Playground!$H$48</c:f>
              <c:strCache>
                <c:ptCount val="1"/>
                <c:pt idx="0">
                  <c:v>Mid Sav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Playground!$I$46:$S$46</c:f>
              <c:numCache>
                <c:formatCode>General</c:formatCode>
                <c:ptCount val="11"/>
                <c:pt idx="0">
                  <c:v>1</c:v>
                </c:pt>
                <c:pt idx="1">
                  <c:v>0.92</c:v>
                </c:pt>
                <c:pt idx="2">
                  <c:v>0.9</c:v>
                </c:pt>
                <c:pt idx="3">
                  <c:v>0.84</c:v>
                </c:pt>
                <c:pt idx="4">
                  <c:v>0.8</c:v>
                </c:pt>
                <c:pt idx="5">
                  <c:v>0.76</c:v>
                </c:pt>
                <c:pt idx="6">
                  <c:v>0.7</c:v>
                </c:pt>
                <c:pt idx="7">
                  <c:v>0.66</c:v>
                </c:pt>
                <c:pt idx="8">
                  <c:v>0.6</c:v>
                </c:pt>
                <c:pt idx="9">
                  <c:v>0.56000000000000005</c:v>
                </c:pt>
                <c:pt idx="10">
                  <c:v>0.5</c:v>
                </c:pt>
              </c:numCache>
            </c:numRef>
          </c:cat>
          <c:val>
            <c:numRef>
              <c:f>Playground!$I$48:$S$48</c:f>
              <c:numCache>
                <c:formatCode>General</c:formatCode>
                <c:ptCount val="11"/>
                <c:pt idx="0">
                  <c:v>63</c:v>
                </c:pt>
                <c:pt idx="1">
                  <c:v>59</c:v>
                </c:pt>
                <c:pt idx="2">
                  <c:v>58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47</c:v>
                </c:pt>
                <c:pt idx="7">
                  <c:v>44</c:v>
                </c:pt>
                <c:pt idx="8">
                  <c:v>41</c:v>
                </c:pt>
                <c:pt idx="9">
                  <c:v>39</c:v>
                </c:pt>
                <c:pt idx="1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6-4669-8D15-5AF4B2F235A9}"/>
            </c:ext>
          </c:extLst>
        </c:ser>
        <c:ser>
          <c:idx val="2"/>
          <c:order val="2"/>
          <c:tx>
            <c:strRef>
              <c:f>Playground!$H$49</c:f>
              <c:strCache>
                <c:ptCount val="1"/>
                <c:pt idx="0">
                  <c:v>Low Sav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Playground!$I$46:$S$46</c:f>
              <c:numCache>
                <c:formatCode>General</c:formatCode>
                <c:ptCount val="11"/>
                <c:pt idx="0">
                  <c:v>1</c:v>
                </c:pt>
                <c:pt idx="1">
                  <c:v>0.92</c:v>
                </c:pt>
                <c:pt idx="2">
                  <c:v>0.9</c:v>
                </c:pt>
                <c:pt idx="3">
                  <c:v>0.84</c:v>
                </c:pt>
                <c:pt idx="4">
                  <c:v>0.8</c:v>
                </c:pt>
                <c:pt idx="5">
                  <c:v>0.76</c:v>
                </c:pt>
                <c:pt idx="6">
                  <c:v>0.7</c:v>
                </c:pt>
                <c:pt idx="7">
                  <c:v>0.66</c:v>
                </c:pt>
                <c:pt idx="8">
                  <c:v>0.6</c:v>
                </c:pt>
                <c:pt idx="9">
                  <c:v>0.56000000000000005</c:v>
                </c:pt>
                <c:pt idx="10">
                  <c:v>0.5</c:v>
                </c:pt>
              </c:numCache>
            </c:numRef>
          </c:cat>
          <c:val>
            <c:numRef>
              <c:f>Playground!$I$49:$S$49</c:f>
              <c:numCache>
                <c:formatCode>General</c:formatCode>
                <c:ptCount val="11"/>
                <c:pt idx="0">
                  <c:v>41</c:v>
                </c:pt>
                <c:pt idx="1">
                  <c:v>38</c:v>
                </c:pt>
                <c:pt idx="2">
                  <c:v>37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29</c:v>
                </c:pt>
                <c:pt idx="7">
                  <c:v>27</c:v>
                </c:pt>
                <c:pt idx="8">
                  <c:v>25</c:v>
                </c:pt>
                <c:pt idx="9">
                  <c:v>23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6-4669-8D15-5AF4B2F2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414352"/>
        <c:axId val="789915184"/>
      </c:lineChart>
      <c:lineChart>
        <c:grouping val="standard"/>
        <c:varyColors val="0"/>
        <c:ser>
          <c:idx val="3"/>
          <c:order val="3"/>
          <c:tx>
            <c:strRef>
              <c:f>Playground!$H$50</c:f>
              <c:strCache>
                <c:ptCount val="1"/>
                <c:pt idx="0">
                  <c:v>SSF 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Playground!$I$50:$S$50</c:f>
              <c:numCache>
                <c:formatCode>General</c:formatCode>
                <c:ptCount val="11"/>
                <c:pt idx="0">
                  <c:v>2400</c:v>
                </c:pt>
                <c:pt idx="1">
                  <c:v>2240</c:v>
                </c:pt>
                <c:pt idx="2">
                  <c:v>2200</c:v>
                </c:pt>
                <c:pt idx="3">
                  <c:v>2060</c:v>
                </c:pt>
                <c:pt idx="4">
                  <c:v>1972</c:v>
                </c:pt>
                <c:pt idx="5">
                  <c:v>1890</c:v>
                </c:pt>
                <c:pt idx="6">
                  <c:v>1800</c:v>
                </c:pt>
                <c:pt idx="7">
                  <c:v>1680</c:v>
                </c:pt>
                <c:pt idx="8">
                  <c:v>1550</c:v>
                </c:pt>
                <c:pt idx="9">
                  <c:v>1450</c:v>
                </c:pt>
                <c:pt idx="10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6-4669-8D15-5AF4B2F235A9}"/>
            </c:ext>
          </c:extLst>
        </c:ser>
        <c:ser>
          <c:idx val="4"/>
          <c:order val="4"/>
          <c:tx>
            <c:strRef>
              <c:f>Playground!$H$51</c:f>
              <c:strCache>
                <c:ptCount val="1"/>
                <c:pt idx="0">
                  <c:v>DTI Rent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Playground!$I$51:$S$51</c:f>
              <c:numCache>
                <c:formatCode>General</c:formatCode>
                <c:ptCount val="11"/>
                <c:pt idx="0">
                  <c:v>3100</c:v>
                </c:pt>
                <c:pt idx="1">
                  <c:v>2570</c:v>
                </c:pt>
                <c:pt idx="2">
                  <c:v>2450</c:v>
                </c:pt>
                <c:pt idx="3">
                  <c:v>2060</c:v>
                </c:pt>
                <c:pt idx="4">
                  <c:v>1800</c:v>
                </c:pt>
                <c:pt idx="5">
                  <c:v>1550</c:v>
                </c:pt>
                <c:pt idx="6">
                  <c:v>1200</c:v>
                </c:pt>
                <c:pt idx="7">
                  <c:v>920</c:v>
                </c:pt>
                <c:pt idx="8">
                  <c:v>550</c:v>
                </c:pt>
                <c:pt idx="9">
                  <c:v>300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16-4669-8D15-5AF4B2F2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905584"/>
        <c:axId val="789881584"/>
      </c:lineChart>
      <c:catAx>
        <c:axId val="6014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15184"/>
        <c:crosses val="autoZero"/>
        <c:auto val="1"/>
        <c:lblAlgn val="ctr"/>
        <c:lblOffset val="100"/>
        <c:noMultiLvlLbl val="0"/>
      </c:catAx>
      <c:valAx>
        <c:axId val="7899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14352"/>
        <c:crosses val="autoZero"/>
        <c:crossBetween val="between"/>
      </c:valAx>
      <c:valAx>
        <c:axId val="789881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05584"/>
        <c:crosses val="max"/>
        <c:crossBetween val="between"/>
      </c:valAx>
      <c:catAx>
        <c:axId val="789905584"/>
        <c:scaling>
          <c:orientation val="minMax"/>
        </c:scaling>
        <c:delete val="1"/>
        <c:axPos val="b"/>
        <c:majorTickMark val="out"/>
        <c:minorTickMark val="none"/>
        <c:tickLblPos val="nextTo"/>
        <c:crossAx val="789881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High Sav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Sheet1!$C$5:$C$15</c:f>
              <c:numCache>
                <c:formatCode>General</c:formatCode>
                <c:ptCount val="11"/>
                <c:pt idx="0">
                  <c:v>0.5</c:v>
                </c:pt>
                <c:pt idx="1">
                  <c:v>0.56000000000000005</c:v>
                </c:pt>
                <c:pt idx="2">
                  <c:v>0.6</c:v>
                </c:pt>
                <c:pt idx="3">
                  <c:v>0.66</c:v>
                </c:pt>
                <c:pt idx="4">
                  <c:v>0.7</c:v>
                </c:pt>
                <c:pt idx="5">
                  <c:v>0.76</c:v>
                </c:pt>
                <c:pt idx="6">
                  <c:v>0.8</c:v>
                </c:pt>
                <c:pt idx="7">
                  <c:v>0.84</c:v>
                </c:pt>
                <c:pt idx="8">
                  <c:v>0.9</c:v>
                </c:pt>
                <c:pt idx="9">
                  <c:v>0.92</c:v>
                </c:pt>
                <c:pt idx="10">
                  <c:v>1</c:v>
                </c:pt>
              </c:numCache>
            </c:num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44</c:v>
                </c:pt>
                <c:pt idx="1">
                  <c:v>48</c:v>
                </c:pt>
                <c:pt idx="2">
                  <c:v>51</c:v>
                </c:pt>
                <c:pt idx="3">
                  <c:v>55</c:v>
                </c:pt>
                <c:pt idx="4">
                  <c:v>58</c:v>
                </c:pt>
                <c:pt idx="5">
                  <c:v>62</c:v>
                </c:pt>
                <c:pt idx="6">
                  <c:v>65</c:v>
                </c:pt>
                <c:pt idx="7">
                  <c:v>68</c:v>
                </c:pt>
                <c:pt idx="8">
                  <c:v>72</c:v>
                </c:pt>
                <c:pt idx="9">
                  <c:v>74</c:v>
                </c:pt>
                <c:pt idx="1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D-488A-8167-9BE26403C278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Mid Sav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Sheet1!$C$5:$C$15</c:f>
              <c:numCache>
                <c:formatCode>General</c:formatCode>
                <c:ptCount val="11"/>
                <c:pt idx="0">
                  <c:v>0.5</c:v>
                </c:pt>
                <c:pt idx="1">
                  <c:v>0.56000000000000005</c:v>
                </c:pt>
                <c:pt idx="2">
                  <c:v>0.6</c:v>
                </c:pt>
                <c:pt idx="3">
                  <c:v>0.66</c:v>
                </c:pt>
                <c:pt idx="4">
                  <c:v>0.7</c:v>
                </c:pt>
                <c:pt idx="5">
                  <c:v>0.76</c:v>
                </c:pt>
                <c:pt idx="6">
                  <c:v>0.8</c:v>
                </c:pt>
                <c:pt idx="7">
                  <c:v>0.84</c:v>
                </c:pt>
                <c:pt idx="8">
                  <c:v>0.9</c:v>
                </c:pt>
                <c:pt idx="9">
                  <c:v>0.92</c:v>
                </c:pt>
                <c:pt idx="10">
                  <c:v>1</c:v>
                </c:pt>
              </c:numCache>
            </c:num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35</c:v>
                </c:pt>
                <c:pt idx="1">
                  <c:v>39</c:v>
                </c:pt>
                <c:pt idx="2">
                  <c:v>41</c:v>
                </c:pt>
                <c:pt idx="3">
                  <c:v>44</c:v>
                </c:pt>
                <c:pt idx="4">
                  <c:v>47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58</c:v>
                </c:pt>
                <c:pt idx="9">
                  <c:v>59</c:v>
                </c:pt>
                <c:pt idx="1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D-488A-8167-9BE26403C278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Low Sav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Sheet1!$C$5:$C$15</c:f>
              <c:numCache>
                <c:formatCode>General</c:formatCode>
                <c:ptCount val="11"/>
                <c:pt idx="0">
                  <c:v>0.5</c:v>
                </c:pt>
                <c:pt idx="1">
                  <c:v>0.56000000000000005</c:v>
                </c:pt>
                <c:pt idx="2">
                  <c:v>0.6</c:v>
                </c:pt>
                <c:pt idx="3">
                  <c:v>0.66</c:v>
                </c:pt>
                <c:pt idx="4">
                  <c:v>0.7</c:v>
                </c:pt>
                <c:pt idx="5">
                  <c:v>0.76</c:v>
                </c:pt>
                <c:pt idx="6">
                  <c:v>0.8</c:v>
                </c:pt>
                <c:pt idx="7">
                  <c:v>0.84</c:v>
                </c:pt>
                <c:pt idx="8">
                  <c:v>0.9</c:v>
                </c:pt>
                <c:pt idx="9">
                  <c:v>0.92</c:v>
                </c:pt>
                <c:pt idx="10">
                  <c:v>1</c:v>
                </c:pt>
              </c:numCache>
            </c:num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37</c:v>
                </c:pt>
                <c:pt idx="9">
                  <c:v>38</c:v>
                </c:pt>
                <c:pt idx="1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D-488A-8167-9BE26403C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597104"/>
        <c:axId val="879619664"/>
      </c:lineChart>
      <c:lineChart>
        <c:grouping val="standard"/>
        <c:varyColors val="0"/>
        <c:ser>
          <c:idx val="3"/>
          <c:order val="3"/>
          <c:tx>
            <c:strRef>
              <c:f>Sheet1!$G$4</c:f>
              <c:strCache>
                <c:ptCount val="1"/>
                <c:pt idx="0">
                  <c:v>SSF 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4906146106736653"/>
                  <c:y val="-1.88986876640419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Sheet1!$C$5:$C$15</c:f>
              <c:numCache>
                <c:formatCode>General</c:formatCode>
                <c:ptCount val="11"/>
                <c:pt idx="0">
                  <c:v>0.5</c:v>
                </c:pt>
                <c:pt idx="1">
                  <c:v>0.56000000000000005</c:v>
                </c:pt>
                <c:pt idx="2">
                  <c:v>0.6</c:v>
                </c:pt>
                <c:pt idx="3">
                  <c:v>0.66</c:v>
                </c:pt>
                <c:pt idx="4">
                  <c:v>0.7</c:v>
                </c:pt>
                <c:pt idx="5">
                  <c:v>0.76</c:v>
                </c:pt>
                <c:pt idx="6">
                  <c:v>0.8</c:v>
                </c:pt>
                <c:pt idx="7">
                  <c:v>0.84</c:v>
                </c:pt>
                <c:pt idx="8">
                  <c:v>0.9</c:v>
                </c:pt>
                <c:pt idx="9">
                  <c:v>0.92</c:v>
                </c:pt>
                <c:pt idx="10">
                  <c:v>1</c:v>
                </c:pt>
              </c:numCache>
            </c:numRef>
          </c:cat>
          <c:val>
            <c:numRef>
              <c:f>Sheet1!$G$5:$G$15</c:f>
              <c:numCache>
                <c:formatCode>General</c:formatCode>
                <c:ptCount val="11"/>
                <c:pt idx="0">
                  <c:v>1320</c:v>
                </c:pt>
                <c:pt idx="1">
                  <c:v>1450</c:v>
                </c:pt>
                <c:pt idx="2">
                  <c:v>1550</c:v>
                </c:pt>
                <c:pt idx="3">
                  <c:v>1680</c:v>
                </c:pt>
                <c:pt idx="4">
                  <c:v>1800</c:v>
                </c:pt>
                <c:pt idx="5">
                  <c:v>1890</c:v>
                </c:pt>
                <c:pt idx="6">
                  <c:v>1972</c:v>
                </c:pt>
                <c:pt idx="7">
                  <c:v>2060</c:v>
                </c:pt>
                <c:pt idx="8">
                  <c:v>2200</c:v>
                </c:pt>
                <c:pt idx="9">
                  <c:v>2240</c:v>
                </c:pt>
                <c:pt idx="10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D-488A-8167-9BE26403C278}"/>
            </c:ext>
          </c:extLst>
        </c:ser>
        <c:ser>
          <c:idx val="4"/>
          <c:order val="4"/>
          <c:tx>
            <c:strRef>
              <c:f>Sheet1!$H$4</c:f>
              <c:strCache>
                <c:ptCount val="1"/>
                <c:pt idx="0">
                  <c:v>DTI Rent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5742125984251969E-2"/>
                  <c:y val="-1.60283464566929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Sheet1!$C$5:$C$15</c:f>
              <c:numCache>
                <c:formatCode>General</c:formatCode>
                <c:ptCount val="11"/>
                <c:pt idx="0">
                  <c:v>0.5</c:v>
                </c:pt>
                <c:pt idx="1">
                  <c:v>0.56000000000000005</c:v>
                </c:pt>
                <c:pt idx="2">
                  <c:v>0.6</c:v>
                </c:pt>
                <c:pt idx="3">
                  <c:v>0.66</c:v>
                </c:pt>
                <c:pt idx="4">
                  <c:v>0.7</c:v>
                </c:pt>
                <c:pt idx="5">
                  <c:v>0.76</c:v>
                </c:pt>
                <c:pt idx="6">
                  <c:v>0.8</c:v>
                </c:pt>
                <c:pt idx="7">
                  <c:v>0.84</c:v>
                </c:pt>
                <c:pt idx="8">
                  <c:v>0.9</c:v>
                </c:pt>
                <c:pt idx="9">
                  <c:v>0.92</c:v>
                </c:pt>
                <c:pt idx="10">
                  <c:v>1</c:v>
                </c:pt>
              </c:numCache>
            </c:numRef>
          </c:cat>
          <c:val>
            <c:numRef>
              <c:f>Sheet1!$H$5:$H$15</c:f>
              <c:numCache>
                <c:formatCode>General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550</c:v>
                </c:pt>
                <c:pt idx="3">
                  <c:v>920</c:v>
                </c:pt>
                <c:pt idx="4">
                  <c:v>1200</c:v>
                </c:pt>
                <c:pt idx="5">
                  <c:v>1550</c:v>
                </c:pt>
                <c:pt idx="6">
                  <c:v>1800</c:v>
                </c:pt>
                <c:pt idx="7">
                  <c:v>2060</c:v>
                </c:pt>
                <c:pt idx="8">
                  <c:v>2450</c:v>
                </c:pt>
                <c:pt idx="9">
                  <c:v>2570</c:v>
                </c:pt>
                <c:pt idx="10">
                  <c:v>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D-488A-8167-9BE26403C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190832"/>
        <c:axId val="892189392"/>
      </c:lineChart>
      <c:catAx>
        <c:axId val="8795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19664"/>
        <c:crosses val="autoZero"/>
        <c:auto val="1"/>
        <c:lblAlgn val="ctr"/>
        <c:lblOffset val="100"/>
        <c:tickMarkSkip val="1"/>
        <c:noMultiLvlLbl val="0"/>
      </c:catAx>
      <c:valAx>
        <c:axId val="8796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97104"/>
        <c:crosses val="autoZero"/>
        <c:crossBetween val="between"/>
      </c:valAx>
      <c:valAx>
        <c:axId val="892189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90832"/>
        <c:crosses val="max"/>
        <c:crossBetween val="between"/>
      </c:valAx>
      <c:catAx>
        <c:axId val="89219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218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403783902012246"/>
                  <c:y val="-2.9881525226013415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Sheet1!$N$5:$N$15</c:f>
              <c:numCache>
                <c:formatCode>General</c:formatCode>
                <c:ptCount val="11"/>
                <c:pt idx="0">
                  <c:v>500</c:v>
                </c:pt>
                <c:pt idx="1">
                  <c:v>560</c:v>
                </c:pt>
                <c:pt idx="2">
                  <c:v>600</c:v>
                </c:pt>
                <c:pt idx="3">
                  <c:v>660</c:v>
                </c:pt>
                <c:pt idx="4">
                  <c:v>700</c:v>
                </c:pt>
                <c:pt idx="5">
                  <c:v>760</c:v>
                </c:pt>
                <c:pt idx="6">
                  <c:v>800</c:v>
                </c:pt>
                <c:pt idx="7">
                  <c:v>840</c:v>
                </c:pt>
                <c:pt idx="8">
                  <c:v>900</c:v>
                </c:pt>
                <c:pt idx="9">
                  <c:v>920</c:v>
                </c:pt>
                <c:pt idx="10">
                  <c:v>1000</c:v>
                </c:pt>
              </c:numCache>
            </c:numRef>
          </c:xVal>
          <c:yVal>
            <c:numRef>
              <c:f>Sheet1!$O$5:$O$15</c:f>
              <c:numCache>
                <c:formatCode>General</c:formatCode>
                <c:ptCount val="11"/>
                <c:pt idx="0">
                  <c:v>1320</c:v>
                </c:pt>
                <c:pt idx="1">
                  <c:v>1450</c:v>
                </c:pt>
                <c:pt idx="2">
                  <c:v>1550</c:v>
                </c:pt>
                <c:pt idx="3">
                  <c:v>1680</c:v>
                </c:pt>
                <c:pt idx="4">
                  <c:v>1800</c:v>
                </c:pt>
                <c:pt idx="5">
                  <c:v>1890</c:v>
                </c:pt>
                <c:pt idx="6">
                  <c:v>1972</c:v>
                </c:pt>
                <c:pt idx="7">
                  <c:v>2060</c:v>
                </c:pt>
                <c:pt idx="8">
                  <c:v>2450</c:v>
                </c:pt>
                <c:pt idx="9">
                  <c:v>2570</c:v>
                </c:pt>
                <c:pt idx="10">
                  <c:v>3100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2-4960-8B98-483315CAF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9855"/>
        <c:axId val="23220815"/>
      </c:scatterChart>
      <c:valAx>
        <c:axId val="2321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0815"/>
        <c:crosses val="autoZero"/>
        <c:crossBetween val="midCat"/>
      </c:valAx>
      <c:valAx>
        <c:axId val="232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539041994750659"/>
                  <c:y val="4.12500000000000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Sheet1!$S$26:$S$40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Sheet1!$T$26:$T$40</c:f>
              <c:numCache>
                <c:formatCode>0</c:formatCode>
                <c:ptCount val="15"/>
                <c:pt idx="0">
                  <c:v>457.55459899999994</c:v>
                </c:pt>
                <c:pt idx="1">
                  <c:v>675.337399</c:v>
                </c:pt>
                <c:pt idx="2">
                  <c:v>893.12019899999996</c:v>
                </c:pt>
                <c:pt idx="3">
                  <c:v>1110.9029989999999</c:v>
                </c:pt>
                <c:pt idx="4">
                  <c:v>1328.6857989999999</c:v>
                </c:pt>
                <c:pt idx="5">
                  <c:v>1546.4685989999998</c:v>
                </c:pt>
                <c:pt idx="6">
                  <c:v>1764.2513989999998</c:v>
                </c:pt>
                <c:pt idx="7">
                  <c:v>1982.0341989999997</c:v>
                </c:pt>
                <c:pt idx="8">
                  <c:v>2447.5570659999998</c:v>
                </c:pt>
                <c:pt idx="9">
                  <c:v>3097.1753659999999</c:v>
                </c:pt>
                <c:pt idx="10">
                  <c:v>3746.793666</c:v>
                </c:pt>
                <c:pt idx="11">
                  <c:v>4396.4119659999997</c:v>
                </c:pt>
                <c:pt idx="12">
                  <c:v>5046.0302660000016</c:v>
                </c:pt>
                <c:pt idx="13">
                  <c:v>5695.6485660000017</c:v>
                </c:pt>
                <c:pt idx="14">
                  <c:v>6345.2668659999999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B-4C8A-9116-8A5DEDBD5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4175"/>
        <c:axId val="23235215"/>
      </c:scatterChart>
      <c:valAx>
        <c:axId val="2322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5215"/>
        <c:crosses val="autoZero"/>
        <c:crossBetween val="midCat"/>
      </c:valAx>
      <c:valAx>
        <c:axId val="2323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612817147856518"/>
                  <c:y val="-4.1695621959694231E-4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Sheet1!$S$56:$S$65</c:f>
              <c:numCache>
                <c:formatCode>0</c:formatCode>
                <c:ptCount val="10"/>
                <c:pt idx="0">
                  <c:v>893.12019899999996</c:v>
                </c:pt>
                <c:pt idx="1">
                  <c:v>1110.9029989999999</c:v>
                </c:pt>
                <c:pt idx="2">
                  <c:v>1328.6857989999999</c:v>
                </c:pt>
                <c:pt idx="3">
                  <c:v>1546.4685989999998</c:v>
                </c:pt>
                <c:pt idx="4">
                  <c:v>1764.2513989999998</c:v>
                </c:pt>
                <c:pt idx="5">
                  <c:v>1982.0341989999997</c:v>
                </c:pt>
                <c:pt idx="6">
                  <c:v>2447.5570659999998</c:v>
                </c:pt>
                <c:pt idx="7">
                  <c:v>3097.1753659999999</c:v>
                </c:pt>
                <c:pt idx="8">
                  <c:v>3746.793666</c:v>
                </c:pt>
                <c:pt idx="9">
                  <c:v>4396.4119659999997</c:v>
                </c:pt>
              </c:numCache>
            </c:numRef>
          </c:xVal>
          <c:yVal>
            <c:numRef>
              <c:f>Sheet1!$T$56:$T$65</c:f>
              <c:numCache>
                <c:formatCode>General</c:formatCode>
                <c:ptCount val="10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700000</c:v>
                </c:pt>
                <c:pt idx="5">
                  <c:v>800000</c:v>
                </c:pt>
                <c:pt idx="6">
                  <c:v>900000</c:v>
                </c:pt>
                <c:pt idx="7">
                  <c:v>1000000</c:v>
                </c:pt>
                <c:pt idx="8">
                  <c:v>1100000</c:v>
                </c:pt>
                <c:pt idx="9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A-461D-8B81-A491D5F0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8975"/>
        <c:axId val="23214575"/>
      </c:scatterChart>
      <c:valAx>
        <c:axId val="2322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4575"/>
        <c:crosses val="autoZero"/>
        <c:crossBetween val="midCat"/>
      </c:valAx>
      <c:valAx>
        <c:axId val="2321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FHA Affordability Map</a:t>
            </a:r>
          </a:p>
        </c:rich>
      </c:tx>
      <c:layout>
        <c:manualLayout>
          <c:xMode val="edge"/>
          <c:yMode val="edge"/>
          <c:x val="0.37416078994298319"/>
          <c:y val="1.3577229732309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4606168591209"/>
          <c:y val="0.17231126596980256"/>
          <c:w val="0.82977772970771191"/>
          <c:h val="0.68891064324812779"/>
        </c:manualLayout>
      </c:layout>
      <c:scatterChart>
        <c:scatterStyle val="smoothMarker"/>
        <c:varyColors val="0"/>
        <c:ser>
          <c:idx val="0"/>
          <c:order val="0"/>
          <c:tx>
            <c:v>NSS</c:v>
          </c:tx>
          <c:spPr>
            <a:ln w="19050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Sheet1!$W$86:$W$92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Sheet1!$X$86:$X$92</c:f>
              <c:numCache>
                <c:formatCode>0</c:formatCode>
                <c:ptCount val="7"/>
                <c:pt idx="0">
                  <c:v>1110.9029989999999</c:v>
                </c:pt>
                <c:pt idx="1">
                  <c:v>1328.6857989999999</c:v>
                </c:pt>
                <c:pt idx="2">
                  <c:v>1546.4685989999998</c:v>
                </c:pt>
                <c:pt idx="3">
                  <c:v>1764.2513989999998</c:v>
                </c:pt>
                <c:pt idx="4">
                  <c:v>1982.0341989999997</c:v>
                </c:pt>
                <c:pt idx="5">
                  <c:v>2199.8169989999997</c:v>
                </c:pt>
                <c:pt idx="6">
                  <c:v>2417.5997990000001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0-400E-A488-69401FF749C7}"/>
            </c:ext>
          </c:extLst>
        </c:ser>
        <c:ser>
          <c:idx val="1"/>
          <c:order val="1"/>
          <c:tx>
            <c:v>DTI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Sheet1!$W$86:$W$92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Sheet1!$Y$86:$Y$92</c:f>
              <c:numCache>
                <c:formatCode>0</c:formatCode>
                <c:ptCount val="7"/>
                <c:pt idx="3">
                  <c:v>1148.3204660000006</c:v>
                </c:pt>
                <c:pt idx="4">
                  <c:v>1797.9387659999998</c:v>
                </c:pt>
                <c:pt idx="5">
                  <c:v>2447.5570659999998</c:v>
                </c:pt>
                <c:pt idx="6">
                  <c:v>3097.1753659999999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0-400E-A488-69401FF74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19455"/>
        <c:axId val="366819935"/>
      </c:scatterChart>
      <c:scatterChart>
        <c:scatterStyle val="lineMarker"/>
        <c:varyColors val="0"/>
        <c:ser>
          <c:idx val="2"/>
          <c:order val="2"/>
          <c:tx>
            <c:v>Actuals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>
                <a:solidFill>
                  <a:srgbClr val="0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forward val="200"/>
            <c:backward val="25"/>
            <c:dispRSqr val="0"/>
            <c:dispEq val="0"/>
          </c:trendline>
          <c:xVal>
            <c:numRef>
              <c:f>Sheet1!$W$93:$W$110</c:f>
              <c:numCache>
                <c:formatCode>General</c:formatCode>
                <c:ptCount val="18"/>
                <c:pt idx="0">
                  <c:v>531</c:v>
                </c:pt>
                <c:pt idx="1">
                  <c:v>819</c:v>
                </c:pt>
                <c:pt idx="2">
                  <c:v>589</c:v>
                </c:pt>
                <c:pt idx="3">
                  <c:v>699</c:v>
                </c:pt>
                <c:pt idx="4">
                  <c:v>799</c:v>
                </c:pt>
                <c:pt idx="5">
                  <c:v>650</c:v>
                </c:pt>
                <c:pt idx="6">
                  <c:v>475</c:v>
                </c:pt>
                <c:pt idx="7">
                  <c:v>430</c:v>
                </c:pt>
                <c:pt idx="8">
                  <c:v>650</c:v>
                </c:pt>
                <c:pt idx="9">
                  <c:v>550</c:v>
                </c:pt>
              </c:numCache>
            </c:numRef>
          </c:xVal>
          <c:yVal>
            <c:numRef>
              <c:f>Sheet1!$Z$93:$Z$110</c:f>
              <c:numCache>
                <c:formatCode>General</c:formatCode>
                <c:ptCount val="18"/>
                <c:pt idx="0">
                  <c:v>1325</c:v>
                </c:pt>
                <c:pt idx="1">
                  <c:v>1650</c:v>
                </c:pt>
                <c:pt idx="2">
                  <c:v>1325</c:v>
                </c:pt>
                <c:pt idx="3">
                  <c:v>1350</c:v>
                </c:pt>
                <c:pt idx="4">
                  <c:v>1950</c:v>
                </c:pt>
                <c:pt idx="5">
                  <c:v>1300</c:v>
                </c:pt>
                <c:pt idx="6">
                  <c:v>1000</c:v>
                </c:pt>
                <c:pt idx="7">
                  <c:v>1175</c:v>
                </c:pt>
                <c:pt idx="8">
                  <c:v>1190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09-4943-A825-F9F7E174A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19455"/>
        <c:axId val="366819935"/>
      </c:scatterChart>
      <c:valAx>
        <c:axId val="366819455"/>
        <c:scaling>
          <c:orientation val="minMax"/>
          <c:max val="99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Asking Price</a:t>
                </a:r>
                <a:r>
                  <a:rPr lang="en-US" baseline="0"/>
                  <a:t> (in thousands)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158429133495948"/>
              <c:y val="0.92498545862459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19935"/>
        <c:crosses val="autoZero"/>
        <c:crossBetween val="midCat"/>
        <c:majorUnit val="50"/>
      </c:valAx>
      <c:valAx>
        <c:axId val="366819935"/>
        <c:scaling>
          <c:orientation val="minMax"/>
          <c:max val="3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Rent</a:t>
                </a:r>
                <a:r>
                  <a:rPr lang="en-US" sz="1200"/>
                  <a:t> </a:t>
                </a:r>
                <a:r>
                  <a:rPr lang="en-US" sz="1050"/>
                  <a:t>(per unit)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5728775878838405E-2"/>
              <c:y val="0.33303792046914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19455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150986179539802"/>
          <c:y val="0.65341528759999723"/>
          <c:w val="0.21364471983532204"/>
          <c:h val="0.19906886493567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396240</xdr:colOff>
      <xdr:row>54</xdr:row>
      <xdr:rowOff>140970</xdr:rowOff>
    </xdr:from>
    <xdr:to>
      <xdr:col>21</xdr:col>
      <xdr:colOff>579120</xdr:colOff>
      <xdr:row>69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7A557-F216-5FE1-786A-21108404A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21</xdr:row>
      <xdr:rowOff>118110</xdr:rowOff>
    </xdr:from>
    <xdr:to>
      <xdr:col>13</xdr:col>
      <xdr:colOff>495300</xdr:colOff>
      <xdr:row>36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AAD062-8BF8-9656-6EF2-B02A65E56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491490</xdr:colOff>
      <xdr:row>4</xdr:row>
      <xdr:rowOff>9525</xdr:rowOff>
    </xdr:from>
    <xdr:to>
      <xdr:col>26</xdr:col>
      <xdr:colOff>186690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CB83F-120C-8F77-39FD-A0A85651A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325462</xdr:colOff>
      <xdr:row>24</xdr:row>
      <xdr:rowOff>169399</xdr:rowOff>
    </xdr:from>
    <xdr:to>
      <xdr:col>31</xdr:col>
      <xdr:colOff>20662</xdr:colOff>
      <xdr:row>39</xdr:row>
      <xdr:rowOff>52168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1B84E-D7DF-BF18-54A4-092CD408D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496957</xdr:colOff>
      <xdr:row>51</xdr:row>
      <xdr:rowOff>7123</xdr:rowOff>
    </xdr:from>
    <xdr:to>
      <xdr:col>30</xdr:col>
      <xdr:colOff>190252</xdr:colOff>
      <xdr:row>65</xdr:row>
      <xdr:rowOff>56322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F7806A-CDAE-77A2-2688-DB622B57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41662</xdr:colOff>
      <xdr:row>80</xdr:row>
      <xdr:rowOff>34623</xdr:rowOff>
    </xdr:from>
    <xdr:to>
      <xdr:col>36</xdr:col>
      <xdr:colOff>269764</xdr:colOff>
      <xdr:row>100</xdr:row>
      <xdr:rowOff>44477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1B9A5B-03F5-7206-4669-22F948DB0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232360</xdr:colOff>
      <xdr:row>81</xdr:row>
      <xdr:rowOff>114020</xdr:rowOff>
    </xdr:from>
    <xdr:to>
      <xdr:col>35</xdr:col>
      <xdr:colOff>423242</xdr:colOff>
      <xdr:row>97</xdr:row>
      <xdr:rowOff>151250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73E213EE-67D1-2F0F-3736-C76D2B0D73A0}"/>
            </a:ext>
          </a:extLst>
        </xdr:cNvPr>
        <xdr:cNvGrpSpPr/>
      </xdr:nvGrpSpPr>
      <xdr:grpSpPr>
        <a:xfrm>
          <a:off x="17367835" y="15582620"/>
          <a:ext cx="5067682" cy="3085230"/>
          <a:chOff x="17280470" y="15668755"/>
          <a:chExt cx="3546425" cy="1963401"/>
        </a:xfrm>
      </xdr:grpSpPr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7308E6E2-A7C3-4293-3779-000EC2D211AB}"/>
              </a:ext>
            </a:extLst>
          </xdr:cNvPr>
          <xdr:cNvGrpSpPr/>
        </xdr:nvGrpSpPr>
        <xdr:grpSpPr>
          <a:xfrm>
            <a:off x="17280470" y="15744254"/>
            <a:ext cx="3546425" cy="1887902"/>
            <a:chOff x="17125950" y="15724383"/>
            <a:chExt cx="3822878" cy="1915252"/>
          </a:xfrm>
        </xdr:grpSpPr>
        <xdr:sp macro="" textlink="">
          <xdr:nvSpPr>
            <xdr:cNvPr id="45" name="Freeform: Shape 44">
              <a:extLst>
                <a:ext uri="{FF2B5EF4-FFF2-40B4-BE49-F238E27FC236}">
                  <a16:creationId xmlns:a16="http://schemas.microsoft.com/office/drawing/2014/main" id="{D6ED1D50-9FB9-1543-32A1-48F446534F5A}"/>
                </a:ext>
              </a:extLst>
            </xdr:cNvPr>
            <xdr:cNvSpPr/>
          </xdr:nvSpPr>
          <xdr:spPr>
            <a:xfrm>
              <a:off x="17125950" y="15910972"/>
              <a:ext cx="3822878" cy="1543529"/>
            </a:xfrm>
            <a:custGeom>
              <a:avLst/>
              <a:gdLst>
                <a:gd name="connsiteX0" fmla="*/ 0 w 3823252"/>
                <a:gd name="connsiteY0" fmla="*/ 0 h 1543878"/>
                <a:gd name="connsiteX1" fmla="*/ 0 w 3823252"/>
                <a:gd name="connsiteY1" fmla="*/ 1543878 h 1543878"/>
                <a:gd name="connsiteX2" fmla="*/ 2935356 w 3823252"/>
                <a:gd name="connsiteY2" fmla="*/ 742122 h 1543878"/>
                <a:gd name="connsiteX3" fmla="*/ 3823252 w 3823252"/>
                <a:gd name="connsiteY3" fmla="*/ 13252 h 1543878"/>
                <a:gd name="connsiteX4" fmla="*/ 0 w 3823252"/>
                <a:gd name="connsiteY4" fmla="*/ 0 h 154387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823252" h="1543878">
                  <a:moveTo>
                    <a:pt x="0" y="0"/>
                  </a:moveTo>
                  <a:lnTo>
                    <a:pt x="0" y="1543878"/>
                  </a:lnTo>
                  <a:lnTo>
                    <a:pt x="2935356" y="742122"/>
                  </a:lnTo>
                  <a:lnTo>
                    <a:pt x="3823252" y="13252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5C59B">
                <a:alpha val="20000"/>
              </a:srgb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32" name="Group 31">
              <a:extLst>
                <a:ext uri="{FF2B5EF4-FFF2-40B4-BE49-F238E27FC236}">
                  <a16:creationId xmlns:a16="http://schemas.microsoft.com/office/drawing/2014/main" id="{6F52C1F6-DC79-BFC0-C99C-A678224C1F69}"/>
                </a:ext>
              </a:extLst>
            </xdr:cNvPr>
            <xdr:cNvGrpSpPr/>
          </xdr:nvGrpSpPr>
          <xdr:grpSpPr>
            <a:xfrm>
              <a:off x="17213270" y="15724383"/>
              <a:ext cx="2292718" cy="1915252"/>
              <a:chOff x="16772027" y="15988319"/>
              <a:chExt cx="2301379" cy="1922973"/>
            </a:xfrm>
          </xdr:grpSpPr>
          <xdr:cxnSp macro="">
            <xdr:nvCxnSpPr>
              <xdr:cNvPr id="9" name="Straight Connector 8">
                <a:extLst>
                  <a:ext uri="{FF2B5EF4-FFF2-40B4-BE49-F238E27FC236}">
                    <a16:creationId xmlns:a16="http://schemas.microsoft.com/office/drawing/2014/main" id="{F7B7FBAF-5B50-B571-8F10-32F689B4A86D}"/>
                  </a:ext>
                </a:extLst>
              </xdr:cNvPr>
              <xdr:cNvCxnSpPr/>
            </xdr:nvCxnSpPr>
            <xdr:spPr>
              <a:xfrm flipV="1">
                <a:off x="17959801" y="15988319"/>
                <a:ext cx="4438" cy="1908737"/>
              </a:xfrm>
              <a:prstGeom prst="line">
                <a:avLst/>
              </a:prstGeom>
              <a:ln>
                <a:solidFill>
                  <a:srgbClr val="000000"/>
                </a:solidFill>
                <a:prstDash val="sysDot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" name="Straight Arrow Connector 10">
                <a:extLst>
                  <a:ext uri="{FF2B5EF4-FFF2-40B4-BE49-F238E27FC236}">
                    <a16:creationId xmlns:a16="http://schemas.microsoft.com/office/drawing/2014/main" id="{79E35B95-DFA7-639A-2BFE-F6A962826C35}"/>
                  </a:ext>
                </a:extLst>
              </xdr:cNvPr>
              <xdr:cNvCxnSpPr/>
            </xdr:nvCxnSpPr>
            <xdr:spPr>
              <a:xfrm flipH="1">
                <a:off x="16798939" y="16260400"/>
                <a:ext cx="1065966" cy="665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" name="Straight Arrow Connector 16">
                <a:extLst>
                  <a:ext uri="{FF2B5EF4-FFF2-40B4-BE49-F238E27FC236}">
                    <a16:creationId xmlns:a16="http://schemas.microsoft.com/office/drawing/2014/main" id="{33E1C836-74F2-47F7-A17C-F5652CAD5F6F}"/>
                  </a:ext>
                </a:extLst>
              </xdr:cNvPr>
              <xdr:cNvCxnSpPr/>
            </xdr:nvCxnSpPr>
            <xdr:spPr>
              <a:xfrm flipH="1">
                <a:off x="16772027" y="16745861"/>
                <a:ext cx="1081335" cy="10644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" name="Straight Arrow Connector 17">
                <a:extLst>
                  <a:ext uri="{FF2B5EF4-FFF2-40B4-BE49-F238E27FC236}">
                    <a16:creationId xmlns:a16="http://schemas.microsoft.com/office/drawing/2014/main" id="{9EEEFD11-42A1-4E1E-A367-343D44A78F2B}"/>
                  </a:ext>
                </a:extLst>
              </xdr:cNvPr>
              <xdr:cNvCxnSpPr/>
            </xdr:nvCxnSpPr>
            <xdr:spPr>
              <a:xfrm flipH="1">
                <a:off x="16794187" y="17238361"/>
                <a:ext cx="1060132" cy="24615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" name="Straight Connector 18">
                <a:extLst>
                  <a:ext uri="{FF2B5EF4-FFF2-40B4-BE49-F238E27FC236}">
                    <a16:creationId xmlns:a16="http://schemas.microsoft.com/office/drawing/2014/main" id="{07F9D8C4-6942-49ED-8E9E-D1CC8D68BF0B}"/>
                  </a:ext>
                </a:extLst>
              </xdr:cNvPr>
              <xdr:cNvCxnSpPr/>
            </xdr:nvCxnSpPr>
            <xdr:spPr>
              <a:xfrm flipH="1" flipV="1">
                <a:off x="19064972" y="16003290"/>
                <a:ext cx="8434" cy="1908002"/>
              </a:xfrm>
              <a:prstGeom prst="line">
                <a:avLst/>
              </a:prstGeom>
              <a:ln>
                <a:solidFill>
                  <a:srgbClr val="000000"/>
                </a:solidFill>
                <a:prstDash val="sysDot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" name="Straight Arrow Connector 20">
                <a:extLst>
                  <a:ext uri="{FF2B5EF4-FFF2-40B4-BE49-F238E27FC236}">
                    <a16:creationId xmlns:a16="http://schemas.microsoft.com/office/drawing/2014/main" id="{3A2C2DFF-4FD6-C389-C4B2-35ED45A2B6D0}"/>
                  </a:ext>
                </a:extLst>
              </xdr:cNvPr>
              <xdr:cNvCxnSpPr/>
            </xdr:nvCxnSpPr>
            <xdr:spPr>
              <a:xfrm>
                <a:off x="18079775" y="16275574"/>
                <a:ext cx="879365" cy="0"/>
              </a:xfrm>
              <a:prstGeom prst="straightConnector1">
                <a:avLst/>
              </a:prstGeom>
              <a:ln>
                <a:headEnd type="triangle"/>
                <a:tailEnd type="triangle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2" name="Straight Arrow Connector 21">
                <a:extLst>
                  <a:ext uri="{FF2B5EF4-FFF2-40B4-BE49-F238E27FC236}">
                    <a16:creationId xmlns:a16="http://schemas.microsoft.com/office/drawing/2014/main" id="{4202F7B8-E528-40C2-A6BA-DF4B9C8C22DC}"/>
                  </a:ext>
                </a:extLst>
              </xdr:cNvPr>
              <xdr:cNvCxnSpPr/>
            </xdr:nvCxnSpPr>
            <xdr:spPr>
              <a:xfrm flipV="1">
                <a:off x="18075669" y="16620891"/>
                <a:ext cx="875251" cy="107925"/>
              </a:xfrm>
              <a:prstGeom prst="straightConnector1">
                <a:avLst/>
              </a:prstGeom>
              <a:ln>
                <a:headEnd type="triangle"/>
                <a:tailEnd type="triangle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3" name="Straight Arrow Connector 22">
                <a:extLst>
                  <a:ext uri="{FF2B5EF4-FFF2-40B4-BE49-F238E27FC236}">
                    <a16:creationId xmlns:a16="http://schemas.microsoft.com/office/drawing/2014/main" id="{F2943BCF-225B-4A8C-980E-7E1794BD6285}"/>
                  </a:ext>
                </a:extLst>
              </xdr:cNvPr>
              <xdr:cNvCxnSpPr/>
            </xdr:nvCxnSpPr>
            <xdr:spPr>
              <a:xfrm flipV="1">
                <a:off x="18083585" y="16987424"/>
                <a:ext cx="872003" cy="188387"/>
              </a:xfrm>
              <a:prstGeom prst="straightConnector1">
                <a:avLst/>
              </a:prstGeom>
              <a:ln>
                <a:headEnd type="triangle"/>
                <a:tailEnd type="triangle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54" name="TextBox 53">
            <a:extLst>
              <a:ext uri="{FF2B5EF4-FFF2-40B4-BE49-F238E27FC236}">
                <a16:creationId xmlns:a16="http://schemas.microsoft.com/office/drawing/2014/main" id="{7545FA96-FB76-C928-9581-3CA59CD730D0}"/>
              </a:ext>
            </a:extLst>
          </xdr:cNvPr>
          <xdr:cNvSpPr txBox="1"/>
        </xdr:nvSpPr>
        <xdr:spPr>
          <a:xfrm>
            <a:off x="18648235" y="15668755"/>
            <a:ext cx="664800" cy="2755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100"/>
              <a:t>Upfront MIP</a:t>
            </a:r>
          </a:p>
          <a:p>
            <a:pPr algn="ctr"/>
            <a:r>
              <a:rPr lang="en-US" sz="1100"/>
              <a:t>Roll</a:t>
            </a:r>
            <a:r>
              <a:rPr lang="en-US" sz="1100" baseline="0"/>
              <a:t> Into Loan</a:t>
            </a:r>
            <a:endParaRPr lang="en-US" sz="1100"/>
          </a:p>
        </xdr:txBody>
      </xdr:sp>
      <xdr:sp macro="" textlink="">
        <xdr:nvSpPr>
          <xdr:cNvPr id="55" name="TextBox 54">
            <a:extLst>
              <a:ext uri="{FF2B5EF4-FFF2-40B4-BE49-F238E27FC236}">
                <a16:creationId xmlns:a16="http://schemas.microsoft.com/office/drawing/2014/main" id="{9CA7483D-9661-4414-F1FE-AA80F74D2DAC}"/>
              </a:ext>
            </a:extLst>
          </xdr:cNvPr>
          <xdr:cNvSpPr txBox="1"/>
        </xdr:nvSpPr>
        <xdr:spPr>
          <a:xfrm>
            <a:off x="19604439" y="15762446"/>
            <a:ext cx="963754" cy="1665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Seller Covers Closing</a:t>
            </a:r>
          </a:p>
        </xdr:txBody>
      </xdr:sp>
      <xdr:cxnSp macro="">
        <xdr:nvCxnSpPr>
          <xdr:cNvPr id="56" name="Straight Arrow Connector 55">
            <a:extLst>
              <a:ext uri="{FF2B5EF4-FFF2-40B4-BE49-F238E27FC236}">
                <a16:creationId xmlns:a16="http://schemas.microsoft.com/office/drawing/2014/main" id="{C2267E21-FB18-4705-8AFA-CCDC4176FE5A}"/>
              </a:ext>
            </a:extLst>
          </xdr:cNvPr>
          <xdr:cNvCxnSpPr/>
        </xdr:nvCxnSpPr>
        <xdr:spPr>
          <a:xfrm flipV="1">
            <a:off x="19610824" y="16014892"/>
            <a:ext cx="1031945" cy="8361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Arrow Connector 62">
            <a:extLst>
              <a:ext uri="{FF2B5EF4-FFF2-40B4-BE49-F238E27FC236}">
                <a16:creationId xmlns:a16="http://schemas.microsoft.com/office/drawing/2014/main" id="{AEBDEED9-F708-4FF4-A3DC-8CC2CF3AC83B}"/>
              </a:ext>
            </a:extLst>
          </xdr:cNvPr>
          <xdr:cNvCxnSpPr/>
        </xdr:nvCxnSpPr>
        <xdr:spPr>
          <a:xfrm flipV="1">
            <a:off x="19592427" y="16575118"/>
            <a:ext cx="343742" cy="70606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390939</xdr:colOff>
      <xdr:row>84</xdr:row>
      <xdr:rowOff>13253</xdr:rowOff>
    </xdr:from>
    <xdr:to>
      <xdr:col>30</xdr:col>
      <xdr:colOff>596348</xdr:colOff>
      <xdr:row>93</xdr:row>
      <xdr:rowOff>125896</xdr:rowOff>
    </xdr:to>
    <xdr:sp macro="" textlink="">
      <xdr:nvSpPr>
        <xdr:cNvPr id="79" name="Freeform: Shape 78">
          <a:extLst>
            <a:ext uri="{FF2B5EF4-FFF2-40B4-BE49-F238E27FC236}">
              <a16:creationId xmlns:a16="http://schemas.microsoft.com/office/drawing/2014/main" id="{75BAB1BF-8C3A-7C84-208B-4B24941B4A4B}"/>
            </a:ext>
          </a:extLst>
        </xdr:cNvPr>
        <xdr:cNvSpPr/>
      </xdr:nvSpPr>
      <xdr:spPr>
        <a:xfrm>
          <a:off x="18745200" y="16194157"/>
          <a:ext cx="815009" cy="1842052"/>
        </a:xfrm>
        <a:custGeom>
          <a:avLst/>
          <a:gdLst>
            <a:gd name="connsiteX0" fmla="*/ 0 w 815009"/>
            <a:gd name="connsiteY0" fmla="*/ 1842052 h 1842052"/>
            <a:gd name="connsiteX1" fmla="*/ 815009 w 815009"/>
            <a:gd name="connsiteY1" fmla="*/ 1583634 h 1842052"/>
            <a:gd name="connsiteX2" fmla="*/ 801757 w 815009"/>
            <a:gd name="connsiteY2" fmla="*/ 0 h 1842052"/>
            <a:gd name="connsiteX3" fmla="*/ 6626 w 815009"/>
            <a:gd name="connsiteY3" fmla="*/ 0 h 1842052"/>
            <a:gd name="connsiteX4" fmla="*/ 0 w 815009"/>
            <a:gd name="connsiteY4" fmla="*/ 1842052 h 18420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815009" h="1842052">
              <a:moveTo>
                <a:pt x="0" y="1842052"/>
              </a:moveTo>
              <a:lnTo>
                <a:pt x="815009" y="1583634"/>
              </a:lnTo>
              <a:lnTo>
                <a:pt x="801757" y="0"/>
              </a:lnTo>
              <a:lnTo>
                <a:pt x="6626" y="0"/>
              </a:lnTo>
              <a:cubicBezTo>
                <a:pt x="4417" y="605182"/>
                <a:pt x="2209" y="1210365"/>
                <a:pt x="0" y="1842052"/>
              </a:cubicBezTo>
              <a:close/>
            </a:path>
          </a:pathLst>
        </a:custGeom>
        <a:solidFill>
          <a:srgbClr val="B5D64A">
            <a:alpha val="29020"/>
          </a:srgbClr>
        </a:solidFill>
        <a:ln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>
              <a:solidFill>
                <a:schemeClr val="lt1"/>
              </a:solidFill>
            </a:rPr>
            <a:t>  </a:t>
          </a:r>
        </a:p>
        <a:p>
          <a:pPr algn="ctr"/>
          <a:r>
            <a:rPr lang="en-US" sz="1100" baseline="0">
              <a:solidFill>
                <a:schemeClr val="lt1"/>
              </a:solidFill>
            </a:rPr>
            <a:t> </a:t>
          </a:r>
          <a:r>
            <a:rPr lang="en-US" sz="1100">
              <a:solidFill>
                <a:schemeClr val="tx1"/>
              </a:solidFill>
            </a:rPr>
            <a:t>Willing </a:t>
          </a:r>
          <a:r>
            <a:rPr lang="en-US" sz="1100" baseline="0">
              <a:solidFill>
                <a:schemeClr val="tx1"/>
              </a:solidFill>
            </a:rPr>
            <a:t> To</a:t>
          </a:r>
        </a:p>
        <a:p>
          <a:pPr algn="ctr"/>
          <a:r>
            <a:rPr lang="en-US" sz="1100" baseline="0">
              <a:solidFill>
                <a:schemeClr val="tx1"/>
              </a:solidFill>
            </a:rPr>
            <a:t>Settle</a:t>
          </a:r>
        </a:p>
        <a:p>
          <a:pPr algn="ctr"/>
          <a:endParaRPr lang="en-US" sz="1100" baseline="0">
            <a:solidFill>
              <a:schemeClr val="tx1"/>
            </a:solidFill>
          </a:endParaRPr>
        </a:p>
        <a:p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Willing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To</a:t>
          </a:r>
          <a:endParaRPr lang="en-US">
            <a:solidFill>
              <a:schemeClr val="tx1"/>
            </a:solidFill>
            <a:effectLst/>
          </a:endParaRPr>
        </a:p>
        <a:p>
          <a:pPr algn="ctr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Settle</a:t>
          </a:r>
          <a:endParaRPr lang="en-US">
            <a:solidFill>
              <a:schemeClr val="tx1"/>
            </a:solidFill>
            <a:effectLst/>
          </a:endParaRPr>
        </a:p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271669</xdr:colOff>
      <xdr:row>84</xdr:row>
      <xdr:rowOff>0</xdr:rowOff>
    </xdr:from>
    <xdr:to>
      <xdr:col>29</xdr:col>
      <xdr:colOff>324678</xdr:colOff>
      <xdr:row>95</xdr:row>
      <xdr:rowOff>152400</xdr:rowOff>
    </xdr:to>
    <xdr:sp macro="" textlink="">
      <xdr:nvSpPr>
        <xdr:cNvPr id="80" name="Freeform: Shape 79">
          <a:extLst>
            <a:ext uri="{FF2B5EF4-FFF2-40B4-BE49-F238E27FC236}">
              <a16:creationId xmlns:a16="http://schemas.microsoft.com/office/drawing/2014/main" id="{B72662A1-524E-892C-5F75-1A23FC205288}"/>
            </a:ext>
          </a:extLst>
        </xdr:cNvPr>
        <xdr:cNvSpPr/>
      </xdr:nvSpPr>
      <xdr:spPr>
        <a:xfrm>
          <a:off x="17406730" y="16180904"/>
          <a:ext cx="1272209" cy="2266122"/>
        </a:xfrm>
        <a:custGeom>
          <a:avLst/>
          <a:gdLst>
            <a:gd name="connsiteX0" fmla="*/ 6627 w 1272209"/>
            <a:gd name="connsiteY0" fmla="*/ 0 h 2266122"/>
            <a:gd name="connsiteX1" fmla="*/ 0 w 1272209"/>
            <a:gd name="connsiteY1" fmla="*/ 2266122 h 2266122"/>
            <a:gd name="connsiteX2" fmla="*/ 1272209 w 1272209"/>
            <a:gd name="connsiteY2" fmla="*/ 1861931 h 2266122"/>
            <a:gd name="connsiteX3" fmla="*/ 1272209 w 1272209"/>
            <a:gd name="connsiteY3" fmla="*/ 26505 h 2266122"/>
            <a:gd name="connsiteX4" fmla="*/ 1272209 w 1272209"/>
            <a:gd name="connsiteY4" fmla="*/ 13253 h 2266122"/>
            <a:gd name="connsiteX5" fmla="*/ 6627 w 1272209"/>
            <a:gd name="connsiteY5" fmla="*/ 0 h 22661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72209" h="2266122">
              <a:moveTo>
                <a:pt x="6627" y="0"/>
              </a:moveTo>
              <a:lnTo>
                <a:pt x="0" y="2266122"/>
              </a:lnTo>
              <a:lnTo>
                <a:pt x="1272209" y="1861931"/>
              </a:lnTo>
              <a:lnTo>
                <a:pt x="1272209" y="26505"/>
              </a:lnTo>
              <a:lnTo>
                <a:pt x="1272209" y="13253"/>
              </a:lnTo>
              <a:lnTo>
                <a:pt x="6627" y="0"/>
              </a:lnTo>
              <a:close/>
            </a:path>
          </a:pathLst>
        </a:custGeom>
        <a:solidFill>
          <a:srgbClr val="FC8004">
            <a:alpha val="29020"/>
          </a:srgbClr>
        </a:solidFill>
        <a:ln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r>
            <a:rPr lang="en-US" sz="1100" baseline="0"/>
            <a:t>         </a:t>
          </a:r>
          <a:r>
            <a:rPr lang="en-US" sz="1100">
              <a:solidFill>
                <a:schemeClr val="tx1"/>
              </a:solidFill>
            </a:rPr>
            <a:t>Skeptical</a:t>
          </a:r>
        </a:p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         Skeptical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         Skeptical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         Skeptical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35035</xdr:colOff>
      <xdr:row>84</xdr:row>
      <xdr:rowOff>6626</xdr:rowOff>
    </xdr:from>
    <xdr:to>
      <xdr:col>32</xdr:col>
      <xdr:colOff>304800</xdr:colOff>
      <xdr:row>92</xdr:row>
      <xdr:rowOff>39756</xdr:rowOff>
    </xdr:to>
    <xdr:sp macro="" textlink="">
      <xdr:nvSpPr>
        <xdr:cNvPr id="81" name="Freeform: Shape 80">
          <a:extLst>
            <a:ext uri="{FF2B5EF4-FFF2-40B4-BE49-F238E27FC236}">
              <a16:creationId xmlns:a16="http://schemas.microsoft.com/office/drawing/2014/main" id="{D5AB7FC2-A28A-FA48-CD59-D0AAA6DB55A8}"/>
            </a:ext>
          </a:extLst>
        </xdr:cNvPr>
        <xdr:cNvSpPr/>
      </xdr:nvSpPr>
      <xdr:spPr>
        <a:xfrm>
          <a:off x="19608496" y="16187530"/>
          <a:ext cx="879365" cy="1570383"/>
        </a:xfrm>
        <a:custGeom>
          <a:avLst/>
          <a:gdLst>
            <a:gd name="connsiteX0" fmla="*/ 0 w 881270"/>
            <a:gd name="connsiteY0" fmla="*/ 0 h 1557130"/>
            <a:gd name="connsiteX1" fmla="*/ 13252 w 881270"/>
            <a:gd name="connsiteY1" fmla="*/ 1557130 h 1557130"/>
            <a:gd name="connsiteX2" fmla="*/ 881270 w 881270"/>
            <a:gd name="connsiteY2" fmla="*/ 1292087 h 1557130"/>
            <a:gd name="connsiteX3" fmla="*/ 874644 w 881270"/>
            <a:gd name="connsiteY3" fmla="*/ 6626 h 1557130"/>
            <a:gd name="connsiteX4" fmla="*/ 0 w 881270"/>
            <a:gd name="connsiteY4" fmla="*/ 0 h 15571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881270" h="1557130">
              <a:moveTo>
                <a:pt x="0" y="0"/>
              </a:moveTo>
              <a:lnTo>
                <a:pt x="13252" y="1557130"/>
              </a:lnTo>
              <a:lnTo>
                <a:pt x="881270" y="1292087"/>
              </a:lnTo>
              <a:cubicBezTo>
                <a:pt x="879061" y="863600"/>
                <a:pt x="876853" y="435113"/>
                <a:pt x="874644" y="6626"/>
              </a:cubicBezTo>
              <a:lnTo>
                <a:pt x="0" y="0"/>
              </a:lnTo>
              <a:close/>
            </a:path>
          </a:pathLst>
        </a:custGeom>
        <a:solidFill>
          <a:srgbClr val="0C8C58">
            <a:alpha val="29020"/>
          </a:srgbClr>
        </a:solidFill>
        <a:ln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ctr"/>
          <a:r>
            <a:rPr lang="en-US" sz="1100">
              <a:solidFill>
                <a:schemeClr val="tx1"/>
              </a:solidFill>
            </a:rPr>
            <a:t>Accepting</a:t>
          </a:r>
        </a:p>
        <a:p>
          <a:pPr algn="ctr"/>
          <a:r>
            <a:rPr lang="en-US" sz="1100">
              <a:solidFill>
                <a:schemeClr val="tx1"/>
              </a:solidFill>
            </a:rPr>
            <a:t>Reality</a:t>
          </a:r>
        </a:p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tx1"/>
              </a:solidFill>
            </a:rPr>
            <a:t>Accepting</a:t>
          </a:r>
        </a:p>
        <a:p>
          <a:pPr algn="ctr"/>
          <a:r>
            <a:rPr lang="en-US" sz="1100">
              <a:solidFill>
                <a:schemeClr val="tx1"/>
              </a:solidFill>
            </a:rPr>
            <a:t>Reality</a:t>
          </a:r>
        </a:p>
      </xdr:txBody>
    </xdr:sp>
    <xdr:clientData/>
  </xdr:twoCellAnchor>
  <xdr:twoCellAnchor>
    <xdr:from>
      <xdr:col>32</xdr:col>
      <xdr:colOff>368245</xdr:colOff>
      <xdr:row>84</xdr:row>
      <xdr:rowOff>9444</xdr:rowOff>
    </xdr:from>
    <xdr:to>
      <xdr:col>33</xdr:col>
      <xdr:colOff>445853</xdr:colOff>
      <xdr:row>90</xdr:row>
      <xdr:rowOff>122087</xdr:rowOff>
    </xdr:to>
    <xdr:sp macro="" textlink="">
      <xdr:nvSpPr>
        <xdr:cNvPr id="83" name="Freeform: Shape 82">
          <a:extLst>
            <a:ext uri="{FF2B5EF4-FFF2-40B4-BE49-F238E27FC236}">
              <a16:creationId xmlns:a16="http://schemas.microsoft.com/office/drawing/2014/main" id="{84042508-EACD-FDE6-7071-AB86D8E34AF5}"/>
            </a:ext>
          </a:extLst>
        </xdr:cNvPr>
        <xdr:cNvSpPr/>
      </xdr:nvSpPr>
      <xdr:spPr>
        <a:xfrm>
          <a:off x="20551306" y="16190348"/>
          <a:ext cx="687208" cy="1265582"/>
        </a:xfrm>
        <a:custGeom>
          <a:avLst/>
          <a:gdLst>
            <a:gd name="connsiteX0" fmla="*/ 0 w 689113"/>
            <a:gd name="connsiteY0" fmla="*/ 0 h 1265582"/>
            <a:gd name="connsiteX1" fmla="*/ 6626 w 689113"/>
            <a:gd name="connsiteY1" fmla="*/ 1265582 h 1265582"/>
            <a:gd name="connsiteX2" fmla="*/ 689113 w 689113"/>
            <a:gd name="connsiteY2" fmla="*/ 1060173 h 1265582"/>
            <a:gd name="connsiteX3" fmla="*/ 675861 w 689113"/>
            <a:gd name="connsiteY3" fmla="*/ 13252 h 1265582"/>
            <a:gd name="connsiteX4" fmla="*/ 0 w 689113"/>
            <a:gd name="connsiteY4" fmla="*/ 0 h 12655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89113" h="1265582">
              <a:moveTo>
                <a:pt x="0" y="0"/>
              </a:moveTo>
              <a:cubicBezTo>
                <a:pt x="2209" y="421861"/>
                <a:pt x="4417" y="843721"/>
                <a:pt x="6626" y="1265582"/>
              </a:cubicBezTo>
              <a:lnTo>
                <a:pt x="689113" y="1060173"/>
              </a:lnTo>
              <a:lnTo>
                <a:pt x="675861" y="13252"/>
              </a:lnTo>
              <a:lnTo>
                <a:pt x="0" y="0"/>
              </a:lnTo>
              <a:close/>
            </a:path>
          </a:pathLst>
        </a:custGeom>
        <a:solidFill>
          <a:srgbClr val="0070C0">
            <a:alpha val="27059"/>
          </a:srgbClr>
        </a:solidFill>
        <a:ln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ctr"/>
          <a:r>
            <a:rPr lang="en-US" sz="1100">
              <a:solidFill>
                <a:schemeClr val="tx1"/>
              </a:solidFill>
            </a:rPr>
            <a:t>Goal</a:t>
          </a:r>
        </a:p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tx1"/>
              </a:solidFill>
            </a:rPr>
            <a:t>Goal</a:t>
          </a:r>
        </a:p>
      </xdr:txBody>
    </xdr:sp>
    <xdr:clientData/>
  </xdr:twoCellAnchor>
  <xdr:twoCellAnchor>
    <xdr:from>
      <xdr:col>33</xdr:col>
      <xdr:colOff>485609</xdr:colOff>
      <xdr:row>84</xdr:row>
      <xdr:rowOff>6626</xdr:rowOff>
    </xdr:from>
    <xdr:to>
      <xdr:col>34</xdr:col>
      <xdr:colOff>520645</xdr:colOff>
      <xdr:row>89</xdr:row>
      <xdr:rowOff>72887</xdr:rowOff>
    </xdr:to>
    <xdr:sp macro="" textlink="">
      <xdr:nvSpPr>
        <xdr:cNvPr id="85" name="Freeform: Shape 84">
          <a:extLst>
            <a:ext uri="{FF2B5EF4-FFF2-40B4-BE49-F238E27FC236}">
              <a16:creationId xmlns:a16="http://schemas.microsoft.com/office/drawing/2014/main" id="{F1E87FC6-5224-3C36-2EBF-53ABBC0F167C}"/>
            </a:ext>
          </a:extLst>
        </xdr:cNvPr>
        <xdr:cNvSpPr/>
      </xdr:nvSpPr>
      <xdr:spPr>
        <a:xfrm>
          <a:off x="21278270" y="16187530"/>
          <a:ext cx="644636" cy="1027044"/>
        </a:xfrm>
        <a:custGeom>
          <a:avLst/>
          <a:gdLst>
            <a:gd name="connsiteX0" fmla="*/ 6626 w 642731"/>
            <a:gd name="connsiteY0" fmla="*/ 1007165 h 1007165"/>
            <a:gd name="connsiteX1" fmla="*/ 642731 w 642731"/>
            <a:gd name="connsiteY1" fmla="*/ 397565 h 1007165"/>
            <a:gd name="connsiteX2" fmla="*/ 642731 w 642731"/>
            <a:gd name="connsiteY2" fmla="*/ 0 h 1007165"/>
            <a:gd name="connsiteX3" fmla="*/ 26505 w 642731"/>
            <a:gd name="connsiteY3" fmla="*/ 6626 h 1007165"/>
            <a:gd name="connsiteX4" fmla="*/ 19878 w 642731"/>
            <a:gd name="connsiteY4" fmla="*/ 6626 h 1007165"/>
            <a:gd name="connsiteX5" fmla="*/ 0 w 642731"/>
            <a:gd name="connsiteY5" fmla="*/ 13252 h 1007165"/>
            <a:gd name="connsiteX6" fmla="*/ 6626 w 642731"/>
            <a:gd name="connsiteY6" fmla="*/ 1007165 h 100716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642731" h="1007165">
              <a:moveTo>
                <a:pt x="6626" y="1007165"/>
              </a:moveTo>
              <a:lnTo>
                <a:pt x="642731" y="397565"/>
              </a:lnTo>
              <a:lnTo>
                <a:pt x="642731" y="0"/>
              </a:lnTo>
              <a:lnTo>
                <a:pt x="26505" y="6626"/>
              </a:lnTo>
              <a:lnTo>
                <a:pt x="19878" y="6626"/>
              </a:lnTo>
              <a:lnTo>
                <a:pt x="0" y="13252"/>
              </a:lnTo>
              <a:cubicBezTo>
                <a:pt x="2209" y="344556"/>
                <a:pt x="4417" y="675861"/>
                <a:pt x="6626" y="1007165"/>
              </a:cubicBezTo>
              <a:close/>
            </a:path>
          </a:pathLst>
        </a:custGeom>
        <a:solidFill>
          <a:srgbClr val="9D28A0">
            <a:alpha val="29804"/>
          </a:srgbClr>
        </a:solidFill>
        <a:ln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r>
            <a:rPr lang="en-US" sz="1100">
              <a:solidFill>
                <a:schemeClr val="tx1"/>
              </a:solidFill>
            </a:rPr>
            <a:t>Unicorn</a:t>
          </a:r>
        </a:p>
      </xdr:txBody>
    </xdr:sp>
    <xdr:clientData/>
  </xdr:twoCellAnchor>
  <xdr:twoCellAnchor>
    <xdr:from>
      <xdr:col>34</xdr:col>
      <xdr:colOff>570411</xdr:colOff>
      <xdr:row>84</xdr:row>
      <xdr:rowOff>8708</xdr:rowOff>
    </xdr:from>
    <xdr:to>
      <xdr:col>35</xdr:col>
      <xdr:colOff>317862</xdr:colOff>
      <xdr:row>85</xdr:row>
      <xdr:rowOff>143692</xdr:rowOff>
    </xdr:to>
    <xdr:sp macro="" textlink="">
      <xdr:nvSpPr>
        <xdr:cNvPr id="89" name="Freeform: Shape 88">
          <a:extLst>
            <a:ext uri="{FF2B5EF4-FFF2-40B4-BE49-F238E27FC236}">
              <a16:creationId xmlns:a16="http://schemas.microsoft.com/office/drawing/2014/main" id="{F0033C3D-F79B-7D26-F3CD-C05E30B4051B}"/>
            </a:ext>
          </a:extLst>
        </xdr:cNvPr>
        <xdr:cNvSpPr/>
      </xdr:nvSpPr>
      <xdr:spPr>
        <a:xfrm>
          <a:off x="21976080" y="16145691"/>
          <a:ext cx="357051" cy="326572"/>
        </a:xfrm>
        <a:custGeom>
          <a:avLst/>
          <a:gdLst>
            <a:gd name="connsiteX0" fmla="*/ 0 w 357051"/>
            <a:gd name="connsiteY0" fmla="*/ 4355 h 326572"/>
            <a:gd name="connsiteX1" fmla="*/ 4354 w 357051"/>
            <a:gd name="connsiteY1" fmla="*/ 326572 h 326572"/>
            <a:gd name="connsiteX2" fmla="*/ 357051 w 357051"/>
            <a:gd name="connsiteY2" fmla="*/ 0 h 326572"/>
            <a:gd name="connsiteX3" fmla="*/ 0 w 357051"/>
            <a:gd name="connsiteY3" fmla="*/ 4355 h 32657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57051" h="326572">
              <a:moveTo>
                <a:pt x="0" y="4355"/>
              </a:moveTo>
              <a:cubicBezTo>
                <a:pt x="1451" y="111761"/>
                <a:pt x="2903" y="219166"/>
                <a:pt x="4354" y="326572"/>
              </a:cubicBezTo>
              <a:lnTo>
                <a:pt x="357051" y="0"/>
              </a:lnTo>
              <a:lnTo>
                <a:pt x="0" y="4355"/>
              </a:lnTo>
              <a:close/>
            </a:path>
          </a:pathLst>
        </a:custGeom>
        <a:solidFill>
          <a:srgbClr val="000000">
            <a:alpha val="30196"/>
          </a:srgbClr>
        </a:solidFill>
        <a:ln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463062</xdr:colOff>
      <xdr:row>86</xdr:row>
      <xdr:rowOff>64477</xdr:rowOff>
    </xdr:from>
    <xdr:to>
      <xdr:col>34</xdr:col>
      <xdr:colOff>316524</xdr:colOff>
      <xdr:row>87</xdr:row>
      <xdr:rowOff>29308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7B690473-A2C0-8A76-3FA2-E708F8728C1B}"/>
            </a:ext>
          </a:extLst>
        </xdr:cNvPr>
        <xdr:cNvCxnSpPr/>
      </xdr:nvCxnSpPr>
      <xdr:spPr>
        <a:xfrm flipV="1">
          <a:off x="20650200" y="16734692"/>
          <a:ext cx="1072662" cy="1582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0.22631</cdr:x>
      <cdr:y>0.10261</cdr:y>
    </cdr:from>
    <cdr:to>
      <cdr:x>0.4264</cdr:x>
      <cdr:y>0.19232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864DA0-1AB2-E3BB-3DF5-ABF8CE40E319}"/>
            </a:ext>
          </a:extLst>
        </cdr:cNvPr>
        <cdr:cNvSpPr txBox="1"/>
      </cdr:nvSpPr>
      <cdr:spPr>
        <a:xfrm xmlns:a="http://schemas.openxmlformats.org/drawingml/2006/main">
          <a:off x="1431234" y="395165"/>
          <a:ext cx="1265348" cy="3454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Fully Funded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9909-3CD4-4A3B-9F28-F1CE7E4CBA6E}">
  <dimension ref="A1:S102"/>
  <sheetViews>
    <sheetView topLeftCell="A37" workbookViewId="0">
      <selection activeCell="D64" sqref="D64"/>
    </sheetView>
  </sheetViews>
  <sheetFormatPr defaultRowHeight="15" x14ac:dyDescent="0.25"/>
  <cols>
    <col min="1" max="1" width="21.140625" customWidth="1"/>
    <col min="2" max="2" width="14.28515625" bestFit="1" customWidth="1"/>
    <col min="3" max="3" width="14.5703125" customWidth="1"/>
    <col min="4" max="4" width="14.28515625" bestFit="1" customWidth="1"/>
    <col min="5" max="5" width="11.28515625" bestFit="1" customWidth="1"/>
    <col min="6" max="6" width="10.5703125" bestFit="1" customWidth="1"/>
    <col min="10" max="10" width="9.85546875" customWidth="1"/>
    <col min="11" max="11" width="8.85546875" customWidth="1"/>
    <col min="13" max="13" width="8.7109375" customWidth="1"/>
    <col min="14" max="14" width="8" customWidth="1"/>
    <col min="15" max="15" width="9.7109375" customWidth="1"/>
    <col min="16" max="16" width="9.85546875" customWidth="1"/>
  </cols>
  <sheetData>
    <row r="1" spans="1:8" x14ac:dyDescent="0.25">
      <c r="A1" t="s">
        <v>59</v>
      </c>
      <c r="B1" s="2"/>
    </row>
    <row r="2" spans="1:8" x14ac:dyDescent="0.25">
      <c r="A2" t="s">
        <v>60</v>
      </c>
      <c r="B2" s="16">
        <v>50000</v>
      </c>
      <c r="C2" s="2">
        <f>B2</f>
        <v>50000</v>
      </c>
      <c r="D2" s="2">
        <f>C2</f>
        <v>50000</v>
      </c>
      <c r="H2" s="35" t="s">
        <v>73</v>
      </c>
    </row>
    <row r="3" spans="1:8" x14ac:dyDescent="0.25">
      <c r="A3" t="s">
        <v>61</v>
      </c>
      <c r="B3" s="16">
        <v>49167</v>
      </c>
      <c r="C3" s="2">
        <f>B3</f>
        <v>49167</v>
      </c>
      <c r="D3" s="2">
        <f>C3</f>
        <v>49167</v>
      </c>
      <c r="H3">
        <v>1</v>
      </c>
    </row>
    <row r="4" spans="1:8" x14ac:dyDescent="0.25">
      <c r="B4" s="15"/>
      <c r="C4" s="2"/>
      <c r="D4" s="2"/>
      <c r="G4" t="s">
        <v>74</v>
      </c>
      <c r="H4" s="36">
        <v>80</v>
      </c>
    </row>
    <row r="5" spans="1:8" x14ac:dyDescent="0.25">
      <c r="B5" t="s">
        <v>67</v>
      </c>
      <c r="C5" t="s">
        <v>68</v>
      </c>
      <c r="D5" t="s">
        <v>69</v>
      </c>
      <c r="G5" t="s">
        <v>75</v>
      </c>
      <c r="H5" s="37">
        <v>63</v>
      </c>
    </row>
    <row r="6" spans="1:8" x14ac:dyDescent="0.25">
      <c r="A6" t="s">
        <v>62</v>
      </c>
      <c r="B6" s="5">
        <f>B97</f>
        <v>28000.000000000004</v>
      </c>
      <c r="C6" s="5">
        <f t="shared" ref="C6:D6" si="0">C97</f>
        <v>28000.000000000004</v>
      </c>
      <c r="D6" s="5">
        <f t="shared" si="0"/>
        <v>28000.000000000004</v>
      </c>
      <c r="G6" t="s">
        <v>76</v>
      </c>
      <c r="H6" s="38">
        <v>41</v>
      </c>
    </row>
    <row r="7" spans="1:8" x14ac:dyDescent="0.25">
      <c r="A7" t="s">
        <v>63</v>
      </c>
      <c r="B7" s="5">
        <f t="shared" ref="B7:D11" si="1">B98</f>
        <v>772000</v>
      </c>
      <c r="C7" s="5">
        <f t="shared" si="1"/>
        <v>785510</v>
      </c>
      <c r="D7" s="5">
        <f t="shared" si="1"/>
        <v>772000</v>
      </c>
      <c r="G7" t="s">
        <v>77</v>
      </c>
      <c r="H7" s="35">
        <v>2400</v>
      </c>
    </row>
    <row r="8" spans="1:8" x14ac:dyDescent="0.25">
      <c r="A8" t="s">
        <v>65</v>
      </c>
      <c r="B8" s="5">
        <f t="shared" si="1"/>
        <v>32331</v>
      </c>
      <c r="C8" s="5">
        <f t="shared" si="1"/>
        <v>19030.404999999999</v>
      </c>
      <c r="D8" s="5">
        <f t="shared" si="1"/>
        <v>4246</v>
      </c>
      <c r="G8" t="s">
        <v>78</v>
      </c>
      <c r="H8" s="35">
        <v>3100</v>
      </c>
    </row>
    <row r="9" spans="1:8" x14ac:dyDescent="0.25">
      <c r="A9" t="s">
        <v>64</v>
      </c>
      <c r="B9" s="5">
        <f t="shared" si="1"/>
        <v>39060</v>
      </c>
      <c r="C9" s="5">
        <f t="shared" si="1"/>
        <v>25826.955000000002</v>
      </c>
      <c r="D9" s="5">
        <f t="shared" si="1"/>
        <v>4246</v>
      </c>
      <c r="H9" s="35"/>
    </row>
    <row r="10" spans="1:8" x14ac:dyDescent="0.25">
      <c r="A10" t="s">
        <v>66</v>
      </c>
      <c r="B10" s="13">
        <f t="shared" si="1"/>
        <v>60331</v>
      </c>
      <c r="C10" s="13">
        <f t="shared" si="1"/>
        <v>47030.404999999999</v>
      </c>
      <c r="D10" s="13">
        <f t="shared" si="1"/>
        <v>32246.000000000004</v>
      </c>
      <c r="H10" s="35">
        <f>H7/1000</f>
        <v>2.4</v>
      </c>
    </row>
    <row r="11" spans="1:8" x14ac:dyDescent="0.25">
      <c r="A11" t="s">
        <v>66</v>
      </c>
      <c r="B11" s="13">
        <f t="shared" si="1"/>
        <v>67060</v>
      </c>
      <c r="C11" s="13">
        <f t="shared" si="1"/>
        <v>53826.955000000002</v>
      </c>
      <c r="D11" s="13">
        <f t="shared" si="1"/>
        <v>32246.000000000004</v>
      </c>
      <c r="H11" s="35">
        <f>H8/1000</f>
        <v>3.1</v>
      </c>
    </row>
    <row r="12" spans="1:8" x14ac:dyDescent="0.25">
      <c r="A12" t="s">
        <v>72</v>
      </c>
      <c r="B12" s="13">
        <f>3*B35</f>
        <v>18276.405788349883</v>
      </c>
      <c r="C12" s="13">
        <f t="shared" ref="C12:D12" si="2">3*C35</f>
        <v>18546.052889646005</v>
      </c>
      <c r="D12" s="13">
        <f t="shared" si="2"/>
        <v>18276.405788349883</v>
      </c>
    </row>
    <row r="13" spans="1:8" x14ac:dyDescent="0.25">
      <c r="A13" t="s">
        <v>70</v>
      </c>
      <c r="B13" s="15" t="str">
        <f>B52</f>
        <v>PASS</v>
      </c>
      <c r="C13" s="15" t="str">
        <f t="shared" ref="C13:D13" si="3">C52</f>
        <v>PASS</v>
      </c>
      <c r="D13" s="15" t="str">
        <f t="shared" si="3"/>
        <v>PASS</v>
      </c>
    </row>
    <row r="14" spans="1:8" x14ac:dyDescent="0.25">
      <c r="A14" t="s">
        <v>35</v>
      </c>
      <c r="B14" s="18">
        <f>B61</f>
        <v>0.49996600067913732</v>
      </c>
      <c r="C14" s="18">
        <f t="shared" ref="C14:D14" si="4">C61</f>
        <v>0.50663126707596773</v>
      </c>
      <c r="D14" s="18">
        <f t="shared" si="4"/>
        <v>0.49996600067913732</v>
      </c>
    </row>
    <row r="15" spans="1:8" x14ac:dyDescent="0.25">
      <c r="B15" s="15"/>
      <c r="C15" s="15"/>
      <c r="D15" s="15"/>
    </row>
    <row r="16" spans="1:8" x14ac:dyDescent="0.25">
      <c r="A16" t="s">
        <v>71</v>
      </c>
      <c r="B16" s="15">
        <f>B2-B11</f>
        <v>-17060</v>
      </c>
      <c r="C16" s="15">
        <f>C2-C11</f>
        <v>-3826.9550000000017</v>
      </c>
      <c r="D16" s="15">
        <f>D2-D11</f>
        <v>17753.999999999996</v>
      </c>
    </row>
    <row r="17" spans="1:4" x14ac:dyDescent="0.25">
      <c r="B17" s="15"/>
      <c r="C17" s="15"/>
      <c r="D17" s="15"/>
    </row>
    <row r="18" spans="1:4" x14ac:dyDescent="0.25">
      <c r="B18" s="15"/>
      <c r="C18" s="15"/>
      <c r="D18" s="15"/>
    </row>
    <row r="19" spans="1:4" x14ac:dyDescent="0.25">
      <c r="A19" t="s">
        <v>0</v>
      </c>
    </row>
    <row r="20" spans="1:4" x14ac:dyDescent="0.25">
      <c r="A20" t="s">
        <v>1</v>
      </c>
      <c r="B20" s="3">
        <v>800000</v>
      </c>
      <c r="C20" s="2">
        <f t="shared" ref="C20:D22" si="5">B20</f>
        <v>800000</v>
      </c>
      <c r="D20" s="2">
        <f t="shared" si="5"/>
        <v>800000</v>
      </c>
    </row>
    <row r="21" spans="1:4" x14ac:dyDescent="0.25">
      <c r="A21" t="s">
        <v>2</v>
      </c>
      <c r="B21" s="4">
        <v>3.5000000000000003E-2</v>
      </c>
      <c r="C21" s="6">
        <f t="shared" si="5"/>
        <v>3.5000000000000003E-2</v>
      </c>
      <c r="D21" s="6">
        <f t="shared" si="5"/>
        <v>3.5000000000000003E-2</v>
      </c>
    </row>
    <row r="22" spans="1:4" x14ac:dyDescent="0.25">
      <c r="A22" t="s">
        <v>3</v>
      </c>
      <c r="B22" s="5">
        <f>B21*B20</f>
        <v>28000.000000000004</v>
      </c>
      <c r="C22" s="2">
        <f t="shared" si="5"/>
        <v>28000.000000000004</v>
      </c>
      <c r="D22" s="2">
        <f t="shared" si="5"/>
        <v>28000.000000000004</v>
      </c>
    </row>
    <row r="23" spans="1:4" x14ac:dyDescent="0.25">
      <c r="A23" t="s">
        <v>4</v>
      </c>
      <c r="B23" s="5">
        <f>B20-B22</f>
        <v>772000</v>
      </c>
      <c r="C23" s="13">
        <f>B23+B66</f>
        <v>785510</v>
      </c>
      <c r="D23" s="5">
        <f>D20-D22</f>
        <v>772000</v>
      </c>
    </row>
    <row r="24" spans="1:4" x14ac:dyDescent="0.25">
      <c r="A24" t="s">
        <v>5</v>
      </c>
      <c r="B24" s="4">
        <v>7.0000000000000007E-2</v>
      </c>
      <c r="C24" s="6">
        <f>B24</f>
        <v>7.0000000000000007E-2</v>
      </c>
      <c r="D24" s="6">
        <f>C24</f>
        <v>7.0000000000000007E-2</v>
      </c>
    </row>
    <row r="25" spans="1:4" x14ac:dyDescent="0.25">
      <c r="A25" t="s">
        <v>6</v>
      </c>
      <c r="B25" s="16">
        <v>683</v>
      </c>
      <c r="C25" s="1">
        <f t="shared" ref="C25:D31" si="6">B25</f>
        <v>683</v>
      </c>
      <c r="D25" s="1">
        <f t="shared" si="6"/>
        <v>683</v>
      </c>
    </row>
    <row r="26" spans="1:4" x14ac:dyDescent="0.25">
      <c r="A26" t="s">
        <v>7</v>
      </c>
      <c r="B26" s="16">
        <v>273</v>
      </c>
      <c r="C26" s="1">
        <f t="shared" si="6"/>
        <v>273</v>
      </c>
      <c r="D26" s="1">
        <f t="shared" si="6"/>
        <v>273</v>
      </c>
    </row>
    <row r="27" spans="1:4" x14ac:dyDescent="0.25">
      <c r="A27" t="s">
        <v>8</v>
      </c>
      <c r="B27" s="16">
        <v>0</v>
      </c>
      <c r="C27" s="1">
        <f t="shared" si="6"/>
        <v>0</v>
      </c>
      <c r="D27" s="1">
        <f t="shared" si="6"/>
        <v>0</v>
      </c>
    </row>
    <row r="28" spans="1:4" x14ac:dyDescent="0.25">
      <c r="A28" t="s">
        <v>21</v>
      </c>
      <c r="B28" s="16">
        <v>180</v>
      </c>
      <c r="C28" s="1">
        <f t="shared" si="6"/>
        <v>180</v>
      </c>
      <c r="D28" s="1">
        <f t="shared" si="6"/>
        <v>180</v>
      </c>
    </row>
    <row r="29" spans="1:4" x14ac:dyDescent="0.25">
      <c r="A29" t="s">
        <v>22</v>
      </c>
      <c r="B29" s="16">
        <v>175</v>
      </c>
      <c r="C29" s="1">
        <f t="shared" si="6"/>
        <v>175</v>
      </c>
      <c r="D29" s="1">
        <f t="shared" si="6"/>
        <v>175</v>
      </c>
    </row>
    <row r="30" spans="1:4" x14ac:dyDescent="0.25">
      <c r="A30" t="s">
        <v>23</v>
      </c>
      <c r="B30" s="16">
        <v>60</v>
      </c>
      <c r="C30" s="1">
        <f t="shared" si="6"/>
        <v>60</v>
      </c>
      <c r="D30" s="1">
        <f t="shared" si="6"/>
        <v>60</v>
      </c>
    </row>
    <row r="31" spans="1:4" x14ac:dyDescent="0.25">
      <c r="A31" t="s">
        <v>24</v>
      </c>
      <c r="B31" s="16">
        <v>100</v>
      </c>
      <c r="C31" s="1">
        <f t="shared" si="6"/>
        <v>100</v>
      </c>
      <c r="D31" s="1">
        <f t="shared" si="6"/>
        <v>100</v>
      </c>
    </row>
    <row r="33" spans="1:19" x14ac:dyDescent="0.25">
      <c r="A33" t="s">
        <v>9</v>
      </c>
    </row>
    <row r="34" spans="1:19" x14ac:dyDescent="0.25">
      <c r="A34" t="s">
        <v>10</v>
      </c>
      <c r="B34" s="17">
        <f>PMT(B24/12,30*12,-B23)</f>
        <v>5136.1352627832939</v>
      </c>
      <c r="C34" s="17">
        <f>PMT(C24/12,30*12,-C23)</f>
        <v>5226.0176298820015</v>
      </c>
      <c r="D34" s="17">
        <f>PMT(D24/12,30*12,-D23)</f>
        <v>5136.1352627832939</v>
      </c>
    </row>
    <row r="35" spans="1:19" x14ac:dyDescent="0.25">
      <c r="A35" t="s">
        <v>11</v>
      </c>
      <c r="B35" s="17">
        <f>B34+B25+B26+B27</f>
        <v>6092.1352627832939</v>
      </c>
      <c r="C35" s="17">
        <f>C34+C25+C26+C27</f>
        <v>6182.0176298820015</v>
      </c>
      <c r="D35" s="17">
        <f>D34+D25+D26+D27</f>
        <v>6092.1352627832939</v>
      </c>
    </row>
    <row r="37" spans="1:19" x14ac:dyDescent="0.25">
      <c r="A37" t="s">
        <v>12</v>
      </c>
    </row>
    <row r="38" spans="1:19" x14ac:dyDescent="0.25">
      <c r="A38" t="s">
        <v>13</v>
      </c>
      <c r="B38" s="3">
        <v>2075</v>
      </c>
      <c r="C38" s="2">
        <f>B38</f>
        <v>2075</v>
      </c>
      <c r="D38" s="2">
        <f>C38</f>
        <v>2075</v>
      </c>
    </row>
    <row r="39" spans="1:19" x14ac:dyDescent="0.25">
      <c r="A39" t="s">
        <v>14</v>
      </c>
      <c r="B39" s="3">
        <v>2075</v>
      </c>
      <c r="C39" s="2">
        <f t="shared" ref="C39:D45" si="7">B39</f>
        <v>2075</v>
      </c>
      <c r="D39" s="2">
        <f t="shared" si="7"/>
        <v>2075</v>
      </c>
      <c r="J39" t="s">
        <v>128</v>
      </c>
      <c r="L39" t="s">
        <v>118</v>
      </c>
      <c r="N39" t="s">
        <v>126</v>
      </c>
      <c r="P39" t="s">
        <v>127</v>
      </c>
      <c r="R39" t="s">
        <v>129</v>
      </c>
    </row>
    <row r="40" spans="1:19" x14ac:dyDescent="0.25">
      <c r="A40" t="s">
        <v>15</v>
      </c>
      <c r="B40" s="3">
        <v>2075</v>
      </c>
      <c r="C40" s="2">
        <f t="shared" si="7"/>
        <v>2075</v>
      </c>
      <c r="D40" s="2">
        <f t="shared" si="7"/>
        <v>2075</v>
      </c>
    </row>
    <row r="41" spans="1:19" x14ac:dyDescent="0.25">
      <c r="A41" t="s">
        <v>16</v>
      </c>
      <c r="B41" s="3">
        <v>2075</v>
      </c>
      <c r="C41" s="2">
        <f t="shared" si="7"/>
        <v>2075</v>
      </c>
      <c r="D41" s="2">
        <f t="shared" si="7"/>
        <v>2075</v>
      </c>
      <c r="J41" t="s">
        <v>124</v>
      </c>
      <c r="N41" t="s">
        <v>121</v>
      </c>
      <c r="R41" t="s">
        <v>119</v>
      </c>
    </row>
    <row r="42" spans="1:19" x14ac:dyDescent="0.25">
      <c r="A42" t="s">
        <v>17</v>
      </c>
      <c r="B42" s="3">
        <v>2075</v>
      </c>
      <c r="C42" s="2">
        <f t="shared" si="7"/>
        <v>2075</v>
      </c>
      <c r="D42" s="2">
        <f t="shared" si="7"/>
        <v>2075</v>
      </c>
      <c r="L42" t="s">
        <v>122</v>
      </c>
      <c r="P42" t="s">
        <v>120</v>
      </c>
    </row>
    <row r="43" spans="1:19" x14ac:dyDescent="0.25">
      <c r="A43" t="s">
        <v>18</v>
      </c>
      <c r="B43" s="3">
        <v>2075</v>
      </c>
      <c r="C43" s="2">
        <f t="shared" si="7"/>
        <v>2075</v>
      </c>
      <c r="D43" s="2">
        <f t="shared" si="7"/>
        <v>2075</v>
      </c>
      <c r="L43" t="s">
        <v>123</v>
      </c>
    </row>
    <row r="44" spans="1:19" x14ac:dyDescent="0.25">
      <c r="A44" t="s">
        <v>19</v>
      </c>
      <c r="B44" s="3">
        <v>2075</v>
      </c>
      <c r="C44" s="2">
        <f t="shared" si="7"/>
        <v>2075</v>
      </c>
      <c r="D44" s="2">
        <f t="shared" si="7"/>
        <v>2075</v>
      </c>
    </row>
    <row r="45" spans="1:19" x14ac:dyDescent="0.25">
      <c r="A45" t="s">
        <v>20</v>
      </c>
      <c r="B45" s="3">
        <v>2075</v>
      </c>
      <c r="C45" s="2">
        <f t="shared" si="7"/>
        <v>2075</v>
      </c>
      <c r="D45" s="2">
        <f t="shared" si="7"/>
        <v>2075</v>
      </c>
      <c r="I45" s="35" t="s">
        <v>73</v>
      </c>
      <c r="J45" s="43" t="s">
        <v>112</v>
      </c>
      <c r="K45" t="s">
        <v>79</v>
      </c>
      <c r="L45" s="42" t="s">
        <v>84</v>
      </c>
      <c r="M45" t="s">
        <v>80</v>
      </c>
      <c r="N45" s="41" t="s">
        <v>85</v>
      </c>
      <c r="O45" t="s">
        <v>81</v>
      </c>
      <c r="P45" s="44" t="s">
        <v>97</v>
      </c>
      <c r="Q45" t="s">
        <v>82</v>
      </c>
      <c r="R45" s="45" t="s">
        <v>86</v>
      </c>
      <c r="S45" t="s">
        <v>83</v>
      </c>
    </row>
    <row r="46" spans="1:19" x14ac:dyDescent="0.25">
      <c r="B46" s="12">
        <v>1.05</v>
      </c>
      <c r="C46" s="19">
        <f>B46</f>
        <v>1.05</v>
      </c>
      <c r="D46" s="19">
        <f>C46</f>
        <v>1.05</v>
      </c>
      <c r="I46">
        <v>1</v>
      </c>
      <c r="J46">
        <v>0.92</v>
      </c>
      <c r="K46">
        <v>0.9</v>
      </c>
      <c r="L46">
        <v>0.84</v>
      </c>
      <c r="M46">
        <v>0.8</v>
      </c>
      <c r="N46">
        <v>0.76</v>
      </c>
      <c r="O46">
        <v>0.7</v>
      </c>
      <c r="P46">
        <v>0.66</v>
      </c>
      <c r="Q46">
        <v>0.6</v>
      </c>
      <c r="R46">
        <v>0.56000000000000005</v>
      </c>
      <c r="S46">
        <v>0.5</v>
      </c>
    </row>
    <row r="47" spans="1:19" x14ac:dyDescent="0.25">
      <c r="A47" t="s">
        <v>25</v>
      </c>
      <c r="B47" s="7">
        <f>SUM(B38,B40,B42,B44)*B46</f>
        <v>8715</v>
      </c>
      <c r="C47" s="7">
        <f t="shared" ref="C47:D47" si="8">SUM(C38,C40,C42,C44)*C46</f>
        <v>8715</v>
      </c>
      <c r="D47" s="7">
        <f t="shared" si="8"/>
        <v>8715</v>
      </c>
      <c r="F47" s="2">
        <f>D47/4</f>
        <v>2178.75</v>
      </c>
      <c r="H47" t="s">
        <v>74</v>
      </c>
      <c r="I47" s="36">
        <v>80</v>
      </c>
      <c r="J47" s="39">
        <v>74</v>
      </c>
      <c r="K47" s="25">
        <v>72</v>
      </c>
      <c r="L47" s="29">
        <v>68</v>
      </c>
      <c r="M47" s="24">
        <v>65</v>
      </c>
      <c r="N47" s="29">
        <v>62</v>
      </c>
      <c r="O47" s="23">
        <v>58</v>
      </c>
      <c r="P47" s="30">
        <v>55</v>
      </c>
      <c r="Q47" s="23">
        <v>51</v>
      </c>
      <c r="R47" s="33">
        <v>48</v>
      </c>
      <c r="S47" s="22">
        <v>44</v>
      </c>
    </row>
    <row r="48" spans="1:19" x14ac:dyDescent="0.25">
      <c r="A48" t="s">
        <v>26</v>
      </c>
      <c r="B48" s="7">
        <f>SUM(B39,B41,B43,B45)*B46</f>
        <v>8715</v>
      </c>
      <c r="C48" s="7">
        <f t="shared" ref="C48:D48" si="9">SUM(C39,C41,C43,C45)*C46</f>
        <v>8715</v>
      </c>
      <c r="D48" s="7">
        <f t="shared" si="9"/>
        <v>8715</v>
      </c>
      <c r="F48" s="2">
        <f>D48/4</f>
        <v>2178.75</v>
      </c>
      <c r="H48" t="s">
        <v>75</v>
      </c>
      <c r="I48" s="37">
        <v>63</v>
      </c>
      <c r="J48" s="29">
        <v>59</v>
      </c>
      <c r="K48" s="23">
        <v>58</v>
      </c>
      <c r="L48" s="30">
        <v>54</v>
      </c>
      <c r="M48" s="23">
        <v>52</v>
      </c>
      <c r="N48" s="33">
        <v>50</v>
      </c>
      <c r="O48" s="22">
        <v>47</v>
      </c>
      <c r="P48" s="33">
        <v>44</v>
      </c>
      <c r="Q48" s="22">
        <v>41</v>
      </c>
      <c r="R48" s="31">
        <v>39</v>
      </c>
      <c r="S48" s="26">
        <v>35</v>
      </c>
    </row>
    <row r="49" spans="1:19" x14ac:dyDescent="0.25">
      <c r="A49" t="s">
        <v>28</v>
      </c>
      <c r="B49" s="3">
        <v>0</v>
      </c>
      <c r="C49" s="2">
        <f>B49</f>
        <v>0</v>
      </c>
      <c r="D49" s="2">
        <f>C49</f>
        <v>0</v>
      </c>
      <c r="H49" t="s">
        <v>76</v>
      </c>
      <c r="I49" s="38">
        <v>41</v>
      </c>
      <c r="J49" s="31">
        <v>38</v>
      </c>
      <c r="K49" s="26">
        <v>37</v>
      </c>
      <c r="L49" s="31">
        <v>34</v>
      </c>
      <c r="M49" s="26">
        <v>33</v>
      </c>
      <c r="N49" s="31">
        <v>31</v>
      </c>
      <c r="O49" s="27">
        <v>29</v>
      </c>
      <c r="P49" s="34">
        <v>27</v>
      </c>
      <c r="Q49" s="27">
        <v>25</v>
      </c>
      <c r="R49" s="34">
        <v>23</v>
      </c>
      <c r="S49" s="27">
        <v>20</v>
      </c>
    </row>
    <row r="50" spans="1:19" x14ac:dyDescent="0.25">
      <c r="A50" t="s">
        <v>27</v>
      </c>
      <c r="B50" s="8">
        <f>B48-MAX(B49,0.25*B48)</f>
        <v>6536.25</v>
      </c>
      <c r="C50" s="8">
        <f>C48-MAX(C49,0.25*C48)</f>
        <v>6536.25</v>
      </c>
      <c r="D50" s="8">
        <f>D48-MAX(D49,0.25*D48)</f>
        <v>6536.25</v>
      </c>
      <c r="H50" t="s">
        <v>77</v>
      </c>
      <c r="I50" s="35">
        <v>2400</v>
      </c>
      <c r="J50" s="28">
        <v>2240</v>
      </c>
      <c r="K50">
        <v>2200</v>
      </c>
      <c r="L50" s="28">
        <v>2060</v>
      </c>
      <c r="M50">
        <v>1972</v>
      </c>
      <c r="N50" s="28">
        <v>1890</v>
      </c>
      <c r="O50">
        <v>1800</v>
      </c>
      <c r="P50" s="28">
        <v>1680</v>
      </c>
      <c r="Q50">
        <v>1550</v>
      </c>
      <c r="R50" s="28">
        <v>1450</v>
      </c>
      <c r="S50">
        <v>1320</v>
      </c>
    </row>
    <row r="51" spans="1:19" x14ac:dyDescent="0.25">
      <c r="A51" t="s">
        <v>29</v>
      </c>
      <c r="B51" s="9">
        <f>B35/B50</f>
        <v>0.93205358772741154</v>
      </c>
      <c r="C51" s="9">
        <f>C35/C50</f>
        <v>0.9458049538928287</v>
      </c>
      <c r="D51" s="9">
        <f>D35/D50</f>
        <v>0.93205358772741154</v>
      </c>
      <c r="H51" t="s">
        <v>78</v>
      </c>
      <c r="I51" s="35">
        <v>3100</v>
      </c>
      <c r="J51" s="28">
        <v>2570</v>
      </c>
      <c r="K51">
        <v>2450</v>
      </c>
      <c r="L51" s="28">
        <v>2060</v>
      </c>
      <c r="M51">
        <v>1800</v>
      </c>
      <c r="N51" s="28">
        <v>1550</v>
      </c>
      <c r="O51">
        <v>1200</v>
      </c>
      <c r="P51" s="28">
        <v>920</v>
      </c>
      <c r="Q51">
        <v>550</v>
      </c>
      <c r="R51" s="28">
        <v>300</v>
      </c>
      <c r="S51">
        <v>0</v>
      </c>
    </row>
    <row r="52" spans="1:19" x14ac:dyDescent="0.25">
      <c r="A52" t="s">
        <v>30</v>
      </c>
      <c r="B52" s="10" t="str">
        <f>IF(B51&lt;=1,"PASS","FAIL")</f>
        <v>PASS</v>
      </c>
      <c r="C52" s="10" t="str">
        <f>IF(C51&lt;=1,"PASS","FAIL")</f>
        <v>PASS</v>
      </c>
      <c r="D52" s="10" t="str">
        <f>IF(D51&lt;=1,"PASS","FAIL")</f>
        <v>PASS</v>
      </c>
      <c r="I52" s="35"/>
      <c r="J52" s="28"/>
      <c r="L52" s="28"/>
      <c r="R52" s="28"/>
    </row>
    <row r="53" spans="1:19" x14ac:dyDescent="0.25">
      <c r="I53" s="35">
        <f>I50/1000</f>
        <v>2.4</v>
      </c>
      <c r="J53" s="40">
        <f>J50/920</f>
        <v>2.4347826086956523</v>
      </c>
      <c r="K53" s="21">
        <f>K50/900</f>
        <v>2.4444444444444446</v>
      </c>
      <c r="L53" s="32">
        <f>L50/840</f>
        <v>2.4523809523809526</v>
      </c>
      <c r="M53">
        <f>M50/800</f>
        <v>2.4649999999999999</v>
      </c>
      <c r="N53" s="32">
        <f>N50/760</f>
        <v>2.486842105263158</v>
      </c>
      <c r="O53" s="20">
        <f>O50/700</f>
        <v>2.5714285714285716</v>
      </c>
      <c r="P53" s="32">
        <f>P50/660</f>
        <v>2.5454545454545454</v>
      </c>
      <c r="Q53" s="21">
        <f>Q50/600</f>
        <v>2.5833333333333335</v>
      </c>
      <c r="R53" s="32">
        <f>R50/560</f>
        <v>2.5892857142857144</v>
      </c>
      <c r="S53">
        <f>S50/500</f>
        <v>2.64</v>
      </c>
    </row>
    <row r="54" spans="1:19" x14ac:dyDescent="0.25">
      <c r="A54" t="s">
        <v>31</v>
      </c>
      <c r="B54" s="3">
        <v>8583</v>
      </c>
      <c r="C54" s="2">
        <f t="shared" ref="C54:D56" si="10">B54</f>
        <v>8583</v>
      </c>
      <c r="D54" s="2">
        <f t="shared" si="10"/>
        <v>8583</v>
      </c>
      <c r="I54" s="35">
        <f>I51/1000</f>
        <v>3.1</v>
      </c>
      <c r="J54" s="40">
        <f>J51/920</f>
        <v>2.7934782608695654</v>
      </c>
      <c r="K54" s="21">
        <f>K51/900</f>
        <v>2.7222222222222223</v>
      </c>
      <c r="L54" s="32">
        <f>L51/840</f>
        <v>2.4523809523809526</v>
      </c>
      <c r="M54">
        <f>M51/800</f>
        <v>2.25</v>
      </c>
      <c r="N54" s="32">
        <f>N51/760</f>
        <v>2.0394736842105261</v>
      </c>
      <c r="O54" s="20">
        <f>O51/700</f>
        <v>1.7142857142857142</v>
      </c>
      <c r="P54" s="32">
        <f>P51/660</f>
        <v>1.393939393939394</v>
      </c>
      <c r="Q54" s="21">
        <f>Q51/600</f>
        <v>0.91666666666666663</v>
      </c>
      <c r="R54" s="32">
        <f>R51/560</f>
        <v>0.5357142857142857</v>
      </c>
      <c r="S54">
        <v>0</v>
      </c>
    </row>
    <row r="55" spans="1:19" x14ac:dyDescent="0.25">
      <c r="A55" t="s">
        <v>32</v>
      </c>
      <c r="B55" s="3">
        <v>394</v>
      </c>
      <c r="C55" s="2">
        <f t="shared" si="10"/>
        <v>394</v>
      </c>
      <c r="D55" s="2">
        <f t="shared" si="10"/>
        <v>394</v>
      </c>
    </row>
    <row r="56" spans="1:19" x14ac:dyDescent="0.25">
      <c r="A56" t="s">
        <v>33</v>
      </c>
      <c r="B56" s="3">
        <v>256</v>
      </c>
      <c r="C56" s="2">
        <f t="shared" si="10"/>
        <v>256</v>
      </c>
      <c r="D56" s="2">
        <f t="shared" si="10"/>
        <v>256</v>
      </c>
    </row>
    <row r="57" spans="1:19" x14ac:dyDescent="0.25">
      <c r="A57" t="s">
        <v>38</v>
      </c>
      <c r="B57" s="7">
        <f>SUM(B55:B56)</f>
        <v>650</v>
      </c>
      <c r="C57" s="7">
        <f>SUM(C55:C56)</f>
        <v>650</v>
      </c>
      <c r="D57" s="7">
        <f>SUM(D55:D56)</f>
        <v>650</v>
      </c>
      <c r="I57" t="s">
        <v>94</v>
      </c>
    </row>
    <row r="58" spans="1:19" x14ac:dyDescent="0.25">
      <c r="A58" t="s">
        <v>36</v>
      </c>
      <c r="B58" s="5">
        <f>MIN(B47,B48)*(3/4)*0.75</f>
        <v>4902.1875</v>
      </c>
      <c r="C58" s="5">
        <f>MIN(C47,C48)*(3/4)*0.75</f>
        <v>4902.1875</v>
      </c>
      <c r="D58" s="5">
        <f>MIN(D47,D48)*(3/4)*0.75</f>
        <v>4902.1875</v>
      </c>
      <c r="G58" t="s">
        <v>102</v>
      </c>
      <c r="H58" t="s">
        <v>101</v>
      </c>
      <c r="I58" t="s">
        <v>95</v>
      </c>
    </row>
    <row r="59" spans="1:19" x14ac:dyDescent="0.25">
      <c r="A59" t="s">
        <v>37</v>
      </c>
      <c r="B59" s="5">
        <f>B54+B58</f>
        <v>13485.1875</v>
      </c>
      <c r="C59" s="5">
        <f>C54+C58</f>
        <v>13485.1875</v>
      </c>
      <c r="D59" s="5">
        <f>D54+D58</f>
        <v>13485.1875</v>
      </c>
      <c r="I59" t="s">
        <v>96</v>
      </c>
    </row>
    <row r="60" spans="1:19" x14ac:dyDescent="0.25">
      <c r="A60" t="s">
        <v>34</v>
      </c>
      <c r="B60" s="11">
        <f>B57/B54</f>
        <v>7.5731096353256436E-2</v>
      </c>
      <c r="C60" s="11">
        <f>C57/C54</f>
        <v>7.5731096353256436E-2</v>
      </c>
      <c r="D60" s="11">
        <f>D57/D54</f>
        <v>7.5731096353256436E-2</v>
      </c>
      <c r="F60">
        <v>6</v>
      </c>
    </row>
    <row r="61" spans="1:19" x14ac:dyDescent="0.25">
      <c r="A61" t="s">
        <v>35</v>
      </c>
      <c r="B61" s="11">
        <f>(B57 + B35)/B59</f>
        <v>0.49996600067913732</v>
      </c>
      <c r="C61" s="11">
        <f>(C57 + C35)/C59</f>
        <v>0.50663126707596773</v>
      </c>
      <c r="D61" s="11">
        <f>(D57 + D35)/D59</f>
        <v>0.49996600067913732</v>
      </c>
      <c r="I61" t="s">
        <v>117</v>
      </c>
    </row>
    <row r="62" spans="1:19" x14ac:dyDescent="0.25">
      <c r="G62" t="s">
        <v>113</v>
      </c>
      <c r="H62" t="s">
        <v>114</v>
      </c>
      <c r="I62" t="s">
        <v>115</v>
      </c>
    </row>
    <row r="63" spans="1:19" x14ac:dyDescent="0.25">
      <c r="A63" t="s">
        <v>50</v>
      </c>
      <c r="I63" t="s">
        <v>116</v>
      </c>
    </row>
    <row r="64" spans="1:19" x14ac:dyDescent="0.25">
      <c r="A64" t="s">
        <v>42</v>
      </c>
      <c r="B64" s="7">
        <f>0.005*B23</f>
        <v>3860</v>
      </c>
      <c r="C64" s="7">
        <f>0.005*C23</f>
        <v>3927.55</v>
      </c>
      <c r="D64" s="1">
        <v>0</v>
      </c>
      <c r="E64" s="2"/>
      <c r="F64">
        <v>6</v>
      </c>
    </row>
    <row r="65" spans="1:9" x14ac:dyDescent="0.25">
      <c r="A65" t="s">
        <v>44</v>
      </c>
      <c r="B65" s="5">
        <f>12*B26</f>
        <v>3276</v>
      </c>
      <c r="C65" s="5">
        <f>12*C26</f>
        <v>3276</v>
      </c>
      <c r="D65" s="14">
        <v>0</v>
      </c>
      <c r="E65" s="2"/>
      <c r="I65" t="s">
        <v>111</v>
      </c>
    </row>
    <row r="66" spans="1:9" x14ac:dyDescent="0.25">
      <c r="A66" t="s">
        <v>46</v>
      </c>
      <c r="B66" s="5">
        <f>0.0175*B23</f>
        <v>13510.000000000002</v>
      </c>
      <c r="C66" s="1">
        <v>0</v>
      </c>
      <c r="D66" s="1">
        <v>0</v>
      </c>
      <c r="E66" s="2"/>
      <c r="G66" t="s">
        <v>103</v>
      </c>
      <c r="H66" t="s">
        <v>104</v>
      </c>
      <c r="I66" t="s">
        <v>87</v>
      </c>
    </row>
    <row r="67" spans="1:9" x14ac:dyDescent="0.25">
      <c r="A67" t="s">
        <v>47</v>
      </c>
      <c r="B67" s="5">
        <f>0.0055*B23</f>
        <v>4246</v>
      </c>
      <c r="C67" s="5">
        <f>0.0055*C23</f>
        <v>4320.3049999999994</v>
      </c>
      <c r="D67" s="2">
        <f>B67</f>
        <v>4246</v>
      </c>
      <c r="E67" s="2"/>
      <c r="I67" t="s">
        <v>88</v>
      </c>
    </row>
    <row r="68" spans="1:9" x14ac:dyDescent="0.25">
      <c r="A68" t="s">
        <v>51</v>
      </c>
      <c r="B68" s="13">
        <f>SUM(B64:B67)</f>
        <v>24892</v>
      </c>
      <c r="C68" s="13">
        <f>SUM(C64:C67)</f>
        <v>11523.855</v>
      </c>
      <c r="D68" s="13">
        <f>SUM(D64:D67)</f>
        <v>4246</v>
      </c>
      <c r="E68" s="2"/>
      <c r="F68">
        <v>6</v>
      </c>
      <c r="G68" s="1"/>
    </row>
    <row r="69" spans="1:9" x14ac:dyDescent="0.25">
      <c r="B69" s="6"/>
      <c r="E69" s="2"/>
      <c r="G69" s="2"/>
      <c r="I69" t="s">
        <v>118</v>
      </c>
    </row>
    <row r="70" spans="1:9" x14ac:dyDescent="0.25">
      <c r="A70" t="s">
        <v>52</v>
      </c>
      <c r="B70" s="6" t="s">
        <v>53</v>
      </c>
      <c r="E70" s="2"/>
      <c r="G70" s="12" t="s">
        <v>105</v>
      </c>
      <c r="H70" t="s">
        <v>106</v>
      </c>
      <c r="I70" t="s">
        <v>89</v>
      </c>
    </row>
    <row r="71" spans="1:9" x14ac:dyDescent="0.25">
      <c r="A71" t="s">
        <v>39</v>
      </c>
      <c r="B71" s="7">
        <f>0.005*B23</f>
        <v>3860</v>
      </c>
      <c r="C71" s="7">
        <f>0.005*C23</f>
        <v>3927.55</v>
      </c>
      <c r="D71" s="1">
        <v>0</v>
      </c>
      <c r="E71" s="2"/>
      <c r="G71" s="1"/>
      <c r="I71" t="s">
        <v>90</v>
      </c>
    </row>
    <row r="72" spans="1:9" x14ac:dyDescent="0.25">
      <c r="A72" t="s">
        <v>40</v>
      </c>
      <c r="B72" s="7">
        <v>600</v>
      </c>
      <c r="C72" s="14">
        <f>B72</f>
        <v>600</v>
      </c>
      <c r="D72" s="1">
        <v>0</v>
      </c>
      <c r="E72" s="2"/>
      <c r="F72">
        <v>7</v>
      </c>
      <c r="G72" s="1"/>
    </row>
    <row r="73" spans="1:9" x14ac:dyDescent="0.25">
      <c r="A73" t="s">
        <v>41</v>
      </c>
      <c r="B73" s="7">
        <v>30</v>
      </c>
      <c r="C73" s="14">
        <f t="shared" ref="C73:C74" si="11">B73</f>
        <v>30</v>
      </c>
      <c r="D73" s="1">
        <v>0</v>
      </c>
      <c r="E73" s="2"/>
      <c r="F73" s="2"/>
      <c r="G73" s="1"/>
      <c r="I73" t="s">
        <v>98</v>
      </c>
    </row>
    <row r="74" spans="1:9" x14ac:dyDescent="0.25">
      <c r="A74" t="s">
        <v>43</v>
      </c>
      <c r="B74" s="7">
        <v>100</v>
      </c>
      <c r="C74" s="14">
        <f t="shared" si="11"/>
        <v>100</v>
      </c>
      <c r="D74" s="1">
        <v>0</v>
      </c>
      <c r="E74" s="2"/>
      <c r="F74" s="2"/>
      <c r="G74" s="1" t="s">
        <v>107</v>
      </c>
      <c r="H74" t="s">
        <v>108</v>
      </c>
      <c r="I74" t="s">
        <v>99</v>
      </c>
    </row>
    <row r="75" spans="1:9" x14ac:dyDescent="0.25">
      <c r="A75" t="s">
        <v>45</v>
      </c>
      <c r="B75" s="5">
        <f>3*B25</f>
        <v>2049</v>
      </c>
      <c r="C75" s="15">
        <f>B75</f>
        <v>2049</v>
      </c>
      <c r="D75" s="1">
        <v>0</v>
      </c>
      <c r="E75" s="2"/>
      <c r="I75" t="s">
        <v>100</v>
      </c>
    </row>
    <row r="76" spans="1:9" x14ac:dyDescent="0.25">
      <c r="A76" t="s">
        <v>48</v>
      </c>
      <c r="B76" s="7">
        <v>400</v>
      </c>
      <c r="C76" s="14">
        <f>B76</f>
        <v>400</v>
      </c>
      <c r="D76" s="1">
        <v>0</v>
      </c>
      <c r="E76" s="2"/>
      <c r="F76">
        <v>7</v>
      </c>
    </row>
    <row r="77" spans="1:9" x14ac:dyDescent="0.25">
      <c r="A77" t="s">
        <v>49</v>
      </c>
      <c r="B77" s="7">
        <v>400</v>
      </c>
      <c r="C77" s="14">
        <f>B77</f>
        <v>400</v>
      </c>
      <c r="D77" s="1">
        <v>0</v>
      </c>
      <c r="E77" s="2"/>
      <c r="I77" t="s">
        <v>91</v>
      </c>
    </row>
    <row r="78" spans="1:9" x14ac:dyDescent="0.25">
      <c r="A78" t="s">
        <v>55</v>
      </c>
      <c r="B78" s="13">
        <f>SUM(B71:B77)</f>
        <v>7439</v>
      </c>
      <c r="C78" s="13">
        <f>SUM(C71:C77)</f>
        <v>7506.55</v>
      </c>
      <c r="D78" s="13">
        <f>SUM(D71:D77)</f>
        <v>0</v>
      </c>
      <c r="G78" t="s">
        <v>109</v>
      </c>
      <c r="H78" t="s">
        <v>110</v>
      </c>
      <c r="I78" t="s">
        <v>92</v>
      </c>
    </row>
    <row r="79" spans="1:9" x14ac:dyDescent="0.25">
      <c r="I79" t="s">
        <v>93</v>
      </c>
    </row>
    <row r="80" spans="1:9" x14ac:dyDescent="0.25">
      <c r="A80" t="s">
        <v>52</v>
      </c>
      <c r="B80" s="6" t="s">
        <v>54</v>
      </c>
    </row>
    <row r="81" spans="1:5" x14ac:dyDescent="0.25">
      <c r="A81" t="s">
        <v>39</v>
      </c>
      <c r="B81" s="7">
        <f>0.01*B23</f>
        <v>7720</v>
      </c>
      <c r="C81" s="7">
        <f>0.01*C23</f>
        <v>7855.1</v>
      </c>
      <c r="D81" s="1">
        <v>0</v>
      </c>
      <c r="E81" s="2"/>
    </row>
    <row r="82" spans="1:5" x14ac:dyDescent="0.25">
      <c r="A82" t="s">
        <v>40</v>
      </c>
      <c r="B82" s="7">
        <v>800</v>
      </c>
      <c r="C82" s="14">
        <f>B82</f>
        <v>800</v>
      </c>
      <c r="D82" s="1">
        <v>0</v>
      </c>
      <c r="E82" s="2"/>
    </row>
    <row r="83" spans="1:5" x14ac:dyDescent="0.25">
      <c r="A83" t="s">
        <v>41</v>
      </c>
      <c r="B83" s="7">
        <v>50</v>
      </c>
      <c r="C83" s="14">
        <f t="shared" ref="C83:C87" si="12">B83</f>
        <v>50</v>
      </c>
      <c r="D83" s="1">
        <v>0</v>
      </c>
      <c r="E83" s="2"/>
    </row>
    <row r="84" spans="1:5" x14ac:dyDescent="0.25">
      <c r="A84" t="s">
        <v>43</v>
      </c>
      <c r="B84" s="7">
        <v>300</v>
      </c>
      <c r="C84" s="14">
        <f t="shared" si="12"/>
        <v>300</v>
      </c>
      <c r="D84" s="1">
        <v>0</v>
      </c>
      <c r="E84" s="2"/>
    </row>
    <row r="85" spans="1:5" x14ac:dyDescent="0.25">
      <c r="A85" t="s">
        <v>45</v>
      </c>
      <c r="B85" s="5">
        <f>6*B25</f>
        <v>4098</v>
      </c>
      <c r="C85" s="14">
        <f t="shared" si="12"/>
        <v>4098</v>
      </c>
      <c r="D85" s="1">
        <v>0</v>
      </c>
      <c r="E85" s="2"/>
    </row>
    <row r="86" spans="1:5" x14ac:dyDescent="0.25">
      <c r="A86" t="s">
        <v>48</v>
      </c>
      <c r="B86" s="7">
        <v>600</v>
      </c>
      <c r="C86" s="14">
        <f t="shared" si="12"/>
        <v>600</v>
      </c>
      <c r="D86" s="1">
        <v>0</v>
      </c>
      <c r="E86" s="2"/>
    </row>
    <row r="87" spans="1:5" x14ac:dyDescent="0.25">
      <c r="A87" t="s">
        <v>49</v>
      </c>
      <c r="B87" s="7">
        <v>600</v>
      </c>
      <c r="C87" s="14">
        <f t="shared" si="12"/>
        <v>600</v>
      </c>
      <c r="D87" s="1">
        <v>0</v>
      </c>
      <c r="E87" s="2"/>
    </row>
    <row r="88" spans="1:5" x14ac:dyDescent="0.25">
      <c r="A88" t="s">
        <v>56</v>
      </c>
      <c r="B88" s="13">
        <f>SUM(B81:B87)</f>
        <v>14168</v>
      </c>
      <c r="C88" s="13">
        <f>SUM(C81:C87)</f>
        <v>14303.1</v>
      </c>
      <c r="D88" s="13">
        <f>SUM(D81:D87)</f>
        <v>0</v>
      </c>
    </row>
    <row r="90" spans="1:5" x14ac:dyDescent="0.25">
      <c r="A90" t="s">
        <v>57</v>
      </c>
      <c r="B90" s="13">
        <f>B68+B78</f>
        <v>32331</v>
      </c>
      <c r="C90" s="13">
        <f>C68+C78</f>
        <v>19030.404999999999</v>
      </c>
      <c r="D90" s="13">
        <f>D68+D78</f>
        <v>4246</v>
      </c>
    </row>
    <row r="91" spans="1:5" x14ac:dyDescent="0.25">
      <c r="A91" t="s">
        <v>58</v>
      </c>
      <c r="B91" s="13">
        <f>B68+B88</f>
        <v>39060</v>
      </c>
      <c r="C91" s="13">
        <f>C68+C88</f>
        <v>25826.955000000002</v>
      </c>
      <c r="D91" s="13">
        <f>D68+D88</f>
        <v>4246</v>
      </c>
    </row>
    <row r="92" spans="1:5" x14ac:dyDescent="0.25">
      <c r="B92" s="2"/>
    </row>
    <row r="93" spans="1:5" x14ac:dyDescent="0.25">
      <c r="B93" s="2"/>
    </row>
    <row r="96" spans="1:5" x14ac:dyDescent="0.25">
      <c r="B96" t="s">
        <v>67</v>
      </c>
      <c r="C96" t="s">
        <v>68</v>
      </c>
      <c r="D96" t="s">
        <v>69</v>
      </c>
    </row>
    <row r="97" spans="1:4" x14ac:dyDescent="0.25">
      <c r="A97" t="s">
        <v>62</v>
      </c>
      <c r="B97" s="5">
        <f t="shared" ref="B97:D98" si="13">B22</f>
        <v>28000.000000000004</v>
      </c>
      <c r="C97" s="5">
        <f t="shared" si="13"/>
        <v>28000.000000000004</v>
      </c>
      <c r="D97" s="5">
        <f t="shared" si="13"/>
        <v>28000.000000000004</v>
      </c>
    </row>
    <row r="98" spans="1:4" x14ac:dyDescent="0.25">
      <c r="A98" t="s">
        <v>63</v>
      </c>
      <c r="B98" s="5">
        <f t="shared" si="13"/>
        <v>772000</v>
      </c>
      <c r="C98" s="5">
        <f t="shared" si="13"/>
        <v>785510</v>
      </c>
      <c r="D98" s="5">
        <f t="shared" si="13"/>
        <v>772000</v>
      </c>
    </row>
    <row r="99" spans="1:4" x14ac:dyDescent="0.25">
      <c r="A99" t="s">
        <v>65</v>
      </c>
      <c r="B99" s="5">
        <f>B90</f>
        <v>32331</v>
      </c>
      <c r="C99" s="5">
        <f>C90-C66</f>
        <v>19030.404999999999</v>
      </c>
      <c r="D99" s="5">
        <f>D90-D66</f>
        <v>4246</v>
      </c>
    </row>
    <row r="100" spans="1:4" x14ac:dyDescent="0.25">
      <c r="A100" t="s">
        <v>64</v>
      </c>
      <c r="B100" s="5">
        <f>B91</f>
        <v>39060</v>
      </c>
      <c r="C100" s="5">
        <f>C91-C66</f>
        <v>25826.955000000002</v>
      </c>
      <c r="D100" s="5">
        <f>D91-D66</f>
        <v>4246</v>
      </c>
    </row>
    <row r="101" spans="1:4" x14ac:dyDescent="0.25">
      <c r="A101" t="s">
        <v>66</v>
      </c>
      <c r="B101" s="13">
        <f>B99+B97</f>
        <v>60331</v>
      </c>
      <c r="C101" s="13">
        <f>C99+C97</f>
        <v>47030.404999999999</v>
      </c>
      <c r="D101" s="13">
        <f>D99+D97</f>
        <v>32246.000000000004</v>
      </c>
    </row>
    <row r="102" spans="1:4" x14ac:dyDescent="0.25">
      <c r="A102" t="s">
        <v>66</v>
      </c>
      <c r="B102" s="13">
        <f>B100+B97</f>
        <v>67060</v>
      </c>
      <c r="C102" s="13">
        <f>C100+C97</f>
        <v>53826.955000000002</v>
      </c>
      <c r="D102" s="13">
        <f>D100+D97</f>
        <v>32246.000000000004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D070-42AC-4163-9733-FA516E47C5A6}">
  <dimension ref="A4:AE109"/>
  <sheetViews>
    <sheetView tabSelected="1" topLeftCell="AA79" zoomScaleNormal="100" workbookViewId="0">
      <selection activeCell="AI106" sqref="AI106"/>
    </sheetView>
  </sheetViews>
  <sheetFormatPr defaultRowHeight="15" x14ac:dyDescent="0.25"/>
  <cols>
    <col min="20" max="20" width="11" bestFit="1" customWidth="1"/>
    <col min="21" max="21" width="14.7109375" bestFit="1" customWidth="1"/>
    <col min="22" max="22" width="11.85546875" bestFit="1" customWidth="1"/>
  </cols>
  <sheetData>
    <row r="4" spans="3:15" x14ac:dyDescent="0.25">
      <c r="C4" t="s">
        <v>125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</row>
    <row r="5" spans="3:15" x14ac:dyDescent="0.25">
      <c r="C5">
        <v>0.5</v>
      </c>
      <c r="D5" s="22">
        <v>44</v>
      </c>
      <c r="E5" s="26">
        <v>35</v>
      </c>
      <c r="F5" s="27">
        <v>20</v>
      </c>
      <c r="G5">
        <v>1320</v>
      </c>
      <c r="H5">
        <v>0</v>
      </c>
      <c r="I5">
        <f>MAX(G5:H5)</f>
        <v>1320</v>
      </c>
      <c r="K5">
        <f>C5*1000</f>
        <v>500</v>
      </c>
      <c r="N5">
        <v>500</v>
      </c>
      <c r="O5">
        <v>1320</v>
      </c>
    </row>
    <row r="6" spans="3:15" x14ac:dyDescent="0.25">
      <c r="C6">
        <v>0.56000000000000005</v>
      </c>
      <c r="D6" s="33">
        <v>48</v>
      </c>
      <c r="E6" s="31">
        <v>39</v>
      </c>
      <c r="F6" s="34">
        <v>23</v>
      </c>
      <c r="G6" s="28">
        <v>1450</v>
      </c>
      <c r="H6" s="28">
        <v>300</v>
      </c>
      <c r="I6">
        <f t="shared" ref="I6:I15" si="0">MAX(G6:H6)</f>
        <v>1450</v>
      </c>
      <c r="K6">
        <f t="shared" ref="K6:K15" si="1">C6*1000</f>
        <v>560</v>
      </c>
      <c r="N6">
        <v>560</v>
      </c>
      <c r="O6">
        <v>1450</v>
      </c>
    </row>
    <row r="7" spans="3:15" x14ac:dyDescent="0.25">
      <c r="C7">
        <v>0.6</v>
      </c>
      <c r="D7" s="23">
        <v>51</v>
      </c>
      <c r="E7" s="22">
        <v>41</v>
      </c>
      <c r="F7" s="27">
        <v>25</v>
      </c>
      <c r="G7">
        <v>1550</v>
      </c>
      <c r="H7">
        <v>550</v>
      </c>
      <c r="I7">
        <f t="shared" si="0"/>
        <v>1550</v>
      </c>
      <c r="K7">
        <f t="shared" si="1"/>
        <v>600</v>
      </c>
      <c r="N7">
        <v>600</v>
      </c>
      <c r="O7">
        <v>1550</v>
      </c>
    </row>
    <row r="8" spans="3:15" x14ac:dyDescent="0.25">
      <c r="C8">
        <v>0.66</v>
      </c>
      <c r="D8" s="30">
        <v>55</v>
      </c>
      <c r="E8" s="33">
        <v>44</v>
      </c>
      <c r="F8" s="34">
        <v>27</v>
      </c>
      <c r="G8" s="28">
        <v>1680</v>
      </c>
      <c r="H8" s="28">
        <v>920</v>
      </c>
      <c r="I8">
        <f t="shared" si="0"/>
        <v>1680</v>
      </c>
      <c r="K8">
        <f t="shared" si="1"/>
        <v>660</v>
      </c>
      <c r="N8">
        <v>660</v>
      </c>
      <c r="O8">
        <v>1680</v>
      </c>
    </row>
    <row r="9" spans="3:15" x14ac:dyDescent="0.25">
      <c r="C9">
        <v>0.7</v>
      </c>
      <c r="D9" s="23">
        <v>58</v>
      </c>
      <c r="E9" s="22">
        <v>47</v>
      </c>
      <c r="F9" s="27">
        <v>29</v>
      </c>
      <c r="G9">
        <v>1800</v>
      </c>
      <c r="H9">
        <v>1200</v>
      </c>
      <c r="I9">
        <f t="shared" si="0"/>
        <v>1800</v>
      </c>
      <c r="K9">
        <f t="shared" si="1"/>
        <v>700</v>
      </c>
      <c r="N9">
        <v>700</v>
      </c>
      <c r="O9">
        <v>1800</v>
      </c>
    </row>
    <row r="10" spans="3:15" x14ac:dyDescent="0.25">
      <c r="C10">
        <v>0.76</v>
      </c>
      <c r="D10" s="29">
        <v>62</v>
      </c>
      <c r="E10" s="33">
        <v>50</v>
      </c>
      <c r="F10" s="31">
        <v>31</v>
      </c>
      <c r="G10" s="28">
        <v>1890</v>
      </c>
      <c r="H10" s="28">
        <v>1550</v>
      </c>
      <c r="I10">
        <f t="shared" si="0"/>
        <v>1890</v>
      </c>
      <c r="K10">
        <f t="shared" si="1"/>
        <v>760</v>
      </c>
      <c r="N10">
        <v>760</v>
      </c>
      <c r="O10">
        <v>1890</v>
      </c>
    </row>
    <row r="11" spans="3:15" x14ac:dyDescent="0.25">
      <c r="C11">
        <v>0.8</v>
      </c>
      <c r="D11" s="24">
        <v>65</v>
      </c>
      <c r="E11" s="23">
        <v>52</v>
      </c>
      <c r="F11" s="26">
        <v>33</v>
      </c>
      <c r="G11">
        <v>1972</v>
      </c>
      <c r="H11">
        <v>1800</v>
      </c>
      <c r="I11">
        <f t="shared" si="0"/>
        <v>1972</v>
      </c>
      <c r="K11">
        <f t="shared" si="1"/>
        <v>800</v>
      </c>
      <c r="N11">
        <v>800</v>
      </c>
      <c r="O11">
        <v>1972</v>
      </c>
    </row>
    <row r="12" spans="3:15" x14ac:dyDescent="0.25">
      <c r="C12">
        <v>0.84</v>
      </c>
      <c r="D12" s="29">
        <v>68</v>
      </c>
      <c r="E12" s="30">
        <v>54</v>
      </c>
      <c r="F12" s="31">
        <v>34</v>
      </c>
      <c r="G12" s="28">
        <v>2060</v>
      </c>
      <c r="H12" s="28">
        <v>2060</v>
      </c>
      <c r="I12">
        <f t="shared" si="0"/>
        <v>2060</v>
      </c>
      <c r="K12">
        <f t="shared" si="1"/>
        <v>840</v>
      </c>
      <c r="N12">
        <v>840</v>
      </c>
      <c r="O12">
        <v>2060</v>
      </c>
    </row>
    <row r="13" spans="3:15" x14ac:dyDescent="0.25">
      <c r="C13">
        <v>0.9</v>
      </c>
      <c r="D13" s="25">
        <v>72</v>
      </c>
      <c r="E13" s="23">
        <v>58</v>
      </c>
      <c r="F13" s="26">
        <v>37</v>
      </c>
      <c r="G13">
        <v>2200</v>
      </c>
      <c r="H13">
        <v>2450</v>
      </c>
      <c r="I13">
        <f t="shared" si="0"/>
        <v>2450</v>
      </c>
      <c r="K13">
        <f t="shared" si="1"/>
        <v>900</v>
      </c>
      <c r="N13">
        <v>900</v>
      </c>
      <c r="O13">
        <v>2450</v>
      </c>
    </row>
    <row r="14" spans="3:15" x14ac:dyDescent="0.25">
      <c r="C14">
        <v>0.92</v>
      </c>
      <c r="D14" s="39">
        <v>74</v>
      </c>
      <c r="E14" s="29">
        <v>59</v>
      </c>
      <c r="F14" s="31">
        <v>38</v>
      </c>
      <c r="G14" s="28">
        <v>2240</v>
      </c>
      <c r="H14" s="28">
        <v>2570</v>
      </c>
      <c r="I14">
        <f t="shared" si="0"/>
        <v>2570</v>
      </c>
      <c r="K14">
        <f t="shared" si="1"/>
        <v>920</v>
      </c>
      <c r="N14">
        <v>920</v>
      </c>
      <c r="O14">
        <v>2570</v>
      </c>
    </row>
    <row r="15" spans="3:15" x14ac:dyDescent="0.25">
      <c r="C15">
        <v>1</v>
      </c>
      <c r="D15" s="36">
        <v>80</v>
      </c>
      <c r="E15" s="37">
        <v>63</v>
      </c>
      <c r="F15" s="38">
        <v>41</v>
      </c>
      <c r="G15" s="35">
        <v>2400</v>
      </c>
      <c r="H15" s="35">
        <v>3100</v>
      </c>
      <c r="I15">
        <f t="shared" si="0"/>
        <v>3100</v>
      </c>
      <c r="K15">
        <f t="shared" si="1"/>
        <v>1000</v>
      </c>
      <c r="N15">
        <v>1000</v>
      </c>
      <c r="O15">
        <v>3100</v>
      </c>
    </row>
    <row r="21" spans="1:22" x14ac:dyDescent="0.25">
      <c r="A21">
        <v>5.6</v>
      </c>
      <c r="B21">
        <f xml:space="preserve"> 104.02*A21 + 1245.2</f>
        <v>1827.712</v>
      </c>
      <c r="C21">
        <f>301.45*A21 - 308.73</f>
        <v>1379.3899999999999</v>
      </c>
    </row>
    <row r="26" spans="1:22" x14ac:dyDescent="0.25">
      <c r="S26">
        <v>100</v>
      </c>
      <c r="T26" s="46">
        <f>MAX(U26:V26)</f>
        <v>457.55459899999994</v>
      </c>
      <c r="U26" s="46">
        <f xml:space="preserve"> 2.177828*S26 + 239.771799</f>
        <v>457.55459899999994</v>
      </c>
      <c r="V26" s="46">
        <f>6.496183*S26-3399.007634</f>
        <v>-2749.389334</v>
      </c>
    </row>
    <row r="27" spans="1:22" x14ac:dyDescent="0.25">
      <c r="S27">
        <v>200</v>
      </c>
      <c r="T27" s="46">
        <f t="shared" ref="T27:T40" si="2">MAX(U27:V27)</f>
        <v>675.337399</v>
      </c>
      <c r="U27" s="46">
        <f t="shared" ref="U27:U40" si="3" xml:space="preserve"> 2.177828*S27 + 239.771799</f>
        <v>675.337399</v>
      </c>
      <c r="V27" s="46">
        <f t="shared" ref="V27:V40" si="4">6.496183*S27-3399.007634</f>
        <v>-2099.7710340000003</v>
      </c>
    </row>
    <row r="28" spans="1:22" x14ac:dyDescent="0.25">
      <c r="S28">
        <v>300</v>
      </c>
      <c r="T28" s="46">
        <f t="shared" si="2"/>
        <v>893.12019899999996</v>
      </c>
      <c r="U28" s="46">
        <f t="shared" si="3"/>
        <v>893.12019899999996</v>
      </c>
      <c r="V28" s="46">
        <f t="shared" si="4"/>
        <v>-1450.152734</v>
      </c>
    </row>
    <row r="29" spans="1:22" x14ac:dyDescent="0.25">
      <c r="S29">
        <v>400</v>
      </c>
      <c r="T29" s="46">
        <f t="shared" si="2"/>
        <v>1110.9029989999999</v>
      </c>
      <c r="U29" s="46">
        <f t="shared" si="3"/>
        <v>1110.9029989999999</v>
      </c>
      <c r="V29" s="46">
        <f t="shared" si="4"/>
        <v>-800.53443400000015</v>
      </c>
    </row>
    <row r="30" spans="1:22" x14ac:dyDescent="0.25">
      <c r="S30">
        <v>500</v>
      </c>
      <c r="T30" s="46">
        <f t="shared" si="2"/>
        <v>1328.6857989999999</v>
      </c>
      <c r="U30" s="46">
        <f t="shared" si="3"/>
        <v>1328.6857989999999</v>
      </c>
      <c r="V30" s="46">
        <f t="shared" si="4"/>
        <v>-150.91613400000006</v>
      </c>
    </row>
    <row r="31" spans="1:22" x14ac:dyDescent="0.25">
      <c r="S31">
        <v>600</v>
      </c>
      <c r="T31" s="46">
        <f t="shared" si="2"/>
        <v>1546.4685989999998</v>
      </c>
      <c r="U31" s="46">
        <f t="shared" si="3"/>
        <v>1546.4685989999998</v>
      </c>
      <c r="V31" s="46">
        <f t="shared" si="4"/>
        <v>498.70216600000003</v>
      </c>
    </row>
    <row r="32" spans="1:22" x14ac:dyDescent="0.25">
      <c r="S32">
        <v>700</v>
      </c>
      <c r="T32" s="46">
        <f t="shared" si="2"/>
        <v>1764.2513989999998</v>
      </c>
      <c r="U32" s="46">
        <f t="shared" si="3"/>
        <v>1764.2513989999998</v>
      </c>
      <c r="V32" s="46">
        <f t="shared" si="4"/>
        <v>1148.3204660000006</v>
      </c>
    </row>
    <row r="33" spans="19:22" x14ac:dyDescent="0.25">
      <c r="S33">
        <v>800</v>
      </c>
      <c r="T33" s="46">
        <f t="shared" si="2"/>
        <v>1982.0341989999997</v>
      </c>
      <c r="U33" s="46">
        <f t="shared" si="3"/>
        <v>1982.0341989999997</v>
      </c>
      <c r="V33" s="46">
        <f t="shared" si="4"/>
        <v>1797.9387659999998</v>
      </c>
    </row>
    <row r="34" spans="19:22" x14ac:dyDescent="0.25">
      <c r="S34">
        <v>900</v>
      </c>
      <c r="T34" s="46">
        <f t="shared" si="2"/>
        <v>2447.5570659999998</v>
      </c>
      <c r="U34" s="46">
        <f t="shared" si="3"/>
        <v>2199.8169989999997</v>
      </c>
      <c r="V34" s="46">
        <f t="shared" si="4"/>
        <v>2447.5570659999998</v>
      </c>
    </row>
    <row r="35" spans="19:22" x14ac:dyDescent="0.25">
      <c r="S35">
        <v>1000</v>
      </c>
      <c r="T35" s="46">
        <f t="shared" si="2"/>
        <v>3097.1753659999999</v>
      </c>
      <c r="U35" s="46">
        <f t="shared" si="3"/>
        <v>2417.5997990000001</v>
      </c>
      <c r="V35" s="46">
        <f t="shared" si="4"/>
        <v>3097.1753659999999</v>
      </c>
    </row>
    <row r="36" spans="19:22" x14ac:dyDescent="0.25">
      <c r="S36">
        <v>1100</v>
      </c>
      <c r="T36" s="46">
        <f t="shared" si="2"/>
        <v>3746.793666</v>
      </c>
      <c r="U36" s="46">
        <f t="shared" si="3"/>
        <v>2635.382599</v>
      </c>
      <c r="V36" s="46">
        <f t="shared" si="4"/>
        <v>3746.793666</v>
      </c>
    </row>
    <row r="37" spans="19:22" x14ac:dyDescent="0.25">
      <c r="S37">
        <v>1200</v>
      </c>
      <c r="T37" s="46">
        <f t="shared" si="2"/>
        <v>4396.4119659999997</v>
      </c>
      <c r="U37" s="46">
        <f t="shared" si="3"/>
        <v>2853.165399</v>
      </c>
      <c r="V37" s="46">
        <f t="shared" si="4"/>
        <v>4396.4119659999997</v>
      </c>
    </row>
    <row r="38" spans="19:22" x14ac:dyDescent="0.25">
      <c r="S38">
        <v>1300</v>
      </c>
      <c r="T38" s="46">
        <f t="shared" si="2"/>
        <v>5046.0302660000016</v>
      </c>
      <c r="U38" s="46">
        <f t="shared" si="3"/>
        <v>3070.9481989999999</v>
      </c>
      <c r="V38" s="46">
        <f t="shared" si="4"/>
        <v>5046.0302660000016</v>
      </c>
    </row>
    <row r="39" spans="19:22" x14ac:dyDescent="0.25">
      <c r="S39">
        <v>1400</v>
      </c>
      <c r="T39" s="46">
        <f t="shared" si="2"/>
        <v>5695.6485660000017</v>
      </c>
      <c r="U39" s="46">
        <f t="shared" si="3"/>
        <v>3288.7309989999999</v>
      </c>
      <c r="V39" s="46">
        <f t="shared" si="4"/>
        <v>5695.6485660000017</v>
      </c>
    </row>
    <row r="40" spans="19:22" x14ac:dyDescent="0.25">
      <c r="S40">
        <v>1500</v>
      </c>
      <c r="T40" s="46">
        <f t="shared" si="2"/>
        <v>6345.2668659999999</v>
      </c>
      <c r="U40" s="46">
        <f t="shared" si="3"/>
        <v>3506.5137989999998</v>
      </c>
      <c r="V40" s="46">
        <f t="shared" si="4"/>
        <v>6345.2668659999999</v>
      </c>
    </row>
    <row r="47" spans="19:22" ht="16.5" x14ac:dyDescent="0.25">
      <c r="U47" t="s">
        <v>130</v>
      </c>
    </row>
    <row r="48" spans="19:22" x14ac:dyDescent="0.25">
      <c r="T48">
        <v>800</v>
      </c>
      <c r="U48">
        <f>0.0027*T48*T48-0.1574*T48+600</f>
        <v>2202.08</v>
      </c>
    </row>
    <row r="51" spans="18:22" x14ac:dyDescent="0.25">
      <c r="T51" t="s">
        <v>132</v>
      </c>
      <c r="U51" t="s">
        <v>131</v>
      </c>
    </row>
    <row r="52" spans="18:22" ht="16.5" x14ac:dyDescent="0.25">
      <c r="T52" t="s">
        <v>133</v>
      </c>
      <c r="U52" t="s">
        <v>134</v>
      </c>
    </row>
    <row r="54" spans="18:22" x14ac:dyDescent="0.25">
      <c r="S54" s="46">
        <f>T26</f>
        <v>457.55459899999994</v>
      </c>
      <c r="T54">
        <f>S26*1000</f>
        <v>100000</v>
      </c>
    </row>
    <row r="55" spans="18:22" x14ac:dyDescent="0.25">
      <c r="S55" s="46">
        <f t="shared" ref="S55:S68" si="5">T27</f>
        <v>675.337399</v>
      </c>
      <c r="T55">
        <f t="shared" ref="T55:T68" si="6">S27*1000</f>
        <v>200000</v>
      </c>
    </row>
    <row r="56" spans="18:22" x14ac:dyDescent="0.25">
      <c r="R56">
        <f>1660*4</f>
        <v>6640</v>
      </c>
      <c r="S56" s="46">
        <f t="shared" si="5"/>
        <v>893.12019899999996</v>
      </c>
      <c r="T56">
        <f t="shared" si="6"/>
        <v>300000</v>
      </c>
      <c r="U56" s="47">
        <f>574000*LN(R56)-4400000</f>
        <v>651697.79717805516</v>
      </c>
      <c r="V56" s="47">
        <f>574000*LN(R56/4)-3605000</f>
        <v>650964.83389523812</v>
      </c>
    </row>
    <row r="57" spans="18:22" x14ac:dyDescent="0.25">
      <c r="S57" s="46">
        <f t="shared" si="5"/>
        <v>1110.9029989999999</v>
      </c>
      <c r="T57">
        <f t="shared" si="6"/>
        <v>400000</v>
      </c>
      <c r="U57" s="47">
        <f>574000*LN(S57*4)-4400000</f>
        <v>421153.90861987229</v>
      </c>
      <c r="V57" s="47">
        <f>574000*LN(S57)-3605000</f>
        <v>420420.94533705432</v>
      </c>
    </row>
    <row r="58" spans="18:22" x14ac:dyDescent="0.25">
      <c r="S58" s="46">
        <f t="shared" si="5"/>
        <v>1328.6857989999999</v>
      </c>
      <c r="T58">
        <f t="shared" si="6"/>
        <v>500000</v>
      </c>
      <c r="U58" s="47">
        <f t="shared" ref="U58:U67" si="7">574000*LN(S58*4)-4400000</f>
        <v>523909.74436976016</v>
      </c>
      <c r="V58" s="47">
        <f t="shared" ref="V58:V67" si="8">574000*LN(S58)-3605000</f>
        <v>523176.78108694311</v>
      </c>
    </row>
    <row r="59" spans="18:22" x14ac:dyDescent="0.25">
      <c r="S59" s="46">
        <f t="shared" si="5"/>
        <v>1546.4685989999998</v>
      </c>
      <c r="T59">
        <f t="shared" si="6"/>
        <v>600000</v>
      </c>
      <c r="U59" s="47">
        <f t="shared" si="7"/>
        <v>611033.57422763109</v>
      </c>
      <c r="V59" s="47">
        <f t="shared" si="8"/>
        <v>610300.61094481405</v>
      </c>
    </row>
    <row r="60" spans="18:22" x14ac:dyDescent="0.25">
      <c r="S60" s="46">
        <f t="shared" si="5"/>
        <v>1764.2513989999998</v>
      </c>
      <c r="T60">
        <f t="shared" si="6"/>
        <v>700000</v>
      </c>
      <c r="U60" s="47">
        <f t="shared" si="7"/>
        <v>686659.48367994744</v>
      </c>
      <c r="V60" s="47">
        <f t="shared" si="8"/>
        <v>685926.52039712947</v>
      </c>
    </row>
    <row r="61" spans="18:22" x14ac:dyDescent="0.25">
      <c r="S61" s="46">
        <f t="shared" si="5"/>
        <v>1982.0341989999997</v>
      </c>
      <c r="T61">
        <f t="shared" si="6"/>
        <v>800000</v>
      </c>
      <c r="U61" s="47">
        <f t="shared" si="7"/>
        <v>753471.49179545324</v>
      </c>
      <c r="V61" s="47">
        <f t="shared" si="8"/>
        <v>752738.5285126362</v>
      </c>
    </row>
    <row r="62" spans="18:22" x14ac:dyDescent="0.25">
      <c r="S62" s="46">
        <f t="shared" si="5"/>
        <v>2447.5570659999998</v>
      </c>
      <c r="T62">
        <f t="shared" si="6"/>
        <v>900000</v>
      </c>
      <c r="U62" s="47">
        <f t="shared" si="7"/>
        <v>874566.38944018073</v>
      </c>
      <c r="V62" s="47">
        <f t="shared" si="8"/>
        <v>873833.42615736369</v>
      </c>
    </row>
    <row r="63" spans="18:22" x14ac:dyDescent="0.25">
      <c r="S63" s="46">
        <f t="shared" si="5"/>
        <v>3097.1753659999999</v>
      </c>
      <c r="T63">
        <f t="shared" si="6"/>
        <v>1000000</v>
      </c>
      <c r="U63" s="47">
        <f t="shared" si="7"/>
        <v>1009686.054116074</v>
      </c>
      <c r="V63" s="47">
        <f t="shared" si="8"/>
        <v>1008953.0908332579</v>
      </c>
    </row>
    <row r="64" spans="18:22" x14ac:dyDescent="0.25">
      <c r="S64" s="46">
        <f t="shared" si="5"/>
        <v>3746.793666</v>
      </c>
      <c r="T64">
        <f t="shared" si="6"/>
        <v>1100000</v>
      </c>
      <c r="U64" s="47">
        <f t="shared" si="7"/>
        <v>1118981.3527759723</v>
      </c>
      <c r="V64" s="47">
        <f t="shared" si="8"/>
        <v>1118248.3894931553</v>
      </c>
    </row>
    <row r="65" spans="19:31" x14ac:dyDescent="0.25">
      <c r="S65" s="46">
        <f t="shared" si="5"/>
        <v>4396.4119659999997</v>
      </c>
      <c r="T65">
        <f t="shared" si="6"/>
        <v>1200000</v>
      </c>
      <c r="U65" s="47">
        <f t="shared" si="7"/>
        <v>1210757.2336118091</v>
      </c>
      <c r="V65" s="47">
        <f t="shared" si="8"/>
        <v>1210024.2703289911</v>
      </c>
    </row>
    <row r="66" spans="19:31" x14ac:dyDescent="0.25">
      <c r="S66" s="46">
        <f t="shared" si="5"/>
        <v>5046.0302660000016</v>
      </c>
      <c r="T66">
        <f t="shared" si="6"/>
        <v>1300000</v>
      </c>
      <c r="U66" s="47">
        <f t="shared" si="7"/>
        <v>1289861.9542963337</v>
      </c>
      <c r="V66" s="47">
        <f t="shared" si="8"/>
        <v>1289128.9910135157</v>
      </c>
    </row>
    <row r="67" spans="19:31" x14ac:dyDescent="0.25">
      <c r="S67" s="46">
        <f t="shared" si="5"/>
        <v>5695.6485660000017</v>
      </c>
      <c r="T67">
        <f t="shared" si="6"/>
        <v>1400000</v>
      </c>
      <c r="U67" s="47">
        <f t="shared" si="7"/>
        <v>1359373.7133920593</v>
      </c>
      <c r="V67" s="47">
        <f t="shared" si="8"/>
        <v>1358640.7501092423</v>
      </c>
    </row>
    <row r="68" spans="19:31" x14ac:dyDescent="0.25">
      <c r="S68" s="46">
        <f t="shared" si="5"/>
        <v>6345.2668659999999</v>
      </c>
      <c r="T68">
        <f t="shared" si="6"/>
        <v>1500000</v>
      </c>
    </row>
    <row r="69" spans="19:31" x14ac:dyDescent="0.25">
      <c r="S69" s="46"/>
    </row>
    <row r="70" spans="19:31" x14ac:dyDescent="0.25">
      <c r="S70" s="46"/>
    </row>
    <row r="71" spans="19:31" x14ac:dyDescent="0.25">
      <c r="S71" s="46"/>
    </row>
    <row r="72" spans="19:31" x14ac:dyDescent="0.25">
      <c r="S72" s="46"/>
    </row>
    <row r="73" spans="19:31" x14ac:dyDescent="0.25">
      <c r="S73" s="46"/>
    </row>
    <row r="74" spans="19:31" x14ac:dyDescent="0.25">
      <c r="S74" s="46"/>
    </row>
    <row r="75" spans="19:31" x14ac:dyDescent="0.25">
      <c r="S75" s="46"/>
    </row>
    <row r="76" spans="19:31" x14ac:dyDescent="0.25">
      <c r="S76" s="46"/>
    </row>
    <row r="77" spans="19:31" x14ac:dyDescent="0.25">
      <c r="S77" s="46"/>
    </row>
    <row r="78" spans="19:31" x14ac:dyDescent="0.25">
      <c r="S78" s="46"/>
    </row>
    <row r="79" spans="19:31" x14ac:dyDescent="0.25">
      <c r="S79" s="46"/>
    </row>
    <row r="80" spans="19:31" x14ac:dyDescent="0.25">
      <c r="S80" s="46"/>
      <c r="AC80" s="48"/>
      <c r="AD80" s="49"/>
      <c r="AE80" s="49"/>
    </row>
    <row r="81" spans="19:26" x14ac:dyDescent="0.25">
      <c r="S81" s="46"/>
    </row>
    <row r="82" spans="19:26" x14ac:dyDescent="0.25">
      <c r="S82" s="46"/>
    </row>
    <row r="83" spans="19:26" x14ac:dyDescent="0.25">
      <c r="S83" s="46"/>
      <c r="W83">
        <v>100</v>
      </c>
      <c r="X83" s="46">
        <v>457.55459899999994</v>
      </c>
      <c r="Y83" s="46"/>
    </row>
    <row r="84" spans="19:26" x14ac:dyDescent="0.25">
      <c r="S84" s="46"/>
      <c r="W84">
        <v>200</v>
      </c>
      <c r="X84" s="46">
        <v>675.337399</v>
      </c>
      <c r="Y84" s="46"/>
    </row>
    <row r="85" spans="19:26" x14ac:dyDescent="0.25">
      <c r="W85">
        <v>300</v>
      </c>
      <c r="X85" s="46">
        <v>893.12019899999996</v>
      </c>
      <c r="Y85" s="46"/>
    </row>
    <row r="86" spans="19:26" x14ac:dyDescent="0.25">
      <c r="W86">
        <v>400</v>
      </c>
      <c r="X86" s="46">
        <v>1110.9029989999999</v>
      </c>
      <c r="Y86" s="46"/>
    </row>
    <row r="87" spans="19:26" x14ac:dyDescent="0.25">
      <c r="W87">
        <v>500</v>
      </c>
      <c r="X87" s="46">
        <v>1328.6857989999999</v>
      </c>
      <c r="Y87" s="46"/>
    </row>
    <row r="88" spans="19:26" x14ac:dyDescent="0.25">
      <c r="W88">
        <v>600</v>
      </c>
      <c r="X88" s="46">
        <v>1546.4685989999998</v>
      </c>
      <c r="Y88" s="46"/>
    </row>
    <row r="89" spans="19:26" x14ac:dyDescent="0.25">
      <c r="W89">
        <v>700</v>
      </c>
      <c r="X89" s="46">
        <v>1764.2513989999998</v>
      </c>
      <c r="Y89" s="46">
        <v>1148.3204660000006</v>
      </c>
    </row>
    <row r="90" spans="19:26" x14ac:dyDescent="0.25">
      <c r="W90">
        <v>800</v>
      </c>
      <c r="X90" s="46">
        <v>1982.0341989999997</v>
      </c>
      <c r="Y90" s="46">
        <v>1797.9387659999998</v>
      </c>
    </row>
    <row r="91" spans="19:26" x14ac:dyDescent="0.25">
      <c r="W91">
        <v>900</v>
      </c>
      <c r="X91" s="46">
        <v>2199.8169989999997</v>
      </c>
      <c r="Y91" s="46">
        <v>2447.5570659999998</v>
      </c>
    </row>
    <row r="92" spans="19:26" x14ac:dyDescent="0.25">
      <c r="W92">
        <v>1000</v>
      </c>
      <c r="X92" s="46">
        <v>2417.5997990000001</v>
      </c>
      <c r="Y92" s="46">
        <v>3097.1753659999999</v>
      </c>
    </row>
    <row r="93" spans="19:26" x14ac:dyDescent="0.25">
      <c r="W93">
        <v>531</v>
      </c>
      <c r="X93" s="46"/>
      <c r="Y93" s="46"/>
      <c r="Z93">
        <v>1325</v>
      </c>
    </row>
    <row r="94" spans="19:26" x14ac:dyDescent="0.25">
      <c r="W94">
        <v>819</v>
      </c>
      <c r="X94" s="46"/>
      <c r="Y94" s="46"/>
      <c r="Z94">
        <v>1650</v>
      </c>
    </row>
    <row r="95" spans="19:26" x14ac:dyDescent="0.25">
      <c r="W95">
        <v>589</v>
      </c>
      <c r="X95" s="46"/>
      <c r="Y95" s="46"/>
      <c r="Z95">
        <f>5300/4</f>
        <v>1325</v>
      </c>
    </row>
    <row r="96" spans="19:26" x14ac:dyDescent="0.25">
      <c r="W96">
        <v>699</v>
      </c>
      <c r="X96" s="46"/>
      <c r="Y96" s="46"/>
      <c r="Z96">
        <v>1350</v>
      </c>
    </row>
    <row r="97" spans="23:31" x14ac:dyDescent="0.25">
      <c r="W97">
        <v>799</v>
      </c>
      <c r="X97" s="46"/>
      <c r="Y97" s="46"/>
      <c r="Z97">
        <v>1950</v>
      </c>
    </row>
    <row r="98" spans="23:31" x14ac:dyDescent="0.25">
      <c r="W98">
        <v>650</v>
      </c>
      <c r="Z98">
        <v>1300</v>
      </c>
    </row>
    <row r="99" spans="23:31" x14ac:dyDescent="0.25">
      <c r="W99">
        <v>475</v>
      </c>
      <c r="Z99">
        <v>1000</v>
      </c>
    </row>
    <row r="100" spans="23:31" x14ac:dyDescent="0.25">
      <c r="W100">
        <v>430</v>
      </c>
      <c r="Z100">
        <v>1175</v>
      </c>
    </row>
    <row r="101" spans="23:31" x14ac:dyDescent="0.25">
      <c r="W101">
        <v>650</v>
      </c>
      <c r="Z101">
        <v>1190</v>
      </c>
    </row>
    <row r="102" spans="23:31" x14ac:dyDescent="0.25">
      <c r="W102">
        <v>550</v>
      </c>
      <c r="Z102">
        <v>1000</v>
      </c>
    </row>
    <row r="106" spans="23:31" x14ac:dyDescent="0.25">
      <c r="AE106">
        <v>1235</v>
      </c>
    </row>
    <row r="107" spans="23:31" x14ac:dyDescent="0.25">
      <c r="AE107">
        <v>1275</v>
      </c>
    </row>
    <row r="108" spans="23:31" x14ac:dyDescent="0.25">
      <c r="AE108">
        <v>1300</v>
      </c>
    </row>
    <row r="109" spans="23:31" x14ac:dyDescent="0.25">
      <c r="AE109">
        <v>1375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01C5-463B-42FA-9CE4-DAFB34D01870}">
  <dimension ref="A1:G101"/>
  <sheetViews>
    <sheetView topLeftCell="A10" workbookViewId="0">
      <selection activeCell="B34" sqref="B34:B41"/>
    </sheetView>
  </sheetViews>
  <sheetFormatPr defaultRowHeight="15" x14ac:dyDescent="0.25"/>
  <cols>
    <col min="1" max="1" width="21.140625" customWidth="1"/>
    <col min="2" max="2" width="12.5703125" bestFit="1" customWidth="1"/>
    <col min="3" max="3" width="14.5703125" customWidth="1"/>
    <col min="4" max="4" width="13.42578125" bestFit="1" customWidth="1"/>
    <col min="5" max="5" width="11.28515625" bestFit="1" customWidth="1"/>
  </cols>
  <sheetData>
    <row r="1" spans="1:4" x14ac:dyDescent="0.25">
      <c r="B1" t="s">
        <v>67</v>
      </c>
      <c r="C1" t="s">
        <v>68</v>
      </c>
      <c r="D1" t="s">
        <v>69</v>
      </c>
    </row>
    <row r="2" spans="1:4" x14ac:dyDescent="0.25">
      <c r="A2" t="s">
        <v>62</v>
      </c>
      <c r="B2" s="5">
        <f>B96</f>
        <v>18620</v>
      </c>
      <c r="C2" s="5">
        <f t="shared" ref="C2:D2" si="0">C96</f>
        <v>18620</v>
      </c>
      <c r="D2" s="5">
        <f t="shared" si="0"/>
        <v>18620</v>
      </c>
    </row>
    <row r="3" spans="1:4" x14ac:dyDescent="0.25">
      <c r="A3" t="s">
        <v>63</v>
      </c>
      <c r="B3" s="5">
        <f t="shared" ref="B3:D3" si="1">B97</f>
        <v>513380</v>
      </c>
      <c r="C3" s="5">
        <f t="shared" si="1"/>
        <v>522364.15</v>
      </c>
      <c r="D3" s="5">
        <f t="shared" si="1"/>
        <v>513380</v>
      </c>
    </row>
    <row r="4" spans="1:4" x14ac:dyDescent="0.25">
      <c r="A4" t="s">
        <v>65</v>
      </c>
      <c r="B4" s="5">
        <f t="shared" ref="B4:D4" si="2">B98</f>
        <v>22125.54</v>
      </c>
      <c r="C4" s="5">
        <f t="shared" si="2"/>
        <v>13280.644325000001</v>
      </c>
      <c r="D4" s="5">
        <f t="shared" si="2"/>
        <v>2823.5899999999997</v>
      </c>
    </row>
    <row r="5" spans="1:4" x14ac:dyDescent="0.25">
      <c r="A5" t="s">
        <v>64</v>
      </c>
      <c r="B5" s="5">
        <f t="shared" ref="B5:D5" si="3">B99</f>
        <v>27042.44</v>
      </c>
      <c r="C5" s="5">
        <f t="shared" si="3"/>
        <v>18242.465075</v>
      </c>
      <c r="D5" s="5">
        <f t="shared" si="3"/>
        <v>2823.5899999999997</v>
      </c>
    </row>
    <row r="6" spans="1:4" x14ac:dyDescent="0.25">
      <c r="A6" t="s">
        <v>66</v>
      </c>
      <c r="B6" s="13">
        <f t="shared" ref="B6:D6" si="4">B100</f>
        <v>40745.54</v>
      </c>
      <c r="C6" s="13">
        <f t="shared" si="4"/>
        <v>31900.644325000001</v>
      </c>
      <c r="D6" s="13">
        <f t="shared" si="4"/>
        <v>21443.59</v>
      </c>
    </row>
    <row r="7" spans="1:4" x14ac:dyDescent="0.25">
      <c r="A7" t="s">
        <v>66</v>
      </c>
      <c r="B7" s="13">
        <f t="shared" ref="B7:D7" si="5">B101</f>
        <v>45662.44</v>
      </c>
      <c r="C7" s="13">
        <f t="shared" si="5"/>
        <v>36862.465075</v>
      </c>
      <c r="D7" s="13">
        <f t="shared" si="5"/>
        <v>21443.59</v>
      </c>
    </row>
    <row r="8" spans="1:4" x14ac:dyDescent="0.25">
      <c r="A8" t="s">
        <v>72</v>
      </c>
      <c r="B8" s="13">
        <f>3*B31</f>
        <v>12307.589849252674</v>
      </c>
      <c r="C8" s="13">
        <f t="shared" ref="C8:D8" si="6">3*C31</f>
        <v>12486.905171614593</v>
      </c>
      <c r="D8" s="13">
        <f t="shared" si="6"/>
        <v>12307.589849252674</v>
      </c>
    </row>
    <row r="9" spans="1:4" x14ac:dyDescent="0.25">
      <c r="A9" t="s">
        <v>70</v>
      </c>
      <c r="B9" s="15" t="str">
        <f>B48</f>
        <v>PASS</v>
      </c>
      <c r="C9" s="15" t="str">
        <f t="shared" ref="C9:D9" si="7">C48</f>
        <v>PASS</v>
      </c>
      <c r="D9" s="15" t="str">
        <f t="shared" si="7"/>
        <v>PASS</v>
      </c>
    </row>
    <row r="10" spans="1:4" x14ac:dyDescent="0.25">
      <c r="A10" t="s">
        <v>35</v>
      </c>
      <c r="B10" s="18">
        <f>B57</f>
        <v>0.42121155275643812</v>
      </c>
      <c r="C10" s="18">
        <f t="shared" ref="C10:D10" si="8">C57</f>
        <v>0.42650905999038652</v>
      </c>
      <c r="D10" s="18">
        <f t="shared" si="8"/>
        <v>0.42121155275643812</v>
      </c>
    </row>
    <row r="11" spans="1:4" x14ac:dyDescent="0.25">
      <c r="B11" s="15"/>
      <c r="C11" s="15"/>
      <c r="D11" s="15"/>
    </row>
    <row r="12" spans="1:4" x14ac:dyDescent="0.25">
      <c r="A12" t="s">
        <v>71</v>
      </c>
      <c r="B12" s="15">
        <f>B90-B7</f>
        <v>4384.5599999999977</v>
      </c>
      <c r="C12" s="15">
        <f t="shared" ref="C12:D12" si="9">C90-C7</f>
        <v>13184.534925</v>
      </c>
      <c r="D12" s="15">
        <f t="shared" si="9"/>
        <v>28603.41</v>
      </c>
    </row>
    <row r="13" spans="1:4" x14ac:dyDescent="0.25">
      <c r="B13" s="15"/>
      <c r="C13" s="15"/>
      <c r="D13" s="15"/>
    </row>
    <row r="14" spans="1:4" x14ac:dyDescent="0.25">
      <c r="B14" s="15"/>
      <c r="C14" s="15"/>
      <c r="D14" s="15"/>
    </row>
    <row r="15" spans="1:4" x14ac:dyDescent="0.25">
      <c r="A15" t="s">
        <v>0</v>
      </c>
    </row>
    <row r="16" spans="1:4" x14ac:dyDescent="0.25">
      <c r="A16" t="s">
        <v>1</v>
      </c>
      <c r="B16" s="3">
        <v>532000</v>
      </c>
      <c r="C16" s="2">
        <f t="shared" ref="C16:D18" si="10">B16</f>
        <v>532000</v>
      </c>
      <c r="D16" s="2">
        <f t="shared" si="10"/>
        <v>532000</v>
      </c>
    </row>
    <row r="17" spans="1:4" x14ac:dyDescent="0.25">
      <c r="A17" t="s">
        <v>2</v>
      </c>
      <c r="B17" s="4">
        <v>3.5000000000000003E-2</v>
      </c>
      <c r="C17" s="6">
        <f t="shared" si="10"/>
        <v>3.5000000000000003E-2</v>
      </c>
      <c r="D17" s="6">
        <f t="shared" si="10"/>
        <v>3.5000000000000003E-2</v>
      </c>
    </row>
    <row r="18" spans="1:4" x14ac:dyDescent="0.25">
      <c r="A18" t="s">
        <v>3</v>
      </c>
      <c r="B18" s="5">
        <f>B17*B16</f>
        <v>18620</v>
      </c>
      <c r="C18" s="2">
        <f t="shared" si="10"/>
        <v>18620</v>
      </c>
      <c r="D18" s="2">
        <f t="shared" si="10"/>
        <v>18620</v>
      </c>
    </row>
    <row r="19" spans="1:4" x14ac:dyDescent="0.25">
      <c r="A19" t="s">
        <v>4</v>
      </c>
      <c r="B19" s="5">
        <f>B16-B18</f>
        <v>513380</v>
      </c>
      <c r="C19" s="13">
        <f>B19+B62</f>
        <v>522364.15</v>
      </c>
      <c r="D19" s="5">
        <f>D16-D18</f>
        <v>513380</v>
      </c>
    </row>
    <row r="20" spans="1:4" x14ac:dyDescent="0.25">
      <c r="A20" t="s">
        <v>5</v>
      </c>
      <c r="B20" s="4">
        <v>7.0000000000000007E-2</v>
      </c>
      <c r="C20" s="6">
        <f>B20</f>
        <v>7.0000000000000007E-2</v>
      </c>
      <c r="D20" s="6">
        <f>C20</f>
        <v>7.0000000000000007E-2</v>
      </c>
    </row>
    <row r="21" spans="1:4" x14ac:dyDescent="0.25">
      <c r="A21" t="s">
        <v>6</v>
      </c>
      <c r="B21" s="16">
        <v>510</v>
      </c>
      <c r="C21" s="1">
        <f t="shared" ref="C21:D27" si="11">B21</f>
        <v>510</v>
      </c>
      <c r="D21" s="1">
        <f t="shared" si="11"/>
        <v>510</v>
      </c>
    </row>
    <row r="22" spans="1:4" x14ac:dyDescent="0.25">
      <c r="A22" t="s">
        <v>7</v>
      </c>
      <c r="B22" s="16">
        <v>177</v>
      </c>
      <c r="C22" s="1">
        <f t="shared" si="11"/>
        <v>177</v>
      </c>
      <c r="D22" s="1">
        <f t="shared" si="11"/>
        <v>177</v>
      </c>
    </row>
    <row r="23" spans="1:4" x14ac:dyDescent="0.25">
      <c r="A23" t="s">
        <v>8</v>
      </c>
      <c r="B23" s="16">
        <v>0</v>
      </c>
      <c r="C23" s="1">
        <f t="shared" si="11"/>
        <v>0</v>
      </c>
      <c r="D23" s="1">
        <f t="shared" si="11"/>
        <v>0</v>
      </c>
    </row>
    <row r="24" spans="1:4" x14ac:dyDescent="0.25">
      <c r="A24" t="s">
        <v>21</v>
      </c>
      <c r="B24" s="16">
        <v>180</v>
      </c>
      <c r="C24" s="1">
        <f t="shared" si="11"/>
        <v>180</v>
      </c>
      <c r="D24" s="1">
        <f t="shared" si="11"/>
        <v>180</v>
      </c>
    </row>
    <row r="25" spans="1:4" x14ac:dyDescent="0.25">
      <c r="A25" t="s">
        <v>22</v>
      </c>
      <c r="B25" s="16">
        <v>175</v>
      </c>
      <c r="C25" s="1">
        <f t="shared" si="11"/>
        <v>175</v>
      </c>
      <c r="D25" s="1">
        <f t="shared" si="11"/>
        <v>175</v>
      </c>
    </row>
    <row r="26" spans="1:4" x14ac:dyDescent="0.25">
      <c r="A26" t="s">
        <v>23</v>
      </c>
      <c r="B26" s="16">
        <v>60</v>
      </c>
      <c r="C26" s="1">
        <f t="shared" si="11"/>
        <v>60</v>
      </c>
      <c r="D26" s="1">
        <f t="shared" si="11"/>
        <v>60</v>
      </c>
    </row>
    <row r="27" spans="1:4" x14ac:dyDescent="0.25">
      <c r="A27" t="s">
        <v>24</v>
      </c>
      <c r="B27" s="16">
        <v>100</v>
      </c>
      <c r="C27" s="1">
        <f t="shared" si="11"/>
        <v>100</v>
      </c>
      <c r="D27" s="1">
        <f t="shared" si="11"/>
        <v>100</v>
      </c>
    </row>
    <row r="29" spans="1:4" x14ac:dyDescent="0.25">
      <c r="A29" t="s">
        <v>9</v>
      </c>
    </row>
    <row r="30" spans="1:4" x14ac:dyDescent="0.25">
      <c r="A30" t="s">
        <v>10</v>
      </c>
      <c r="B30" s="17">
        <f>PMT(B20/12,30*12,-B19)</f>
        <v>3415.5299497508909</v>
      </c>
      <c r="C30" s="17">
        <f>PMT(C20/12,30*12,-C19)</f>
        <v>3475.3017238715315</v>
      </c>
      <c r="D30" s="17">
        <f>PMT(D20/12,30*12,-D19)</f>
        <v>3415.5299497508909</v>
      </c>
    </row>
    <row r="31" spans="1:4" x14ac:dyDescent="0.25">
      <c r="A31" t="s">
        <v>11</v>
      </c>
      <c r="B31" s="17">
        <f>B30+B21+B22+B23</f>
        <v>4102.5299497508913</v>
      </c>
      <c r="C31" s="17">
        <f>C30+C21+C22+C23</f>
        <v>4162.3017238715311</v>
      </c>
      <c r="D31" s="17">
        <f>D30+D21+D22+D23</f>
        <v>4102.5299497508913</v>
      </c>
    </row>
    <row r="33" spans="1:4" x14ac:dyDescent="0.25">
      <c r="A33" t="s">
        <v>12</v>
      </c>
    </row>
    <row r="34" spans="1:4" x14ac:dyDescent="0.25">
      <c r="A34" t="s">
        <v>13</v>
      </c>
      <c r="B34" s="1">
        <v>1050</v>
      </c>
      <c r="C34" s="2">
        <f>B34</f>
        <v>1050</v>
      </c>
      <c r="D34" s="2">
        <f>C34</f>
        <v>1050</v>
      </c>
    </row>
    <row r="35" spans="1:4" x14ac:dyDescent="0.25">
      <c r="A35" t="s">
        <v>14</v>
      </c>
      <c r="B35" s="1">
        <v>1300</v>
      </c>
      <c r="C35" s="2">
        <f t="shared" ref="C35:D41" si="12">B35</f>
        <v>1300</v>
      </c>
      <c r="D35" s="2">
        <f t="shared" si="12"/>
        <v>1300</v>
      </c>
    </row>
    <row r="36" spans="1:4" x14ac:dyDescent="0.25">
      <c r="A36" t="s">
        <v>15</v>
      </c>
      <c r="B36" s="1">
        <v>1350</v>
      </c>
      <c r="C36" s="2">
        <f t="shared" si="12"/>
        <v>1350</v>
      </c>
      <c r="D36" s="2">
        <f t="shared" si="12"/>
        <v>1350</v>
      </c>
    </row>
    <row r="37" spans="1:4" x14ac:dyDescent="0.25">
      <c r="A37" t="s">
        <v>16</v>
      </c>
      <c r="B37" s="1">
        <v>1600</v>
      </c>
      <c r="C37" s="2">
        <f t="shared" si="12"/>
        <v>1600</v>
      </c>
      <c r="D37" s="2">
        <f t="shared" si="12"/>
        <v>1600</v>
      </c>
    </row>
    <row r="38" spans="1:4" x14ac:dyDescent="0.25">
      <c r="A38" t="s">
        <v>17</v>
      </c>
      <c r="B38" s="1">
        <v>1050</v>
      </c>
      <c r="C38" s="2">
        <f t="shared" si="12"/>
        <v>1050</v>
      </c>
      <c r="D38" s="2">
        <f t="shared" si="12"/>
        <v>1050</v>
      </c>
    </row>
    <row r="39" spans="1:4" x14ac:dyDescent="0.25">
      <c r="A39" t="s">
        <v>18</v>
      </c>
      <c r="B39" s="1">
        <v>1300</v>
      </c>
      <c r="C39" s="2">
        <f t="shared" si="12"/>
        <v>1300</v>
      </c>
      <c r="D39" s="2">
        <f t="shared" si="12"/>
        <v>1300</v>
      </c>
    </row>
    <row r="40" spans="1:4" x14ac:dyDescent="0.25">
      <c r="A40" t="s">
        <v>19</v>
      </c>
      <c r="B40" s="1">
        <v>1350</v>
      </c>
      <c r="C40" s="2">
        <f t="shared" si="12"/>
        <v>1350</v>
      </c>
      <c r="D40" s="2">
        <f t="shared" si="12"/>
        <v>1350</v>
      </c>
    </row>
    <row r="41" spans="1:4" x14ac:dyDescent="0.25">
      <c r="A41" t="s">
        <v>20</v>
      </c>
      <c r="B41" s="1">
        <v>1600</v>
      </c>
      <c r="C41" s="2">
        <f t="shared" si="12"/>
        <v>1600</v>
      </c>
      <c r="D41" s="2">
        <f t="shared" si="12"/>
        <v>1600</v>
      </c>
    </row>
    <row r="43" spans="1:4" x14ac:dyDescent="0.25">
      <c r="A43" t="s">
        <v>25</v>
      </c>
      <c r="B43" s="7">
        <f t="shared" ref="B43:D44" si="13">SUM(B34,B36,B38,B40)</f>
        <v>4800</v>
      </c>
      <c r="C43" s="7">
        <f t="shared" si="13"/>
        <v>4800</v>
      </c>
      <c r="D43" s="7">
        <f t="shared" si="13"/>
        <v>4800</v>
      </c>
    </row>
    <row r="44" spans="1:4" x14ac:dyDescent="0.25">
      <c r="A44" t="s">
        <v>26</v>
      </c>
      <c r="B44" s="7">
        <f t="shared" si="13"/>
        <v>5800</v>
      </c>
      <c r="C44" s="7">
        <f t="shared" si="13"/>
        <v>5800</v>
      </c>
      <c r="D44" s="7">
        <f t="shared" si="13"/>
        <v>5800</v>
      </c>
    </row>
    <row r="45" spans="1:4" x14ac:dyDescent="0.25">
      <c r="A45" t="s">
        <v>28</v>
      </c>
      <c r="B45" s="3">
        <v>0</v>
      </c>
      <c r="C45" s="2">
        <f>B45</f>
        <v>0</v>
      </c>
      <c r="D45" s="2">
        <f>C45</f>
        <v>0</v>
      </c>
    </row>
    <row r="46" spans="1:4" x14ac:dyDescent="0.25">
      <c r="A46" t="s">
        <v>27</v>
      </c>
      <c r="B46" s="8">
        <f>B44-MAX(B45,0.25*B44)</f>
        <v>4350</v>
      </c>
      <c r="C46" s="8">
        <f>C44-MAX(C45,0.25*C44)</f>
        <v>4350</v>
      </c>
      <c r="D46" s="8">
        <f>D44-MAX(D45,0.25*D44)</f>
        <v>4350</v>
      </c>
    </row>
    <row r="47" spans="1:4" x14ac:dyDescent="0.25">
      <c r="A47" t="s">
        <v>29</v>
      </c>
      <c r="B47" s="9">
        <f>B31/B46</f>
        <v>0.94311033327606697</v>
      </c>
      <c r="C47" s="9">
        <f>C31/C46</f>
        <v>0.95685097100494965</v>
      </c>
      <c r="D47" s="9">
        <f>D31/D46</f>
        <v>0.94311033327606697</v>
      </c>
    </row>
    <row r="48" spans="1:4" x14ac:dyDescent="0.25">
      <c r="A48" t="s">
        <v>30</v>
      </c>
      <c r="B48" s="10" t="str">
        <f>IF(B47&lt;=1,"PASS","FAIL")</f>
        <v>PASS</v>
      </c>
      <c r="C48" s="10" t="str">
        <f>IF(C47&lt;=1,"PASS","FAIL")</f>
        <v>PASS</v>
      </c>
      <c r="D48" s="10" t="str">
        <f>IF(D47&lt;=1,"PASS","FAIL")</f>
        <v>PASS</v>
      </c>
    </row>
    <row r="50" spans="1:7" x14ac:dyDescent="0.25">
      <c r="A50" t="s">
        <v>31</v>
      </c>
      <c r="B50" s="3">
        <v>8583</v>
      </c>
      <c r="C50" s="2">
        <f t="shared" ref="C50:D52" si="14">B50</f>
        <v>8583</v>
      </c>
      <c r="D50" s="2">
        <f t="shared" si="14"/>
        <v>8583</v>
      </c>
    </row>
    <row r="51" spans="1:7" x14ac:dyDescent="0.25">
      <c r="A51" t="s">
        <v>32</v>
      </c>
      <c r="B51" s="3">
        <v>394</v>
      </c>
      <c r="C51" s="2">
        <f t="shared" si="14"/>
        <v>394</v>
      </c>
      <c r="D51" s="2">
        <f t="shared" si="14"/>
        <v>394</v>
      </c>
    </row>
    <row r="52" spans="1:7" x14ac:dyDescent="0.25">
      <c r="A52" t="s">
        <v>33</v>
      </c>
      <c r="B52" s="3">
        <v>256</v>
      </c>
      <c r="C52" s="2">
        <f t="shared" si="14"/>
        <v>256</v>
      </c>
      <c r="D52" s="2">
        <f t="shared" si="14"/>
        <v>256</v>
      </c>
    </row>
    <row r="53" spans="1:7" x14ac:dyDescent="0.25">
      <c r="A53" t="s">
        <v>38</v>
      </c>
      <c r="B53" s="7">
        <f>SUM(B51:B52)</f>
        <v>650</v>
      </c>
      <c r="C53" s="7">
        <f>SUM(C51:C52)</f>
        <v>650</v>
      </c>
      <c r="D53" s="7">
        <f>SUM(D51:D52)</f>
        <v>650</v>
      </c>
    </row>
    <row r="54" spans="1:7" x14ac:dyDescent="0.25">
      <c r="A54" t="s">
        <v>36</v>
      </c>
      <c r="B54" s="5">
        <f>MIN(B43,B44)*(3/4)*0.75</f>
        <v>2700</v>
      </c>
      <c r="C54" s="5">
        <f>MIN(C43,C44)*(3/4)*0.75</f>
        <v>2700</v>
      </c>
      <c r="D54" s="5">
        <f>MIN(D43,D44)*(3/4)*0.75</f>
        <v>2700</v>
      </c>
    </row>
    <row r="55" spans="1:7" x14ac:dyDescent="0.25">
      <c r="A55" t="s">
        <v>37</v>
      </c>
      <c r="B55" s="5">
        <f>B50+B54</f>
        <v>11283</v>
      </c>
      <c r="C55" s="5">
        <f>C50+C54</f>
        <v>11283</v>
      </c>
      <c r="D55" s="5">
        <f>D50+D54</f>
        <v>11283</v>
      </c>
    </row>
    <row r="56" spans="1:7" x14ac:dyDescent="0.25">
      <c r="A56" t="s">
        <v>34</v>
      </c>
      <c r="B56" s="11">
        <f>B53/B50</f>
        <v>7.5731096353256436E-2</v>
      </c>
      <c r="C56" s="11">
        <f>C53/C50</f>
        <v>7.5731096353256436E-2</v>
      </c>
      <c r="D56" s="11">
        <f>D53/D50</f>
        <v>7.5731096353256436E-2</v>
      </c>
    </row>
    <row r="57" spans="1:7" x14ac:dyDescent="0.25">
      <c r="A57" t="s">
        <v>35</v>
      </c>
      <c r="B57" s="11">
        <f>(B53 + B31)/B55</f>
        <v>0.42121155275643812</v>
      </c>
      <c r="C57" s="11">
        <f>(C53 + C31)/C55</f>
        <v>0.42650905999038652</v>
      </c>
      <c r="D57" s="11">
        <f>(D53 + D31)/D55</f>
        <v>0.42121155275643812</v>
      </c>
    </row>
    <row r="59" spans="1:7" x14ac:dyDescent="0.25">
      <c r="A59" t="s">
        <v>50</v>
      </c>
    </row>
    <row r="60" spans="1:7" x14ac:dyDescent="0.25">
      <c r="A60" t="s">
        <v>42</v>
      </c>
      <c r="B60" s="7">
        <f>0.005*B19</f>
        <v>2566.9</v>
      </c>
      <c r="C60" s="7">
        <f>0.005*C19</f>
        <v>2611.8207500000003</v>
      </c>
      <c r="D60" s="1">
        <v>0</v>
      </c>
      <c r="E60" s="2"/>
      <c r="G60" s="1"/>
    </row>
    <row r="61" spans="1:7" x14ac:dyDescent="0.25">
      <c r="A61" t="s">
        <v>44</v>
      </c>
      <c r="B61" s="5">
        <f>12*B22</f>
        <v>2124</v>
      </c>
      <c r="C61" s="5">
        <f>12*C22</f>
        <v>2124</v>
      </c>
      <c r="D61" s="14">
        <v>0</v>
      </c>
      <c r="E61" s="2"/>
      <c r="G61" s="2"/>
    </row>
    <row r="62" spans="1:7" x14ac:dyDescent="0.25">
      <c r="A62" t="s">
        <v>46</v>
      </c>
      <c r="B62" s="5">
        <f>0.0175*B19</f>
        <v>8984.1500000000015</v>
      </c>
      <c r="C62" s="1">
        <v>0</v>
      </c>
      <c r="D62" s="1">
        <v>0</v>
      </c>
      <c r="E62" s="2"/>
      <c r="G62" s="12"/>
    </row>
    <row r="63" spans="1:7" x14ac:dyDescent="0.25">
      <c r="A63" t="s">
        <v>47</v>
      </c>
      <c r="B63" s="5">
        <f>0.0055*B19</f>
        <v>2823.5899999999997</v>
      </c>
      <c r="C63" s="5">
        <f>0.0055*C19</f>
        <v>2873.002825</v>
      </c>
      <c r="D63" s="2">
        <f>B63</f>
        <v>2823.5899999999997</v>
      </c>
      <c r="E63" s="2"/>
      <c r="G63" s="1"/>
    </row>
    <row r="64" spans="1:7" x14ac:dyDescent="0.25">
      <c r="A64" t="s">
        <v>51</v>
      </c>
      <c r="B64" s="13">
        <f>SUM(B60:B63)</f>
        <v>16498.64</v>
      </c>
      <c r="C64" s="13">
        <f>SUM(C60:C63)</f>
        <v>7608.8235750000003</v>
      </c>
      <c r="D64" s="13">
        <f>SUM(D60:D63)</f>
        <v>2823.5899999999997</v>
      </c>
      <c r="E64" s="2"/>
      <c r="G64" s="1"/>
    </row>
    <row r="65" spans="1:7" x14ac:dyDescent="0.25">
      <c r="B65" s="6"/>
      <c r="E65" s="2"/>
      <c r="F65" s="2"/>
      <c r="G65" s="1"/>
    </row>
    <row r="66" spans="1:7" x14ac:dyDescent="0.25">
      <c r="A66" t="s">
        <v>52</v>
      </c>
      <c r="B66" s="6" t="s">
        <v>53</v>
      </c>
      <c r="E66" s="2"/>
      <c r="F66" s="2"/>
      <c r="G66" s="1"/>
    </row>
    <row r="67" spans="1:7" x14ac:dyDescent="0.25">
      <c r="A67" t="s">
        <v>39</v>
      </c>
      <c r="B67" s="7">
        <f>0.005*B19</f>
        <v>2566.9</v>
      </c>
      <c r="C67" s="7">
        <f>0.005*C19</f>
        <v>2611.8207500000003</v>
      </c>
      <c r="D67" s="1">
        <v>0</v>
      </c>
      <c r="E67" s="2"/>
    </row>
    <row r="68" spans="1:7" x14ac:dyDescent="0.25">
      <c r="A68" t="s">
        <v>40</v>
      </c>
      <c r="B68" s="7">
        <v>600</v>
      </c>
      <c r="C68" s="14">
        <f>B68</f>
        <v>600</v>
      </c>
      <c r="D68" s="1">
        <v>0</v>
      </c>
      <c r="E68" s="2"/>
    </row>
    <row r="69" spans="1:7" x14ac:dyDescent="0.25">
      <c r="A69" t="s">
        <v>41</v>
      </c>
      <c r="B69" s="7">
        <v>30</v>
      </c>
      <c r="C69" s="14">
        <f t="shared" ref="C69:C70" si="15">B69</f>
        <v>30</v>
      </c>
      <c r="D69" s="1">
        <v>0</v>
      </c>
      <c r="E69" s="2"/>
    </row>
    <row r="70" spans="1:7" x14ac:dyDescent="0.25">
      <c r="A70" t="s">
        <v>43</v>
      </c>
      <c r="B70" s="7">
        <v>100</v>
      </c>
      <c r="C70" s="14">
        <f t="shared" si="15"/>
        <v>100</v>
      </c>
      <c r="D70" s="1">
        <v>0</v>
      </c>
      <c r="E70" s="2"/>
    </row>
    <row r="71" spans="1:7" x14ac:dyDescent="0.25">
      <c r="A71" t="s">
        <v>45</v>
      </c>
      <c r="B71" s="5">
        <f>3*B21</f>
        <v>1530</v>
      </c>
      <c r="C71" s="15">
        <f>B71</f>
        <v>1530</v>
      </c>
      <c r="D71" s="1">
        <v>0</v>
      </c>
      <c r="E71" s="2"/>
    </row>
    <row r="72" spans="1:7" x14ac:dyDescent="0.25">
      <c r="A72" t="s">
        <v>48</v>
      </c>
      <c r="B72" s="7">
        <v>400</v>
      </c>
      <c r="C72" s="14">
        <f>B72</f>
        <v>400</v>
      </c>
      <c r="D72" s="1">
        <v>0</v>
      </c>
      <c r="E72" s="2"/>
    </row>
    <row r="73" spans="1:7" x14ac:dyDescent="0.25">
      <c r="A73" t="s">
        <v>49</v>
      </c>
      <c r="B73" s="7">
        <v>400</v>
      </c>
      <c r="C73" s="14">
        <f>B73</f>
        <v>400</v>
      </c>
      <c r="D73" s="1">
        <v>0</v>
      </c>
      <c r="E73" s="2"/>
    </row>
    <row r="74" spans="1:7" x14ac:dyDescent="0.25">
      <c r="A74" t="s">
        <v>55</v>
      </c>
      <c r="B74" s="13">
        <f>SUM(B67:B73)</f>
        <v>5626.9</v>
      </c>
      <c r="C74" s="13">
        <f>SUM(C67:C73)</f>
        <v>5671.8207500000008</v>
      </c>
      <c r="D74" s="13">
        <f>SUM(D67:D73)</f>
        <v>0</v>
      </c>
    </row>
    <row r="76" spans="1:7" x14ac:dyDescent="0.25">
      <c r="A76" t="s">
        <v>52</v>
      </c>
      <c r="B76" s="6" t="s">
        <v>54</v>
      </c>
    </row>
    <row r="77" spans="1:7" x14ac:dyDescent="0.25">
      <c r="A77" t="s">
        <v>39</v>
      </c>
      <c r="B77" s="7">
        <f>0.01*B19</f>
        <v>5133.8</v>
      </c>
      <c r="C77" s="7">
        <f>0.01*C19</f>
        <v>5223.6415000000006</v>
      </c>
      <c r="D77" s="1">
        <v>0</v>
      </c>
      <c r="E77" s="2"/>
    </row>
    <row r="78" spans="1:7" x14ac:dyDescent="0.25">
      <c r="A78" t="s">
        <v>40</v>
      </c>
      <c r="B78" s="7">
        <v>800</v>
      </c>
      <c r="C78" s="14">
        <f>B78</f>
        <v>800</v>
      </c>
      <c r="D78" s="1">
        <v>0</v>
      </c>
      <c r="E78" s="2"/>
    </row>
    <row r="79" spans="1:7" x14ac:dyDescent="0.25">
      <c r="A79" t="s">
        <v>41</v>
      </c>
      <c r="B79" s="7">
        <v>50</v>
      </c>
      <c r="C79" s="14">
        <f t="shared" ref="C79:C83" si="16">B79</f>
        <v>50</v>
      </c>
      <c r="D79" s="1">
        <v>0</v>
      </c>
      <c r="E79" s="2"/>
    </row>
    <row r="80" spans="1:7" x14ac:dyDescent="0.25">
      <c r="A80" t="s">
        <v>43</v>
      </c>
      <c r="B80" s="7">
        <v>300</v>
      </c>
      <c r="C80" s="14">
        <f t="shared" si="16"/>
        <v>300</v>
      </c>
      <c r="D80" s="1">
        <v>0</v>
      </c>
      <c r="E80" s="2"/>
    </row>
    <row r="81" spans="1:5" x14ac:dyDescent="0.25">
      <c r="A81" t="s">
        <v>45</v>
      </c>
      <c r="B81" s="5">
        <f>6*B21</f>
        <v>3060</v>
      </c>
      <c r="C81" s="14">
        <f t="shared" si="16"/>
        <v>3060</v>
      </c>
      <c r="D81" s="1">
        <v>0</v>
      </c>
      <c r="E81" s="2"/>
    </row>
    <row r="82" spans="1:5" x14ac:dyDescent="0.25">
      <c r="A82" t="s">
        <v>48</v>
      </c>
      <c r="B82" s="7">
        <v>600</v>
      </c>
      <c r="C82" s="14">
        <f t="shared" si="16"/>
        <v>600</v>
      </c>
      <c r="D82" s="1">
        <v>0</v>
      </c>
      <c r="E82" s="2"/>
    </row>
    <row r="83" spans="1:5" x14ac:dyDescent="0.25">
      <c r="A83" t="s">
        <v>49</v>
      </c>
      <c r="B83" s="7">
        <v>600</v>
      </c>
      <c r="C83" s="14">
        <f t="shared" si="16"/>
        <v>600</v>
      </c>
      <c r="D83" s="1">
        <v>0</v>
      </c>
      <c r="E83" s="2"/>
    </row>
    <row r="84" spans="1:5" x14ac:dyDescent="0.25">
      <c r="A84" t="s">
        <v>56</v>
      </c>
      <c r="B84" s="13">
        <f>SUM(B77:B83)</f>
        <v>10543.8</v>
      </c>
      <c r="C84" s="13">
        <f>SUM(C77:C83)</f>
        <v>10633.641500000002</v>
      </c>
      <c r="D84" s="13">
        <f>SUM(D77:D83)</f>
        <v>0</v>
      </c>
    </row>
    <row r="86" spans="1:5" x14ac:dyDescent="0.25">
      <c r="A86" t="s">
        <v>57</v>
      </c>
      <c r="B86" s="13">
        <f>B64+B74</f>
        <v>22125.54</v>
      </c>
      <c r="C86" s="13">
        <f>C64+C74</f>
        <v>13280.644325000001</v>
      </c>
      <c r="D86" s="13">
        <f>D64+D74</f>
        <v>2823.5899999999997</v>
      </c>
    </row>
    <row r="87" spans="1:5" x14ac:dyDescent="0.25">
      <c r="A87" t="s">
        <v>58</v>
      </c>
      <c r="B87" s="13">
        <f>B64+B84</f>
        <v>27042.44</v>
      </c>
      <c r="C87" s="13">
        <f>C64+C84</f>
        <v>18242.465075</v>
      </c>
      <c r="D87" s="13">
        <f>D64+D84</f>
        <v>2823.5899999999997</v>
      </c>
    </row>
    <row r="88" spans="1:5" x14ac:dyDescent="0.25">
      <c r="B88" s="2"/>
    </row>
    <row r="89" spans="1:5" x14ac:dyDescent="0.25">
      <c r="A89" t="s">
        <v>59</v>
      </c>
      <c r="B89" s="2"/>
    </row>
    <row r="90" spans="1:5" x14ac:dyDescent="0.25">
      <c r="A90" t="s">
        <v>60</v>
      </c>
      <c r="B90" s="16">
        <v>50047</v>
      </c>
      <c r="C90" s="2">
        <f>B90</f>
        <v>50047</v>
      </c>
      <c r="D90" s="2">
        <f>C90</f>
        <v>50047</v>
      </c>
    </row>
    <row r="91" spans="1:5" x14ac:dyDescent="0.25">
      <c r="A91" t="s">
        <v>61</v>
      </c>
      <c r="B91" s="16">
        <v>49167</v>
      </c>
      <c r="C91" s="2">
        <f>B91</f>
        <v>49167</v>
      </c>
      <c r="D91" s="2">
        <f>C91</f>
        <v>49167</v>
      </c>
    </row>
    <row r="92" spans="1:5" x14ac:dyDescent="0.25">
      <c r="B92" s="2"/>
    </row>
    <row r="95" spans="1:5" x14ac:dyDescent="0.25">
      <c r="B95" t="s">
        <v>67</v>
      </c>
      <c r="C95" t="s">
        <v>68</v>
      </c>
      <c r="D95" t="s">
        <v>69</v>
      </c>
    </row>
    <row r="96" spans="1:5" x14ac:dyDescent="0.25">
      <c r="A96" t="s">
        <v>62</v>
      </c>
      <c r="B96" s="5">
        <f t="shared" ref="B96:D97" si="17">B18</f>
        <v>18620</v>
      </c>
      <c r="C96" s="5">
        <f t="shared" si="17"/>
        <v>18620</v>
      </c>
      <c r="D96" s="5">
        <f t="shared" si="17"/>
        <v>18620</v>
      </c>
    </row>
    <row r="97" spans="1:4" x14ac:dyDescent="0.25">
      <c r="A97" t="s">
        <v>63</v>
      </c>
      <c r="B97" s="5">
        <f t="shared" si="17"/>
        <v>513380</v>
      </c>
      <c r="C97" s="5">
        <f t="shared" si="17"/>
        <v>522364.15</v>
      </c>
      <c r="D97" s="5">
        <f t="shared" si="17"/>
        <v>513380</v>
      </c>
    </row>
    <row r="98" spans="1:4" x14ac:dyDescent="0.25">
      <c r="A98" t="s">
        <v>65</v>
      </c>
      <c r="B98" s="5">
        <f>B86</f>
        <v>22125.54</v>
      </c>
      <c r="C98" s="5">
        <f>C86-C62</f>
        <v>13280.644325000001</v>
      </c>
      <c r="D98" s="5">
        <f>D86-D62</f>
        <v>2823.5899999999997</v>
      </c>
    </row>
    <row r="99" spans="1:4" x14ac:dyDescent="0.25">
      <c r="A99" t="s">
        <v>64</v>
      </c>
      <c r="B99" s="5">
        <f>B87</f>
        <v>27042.44</v>
      </c>
      <c r="C99" s="5">
        <f>C87-C62</f>
        <v>18242.465075</v>
      </c>
      <c r="D99" s="5">
        <f>D87-D62</f>
        <v>2823.5899999999997</v>
      </c>
    </row>
    <row r="100" spans="1:4" x14ac:dyDescent="0.25">
      <c r="A100" t="s">
        <v>66</v>
      </c>
      <c r="B100" s="13">
        <f>B98+B96</f>
        <v>40745.54</v>
      </c>
      <c r="C100" s="13">
        <f>C98+C96</f>
        <v>31900.644325000001</v>
      </c>
      <c r="D100" s="13">
        <f>D98+D96</f>
        <v>21443.59</v>
      </c>
    </row>
    <row r="101" spans="1:4" x14ac:dyDescent="0.25">
      <c r="A101" t="s">
        <v>66</v>
      </c>
      <c r="B101" s="13">
        <f>B99+B96</f>
        <v>45662.44</v>
      </c>
      <c r="C101" s="13">
        <f>C99+C96</f>
        <v>36862.465075</v>
      </c>
      <c r="D101" s="13">
        <f>D99+D96</f>
        <v>21443.59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F086-2601-45EB-AE70-0D195C8CE3D7}">
  <dimension ref="A1:G101"/>
  <sheetViews>
    <sheetView topLeftCell="A35" workbookViewId="0">
      <selection activeCell="B17" sqref="B17"/>
    </sheetView>
  </sheetViews>
  <sheetFormatPr defaultRowHeight="15" x14ac:dyDescent="0.25"/>
  <cols>
    <col min="1" max="1" width="21.140625" customWidth="1"/>
    <col min="2" max="2" width="12.5703125" bestFit="1" customWidth="1"/>
    <col min="3" max="3" width="14.5703125" customWidth="1"/>
    <col min="4" max="4" width="13.42578125" bestFit="1" customWidth="1"/>
    <col min="5" max="5" width="11.28515625" bestFit="1" customWidth="1"/>
  </cols>
  <sheetData>
    <row r="1" spans="1:4" x14ac:dyDescent="0.25">
      <c r="B1" t="s">
        <v>67</v>
      </c>
      <c r="C1" t="s">
        <v>68</v>
      </c>
      <c r="D1" t="s">
        <v>69</v>
      </c>
    </row>
    <row r="2" spans="1:4" x14ac:dyDescent="0.25">
      <c r="A2" t="s">
        <v>62</v>
      </c>
      <c r="B2" s="5">
        <f>B96</f>
        <v>26600.000000000004</v>
      </c>
      <c r="C2" s="5">
        <f t="shared" ref="C2:D2" si="0">C96</f>
        <v>26600.000000000004</v>
      </c>
      <c r="D2" s="5">
        <f t="shared" si="0"/>
        <v>26600.000000000004</v>
      </c>
    </row>
    <row r="3" spans="1:4" x14ac:dyDescent="0.25">
      <c r="A3" t="s">
        <v>63</v>
      </c>
      <c r="B3" s="5">
        <f t="shared" ref="B3:D7" si="1">B97</f>
        <v>733400</v>
      </c>
      <c r="C3" s="5">
        <f t="shared" si="1"/>
        <v>746234.5</v>
      </c>
      <c r="D3" s="5">
        <f t="shared" si="1"/>
        <v>733400</v>
      </c>
    </row>
    <row r="4" spans="1:4" x14ac:dyDescent="0.25">
      <c r="A4" t="s">
        <v>65</v>
      </c>
      <c r="B4" s="5">
        <f t="shared" si="1"/>
        <v>31057.200000000001</v>
      </c>
      <c r="C4" s="5">
        <f t="shared" si="1"/>
        <v>18421.634750000001</v>
      </c>
      <c r="D4" s="5">
        <f t="shared" si="1"/>
        <v>4033.7</v>
      </c>
    </row>
    <row r="5" spans="1:4" x14ac:dyDescent="0.25">
      <c r="A5" t="s">
        <v>64</v>
      </c>
      <c r="B5" s="5">
        <f t="shared" si="1"/>
        <v>37593.199999999997</v>
      </c>
      <c r="C5" s="5">
        <f t="shared" si="1"/>
        <v>25021.807250000002</v>
      </c>
      <c r="D5" s="5">
        <f t="shared" si="1"/>
        <v>4033.7</v>
      </c>
    </row>
    <row r="6" spans="1:4" x14ac:dyDescent="0.25">
      <c r="A6" t="s">
        <v>66</v>
      </c>
      <c r="B6" s="13">
        <f t="shared" si="1"/>
        <v>57657.200000000004</v>
      </c>
      <c r="C6" s="13">
        <f t="shared" si="1"/>
        <v>45021.634750000005</v>
      </c>
      <c r="D6" s="13">
        <f t="shared" si="1"/>
        <v>30633.700000000004</v>
      </c>
    </row>
    <row r="7" spans="1:4" x14ac:dyDescent="0.25">
      <c r="A7" t="s">
        <v>66</v>
      </c>
      <c r="B7" s="13">
        <f t="shared" si="1"/>
        <v>64193.2</v>
      </c>
      <c r="C7" s="13">
        <f t="shared" si="1"/>
        <v>51621.807250000005</v>
      </c>
      <c r="D7" s="13">
        <f t="shared" si="1"/>
        <v>30633.700000000004</v>
      </c>
    </row>
    <row r="8" spans="1:4" x14ac:dyDescent="0.25">
      <c r="A8" t="s">
        <v>72</v>
      </c>
      <c r="B8" s="13">
        <f>3*B31</f>
        <v>17505.98549893239</v>
      </c>
      <c r="C8" s="13">
        <f t="shared" ref="C8:D8" si="2">3*C31</f>
        <v>17762.150245163706</v>
      </c>
      <c r="D8" s="13">
        <f t="shared" si="2"/>
        <v>17505.98549893239</v>
      </c>
    </row>
    <row r="9" spans="1:4" x14ac:dyDescent="0.25">
      <c r="A9" t="s">
        <v>70</v>
      </c>
      <c r="B9" s="15" t="str">
        <f>B48</f>
        <v>FAIL</v>
      </c>
      <c r="C9" s="15" t="str">
        <f t="shared" ref="C9:D9" si="3">C48</f>
        <v>FAIL</v>
      </c>
      <c r="D9" s="15" t="str">
        <f t="shared" si="3"/>
        <v>FAIL</v>
      </c>
    </row>
    <row r="10" spans="1:4" x14ac:dyDescent="0.25">
      <c r="A10" t="s">
        <v>35</v>
      </c>
      <c r="B10" s="18">
        <f>B57</f>
        <v>0.52697328698837065</v>
      </c>
      <c r="C10" s="18">
        <f t="shared" ref="C10:D10" si="4">C57</f>
        <v>0.53391161341441906</v>
      </c>
      <c r="D10" s="18">
        <f t="shared" si="4"/>
        <v>0.52697328698837065</v>
      </c>
    </row>
    <row r="11" spans="1:4" x14ac:dyDescent="0.25">
      <c r="B11" s="15"/>
      <c r="C11" s="15"/>
      <c r="D11" s="15"/>
    </row>
    <row r="12" spans="1:4" x14ac:dyDescent="0.25">
      <c r="A12" t="s">
        <v>71</v>
      </c>
      <c r="B12" s="15">
        <f>B90-B7</f>
        <v>-14146.199999999997</v>
      </c>
      <c r="C12" s="15">
        <f t="shared" ref="C12:D12" si="5">C90-C7</f>
        <v>-1574.8072500000053</v>
      </c>
      <c r="D12" s="15">
        <f t="shared" si="5"/>
        <v>19413.299999999996</v>
      </c>
    </row>
    <row r="13" spans="1:4" x14ac:dyDescent="0.25">
      <c r="B13" s="15"/>
      <c r="C13" s="15"/>
      <c r="D13" s="15"/>
    </row>
    <row r="14" spans="1:4" x14ac:dyDescent="0.25">
      <c r="B14" s="15"/>
      <c r="C14" s="15"/>
      <c r="D14" s="15"/>
    </row>
    <row r="15" spans="1:4" x14ac:dyDescent="0.25">
      <c r="A15" t="s">
        <v>0</v>
      </c>
    </row>
    <row r="16" spans="1:4" x14ac:dyDescent="0.25">
      <c r="A16" t="s">
        <v>1</v>
      </c>
      <c r="B16" s="3">
        <v>760000</v>
      </c>
      <c r="C16" s="2">
        <f t="shared" ref="C16:D18" si="6">B16</f>
        <v>760000</v>
      </c>
      <c r="D16" s="2">
        <f t="shared" si="6"/>
        <v>760000</v>
      </c>
    </row>
    <row r="17" spans="1:4" x14ac:dyDescent="0.25">
      <c r="A17" t="s">
        <v>2</v>
      </c>
      <c r="B17" s="4">
        <v>3.5000000000000003E-2</v>
      </c>
      <c r="C17" s="6">
        <f t="shared" si="6"/>
        <v>3.5000000000000003E-2</v>
      </c>
      <c r="D17" s="6">
        <f t="shared" si="6"/>
        <v>3.5000000000000003E-2</v>
      </c>
    </row>
    <row r="18" spans="1:4" x14ac:dyDescent="0.25">
      <c r="A18" t="s">
        <v>3</v>
      </c>
      <c r="B18" s="5">
        <f>B17*B16</f>
        <v>26600.000000000004</v>
      </c>
      <c r="C18" s="2">
        <f t="shared" si="6"/>
        <v>26600.000000000004</v>
      </c>
      <c r="D18" s="2">
        <f t="shared" si="6"/>
        <v>26600.000000000004</v>
      </c>
    </row>
    <row r="19" spans="1:4" x14ac:dyDescent="0.25">
      <c r="A19" t="s">
        <v>4</v>
      </c>
      <c r="B19" s="5">
        <f>B16-B18</f>
        <v>733400</v>
      </c>
      <c r="C19" s="13">
        <f>B19+B62</f>
        <v>746234.5</v>
      </c>
      <c r="D19" s="5">
        <f>D16-D18</f>
        <v>733400</v>
      </c>
    </row>
    <row r="20" spans="1:4" x14ac:dyDescent="0.25">
      <c r="A20" t="s">
        <v>5</v>
      </c>
      <c r="B20" s="4">
        <v>7.0000000000000007E-2</v>
      </c>
      <c r="C20" s="6">
        <f>B20</f>
        <v>7.0000000000000007E-2</v>
      </c>
      <c r="D20" s="6">
        <f>C20</f>
        <v>7.0000000000000007E-2</v>
      </c>
    </row>
    <row r="21" spans="1:4" x14ac:dyDescent="0.25">
      <c r="A21" t="s">
        <v>6</v>
      </c>
      <c r="B21" s="16">
        <v>683</v>
      </c>
      <c r="C21" s="1">
        <f t="shared" ref="C21:D27" si="7">B21</f>
        <v>683</v>
      </c>
      <c r="D21" s="1">
        <f t="shared" si="7"/>
        <v>683</v>
      </c>
    </row>
    <row r="22" spans="1:4" x14ac:dyDescent="0.25">
      <c r="A22" t="s">
        <v>7</v>
      </c>
      <c r="B22" s="16">
        <v>273</v>
      </c>
      <c r="C22" s="1">
        <f t="shared" si="7"/>
        <v>273</v>
      </c>
      <c r="D22" s="1">
        <f t="shared" si="7"/>
        <v>273</v>
      </c>
    </row>
    <row r="23" spans="1:4" x14ac:dyDescent="0.25">
      <c r="A23" t="s">
        <v>8</v>
      </c>
      <c r="B23" s="16">
        <v>0</v>
      </c>
      <c r="C23" s="1">
        <f t="shared" si="7"/>
        <v>0</v>
      </c>
      <c r="D23" s="1">
        <f t="shared" si="7"/>
        <v>0</v>
      </c>
    </row>
    <row r="24" spans="1:4" x14ac:dyDescent="0.25">
      <c r="A24" t="s">
        <v>21</v>
      </c>
      <c r="B24" s="16">
        <v>180</v>
      </c>
      <c r="C24" s="1">
        <f t="shared" si="7"/>
        <v>180</v>
      </c>
      <c r="D24" s="1">
        <f t="shared" si="7"/>
        <v>180</v>
      </c>
    </row>
    <row r="25" spans="1:4" x14ac:dyDescent="0.25">
      <c r="A25" t="s">
        <v>22</v>
      </c>
      <c r="B25" s="16">
        <v>175</v>
      </c>
      <c r="C25" s="1">
        <f t="shared" si="7"/>
        <v>175</v>
      </c>
      <c r="D25" s="1">
        <f t="shared" si="7"/>
        <v>175</v>
      </c>
    </row>
    <row r="26" spans="1:4" x14ac:dyDescent="0.25">
      <c r="A26" t="s">
        <v>23</v>
      </c>
      <c r="B26" s="16">
        <v>60</v>
      </c>
      <c r="C26" s="1">
        <f t="shared" si="7"/>
        <v>60</v>
      </c>
      <c r="D26" s="1">
        <f t="shared" si="7"/>
        <v>60</v>
      </c>
    </row>
    <row r="27" spans="1:4" x14ac:dyDescent="0.25">
      <c r="A27" t="s">
        <v>24</v>
      </c>
      <c r="B27" s="16">
        <v>100</v>
      </c>
      <c r="C27" s="1">
        <f t="shared" si="7"/>
        <v>100</v>
      </c>
      <c r="D27" s="1">
        <f t="shared" si="7"/>
        <v>100</v>
      </c>
    </row>
    <row r="29" spans="1:4" x14ac:dyDescent="0.25">
      <c r="A29" t="s">
        <v>9</v>
      </c>
    </row>
    <row r="30" spans="1:4" x14ac:dyDescent="0.25">
      <c r="A30" t="s">
        <v>10</v>
      </c>
      <c r="B30" s="17">
        <f>PMT(B20/12,30*12,-B19)</f>
        <v>4879.3284996441298</v>
      </c>
      <c r="C30" s="17">
        <f>PMT(C20/12,30*12,-C19)</f>
        <v>4964.716748387902</v>
      </c>
      <c r="D30" s="17">
        <f>PMT(D20/12,30*12,-D19)</f>
        <v>4879.3284996441298</v>
      </c>
    </row>
    <row r="31" spans="1:4" x14ac:dyDescent="0.25">
      <c r="A31" t="s">
        <v>11</v>
      </c>
      <c r="B31" s="17">
        <f>B30+B21+B22+B23</f>
        <v>5835.3284996441298</v>
      </c>
      <c r="C31" s="17">
        <f>C30+C21+C22+C23</f>
        <v>5920.716748387902</v>
      </c>
      <c r="D31" s="17">
        <f>D30+D21+D22+D23</f>
        <v>5835.3284996441298</v>
      </c>
    </row>
    <row r="33" spans="1:4" x14ac:dyDescent="0.25">
      <c r="A33" t="s">
        <v>12</v>
      </c>
    </row>
    <row r="34" spans="1:4" x14ac:dyDescent="0.25">
      <c r="A34" t="s">
        <v>13</v>
      </c>
      <c r="B34" s="16">
        <v>1655</v>
      </c>
      <c r="C34" s="2">
        <f>B34</f>
        <v>1655</v>
      </c>
      <c r="D34" s="2">
        <f>C34</f>
        <v>1655</v>
      </c>
    </row>
    <row r="35" spans="1:4" x14ac:dyDescent="0.25">
      <c r="A35" t="s">
        <v>14</v>
      </c>
      <c r="B35" s="16">
        <v>1655</v>
      </c>
      <c r="C35" s="2">
        <f t="shared" ref="C35:D41" si="8">B35</f>
        <v>1655</v>
      </c>
      <c r="D35" s="2">
        <f t="shared" si="8"/>
        <v>1655</v>
      </c>
    </row>
    <row r="36" spans="1:4" x14ac:dyDescent="0.25">
      <c r="A36" t="s">
        <v>15</v>
      </c>
      <c r="B36" s="16">
        <v>1655</v>
      </c>
      <c r="C36" s="2">
        <f t="shared" si="8"/>
        <v>1655</v>
      </c>
      <c r="D36" s="2">
        <f t="shared" si="8"/>
        <v>1655</v>
      </c>
    </row>
    <row r="37" spans="1:4" x14ac:dyDescent="0.25">
      <c r="A37" t="s">
        <v>16</v>
      </c>
      <c r="B37" s="16">
        <v>1655</v>
      </c>
      <c r="C37" s="2">
        <f t="shared" si="8"/>
        <v>1655</v>
      </c>
      <c r="D37" s="2">
        <f t="shared" si="8"/>
        <v>1655</v>
      </c>
    </row>
    <row r="38" spans="1:4" x14ac:dyDescent="0.25">
      <c r="A38" t="s">
        <v>17</v>
      </c>
      <c r="B38" s="16">
        <v>1680</v>
      </c>
      <c r="C38" s="2">
        <f t="shared" si="8"/>
        <v>1680</v>
      </c>
      <c r="D38" s="2">
        <f t="shared" si="8"/>
        <v>1680</v>
      </c>
    </row>
    <row r="39" spans="1:4" x14ac:dyDescent="0.25">
      <c r="A39" t="s">
        <v>18</v>
      </c>
      <c r="B39" s="16">
        <v>1680</v>
      </c>
      <c r="C39" s="2">
        <f t="shared" si="8"/>
        <v>1680</v>
      </c>
      <c r="D39" s="2">
        <f t="shared" si="8"/>
        <v>1680</v>
      </c>
    </row>
    <row r="40" spans="1:4" x14ac:dyDescent="0.25">
      <c r="A40" t="s">
        <v>19</v>
      </c>
      <c r="B40" s="16">
        <v>1630</v>
      </c>
      <c r="C40" s="2">
        <f t="shared" si="8"/>
        <v>1630</v>
      </c>
      <c r="D40" s="2">
        <f t="shared" si="8"/>
        <v>1630</v>
      </c>
    </row>
    <row r="41" spans="1:4" x14ac:dyDescent="0.25">
      <c r="A41" t="s">
        <v>20</v>
      </c>
      <c r="B41" s="16">
        <v>1630</v>
      </c>
      <c r="C41" s="2">
        <f t="shared" si="8"/>
        <v>1630</v>
      </c>
      <c r="D41" s="2">
        <f t="shared" si="8"/>
        <v>1630</v>
      </c>
    </row>
    <row r="43" spans="1:4" x14ac:dyDescent="0.25">
      <c r="A43" t="s">
        <v>25</v>
      </c>
      <c r="B43" s="7">
        <f t="shared" ref="B43:D44" si="9">SUM(B34,B36,B38,B40)</f>
        <v>6620</v>
      </c>
      <c r="C43" s="7">
        <f t="shared" si="9"/>
        <v>6620</v>
      </c>
      <c r="D43" s="7">
        <f t="shared" si="9"/>
        <v>6620</v>
      </c>
    </row>
    <row r="44" spans="1:4" x14ac:dyDescent="0.25">
      <c r="A44" t="s">
        <v>26</v>
      </c>
      <c r="B44" s="7">
        <f t="shared" si="9"/>
        <v>6620</v>
      </c>
      <c r="C44" s="7">
        <f t="shared" si="9"/>
        <v>6620</v>
      </c>
      <c r="D44" s="7">
        <f t="shared" si="9"/>
        <v>6620</v>
      </c>
    </row>
    <row r="45" spans="1:4" x14ac:dyDescent="0.25">
      <c r="A45" t="s">
        <v>28</v>
      </c>
      <c r="B45" s="3">
        <v>0</v>
      </c>
      <c r="C45" s="2">
        <f>B45</f>
        <v>0</v>
      </c>
      <c r="D45" s="2">
        <f>C45</f>
        <v>0</v>
      </c>
    </row>
    <row r="46" spans="1:4" x14ac:dyDescent="0.25">
      <c r="A46" t="s">
        <v>27</v>
      </c>
      <c r="B46" s="8">
        <f>B44-MAX(B45,0.25*B44)</f>
        <v>4965</v>
      </c>
      <c r="C46" s="8">
        <f>C44-MAX(C45,0.25*C44)</f>
        <v>4965</v>
      </c>
      <c r="D46" s="8">
        <f>D44-MAX(D45,0.25*D44)</f>
        <v>4965</v>
      </c>
    </row>
    <row r="47" spans="1:4" x14ac:dyDescent="0.25">
      <c r="A47" t="s">
        <v>29</v>
      </c>
      <c r="B47" s="9">
        <f>B31/B46</f>
        <v>1.1752927491730372</v>
      </c>
      <c r="C47" s="9">
        <f>C31/C46</f>
        <v>1.1924907851737969</v>
      </c>
      <c r="D47" s="9">
        <f>D31/D46</f>
        <v>1.1752927491730372</v>
      </c>
    </row>
    <row r="48" spans="1:4" x14ac:dyDescent="0.25">
      <c r="A48" t="s">
        <v>30</v>
      </c>
      <c r="B48" s="10" t="str">
        <f>IF(B47&lt;=1,"PASS","FAIL")</f>
        <v>FAIL</v>
      </c>
      <c r="C48" s="10" t="str">
        <f>IF(C47&lt;=1,"PASS","FAIL")</f>
        <v>FAIL</v>
      </c>
      <c r="D48" s="10" t="str">
        <f>IF(D47&lt;=1,"PASS","FAIL")</f>
        <v>FAIL</v>
      </c>
    </row>
    <row r="50" spans="1:7" x14ac:dyDescent="0.25">
      <c r="A50" t="s">
        <v>31</v>
      </c>
      <c r="B50" s="3">
        <v>8583</v>
      </c>
      <c r="C50" s="2">
        <f t="shared" ref="C50:D52" si="10">B50</f>
        <v>8583</v>
      </c>
      <c r="D50" s="2">
        <f t="shared" si="10"/>
        <v>8583</v>
      </c>
    </row>
    <row r="51" spans="1:7" x14ac:dyDescent="0.25">
      <c r="A51" t="s">
        <v>32</v>
      </c>
      <c r="B51" s="3">
        <v>394</v>
      </c>
      <c r="C51" s="2">
        <f t="shared" si="10"/>
        <v>394</v>
      </c>
      <c r="D51" s="2">
        <f t="shared" si="10"/>
        <v>394</v>
      </c>
    </row>
    <row r="52" spans="1:7" x14ac:dyDescent="0.25">
      <c r="A52" t="s">
        <v>33</v>
      </c>
      <c r="B52" s="3">
        <v>256</v>
      </c>
      <c r="C52" s="2">
        <f t="shared" si="10"/>
        <v>256</v>
      </c>
      <c r="D52" s="2">
        <f t="shared" si="10"/>
        <v>256</v>
      </c>
    </row>
    <row r="53" spans="1:7" x14ac:dyDescent="0.25">
      <c r="A53" t="s">
        <v>38</v>
      </c>
      <c r="B53" s="7">
        <f>SUM(B51:B52)</f>
        <v>650</v>
      </c>
      <c r="C53" s="7">
        <f>SUM(C51:C52)</f>
        <v>650</v>
      </c>
      <c r="D53" s="7">
        <f>SUM(D51:D52)</f>
        <v>650</v>
      </c>
    </row>
    <row r="54" spans="1:7" x14ac:dyDescent="0.25">
      <c r="A54" t="s">
        <v>36</v>
      </c>
      <c r="B54" s="5">
        <f>MIN(B43,B44)*(3/4)*0.75</f>
        <v>3723.75</v>
      </c>
      <c r="C54" s="5">
        <f>MIN(C43,C44)*(3/4)*0.75</f>
        <v>3723.75</v>
      </c>
      <c r="D54" s="5">
        <f>MIN(D43,D44)*(3/4)*0.75</f>
        <v>3723.75</v>
      </c>
    </row>
    <row r="55" spans="1:7" x14ac:dyDescent="0.25">
      <c r="A55" t="s">
        <v>37</v>
      </c>
      <c r="B55" s="5">
        <f>B50+B54</f>
        <v>12306.75</v>
      </c>
      <c r="C55" s="5">
        <f>C50+C54</f>
        <v>12306.75</v>
      </c>
      <c r="D55" s="5">
        <f>D50+D54</f>
        <v>12306.75</v>
      </c>
    </row>
    <row r="56" spans="1:7" x14ac:dyDescent="0.25">
      <c r="A56" t="s">
        <v>34</v>
      </c>
      <c r="B56" s="11">
        <f>B53/B50</f>
        <v>7.5731096353256436E-2</v>
      </c>
      <c r="C56" s="11">
        <f>C53/C50</f>
        <v>7.5731096353256436E-2</v>
      </c>
      <c r="D56" s="11">
        <f>D53/D50</f>
        <v>7.5731096353256436E-2</v>
      </c>
    </row>
    <row r="57" spans="1:7" x14ac:dyDescent="0.25">
      <c r="A57" t="s">
        <v>35</v>
      </c>
      <c r="B57" s="11">
        <f>(B53 + B31)/B55</f>
        <v>0.52697328698837065</v>
      </c>
      <c r="C57" s="11">
        <f>(C53 + C31)/C55</f>
        <v>0.53391161341441906</v>
      </c>
      <c r="D57" s="11">
        <f>(D53 + D31)/D55</f>
        <v>0.52697328698837065</v>
      </c>
    </row>
    <row r="59" spans="1:7" x14ac:dyDescent="0.25">
      <c r="A59" t="s">
        <v>50</v>
      </c>
    </row>
    <row r="60" spans="1:7" x14ac:dyDescent="0.25">
      <c r="A60" t="s">
        <v>42</v>
      </c>
      <c r="B60" s="7">
        <f>0.005*B19</f>
        <v>3667</v>
      </c>
      <c r="C60" s="7">
        <f>0.005*C19</f>
        <v>3731.1725000000001</v>
      </c>
      <c r="D60" s="1">
        <v>0</v>
      </c>
      <c r="E60" s="2"/>
      <c r="G60" s="1"/>
    </row>
    <row r="61" spans="1:7" x14ac:dyDescent="0.25">
      <c r="A61" t="s">
        <v>44</v>
      </c>
      <c r="B61" s="5">
        <f>12*B22</f>
        <v>3276</v>
      </c>
      <c r="C61" s="5">
        <f>12*C22</f>
        <v>3276</v>
      </c>
      <c r="D61" s="14">
        <v>0</v>
      </c>
      <c r="E61" s="2"/>
      <c r="G61" s="2"/>
    </row>
    <row r="62" spans="1:7" x14ac:dyDescent="0.25">
      <c r="A62" t="s">
        <v>46</v>
      </c>
      <c r="B62" s="5">
        <f>0.0175*B19</f>
        <v>12834.500000000002</v>
      </c>
      <c r="C62" s="1">
        <v>0</v>
      </c>
      <c r="D62" s="1">
        <v>0</v>
      </c>
      <c r="E62" s="2"/>
      <c r="G62" s="12"/>
    </row>
    <row r="63" spans="1:7" x14ac:dyDescent="0.25">
      <c r="A63" t="s">
        <v>47</v>
      </c>
      <c r="B63" s="5">
        <f>0.0055*B19</f>
        <v>4033.7</v>
      </c>
      <c r="C63" s="5">
        <f>0.0055*C19</f>
        <v>4104.2897499999999</v>
      </c>
      <c r="D63" s="2">
        <f>B63</f>
        <v>4033.7</v>
      </c>
      <c r="E63" s="2"/>
      <c r="G63" s="1"/>
    </row>
    <row r="64" spans="1:7" x14ac:dyDescent="0.25">
      <c r="A64" t="s">
        <v>51</v>
      </c>
      <c r="B64" s="13">
        <f>SUM(B60:B63)</f>
        <v>23811.200000000001</v>
      </c>
      <c r="C64" s="13">
        <f>SUM(C60:C63)</f>
        <v>11111.46225</v>
      </c>
      <c r="D64" s="13">
        <f>SUM(D60:D63)</f>
        <v>4033.7</v>
      </c>
      <c r="E64" s="2"/>
      <c r="G64" s="1"/>
    </row>
    <row r="65" spans="1:7" x14ac:dyDescent="0.25">
      <c r="B65" s="6"/>
      <c r="E65" s="2"/>
      <c r="F65" s="2"/>
      <c r="G65" s="1"/>
    </row>
    <row r="66" spans="1:7" x14ac:dyDescent="0.25">
      <c r="A66" t="s">
        <v>52</v>
      </c>
      <c r="B66" s="6" t="s">
        <v>53</v>
      </c>
      <c r="E66" s="2"/>
      <c r="F66" s="2"/>
      <c r="G66" s="1"/>
    </row>
    <row r="67" spans="1:7" x14ac:dyDescent="0.25">
      <c r="A67" t="s">
        <v>39</v>
      </c>
      <c r="B67" s="7">
        <f>0.005*B19</f>
        <v>3667</v>
      </c>
      <c r="C67" s="7">
        <f>0.005*C19</f>
        <v>3731.1725000000001</v>
      </c>
      <c r="D67" s="1">
        <v>0</v>
      </c>
      <c r="E67" s="2"/>
    </row>
    <row r="68" spans="1:7" x14ac:dyDescent="0.25">
      <c r="A68" t="s">
        <v>40</v>
      </c>
      <c r="B68" s="7">
        <v>600</v>
      </c>
      <c r="C68" s="14">
        <f>B68</f>
        <v>600</v>
      </c>
      <c r="D68" s="1">
        <v>0</v>
      </c>
      <c r="E68" s="2"/>
    </row>
    <row r="69" spans="1:7" x14ac:dyDescent="0.25">
      <c r="A69" t="s">
        <v>41</v>
      </c>
      <c r="B69" s="7">
        <v>30</v>
      </c>
      <c r="C69" s="14">
        <f t="shared" ref="C69:C70" si="11">B69</f>
        <v>30</v>
      </c>
      <c r="D69" s="1">
        <v>0</v>
      </c>
      <c r="E69" s="2"/>
    </row>
    <row r="70" spans="1:7" x14ac:dyDescent="0.25">
      <c r="A70" t="s">
        <v>43</v>
      </c>
      <c r="B70" s="7">
        <v>100</v>
      </c>
      <c r="C70" s="14">
        <f t="shared" si="11"/>
        <v>100</v>
      </c>
      <c r="D70" s="1">
        <v>0</v>
      </c>
      <c r="E70" s="2"/>
    </row>
    <row r="71" spans="1:7" x14ac:dyDescent="0.25">
      <c r="A71" t="s">
        <v>45</v>
      </c>
      <c r="B71" s="5">
        <f>3*B21</f>
        <v>2049</v>
      </c>
      <c r="C71" s="15">
        <f>B71</f>
        <v>2049</v>
      </c>
      <c r="D71" s="1">
        <v>0</v>
      </c>
      <c r="E71" s="2"/>
    </row>
    <row r="72" spans="1:7" x14ac:dyDescent="0.25">
      <c r="A72" t="s">
        <v>48</v>
      </c>
      <c r="B72" s="7">
        <v>400</v>
      </c>
      <c r="C72" s="14">
        <f>B72</f>
        <v>400</v>
      </c>
      <c r="D72" s="1">
        <v>0</v>
      </c>
      <c r="E72" s="2"/>
    </row>
    <row r="73" spans="1:7" x14ac:dyDescent="0.25">
      <c r="A73" t="s">
        <v>49</v>
      </c>
      <c r="B73" s="7">
        <v>400</v>
      </c>
      <c r="C73" s="14">
        <f>B73</f>
        <v>400</v>
      </c>
      <c r="D73" s="1">
        <v>0</v>
      </c>
      <c r="E73" s="2"/>
    </row>
    <row r="74" spans="1:7" x14ac:dyDescent="0.25">
      <c r="A74" t="s">
        <v>55</v>
      </c>
      <c r="B74" s="13">
        <f>SUM(B67:B73)</f>
        <v>7246</v>
      </c>
      <c r="C74" s="13">
        <f>SUM(C67:C73)</f>
        <v>7310.1725000000006</v>
      </c>
      <c r="D74" s="13">
        <f>SUM(D67:D73)</f>
        <v>0</v>
      </c>
    </row>
    <row r="76" spans="1:7" x14ac:dyDescent="0.25">
      <c r="A76" t="s">
        <v>52</v>
      </c>
      <c r="B76" s="6" t="s">
        <v>54</v>
      </c>
    </row>
    <row r="77" spans="1:7" x14ac:dyDescent="0.25">
      <c r="A77" t="s">
        <v>39</v>
      </c>
      <c r="B77" s="7">
        <f>0.01*B19</f>
        <v>7334</v>
      </c>
      <c r="C77" s="7">
        <f>0.01*C19</f>
        <v>7462.3450000000003</v>
      </c>
      <c r="D77" s="1">
        <v>0</v>
      </c>
      <c r="E77" s="2"/>
    </row>
    <row r="78" spans="1:7" x14ac:dyDescent="0.25">
      <c r="A78" t="s">
        <v>40</v>
      </c>
      <c r="B78" s="7">
        <v>800</v>
      </c>
      <c r="C78" s="14">
        <f>B78</f>
        <v>800</v>
      </c>
      <c r="D78" s="1">
        <v>0</v>
      </c>
      <c r="E78" s="2"/>
    </row>
    <row r="79" spans="1:7" x14ac:dyDescent="0.25">
      <c r="A79" t="s">
        <v>41</v>
      </c>
      <c r="B79" s="7">
        <v>50</v>
      </c>
      <c r="C79" s="14">
        <f t="shared" ref="C79:C83" si="12">B79</f>
        <v>50</v>
      </c>
      <c r="D79" s="1">
        <v>0</v>
      </c>
      <c r="E79" s="2"/>
    </row>
    <row r="80" spans="1:7" x14ac:dyDescent="0.25">
      <c r="A80" t="s">
        <v>43</v>
      </c>
      <c r="B80" s="7">
        <v>300</v>
      </c>
      <c r="C80" s="14">
        <f t="shared" si="12"/>
        <v>300</v>
      </c>
      <c r="D80" s="1">
        <v>0</v>
      </c>
      <c r="E80" s="2"/>
    </row>
    <row r="81" spans="1:5" x14ac:dyDescent="0.25">
      <c r="A81" t="s">
        <v>45</v>
      </c>
      <c r="B81" s="5">
        <f>6*B21</f>
        <v>4098</v>
      </c>
      <c r="C81" s="14">
        <f t="shared" si="12"/>
        <v>4098</v>
      </c>
      <c r="D81" s="1">
        <v>0</v>
      </c>
      <c r="E81" s="2"/>
    </row>
    <row r="82" spans="1:5" x14ac:dyDescent="0.25">
      <c r="A82" t="s">
        <v>48</v>
      </c>
      <c r="B82" s="7">
        <v>600</v>
      </c>
      <c r="C82" s="14">
        <f t="shared" si="12"/>
        <v>600</v>
      </c>
      <c r="D82" s="1">
        <v>0</v>
      </c>
      <c r="E82" s="2"/>
    </row>
    <row r="83" spans="1:5" x14ac:dyDescent="0.25">
      <c r="A83" t="s">
        <v>49</v>
      </c>
      <c r="B83" s="7">
        <v>600</v>
      </c>
      <c r="C83" s="14">
        <f t="shared" si="12"/>
        <v>600</v>
      </c>
      <c r="D83" s="1">
        <v>0</v>
      </c>
      <c r="E83" s="2"/>
    </row>
    <row r="84" spans="1:5" x14ac:dyDescent="0.25">
      <c r="A84" t="s">
        <v>56</v>
      </c>
      <c r="B84" s="13">
        <f>SUM(B77:B83)</f>
        <v>13782</v>
      </c>
      <c r="C84" s="13">
        <f>SUM(C77:C83)</f>
        <v>13910.345000000001</v>
      </c>
      <c r="D84" s="13">
        <f>SUM(D77:D83)</f>
        <v>0</v>
      </c>
    </row>
    <row r="86" spans="1:5" x14ac:dyDescent="0.25">
      <c r="A86" t="s">
        <v>57</v>
      </c>
      <c r="B86" s="13">
        <f>B64+B74</f>
        <v>31057.200000000001</v>
      </c>
      <c r="C86" s="13">
        <f>C64+C74</f>
        <v>18421.634750000001</v>
      </c>
      <c r="D86" s="13">
        <f>D64+D74</f>
        <v>4033.7</v>
      </c>
    </row>
    <row r="87" spans="1:5" x14ac:dyDescent="0.25">
      <c r="A87" t="s">
        <v>58</v>
      </c>
      <c r="B87" s="13">
        <f>B64+B84</f>
        <v>37593.199999999997</v>
      </c>
      <c r="C87" s="13">
        <f>C64+C84</f>
        <v>25021.807250000002</v>
      </c>
      <c r="D87" s="13">
        <f>D64+D84</f>
        <v>4033.7</v>
      </c>
    </row>
    <row r="88" spans="1:5" x14ac:dyDescent="0.25">
      <c r="B88" s="2"/>
    </row>
    <row r="89" spans="1:5" x14ac:dyDescent="0.25">
      <c r="A89" t="s">
        <v>59</v>
      </c>
      <c r="B89" s="2"/>
    </row>
    <row r="90" spans="1:5" x14ac:dyDescent="0.25">
      <c r="A90" t="s">
        <v>60</v>
      </c>
      <c r="B90" s="16">
        <v>50047</v>
      </c>
      <c r="C90" s="2">
        <f>B90</f>
        <v>50047</v>
      </c>
      <c r="D90" s="2">
        <f>C90</f>
        <v>50047</v>
      </c>
    </row>
    <row r="91" spans="1:5" x14ac:dyDescent="0.25">
      <c r="A91" t="s">
        <v>61</v>
      </c>
      <c r="B91" s="16">
        <v>49167</v>
      </c>
      <c r="C91" s="2">
        <f>B91</f>
        <v>49167</v>
      </c>
      <c r="D91" s="2">
        <f>C91</f>
        <v>49167</v>
      </c>
    </row>
    <row r="92" spans="1:5" x14ac:dyDescent="0.25">
      <c r="B92" s="2"/>
    </row>
    <row r="95" spans="1:5" x14ac:dyDescent="0.25">
      <c r="B95" t="s">
        <v>67</v>
      </c>
      <c r="C95" t="s">
        <v>68</v>
      </c>
      <c r="D95" t="s">
        <v>69</v>
      </c>
    </row>
    <row r="96" spans="1:5" x14ac:dyDescent="0.25">
      <c r="A96" t="s">
        <v>62</v>
      </c>
      <c r="B96" s="5">
        <f t="shared" ref="B96:D97" si="13">B18</f>
        <v>26600.000000000004</v>
      </c>
      <c r="C96" s="5">
        <f t="shared" si="13"/>
        <v>26600.000000000004</v>
      </c>
      <c r="D96" s="5">
        <f t="shared" si="13"/>
        <v>26600.000000000004</v>
      </c>
    </row>
    <row r="97" spans="1:4" x14ac:dyDescent="0.25">
      <c r="A97" t="s">
        <v>63</v>
      </c>
      <c r="B97" s="5">
        <f t="shared" si="13"/>
        <v>733400</v>
      </c>
      <c r="C97" s="5">
        <f t="shared" si="13"/>
        <v>746234.5</v>
      </c>
      <c r="D97" s="5">
        <f t="shared" si="13"/>
        <v>733400</v>
      </c>
    </row>
    <row r="98" spans="1:4" x14ac:dyDescent="0.25">
      <c r="A98" t="s">
        <v>65</v>
      </c>
      <c r="B98" s="5">
        <f>B86</f>
        <v>31057.200000000001</v>
      </c>
      <c r="C98" s="5">
        <f>C86-C62</f>
        <v>18421.634750000001</v>
      </c>
      <c r="D98" s="5">
        <f>D86-D62</f>
        <v>4033.7</v>
      </c>
    </row>
    <row r="99" spans="1:4" x14ac:dyDescent="0.25">
      <c r="A99" t="s">
        <v>64</v>
      </c>
      <c r="B99" s="5">
        <f>B87</f>
        <v>37593.199999999997</v>
      </c>
      <c r="C99" s="5">
        <f>C87-C62</f>
        <v>25021.807250000002</v>
      </c>
      <c r="D99" s="5">
        <f>D87-D62</f>
        <v>4033.7</v>
      </c>
    </row>
    <row r="100" spans="1:4" x14ac:dyDescent="0.25">
      <c r="A100" t="s">
        <v>66</v>
      </c>
      <c r="B100" s="13">
        <f>B98+B96</f>
        <v>57657.200000000004</v>
      </c>
      <c r="C100" s="13">
        <f>C98+C96</f>
        <v>45021.634750000005</v>
      </c>
      <c r="D100" s="13">
        <f>D98+D96</f>
        <v>30633.700000000004</v>
      </c>
    </row>
    <row r="101" spans="1:4" x14ac:dyDescent="0.25">
      <c r="A101" t="s">
        <v>66</v>
      </c>
      <c r="B101" s="13">
        <f>B99+B96</f>
        <v>64193.2</v>
      </c>
      <c r="C101" s="13">
        <f>C99+C96</f>
        <v>51621.807250000005</v>
      </c>
      <c r="D101" s="13">
        <f>D99+D96</f>
        <v>30633.700000000004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Playground</vt:lpstr>
      <vt:lpstr>Sheet1</vt:lpstr>
      <vt:lpstr>6312 Cates Ave</vt:lpstr>
      <vt:lpstr>4451 Catleman Ave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Egan (US), Eric P</dc:creator>
  <cp:lastModifiedBy>Egan (US), Eric P</cp:lastModifiedBy>
  <dcterms:created xsi:type="dcterms:W3CDTF">2025-07-02T14:22:07Z</dcterms:created>
  <dcterms:modified xsi:type="dcterms:W3CDTF">2025-07-09T21:02:14Z</dcterms:modified>
</cp:coreProperties>
</file>