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spring_analysis" sheetId="2" r:id="rId5"/>
    <sheet state="visible" name="summer_analysis" sheetId="3" r:id="rId6"/>
    <sheet state="visible" name="fall_analysis" sheetId="4" r:id="rId7"/>
  </sheets>
  <definedNames>
    <definedName name="seasons">raw_data!$A$2:$A$56</definedName>
    <definedName name="plant_data">raw_data!$B$2:$F$56</definedName>
    <definedName name="headers">raw_data!$B$1:$F$1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9">
      <text>
        <t xml:space="preserve">honey is produced every 4 days but you don't get the sell price of the flower honey until the flower has grown completely. The formula takes this into account
	-Emily Eden</t>
      </text>
    </comment>
  </commentList>
</comments>
</file>

<file path=xl/sharedStrings.xml><?xml version="1.0" encoding="utf-8"?>
<sst xmlns="http://schemas.openxmlformats.org/spreadsheetml/2006/main" count="197" uniqueCount="64">
  <si>
    <t>season</t>
  </si>
  <si>
    <t>plant_name</t>
  </si>
  <si>
    <t>seed_cost</t>
  </si>
  <si>
    <t>crop_sell_price</t>
  </si>
  <si>
    <t>time_until_harvest</t>
  </si>
  <si>
    <t>time_until_regrowth</t>
  </si>
  <si>
    <t>Spring</t>
  </si>
  <si>
    <t>Blue Jazz</t>
  </si>
  <si>
    <t>NA</t>
  </si>
  <si>
    <t>Cauliflower</t>
  </si>
  <si>
    <t>Garlic</t>
  </si>
  <si>
    <t>Green Bean</t>
  </si>
  <si>
    <t>Kale</t>
  </si>
  <si>
    <t>Parsnip</t>
  </si>
  <si>
    <t>Potato</t>
  </si>
  <si>
    <t>Rhubarb</t>
  </si>
  <si>
    <t>Strawberry</t>
  </si>
  <si>
    <t>Tulip</t>
  </si>
  <si>
    <t>Summer</t>
  </si>
  <si>
    <t>Blueberry</t>
  </si>
  <si>
    <t>Corn</t>
  </si>
  <si>
    <t>Hops</t>
  </si>
  <si>
    <t>Hot Pepper</t>
  </si>
  <si>
    <t>Melon</t>
  </si>
  <si>
    <t>Poppy</t>
  </si>
  <si>
    <t>Radish</t>
  </si>
  <si>
    <t>Red Cabbage</t>
  </si>
  <si>
    <t>Starfruit</t>
  </si>
  <si>
    <t>Summer Spangle</t>
  </si>
  <si>
    <t>Sunflower</t>
  </si>
  <si>
    <t>Tomato</t>
  </si>
  <si>
    <t>Wheat</t>
  </si>
  <si>
    <t>Fall</t>
  </si>
  <si>
    <t>Amaranth</t>
  </si>
  <si>
    <t>Artichoke</t>
  </si>
  <si>
    <t>Beet</t>
  </si>
  <si>
    <t>Bok Choy</t>
  </si>
  <si>
    <t>Cranberries</t>
  </si>
  <si>
    <t>Eggplant</t>
  </si>
  <si>
    <t>Fairy Rose</t>
  </si>
  <si>
    <t>Grape</t>
  </si>
  <si>
    <t>Pumpkin</t>
  </si>
  <si>
    <t>Yam</t>
  </si>
  <si>
    <t>Unmilled Rice</t>
  </si>
  <si>
    <t>num_seeds_purchased_per_season</t>
  </si>
  <si>
    <t>num_harvests</t>
  </si>
  <si>
    <t>cost_per_season</t>
  </si>
  <si>
    <t>money_earned_per_season</t>
  </si>
  <si>
    <t>net_profit</t>
  </si>
  <si>
    <t>percentage_profit</t>
  </si>
  <si>
    <t>profit_per_day</t>
  </si>
  <si>
    <t>plant_type</t>
  </si>
  <si>
    <t>production_method</t>
  </si>
  <si>
    <t>product_sell_price</t>
  </si>
  <si>
    <t>per_season_product_net_profit</t>
  </si>
  <si>
    <t>per_season_product_percentage_profit</t>
  </si>
  <si>
    <t>flower</t>
  </si>
  <si>
    <t>vegetable</t>
  </si>
  <si>
    <t>fruit</t>
  </si>
  <si>
    <t>grain</t>
  </si>
  <si>
    <t>honey_value</t>
  </si>
  <si>
    <t>money_made_per_season</t>
  </si>
  <si>
    <t>hops</t>
  </si>
  <si>
    <t>wheat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</si>
</sst>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5" max="5" width="16.5"/>
    <col customWidth="1" min="6" max="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30.0</v>
      </c>
      <c r="D2" s="1">
        <v>50.0</v>
      </c>
      <c r="E2" s="1">
        <v>7.0</v>
      </c>
      <c r="F2" s="1" t="s">
        <v>8</v>
      </c>
    </row>
    <row r="3">
      <c r="A3" s="1" t="s">
        <v>6</v>
      </c>
      <c r="B3" s="1" t="s">
        <v>9</v>
      </c>
      <c r="C3" s="1">
        <v>80.0</v>
      </c>
      <c r="D3" s="1">
        <v>175.0</v>
      </c>
      <c r="E3" s="1">
        <v>12.0</v>
      </c>
      <c r="F3" s="1" t="s">
        <v>8</v>
      </c>
    </row>
    <row r="4">
      <c r="A4" s="1" t="s">
        <v>6</v>
      </c>
      <c r="B4" s="1" t="s">
        <v>10</v>
      </c>
      <c r="C4" s="1">
        <v>40.0</v>
      </c>
      <c r="D4" s="1">
        <v>60.0</v>
      </c>
      <c r="E4" s="1">
        <v>4.0</v>
      </c>
      <c r="F4" s="1" t="s">
        <v>8</v>
      </c>
    </row>
    <row r="5">
      <c r="A5" s="1" t="s">
        <v>6</v>
      </c>
      <c r="B5" s="1" t="s">
        <v>11</v>
      </c>
      <c r="C5" s="1">
        <v>60.0</v>
      </c>
      <c r="D5" s="1">
        <v>40.0</v>
      </c>
      <c r="E5" s="1">
        <v>10.0</v>
      </c>
      <c r="F5" s="1">
        <v>3.0</v>
      </c>
    </row>
    <row r="6">
      <c r="A6" s="1" t="s">
        <v>6</v>
      </c>
      <c r="B6" s="1" t="s">
        <v>12</v>
      </c>
      <c r="C6" s="1">
        <v>70.0</v>
      </c>
      <c r="D6" s="1">
        <v>110.0</v>
      </c>
      <c r="E6" s="1">
        <v>6.0</v>
      </c>
      <c r="F6" s="1" t="s">
        <v>8</v>
      </c>
    </row>
    <row r="7">
      <c r="A7" s="1" t="s">
        <v>6</v>
      </c>
      <c r="B7" s="1" t="s">
        <v>13</v>
      </c>
      <c r="C7" s="1">
        <v>20.0</v>
      </c>
      <c r="D7" s="1">
        <v>35.0</v>
      </c>
      <c r="E7" s="1">
        <v>4.0</v>
      </c>
      <c r="F7" s="1" t="s">
        <v>8</v>
      </c>
    </row>
    <row r="8">
      <c r="A8" s="1" t="s">
        <v>6</v>
      </c>
      <c r="B8" s="1" t="s">
        <v>14</v>
      </c>
      <c r="C8" s="1">
        <v>50.0</v>
      </c>
      <c r="D8" s="1">
        <v>80.0</v>
      </c>
      <c r="E8" s="1">
        <v>6.0</v>
      </c>
      <c r="F8" s="1" t="s">
        <v>8</v>
      </c>
    </row>
    <row r="9">
      <c r="A9" s="1" t="s">
        <v>6</v>
      </c>
      <c r="B9" s="1" t="s">
        <v>15</v>
      </c>
      <c r="C9" s="1">
        <v>100.0</v>
      </c>
      <c r="D9" s="1">
        <v>220.0</v>
      </c>
      <c r="E9" s="1">
        <v>13.0</v>
      </c>
      <c r="F9" s="1" t="s">
        <v>8</v>
      </c>
    </row>
    <row r="10">
      <c r="A10" s="1" t="s">
        <v>6</v>
      </c>
      <c r="B10" s="1" t="s">
        <v>16</v>
      </c>
      <c r="C10" s="1">
        <v>100.0</v>
      </c>
      <c r="D10" s="1">
        <v>120.0</v>
      </c>
      <c r="E10" s="1">
        <v>8.0</v>
      </c>
      <c r="F10" s="1">
        <v>4.0</v>
      </c>
    </row>
    <row r="11">
      <c r="A11" s="1" t="s">
        <v>6</v>
      </c>
      <c r="B11" s="1" t="s">
        <v>17</v>
      </c>
      <c r="C11" s="1">
        <v>20.0</v>
      </c>
      <c r="D11" s="1">
        <v>30.0</v>
      </c>
      <c r="E11" s="1">
        <v>6.0</v>
      </c>
      <c r="F11" s="1" t="s">
        <v>8</v>
      </c>
    </row>
    <row r="12">
      <c r="A12" s="1" t="s">
        <v>18</v>
      </c>
      <c r="B12" s="1" t="s">
        <v>19</v>
      </c>
      <c r="C12" s="1">
        <v>80.0</v>
      </c>
      <c r="D12" s="1">
        <v>50.0</v>
      </c>
      <c r="E12" s="1">
        <v>13.0</v>
      </c>
      <c r="F12" s="1">
        <v>4.0</v>
      </c>
    </row>
    <row r="13">
      <c r="A13" s="1" t="s">
        <v>18</v>
      </c>
      <c r="B13" s="1" t="s">
        <v>20</v>
      </c>
      <c r="C13" s="1">
        <v>150.0</v>
      </c>
      <c r="D13" s="1">
        <v>50.0</v>
      </c>
      <c r="E13" s="1">
        <v>14.0</v>
      </c>
      <c r="F13" s="1">
        <v>4.0</v>
      </c>
    </row>
    <row r="14">
      <c r="A14" s="1" t="s">
        <v>18</v>
      </c>
      <c r="B14" s="1" t="s">
        <v>21</v>
      </c>
      <c r="C14" s="1">
        <v>60.0</v>
      </c>
      <c r="D14" s="1">
        <v>25.0</v>
      </c>
      <c r="E14" s="1">
        <v>11.0</v>
      </c>
      <c r="F14" s="1">
        <v>1.0</v>
      </c>
    </row>
    <row r="15">
      <c r="A15" s="1" t="s">
        <v>18</v>
      </c>
      <c r="B15" s="1" t="s">
        <v>22</v>
      </c>
      <c r="C15" s="1">
        <v>40.0</v>
      </c>
      <c r="D15" s="1">
        <v>40.0</v>
      </c>
      <c r="E15" s="1">
        <v>5.0</v>
      </c>
      <c r="F15" s="1">
        <v>3.0</v>
      </c>
    </row>
    <row r="16">
      <c r="A16" s="1" t="s">
        <v>18</v>
      </c>
      <c r="B16" s="1" t="s">
        <v>23</v>
      </c>
      <c r="C16" s="1">
        <v>80.0</v>
      </c>
      <c r="D16" s="1">
        <v>250.0</v>
      </c>
      <c r="E16" s="1">
        <v>12.0</v>
      </c>
      <c r="F16" s="1" t="s">
        <v>8</v>
      </c>
    </row>
    <row r="17">
      <c r="A17" s="1" t="s">
        <v>18</v>
      </c>
      <c r="B17" s="1" t="s">
        <v>24</v>
      </c>
      <c r="C17" s="1">
        <v>100.0</v>
      </c>
      <c r="D17" s="1">
        <v>140.0</v>
      </c>
      <c r="E17" s="1">
        <v>7.0</v>
      </c>
      <c r="F17" s="1" t="s">
        <v>8</v>
      </c>
    </row>
    <row r="18">
      <c r="A18" s="1" t="s">
        <v>18</v>
      </c>
      <c r="B18" s="1" t="s">
        <v>25</v>
      </c>
      <c r="C18" s="1">
        <v>40.0</v>
      </c>
      <c r="D18" s="1">
        <v>90.0</v>
      </c>
      <c r="E18" s="1">
        <v>6.0</v>
      </c>
      <c r="F18" s="1" t="s">
        <v>8</v>
      </c>
    </row>
    <row r="19">
      <c r="A19" s="1" t="s">
        <v>18</v>
      </c>
      <c r="B19" s="1" t="s">
        <v>26</v>
      </c>
      <c r="C19" s="1">
        <v>100.0</v>
      </c>
      <c r="D19" s="1">
        <v>260.0</v>
      </c>
      <c r="E19" s="1">
        <v>9.0</v>
      </c>
      <c r="F19" s="1" t="s">
        <v>8</v>
      </c>
    </row>
    <row r="20">
      <c r="A20" s="1" t="s">
        <v>18</v>
      </c>
      <c r="B20" s="1" t="s">
        <v>27</v>
      </c>
      <c r="C20" s="1">
        <v>400.0</v>
      </c>
      <c r="D20" s="1">
        <v>750.0</v>
      </c>
      <c r="E20" s="1">
        <v>13.0</v>
      </c>
      <c r="F20" s="1" t="s">
        <v>8</v>
      </c>
    </row>
    <row r="21">
      <c r="A21" s="1" t="s">
        <v>18</v>
      </c>
      <c r="B21" s="1" t="s">
        <v>28</v>
      </c>
      <c r="C21" s="1">
        <v>50.0</v>
      </c>
      <c r="D21" s="1">
        <v>90.0</v>
      </c>
      <c r="E21" s="1">
        <v>8.0</v>
      </c>
      <c r="F21" s="1" t="s">
        <v>8</v>
      </c>
    </row>
    <row r="22">
      <c r="A22" s="1" t="s">
        <v>18</v>
      </c>
      <c r="B22" s="1" t="s">
        <v>29</v>
      </c>
      <c r="C22" s="1">
        <v>200.0</v>
      </c>
      <c r="D22" s="1">
        <v>80.0</v>
      </c>
      <c r="E22" s="1">
        <v>8.0</v>
      </c>
      <c r="F22" s="1" t="s">
        <v>8</v>
      </c>
    </row>
    <row r="23">
      <c r="A23" s="1" t="s">
        <v>18</v>
      </c>
      <c r="B23" s="1" t="s">
        <v>30</v>
      </c>
      <c r="C23" s="1">
        <v>50.0</v>
      </c>
      <c r="D23" s="1">
        <v>60.0</v>
      </c>
      <c r="E23" s="1">
        <v>11.0</v>
      </c>
      <c r="F23" s="1">
        <v>4.0</v>
      </c>
    </row>
    <row r="24">
      <c r="A24" s="1" t="s">
        <v>18</v>
      </c>
      <c r="B24" s="1" t="s">
        <v>31</v>
      </c>
      <c r="C24" s="1">
        <v>10.0</v>
      </c>
      <c r="D24" s="1">
        <v>25.0</v>
      </c>
      <c r="E24" s="1">
        <v>4.0</v>
      </c>
      <c r="F24" s="1" t="s">
        <v>8</v>
      </c>
    </row>
    <row r="25">
      <c r="A25" s="1" t="s">
        <v>32</v>
      </c>
      <c r="B25" s="1" t="s">
        <v>33</v>
      </c>
      <c r="C25" s="1">
        <v>70.0</v>
      </c>
      <c r="D25" s="1">
        <v>150.0</v>
      </c>
      <c r="E25" s="1">
        <v>7.0</v>
      </c>
      <c r="F25" s="1" t="s">
        <v>8</v>
      </c>
    </row>
    <row r="26">
      <c r="A26" s="1" t="s">
        <v>32</v>
      </c>
      <c r="B26" s="1" t="s">
        <v>34</v>
      </c>
      <c r="C26" s="1">
        <v>30.0</v>
      </c>
      <c r="D26" s="1">
        <v>160.0</v>
      </c>
      <c r="E26" s="1">
        <v>8.0</v>
      </c>
      <c r="F26" s="1" t="s">
        <v>8</v>
      </c>
    </row>
    <row r="27">
      <c r="A27" s="1" t="s">
        <v>32</v>
      </c>
      <c r="B27" s="1" t="s">
        <v>35</v>
      </c>
      <c r="C27" s="1">
        <v>20.0</v>
      </c>
      <c r="D27" s="1">
        <v>100.0</v>
      </c>
      <c r="E27" s="1">
        <v>6.0</v>
      </c>
      <c r="F27" s="1" t="s">
        <v>8</v>
      </c>
    </row>
    <row r="28">
      <c r="A28" s="1" t="s">
        <v>32</v>
      </c>
      <c r="B28" s="1" t="s">
        <v>36</v>
      </c>
      <c r="C28" s="1">
        <v>50.0</v>
      </c>
      <c r="D28" s="1">
        <v>80.0</v>
      </c>
      <c r="E28" s="1">
        <v>4.0</v>
      </c>
      <c r="F28" s="1" t="s">
        <v>8</v>
      </c>
    </row>
    <row r="29">
      <c r="A29" s="1" t="s">
        <v>32</v>
      </c>
      <c r="B29" s="1" t="s">
        <v>37</v>
      </c>
      <c r="C29" s="1">
        <v>240.0</v>
      </c>
      <c r="D29" s="1">
        <v>75.0</v>
      </c>
      <c r="E29" s="1">
        <v>7.0</v>
      </c>
      <c r="F29" s="1">
        <v>5.0</v>
      </c>
    </row>
    <row r="30">
      <c r="A30" s="1" t="s">
        <v>32</v>
      </c>
      <c r="B30" s="1" t="s">
        <v>38</v>
      </c>
      <c r="C30" s="1">
        <v>20.0</v>
      </c>
      <c r="D30" s="1">
        <v>60.0</v>
      </c>
      <c r="E30" s="1">
        <v>5.0</v>
      </c>
      <c r="F30" s="1">
        <v>5.0</v>
      </c>
    </row>
    <row r="31">
      <c r="A31" s="1" t="s">
        <v>32</v>
      </c>
      <c r="B31" s="1" t="s">
        <v>39</v>
      </c>
      <c r="C31" s="1">
        <v>200.0</v>
      </c>
      <c r="D31" s="1">
        <v>290.0</v>
      </c>
      <c r="E31" s="1">
        <v>12.0</v>
      </c>
      <c r="F31" s="1" t="s">
        <v>8</v>
      </c>
    </row>
    <row r="32">
      <c r="A32" s="1" t="s">
        <v>32</v>
      </c>
      <c r="B32" s="1" t="s">
        <v>40</v>
      </c>
      <c r="C32" s="1">
        <v>60.0</v>
      </c>
      <c r="D32" s="1">
        <v>80.0</v>
      </c>
      <c r="E32" s="1">
        <v>10.0</v>
      </c>
      <c r="F32" s="1">
        <v>3.0</v>
      </c>
    </row>
    <row r="33">
      <c r="A33" s="1" t="s">
        <v>32</v>
      </c>
      <c r="B33" s="1" t="s">
        <v>41</v>
      </c>
      <c r="C33" s="1">
        <v>100.0</v>
      </c>
      <c r="D33" s="1">
        <v>320.0</v>
      </c>
      <c r="E33" s="1">
        <v>13.0</v>
      </c>
      <c r="F33" s="1" t="s">
        <v>8</v>
      </c>
    </row>
    <row r="34">
      <c r="A34" s="1" t="s">
        <v>32</v>
      </c>
      <c r="B34" s="1" t="s">
        <v>42</v>
      </c>
      <c r="C34" s="1">
        <v>60.0</v>
      </c>
      <c r="D34" s="1">
        <v>160.0</v>
      </c>
      <c r="E34" s="1">
        <v>10.0</v>
      </c>
      <c r="F34" s="1" t="s">
        <v>8</v>
      </c>
    </row>
    <row r="35">
      <c r="A35" s="1" t="s">
        <v>6</v>
      </c>
      <c r="B35" s="1" t="s">
        <v>43</v>
      </c>
      <c r="C35" s="1">
        <v>40.0</v>
      </c>
      <c r="D35" s="1">
        <v>30.0</v>
      </c>
      <c r="E35" s="1">
        <v>8.0</v>
      </c>
      <c r="F35" s="1" t="s">
        <v>8</v>
      </c>
    </row>
    <row r="36">
      <c r="A36" s="1" t="s">
        <v>6</v>
      </c>
      <c r="B36" s="1" t="s">
        <v>43</v>
      </c>
      <c r="C36" s="1">
        <v>40.0</v>
      </c>
      <c r="D36" s="1">
        <v>30.0</v>
      </c>
      <c r="E36" s="1">
        <v>6.0</v>
      </c>
      <c r="F36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5.75"/>
    <col customWidth="1" min="4" max="4" width="21.63"/>
    <col customWidth="1" min="5" max="5" width="16.13"/>
    <col customWidth="1" min="6" max="6" width="13.25"/>
    <col customWidth="1" min="7" max="7" width="16.88"/>
    <col customWidth="1" min="8" max="8" width="21.25"/>
    <col customWidth="1" min="9" max="9" width="22.5"/>
    <col customWidth="1" min="10" max="11" width="31.75"/>
    <col customWidth="1" min="12" max="22" width="20.0"/>
  </cols>
  <sheetData>
    <row r="1">
      <c r="A1" s="2" t="str">
        <f>IFERROR(__xludf.DUMMYFUNCTION("QUERY(headers)"),"plant_name")</f>
        <v>plant_name</v>
      </c>
      <c r="B1" s="2" t="str">
        <f>IFERROR(__xludf.DUMMYFUNCTION("""COMPUTED_VALUE"""),"seed_cost")</f>
        <v>seed_cost</v>
      </c>
      <c r="C1" s="2" t="str">
        <f>IFERROR(__xludf.DUMMYFUNCTION("""COMPUTED_VALUE"""),"crop_sell_price")</f>
        <v>crop_sell_price</v>
      </c>
      <c r="D1" s="2" t="str">
        <f>IFERROR(__xludf.DUMMYFUNCTION("""COMPUTED_VALUE"""),"time_until_harvest")</f>
        <v>time_until_harvest</v>
      </c>
      <c r="E1" s="2" t="str">
        <f>IFERROR(__xludf.DUMMYFUNCTION("""COMPUTED_VALUE"""),"time_until_regrowth")</f>
        <v>time_until_regrowth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</row>
    <row r="2">
      <c r="A2" s="2" t="str">
        <f>IFERROR(__xludf.DUMMYFUNCTION("filter(plant_data, seasons = ""Spring"")"),"Blue Jazz")</f>
        <v>Blue Jazz</v>
      </c>
      <c r="B2" s="2">
        <f>IFERROR(__xludf.DUMMYFUNCTION("""COMPUTED_VALUE"""),30.0)</f>
        <v>30</v>
      </c>
      <c r="C2" s="2">
        <f>IFERROR(__xludf.DUMMYFUNCTION("""COMPUTED_VALUE"""),50.0)</f>
        <v>50</v>
      </c>
      <c r="D2" s="2">
        <f>IFERROR(__xludf.DUMMYFUNCTION("""COMPUTED_VALUE"""),7.0)</f>
        <v>7</v>
      </c>
      <c r="E2" s="3" t="str">
        <f>IFERROR(__xludf.DUMMYFUNCTION("""COMPUTED_VALUE"""),"NA")</f>
        <v>NA</v>
      </c>
      <c r="F2" s="2">
        <f t="shared" ref="F2:F13" si="1">IF($E2 &lt;&gt; "NA", 1, QUOTIENT(28,$D2))</f>
        <v>4</v>
      </c>
      <c r="G2" s="2">
        <f t="shared" ref="G2:G13" si="2">IF($F2 &gt; 1, $F2, (28-$D2)/$E2)</f>
        <v>4</v>
      </c>
      <c r="H2" s="1">
        <f t="shared" ref="H2:H13" si="3">$F2 * $B2</f>
        <v>120</v>
      </c>
      <c r="I2" s="2">
        <f t="shared" ref="I2:I13" si="4"> $G2 * $C2</f>
        <v>200</v>
      </c>
      <c r="J2" s="2">
        <f t="shared" ref="J2:J13" si="5"> $I2 - $H2</f>
        <v>80</v>
      </c>
      <c r="K2" s="4">
        <f t="shared" ref="K2:K13" si="6"> $J2 / $H2</f>
        <v>0.6666666667</v>
      </c>
      <c r="L2" s="2">
        <f t="shared" ref="L2:L13" si="7">$J2 / 28</f>
        <v>2.857142857</v>
      </c>
    </row>
    <row r="3">
      <c r="A3" s="2" t="str">
        <f>IFERROR(__xludf.DUMMYFUNCTION("""COMPUTED_VALUE"""),"Cauliflower")</f>
        <v>Cauliflower</v>
      </c>
      <c r="B3" s="2">
        <f>IFERROR(__xludf.DUMMYFUNCTION("""COMPUTED_VALUE"""),80.0)</f>
        <v>80</v>
      </c>
      <c r="C3" s="2">
        <f>IFERROR(__xludf.DUMMYFUNCTION("""COMPUTED_VALUE"""),175.0)</f>
        <v>175</v>
      </c>
      <c r="D3" s="2">
        <f>IFERROR(__xludf.DUMMYFUNCTION("""COMPUTED_VALUE"""),12.0)</f>
        <v>12</v>
      </c>
      <c r="E3" s="3" t="str">
        <f>IFERROR(__xludf.DUMMYFUNCTION("""COMPUTED_VALUE"""),"NA")</f>
        <v>NA</v>
      </c>
      <c r="F3" s="2">
        <f t="shared" si="1"/>
        <v>2</v>
      </c>
      <c r="G3" s="2">
        <f t="shared" si="2"/>
        <v>2</v>
      </c>
      <c r="H3" s="1">
        <f t="shared" si="3"/>
        <v>160</v>
      </c>
      <c r="I3" s="2">
        <f t="shared" si="4"/>
        <v>350</v>
      </c>
      <c r="J3" s="2">
        <f t="shared" si="5"/>
        <v>190</v>
      </c>
      <c r="K3" s="4">
        <f t="shared" si="6"/>
        <v>1.1875</v>
      </c>
      <c r="L3" s="2">
        <f t="shared" si="7"/>
        <v>6.785714286</v>
      </c>
    </row>
    <row r="4">
      <c r="A4" s="2" t="str">
        <f>IFERROR(__xludf.DUMMYFUNCTION("""COMPUTED_VALUE"""),"Garlic")</f>
        <v>Garlic</v>
      </c>
      <c r="B4" s="2">
        <f>IFERROR(__xludf.DUMMYFUNCTION("""COMPUTED_VALUE"""),40.0)</f>
        <v>40</v>
      </c>
      <c r="C4" s="2">
        <f>IFERROR(__xludf.DUMMYFUNCTION("""COMPUTED_VALUE"""),60.0)</f>
        <v>60</v>
      </c>
      <c r="D4" s="2">
        <f>IFERROR(__xludf.DUMMYFUNCTION("""COMPUTED_VALUE"""),4.0)</f>
        <v>4</v>
      </c>
      <c r="E4" s="3" t="str">
        <f>IFERROR(__xludf.DUMMYFUNCTION("""COMPUTED_VALUE"""),"NA")</f>
        <v>NA</v>
      </c>
      <c r="F4" s="2">
        <f t="shared" si="1"/>
        <v>7</v>
      </c>
      <c r="G4" s="2">
        <f t="shared" si="2"/>
        <v>7</v>
      </c>
      <c r="H4" s="1">
        <f t="shared" si="3"/>
        <v>280</v>
      </c>
      <c r="I4" s="2">
        <f t="shared" si="4"/>
        <v>420</v>
      </c>
      <c r="J4" s="2">
        <f t="shared" si="5"/>
        <v>140</v>
      </c>
      <c r="K4" s="4">
        <f t="shared" si="6"/>
        <v>0.5</v>
      </c>
      <c r="L4" s="2">
        <f t="shared" si="7"/>
        <v>5</v>
      </c>
    </row>
    <row r="5">
      <c r="A5" s="2" t="str">
        <f>IFERROR(__xludf.DUMMYFUNCTION("""COMPUTED_VALUE"""),"Green Bean")</f>
        <v>Green Bean</v>
      </c>
      <c r="B5" s="2">
        <f>IFERROR(__xludf.DUMMYFUNCTION("""COMPUTED_VALUE"""),60.0)</f>
        <v>60</v>
      </c>
      <c r="C5" s="2">
        <f>IFERROR(__xludf.DUMMYFUNCTION("""COMPUTED_VALUE"""),40.0)</f>
        <v>40</v>
      </c>
      <c r="D5" s="2">
        <f>IFERROR(__xludf.DUMMYFUNCTION("""COMPUTED_VALUE"""),10.0)</f>
        <v>10</v>
      </c>
      <c r="E5" s="3">
        <f>IFERROR(__xludf.DUMMYFUNCTION("""COMPUTED_VALUE"""),3.0)</f>
        <v>3</v>
      </c>
      <c r="F5" s="2">
        <f t="shared" si="1"/>
        <v>1</v>
      </c>
      <c r="G5" s="2">
        <f t="shared" si="2"/>
        <v>6</v>
      </c>
      <c r="H5" s="1">
        <f t="shared" si="3"/>
        <v>60</v>
      </c>
      <c r="I5" s="2">
        <f t="shared" si="4"/>
        <v>240</v>
      </c>
      <c r="J5" s="2">
        <f t="shared" si="5"/>
        <v>180</v>
      </c>
      <c r="K5" s="4">
        <f t="shared" si="6"/>
        <v>3</v>
      </c>
      <c r="L5" s="2">
        <f t="shared" si="7"/>
        <v>6.428571429</v>
      </c>
    </row>
    <row r="6">
      <c r="A6" s="2" t="str">
        <f>IFERROR(__xludf.DUMMYFUNCTION("""COMPUTED_VALUE"""),"Kale")</f>
        <v>Kale</v>
      </c>
      <c r="B6" s="2">
        <f>IFERROR(__xludf.DUMMYFUNCTION("""COMPUTED_VALUE"""),70.0)</f>
        <v>70</v>
      </c>
      <c r="C6" s="2">
        <f>IFERROR(__xludf.DUMMYFUNCTION("""COMPUTED_VALUE"""),110.0)</f>
        <v>110</v>
      </c>
      <c r="D6" s="2">
        <f>IFERROR(__xludf.DUMMYFUNCTION("""COMPUTED_VALUE"""),6.0)</f>
        <v>6</v>
      </c>
      <c r="E6" s="3" t="str">
        <f>IFERROR(__xludf.DUMMYFUNCTION("""COMPUTED_VALUE"""),"NA")</f>
        <v>NA</v>
      </c>
      <c r="F6" s="2">
        <f t="shared" si="1"/>
        <v>4</v>
      </c>
      <c r="G6" s="2">
        <f t="shared" si="2"/>
        <v>4</v>
      </c>
      <c r="H6" s="1">
        <f t="shared" si="3"/>
        <v>280</v>
      </c>
      <c r="I6" s="2">
        <f t="shared" si="4"/>
        <v>440</v>
      </c>
      <c r="J6" s="2">
        <f t="shared" si="5"/>
        <v>160</v>
      </c>
      <c r="K6" s="4">
        <f t="shared" si="6"/>
        <v>0.5714285714</v>
      </c>
      <c r="L6" s="2">
        <f t="shared" si="7"/>
        <v>5.714285714</v>
      </c>
    </row>
    <row r="7">
      <c r="A7" s="2" t="str">
        <f>IFERROR(__xludf.DUMMYFUNCTION("""COMPUTED_VALUE"""),"Parsnip")</f>
        <v>Parsnip</v>
      </c>
      <c r="B7" s="2">
        <f>IFERROR(__xludf.DUMMYFUNCTION("""COMPUTED_VALUE"""),20.0)</f>
        <v>20</v>
      </c>
      <c r="C7" s="2">
        <f>IFERROR(__xludf.DUMMYFUNCTION("""COMPUTED_VALUE"""),35.0)</f>
        <v>35</v>
      </c>
      <c r="D7" s="2">
        <f>IFERROR(__xludf.DUMMYFUNCTION("""COMPUTED_VALUE"""),4.0)</f>
        <v>4</v>
      </c>
      <c r="E7" s="3" t="str">
        <f>IFERROR(__xludf.DUMMYFUNCTION("""COMPUTED_VALUE"""),"NA")</f>
        <v>NA</v>
      </c>
      <c r="F7" s="2">
        <f t="shared" si="1"/>
        <v>7</v>
      </c>
      <c r="G7" s="2">
        <f t="shared" si="2"/>
        <v>7</v>
      </c>
      <c r="H7" s="1">
        <f t="shared" si="3"/>
        <v>140</v>
      </c>
      <c r="I7" s="2">
        <f t="shared" si="4"/>
        <v>245</v>
      </c>
      <c r="J7" s="2">
        <f t="shared" si="5"/>
        <v>105</v>
      </c>
      <c r="K7" s="4">
        <f t="shared" si="6"/>
        <v>0.75</v>
      </c>
      <c r="L7" s="2">
        <f t="shared" si="7"/>
        <v>3.75</v>
      </c>
    </row>
    <row r="8">
      <c r="A8" s="2" t="str">
        <f>IFERROR(__xludf.DUMMYFUNCTION("""COMPUTED_VALUE"""),"Potato")</f>
        <v>Potato</v>
      </c>
      <c r="B8" s="2">
        <f>IFERROR(__xludf.DUMMYFUNCTION("""COMPUTED_VALUE"""),50.0)</f>
        <v>50</v>
      </c>
      <c r="C8" s="2">
        <f>IFERROR(__xludf.DUMMYFUNCTION("""COMPUTED_VALUE"""),80.0)</f>
        <v>80</v>
      </c>
      <c r="D8" s="2">
        <f>IFERROR(__xludf.DUMMYFUNCTION("""COMPUTED_VALUE"""),6.0)</f>
        <v>6</v>
      </c>
      <c r="E8" s="3" t="str">
        <f>IFERROR(__xludf.DUMMYFUNCTION("""COMPUTED_VALUE"""),"NA")</f>
        <v>NA</v>
      </c>
      <c r="F8" s="2">
        <f t="shared" si="1"/>
        <v>4</v>
      </c>
      <c r="G8" s="2">
        <f t="shared" si="2"/>
        <v>4</v>
      </c>
      <c r="H8" s="1">
        <f t="shared" si="3"/>
        <v>200</v>
      </c>
      <c r="I8" s="2">
        <f t="shared" si="4"/>
        <v>320</v>
      </c>
      <c r="J8" s="2">
        <f t="shared" si="5"/>
        <v>120</v>
      </c>
      <c r="K8" s="4">
        <f t="shared" si="6"/>
        <v>0.6</v>
      </c>
      <c r="L8" s="2">
        <f t="shared" si="7"/>
        <v>4.285714286</v>
      </c>
    </row>
    <row r="9">
      <c r="A9" s="2" t="str">
        <f>IFERROR(__xludf.DUMMYFUNCTION("""COMPUTED_VALUE"""),"Rhubarb")</f>
        <v>Rhubarb</v>
      </c>
      <c r="B9" s="2">
        <f>IFERROR(__xludf.DUMMYFUNCTION("""COMPUTED_VALUE"""),100.0)</f>
        <v>100</v>
      </c>
      <c r="C9" s="2">
        <f>IFERROR(__xludf.DUMMYFUNCTION("""COMPUTED_VALUE"""),220.0)</f>
        <v>220</v>
      </c>
      <c r="D9" s="2">
        <f>IFERROR(__xludf.DUMMYFUNCTION("""COMPUTED_VALUE"""),13.0)</f>
        <v>13</v>
      </c>
      <c r="E9" s="3" t="str">
        <f>IFERROR(__xludf.DUMMYFUNCTION("""COMPUTED_VALUE"""),"NA")</f>
        <v>NA</v>
      </c>
      <c r="F9" s="2">
        <f t="shared" si="1"/>
        <v>2</v>
      </c>
      <c r="G9" s="2">
        <f t="shared" si="2"/>
        <v>2</v>
      </c>
      <c r="H9" s="1">
        <f t="shared" si="3"/>
        <v>200</v>
      </c>
      <c r="I9" s="2">
        <f t="shared" si="4"/>
        <v>440</v>
      </c>
      <c r="J9" s="2">
        <f t="shared" si="5"/>
        <v>240</v>
      </c>
      <c r="K9" s="4">
        <f t="shared" si="6"/>
        <v>1.2</v>
      </c>
      <c r="L9" s="2">
        <f t="shared" si="7"/>
        <v>8.571428571</v>
      </c>
    </row>
    <row r="10">
      <c r="A10" s="2" t="str">
        <f>IFERROR(__xludf.DUMMYFUNCTION("""COMPUTED_VALUE"""),"Strawberry")</f>
        <v>Strawberry</v>
      </c>
      <c r="B10" s="2">
        <f>IFERROR(__xludf.DUMMYFUNCTION("""COMPUTED_VALUE"""),100.0)</f>
        <v>100</v>
      </c>
      <c r="C10" s="2">
        <f>IFERROR(__xludf.DUMMYFUNCTION("""COMPUTED_VALUE"""),120.0)</f>
        <v>120</v>
      </c>
      <c r="D10" s="2">
        <f>IFERROR(__xludf.DUMMYFUNCTION("""COMPUTED_VALUE"""),8.0)</f>
        <v>8</v>
      </c>
      <c r="E10" s="3">
        <f>IFERROR(__xludf.DUMMYFUNCTION("""COMPUTED_VALUE"""),4.0)</f>
        <v>4</v>
      </c>
      <c r="F10" s="2">
        <f t="shared" si="1"/>
        <v>1</v>
      </c>
      <c r="G10" s="2">
        <f t="shared" si="2"/>
        <v>5</v>
      </c>
      <c r="H10" s="1">
        <f t="shared" si="3"/>
        <v>100</v>
      </c>
      <c r="I10" s="2">
        <f t="shared" si="4"/>
        <v>600</v>
      </c>
      <c r="J10" s="2">
        <f t="shared" si="5"/>
        <v>500</v>
      </c>
      <c r="K10" s="4">
        <f t="shared" si="6"/>
        <v>5</v>
      </c>
      <c r="L10" s="2">
        <f t="shared" si="7"/>
        <v>17.85714286</v>
      </c>
    </row>
    <row r="11">
      <c r="A11" s="2" t="str">
        <f>IFERROR(__xludf.DUMMYFUNCTION("""COMPUTED_VALUE"""),"Tulip")</f>
        <v>Tulip</v>
      </c>
      <c r="B11" s="2">
        <f>IFERROR(__xludf.DUMMYFUNCTION("""COMPUTED_VALUE"""),20.0)</f>
        <v>20</v>
      </c>
      <c r="C11" s="2">
        <f>IFERROR(__xludf.DUMMYFUNCTION("""COMPUTED_VALUE"""),30.0)</f>
        <v>30</v>
      </c>
      <c r="D11" s="2">
        <f>IFERROR(__xludf.DUMMYFUNCTION("""COMPUTED_VALUE"""),6.0)</f>
        <v>6</v>
      </c>
      <c r="E11" s="3" t="str">
        <f>IFERROR(__xludf.DUMMYFUNCTION("""COMPUTED_VALUE"""),"NA")</f>
        <v>NA</v>
      </c>
      <c r="F11" s="2">
        <f t="shared" si="1"/>
        <v>4</v>
      </c>
      <c r="G11" s="2">
        <f t="shared" si="2"/>
        <v>4</v>
      </c>
      <c r="H11" s="1">
        <f t="shared" si="3"/>
        <v>80</v>
      </c>
      <c r="I11" s="2">
        <f t="shared" si="4"/>
        <v>120</v>
      </c>
      <c r="J11" s="2">
        <f t="shared" si="5"/>
        <v>40</v>
      </c>
      <c r="K11" s="4">
        <f t="shared" si="6"/>
        <v>0.5</v>
      </c>
      <c r="L11" s="2">
        <f t="shared" si="7"/>
        <v>1.428571429</v>
      </c>
    </row>
    <row r="12">
      <c r="A12" s="2" t="str">
        <f>IFERROR(__xludf.DUMMYFUNCTION("""COMPUTED_VALUE"""),"Unmilled Rice")</f>
        <v>Unmilled Rice</v>
      </c>
      <c r="B12" s="2">
        <f>IFERROR(__xludf.DUMMYFUNCTION("""COMPUTED_VALUE"""),40.0)</f>
        <v>40</v>
      </c>
      <c r="C12" s="2">
        <f>IFERROR(__xludf.DUMMYFUNCTION("""COMPUTED_VALUE"""),30.0)</f>
        <v>30</v>
      </c>
      <c r="D12" s="2">
        <f>IFERROR(__xludf.DUMMYFUNCTION("""COMPUTED_VALUE"""),8.0)</f>
        <v>8</v>
      </c>
      <c r="E12" s="3" t="str">
        <f>IFERROR(__xludf.DUMMYFUNCTION("""COMPUTED_VALUE"""),"NA")</f>
        <v>NA</v>
      </c>
      <c r="F12" s="2">
        <f t="shared" si="1"/>
        <v>3</v>
      </c>
      <c r="G12" s="2">
        <f t="shared" si="2"/>
        <v>3</v>
      </c>
      <c r="H12" s="1">
        <f t="shared" si="3"/>
        <v>120</v>
      </c>
      <c r="I12" s="2">
        <f t="shared" si="4"/>
        <v>90</v>
      </c>
      <c r="J12" s="2">
        <f t="shared" si="5"/>
        <v>-30</v>
      </c>
      <c r="K12" s="4">
        <f t="shared" si="6"/>
        <v>-0.25</v>
      </c>
      <c r="L12" s="2">
        <f t="shared" si="7"/>
        <v>-1.071428571</v>
      </c>
    </row>
    <row r="13">
      <c r="A13" s="2" t="str">
        <f>IFERROR(__xludf.DUMMYFUNCTION("""COMPUTED_VALUE"""),"Unmilled Rice")</f>
        <v>Unmilled Rice</v>
      </c>
      <c r="B13" s="2">
        <f>IFERROR(__xludf.DUMMYFUNCTION("""COMPUTED_VALUE"""),40.0)</f>
        <v>40</v>
      </c>
      <c r="C13" s="2">
        <f>IFERROR(__xludf.DUMMYFUNCTION("""COMPUTED_VALUE"""),30.0)</f>
        <v>30</v>
      </c>
      <c r="D13" s="2">
        <f>IFERROR(__xludf.DUMMYFUNCTION("""COMPUTED_VALUE"""),6.0)</f>
        <v>6</v>
      </c>
      <c r="E13" s="3" t="str">
        <f>IFERROR(__xludf.DUMMYFUNCTION("""COMPUTED_VALUE"""),"NA")</f>
        <v>NA</v>
      </c>
      <c r="F13" s="2">
        <f t="shared" si="1"/>
        <v>4</v>
      </c>
      <c r="G13" s="2">
        <f t="shared" si="2"/>
        <v>4</v>
      </c>
      <c r="H13" s="1">
        <f t="shared" si="3"/>
        <v>160</v>
      </c>
      <c r="I13" s="2">
        <f t="shared" si="4"/>
        <v>120</v>
      </c>
      <c r="J13" s="2">
        <f t="shared" si="5"/>
        <v>-40</v>
      </c>
      <c r="K13" s="4">
        <f t="shared" si="6"/>
        <v>-0.25</v>
      </c>
      <c r="L13" s="2">
        <f t="shared" si="7"/>
        <v>-1.428571429</v>
      </c>
    </row>
    <row r="14">
      <c r="K14" s="4"/>
    </row>
    <row r="15">
      <c r="B15" s="2" t="str">
        <f>IFERROR(__xludf.DUMMYFUNCTION("QUERY(headers)"),"plant_name")</f>
        <v>plant_name</v>
      </c>
      <c r="C15" s="2" t="str">
        <f>IFERROR(__xludf.DUMMYFUNCTION("""COMPUTED_VALUE"""),"seed_cost")</f>
        <v>seed_cost</v>
      </c>
      <c r="D15" s="2" t="str">
        <f>IFERROR(__xludf.DUMMYFUNCTION("""COMPUTED_VALUE"""),"crop_sell_price")</f>
        <v>crop_sell_price</v>
      </c>
      <c r="E15" s="2" t="str">
        <f>IFERROR(__xludf.DUMMYFUNCTION("""COMPUTED_VALUE"""),"time_until_harvest")</f>
        <v>time_until_harvest</v>
      </c>
      <c r="F15" s="2" t="str">
        <f>IFERROR(__xludf.DUMMYFUNCTION("""COMPUTED_VALUE"""),"time_until_regrowth")</f>
        <v>time_until_regrowth</v>
      </c>
      <c r="G15" s="1" t="s">
        <v>51</v>
      </c>
      <c r="H15" s="1" t="s">
        <v>52</v>
      </c>
      <c r="I15" s="1" t="s">
        <v>53</v>
      </c>
      <c r="J15" s="1" t="s">
        <v>54</v>
      </c>
      <c r="K15" s="1" t="s">
        <v>55</v>
      </c>
    </row>
    <row r="16">
      <c r="B16" s="2" t="str">
        <f>IFERROR(__xludf.DUMMYFUNCTION("filter(plant_data, seasons = ""Spring"")"),"Blue Jazz")</f>
        <v>Blue Jazz</v>
      </c>
      <c r="C16" s="2">
        <f>IFERROR(__xludf.DUMMYFUNCTION("""COMPUTED_VALUE"""),30.0)</f>
        <v>30</v>
      </c>
      <c r="D16" s="2">
        <f>IFERROR(__xludf.DUMMYFUNCTION("""COMPUTED_VALUE"""),50.0)</f>
        <v>50</v>
      </c>
      <c r="E16" s="2">
        <f>IFERROR(__xludf.DUMMYFUNCTION("""COMPUTED_VALUE"""),7.0)</f>
        <v>7</v>
      </c>
      <c r="F16" s="3" t="str">
        <f>IFERROR(__xludf.DUMMYFUNCTION("""COMPUTED_VALUE"""),"NA")</f>
        <v>NA</v>
      </c>
      <c r="G16" s="1" t="s">
        <v>56</v>
      </c>
      <c r="H16" s="2" t="str">
        <f t="shared" ref="H16:H27" si="8">IFS($G16 = "vegetable", "Preserve Jar", $G16 = "fruit", "Keg", $G16 = "wheat", "Keg (Beer)", $G16 = "hops", "Keg (Pale Ale)", $G16 = "flower", "Bees", $G16 = "grain", "Mill")</f>
        <v>Bees</v>
      </c>
      <c r="I16" s="2" t="str">
        <f t="shared" ref="I16:I27" si="9">IFS($H16 = "Bees", "See Below", $H16 = "Preserve Jar", ($D16 * 2) + 50, $H16 = "Keg", $D16 * 3, $G16 = "wheat", 200, $G16 = "hops", 300, $H16 = "mill", 100)</f>
        <v>See Below</v>
      </c>
      <c r="J16" s="2" t="str">
        <f> ($I16 * $G2) - $C16</f>
        <v>#VALUE!</v>
      </c>
      <c r="K16" s="4" t="str">
        <f t="shared" ref="K16:K27" si="10"> $J16 / $C16</f>
        <v>#VALUE!</v>
      </c>
    </row>
    <row r="17">
      <c r="B17" s="2" t="str">
        <f>IFERROR(__xludf.DUMMYFUNCTION("""COMPUTED_VALUE"""),"Cauliflower")</f>
        <v>Cauliflower</v>
      </c>
      <c r="C17" s="2">
        <f>IFERROR(__xludf.DUMMYFUNCTION("""COMPUTED_VALUE"""),80.0)</f>
        <v>80</v>
      </c>
      <c r="D17" s="2">
        <f>IFERROR(__xludf.DUMMYFUNCTION("""COMPUTED_VALUE"""),175.0)</f>
        <v>175</v>
      </c>
      <c r="E17" s="2">
        <f>IFERROR(__xludf.DUMMYFUNCTION("""COMPUTED_VALUE"""),12.0)</f>
        <v>12</v>
      </c>
      <c r="F17" s="3" t="str">
        <f>IFERROR(__xludf.DUMMYFUNCTION("""COMPUTED_VALUE"""),"NA")</f>
        <v>NA</v>
      </c>
      <c r="G17" s="1" t="s">
        <v>57</v>
      </c>
      <c r="H17" s="2" t="str">
        <f t="shared" si="8"/>
        <v>Preserve Jar</v>
      </c>
      <c r="I17" s="2">
        <f t="shared" si="9"/>
        <v>400</v>
      </c>
      <c r="J17" s="2">
        <f t="shared" ref="J17:J27" si="11"> ($I17 * $G3) - $H3</f>
        <v>640</v>
      </c>
      <c r="K17" s="4">
        <f t="shared" si="10"/>
        <v>8</v>
      </c>
    </row>
    <row r="18">
      <c r="B18" s="2" t="str">
        <f>IFERROR(__xludf.DUMMYFUNCTION("""COMPUTED_VALUE"""),"Garlic")</f>
        <v>Garlic</v>
      </c>
      <c r="C18" s="2">
        <f>IFERROR(__xludf.DUMMYFUNCTION("""COMPUTED_VALUE"""),40.0)</f>
        <v>40</v>
      </c>
      <c r="D18" s="2">
        <f>IFERROR(__xludf.DUMMYFUNCTION("""COMPUTED_VALUE"""),60.0)</f>
        <v>60</v>
      </c>
      <c r="E18" s="2">
        <f>IFERROR(__xludf.DUMMYFUNCTION("""COMPUTED_VALUE"""),4.0)</f>
        <v>4</v>
      </c>
      <c r="F18" s="3" t="str">
        <f>IFERROR(__xludf.DUMMYFUNCTION("""COMPUTED_VALUE"""),"NA")</f>
        <v>NA</v>
      </c>
      <c r="G18" s="1" t="s">
        <v>57</v>
      </c>
      <c r="H18" s="2" t="str">
        <f t="shared" si="8"/>
        <v>Preserve Jar</v>
      </c>
      <c r="I18" s="2">
        <f t="shared" si="9"/>
        <v>170</v>
      </c>
      <c r="J18" s="2">
        <f t="shared" si="11"/>
        <v>910</v>
      </c>
      <c r="K18" s="4">
        <f t="shared" si="10"/>
        <v>22.75</v>
      </c>
    </row>
    <row r="19">
      <c r="B19" s="2" t="str">
        <f>IFERROR(__xludf.DUMMYFUNCTION("""COMPUTED_VALUE"""),"Green Bean")</f>
        <v>Green Bean</v>
      </c>
      <c r="C19" s="2">
        <f>IFERROR(__xludf.DUMMYFUNCTION("""COMPUTED_VALUE"""),60.0)</f>
        <v>60</v>
      </c>
      <c r="D19" s="2">
        <f>IFERROR(__xludf.DUMMYFUNCTION("""COMPUTED_VALUE"""),40.0)</f>
        <v>40</v>
      </c>
      <c r="E19" s="2">
        <f>IFERROR(__xludf.DUMMYFUNCTION("""COMPUTED_VALUE"""),10.0)</f>
        <v>10</v>
      </c>
      <c r="F19" s="3">
        <f>IFERROR(__xludf.DUMMYFUNCTION("""COMPUTED_VALUE"""),3.0)</f>
        <v>3</v>
      </c>
      <c r="G19" s="1" t="s">
        <v>57</v>
      </c>
      <c r="H19" s="2" t="str">
        <f t="shared" si="8"/>
        <v>Preserve Jar</v>
      </c>
      <c r="I19" s="2">
        <f t="shared" si="9"/>
        <v>130</v>
      </c>
      <c r="J19" s="2">
        <f t="shared" si="11"/>
        <v>720</v>
      </c>
      <c r="K19" s="4">
        <f t="shared" si="10"/>
        <v>12</v>
      </c>
    </row>
    <row r="20">
      <c r="B20" s="2" t="str">
        <f>IFERROR(__xludf.DUMMYFUNCTION("""COMPUTED_VALUE"""),"Kale")</f>
        <v>Kale</v>
      </c>
      <c r="C20" s="2">
        <f>IFERROR(__xludf.DUMMYFUNCTION("""COMPUTED_VALUE"""),70.0)</f>
        <v>70</v>
      </c>
      <c r="D20" s="2">
        <f>IFERROR(__xludf.DUMMYFUNCTION("""COMPUTED_VALUE"""),110.0)</f>
        <v>110</v>
      </c>
      <c r="E20" s="2">
        <f>IFERROR(__xludf.DUMMYFUNCTION("""COMPUTED_VALUE"""),6.0)</f>
        <v>6</v>
      </c>
      <c r="F20" s="3" t="str">
        <f>IFERROR(__xludf.DUMMYFUNCTION("""COMPUTED_VALUE"""),"NA")</f>
        <v>NA</v>
      </c>
      <c r="G20" s="1" t="s">
        <v>57</v>
      </c>
      <c r="H20" s="2" t="str">
        <f t="shared" si="8"/>
        <v>Preserve Jar</v>
      </c>
      <c r="I20" s="2">
        <f t="shared" si="9"/>
        <v>270</v>
      </c>
      <c r="J20" s="2">
        <f t="shared" si="11"/>
        <v>800</v>
      </c>
      <c r="K20" s="4">
        <f t="shared" si="10"/>
        <v>11.42857143</v>
      </c>
    </row>
    <row r="21">
      <c r="B21" s="2" t="str">
        <f>IFERROR(__xludf.DUMMYFUNCTION("""COMPUTED_VALUE"""),"Parsnip")</f>
        <v>Parsnip</v>
      </c>
      <c r="C21" s="2">
        <f>IFERROR(__xludf.DUMMYFUNCTION("""COMPUTED_VALUE"""),20.0)</f>
        <v>20</v>
      </c>
      <c r="D21" s="2">
        <f>IFERROR(__xludf.DUMMYFUNCTION("""COMPUTED_VALUE"""),35.0)</f>
        <v>35</v>
      </c>
      <c r="E21" s="2">
        <f>IFERROR(__xludf.DUMMYFUNCTION("""COMPUTED_VALUE"""),4.0)</f>
        <v>4</v>
      </c>
      <c r="F21" s="3" t="str">
        <f>IFERROR(__xludf.DUMMYFUNCTION("""COMPUTED_VALUE"""),"NA")</f>
        <v>NA</v>
      </c>
      <c r="G21" s="1" t="s">
        <v>57</v>
      </c>
      <c r="H21" s="2" t="str">
        <f t="shared" si="8"/>
        <v>Preserve Jar</v>
      </c>
      <c r="I21" s="2">
        <f t="shared" si="9"/>
        <v>120</v>
      </c>
      <c r="J21" s="2">
        <f t="shared" si="11"/>
        <v>700</v>
      </c>
      <c r="K21" s="4">
        <f t="shared" si="10"/>
        <v>35</v>
      </c>
    </row>
    <row r="22">
      <c r="B22" s="2" t="str">
        <f>IFERROR(__xludf.DUMMYFUNCTION("""COMPUTED_VALUE"""),"Potato")</f>
        <v>Potato</v>
      </c>
      <c r="C22" s="2">
        <f>IFERROR(__xludf.DUMMYFUNCTION("""COMPUTED_VALUE"""),50.0)</f>
        <v>50</v>
      </c>
      <c r="D22" s="2">
        <f>IFERROR(__xludf.DUMMYFUNCTION("""COMPUTED_VALUE"""),80.0)</f>
        <v>80</v>
      </c>
      <c r="E22" s="2">
        <f>IFERROR(__xludf.DUMMYFUNCTION("""COMPUTED_VALUE"""),6.0)</f>
        <v>6</v>
      </c>
      <c r="F22" s="3" t="str">
        <f>IFERROR(__xludf.DUMMYFUNCTION("""COMPUTED_VALUE"""),"NA")</f>
        <v>NA</v>
      </c>
      <c r="G22" s="1" t="s">
        <v>57</v>
      </c>
      <c r="H22" s="2" t="str">
        <f t="shared" si="8"/>
        <v>Preserve Jar</v>
      </c>
      <c r="I22" s="2">
        <f t="shared" si="9"/>
        <v>210</v>
      </c>
      <c r="J22" s="2">
        <f t="shared" si="11"/>
        <v>640</v>
      </c>
      <c r="K22" s="4">
        <f t="shared" si="10"/>
        <v>12.8</v>
      </c>
    </row>
    <row r="23">
      <c r="B23" s="2" t="str">
        <f>IFERROR(__xludf.DUMMYFUNCTION("""COMPUTED_VALUE"""),"Rhubarb")</f>
        <v>Rhubarb</v>
      </c>
      <c r="C23" s="2">
        <f>IFERROR(__xludf.DUMMYFUNCTION("""COMPUTED_VALUE"""),100.0)</f>
        <v>100</v>
      </c>
      <c r="D23" s="2">
        <f>IFERROR(__xludf.DUMMYFUNCTION("""COMPUTED_VALUE"""),220.0)</f>
        <v>220</v>
      </c>
      <c r="E23" s="2">
        <f>IFERROR(__xludf.DUMMYFUNCTION("""COMPUTED_VALUE"""),13.0)</f>
        <v>13</v>
      </c>
      <c r="F23" s="3" t="str">
        <f>IFERROR(__xludf.DUMMYFUNCTION("""COMPUTED_VALUE"""),"NA")</f>
        <v>NA</v>
      </c>
      <c r="G23" s="1" t="s">
        <v>58</v>
      </c>
      <c r="H23" s="2" t="str">
        <f t="shared" si="8"/>
        <v>Keg</v>
      </c>
      <c r="I23" s="2">
        <f t="shared" si="9"/>
        <v>660</v>
      </c>
      <c r="J23" s="2">
        <f t="shared" si="11"/>
        <v>1120</v>
      </c>
      <c r="K23" s="4">
        <f t="shared" si="10"/>
        <v>11.2</v>
      </c>
    </row>
    <row r="24">
      <c r="B24" s="2" t="str">
        <f>IFERROR(__xludf.DUMMYFUNCTION("""COMPUTED_VALUE"""),"Strawberry")</f>
        <v>Strawberry</v>
      </c>
      <c r="C24" s="2">
        <f>IFERROR(__xludf.DUMMYFUNCTION("""COMPUTED_VALUE"""),100.0)</f>
        <v>100</v>
      </c>
      <c r="D24" s="2">
        <f>IFERROR(__xludf.DUMMYFUNCTION("""COMPUTED_VALUE"""),120.0)</f>
        <v>120</v>
      </c>
      <c r="E24" s="2">
        <f>IFERROR(__xludf.DUMMYFUNCTION("""COMPUTED_VALUE"""),8.0)</f>
        <v>8</v>
      </c>
      <c r="F24" s="3">
        <f>IFERROR(__xludf.DUMMYFUNCTION("""COMPUTED_VALUE"""),4.0)</f>
        <v>4</v>
      </c>
      <c r="G24" s="1" t="s">
        <v>58</v>
      </c>
      <c r="H24" s="2" t="str">
        <f t="shared" si="8"/>
        <v>Keg</v>
      </c>
      <c r="I24" s="2">
        <f t="shared" si="9"/>
        <v>360</v>
      </c>
      <c r="J24" s="2">
        <f t="shared" si="11"/>
        <v>1700</v>
      </c>
      <c r="K24" s="4">
        <f t="shared" si="10"/>
        <v>17</v>
      </c>
    </row>
    <row r="25">
      <c r="B25" s="2" t="str">
        <f>IFERROR(__xludf.DUMMYFUNCTION("""COMPUTED_VALUE"""),"Tulip")</f>
        <v>Tulip</v>
      </c>
      <c r="C25" s="2">
        <f>IFERROR(__xludf.DUMMYFUNCTION("""COMPUTED_VALUE"""),20.0)</f>
        <v>20</v>
      </c>
      <c r="D25" s="2">
        <f>IFERROR(__xludf.DUMMYFUNCTION("""COMPUTED_VALUE"""),30.0)</f>
        <v>30</v>
      </c>
      <c r="E25" s="2">
        <f>IFERROR(__xludf.DUMMYFUNCTION("""COMPUTED_VALUE"""),6.0)</f>
        <v>6</v>
      </c>
      <c r="F25" s="3" t="str">
        <f>IFERROR(__xludf.DUMMYFUNCTION("""COMPUTED_VALUE"""),"NA")</f>
        <v>NA</v>
      </c>
      <c r="G25" s="1" t="s">
        <v>56</v>
      </c>
      <c r="H25" s="2" t="str">
        <f t="shared" si="8"/>
        <v>Bees</v>
      </c>
      <c r="I25" s="2" t="str">
        <f t="shared" si="9"/>
        <v>See Below</v>
      </c>
      <c r="J25" s="2" t="str">
        <f t="shared" si="11"/>
        <v>#VALUE!</v>
      </c>
      <c r="K25" s="4" t="str">
        <f t="shared" si="10"/>
        <v>#VALUE!</v>
      </c>
    </row>
    <row r="26">
      <c r="B26" s="2" t="str">
        <f>IFERROR(__xludf.DUMMYFUNCTION("""COMPUTED_VALUE"""),"Unmilled Rice")</f>
        <v>Unmilled Rice</v>
      </c>
      <c r="C26" s="2">
        <f>IFERROR(__xludf.DUMMYFUNCTION("""COMPUTED_VALUE"""),40.0)</f>
        <v>40</v>
      </c>
      <c r="D26" s="2">
        <f>IFERROR(__xludf.DUMMYFUNCTION("""COMPUTED_VALUE"""),30.0)</f>
        <v>30</v>
      </c>
      <c r="E26" s="2">
        <f>IFERROR(__xludf.DUMMYFUNCTION("""COMPUTED_VALUE"""),8.0)</f>
        <v>8</v>
      </c>
      <c r="F26" s="3" t="str">
        <f>IFERROR(__xludf.DUMMYFUNCTION("""COMPUTED_VALUE"""),"NA")</f>
        <v>NA</v>
      </c>
      <c r="G26" s="1" t="s">
        <v>59</v>
      </c>
      <c r="H26" s="2" t="str">
        <f t="shared" si="8"/>
        <v>Mill</v>
      </c>
      <c r="I26" s="2">
        <f t="shared" si="9"/>
        <v>100</v>
      </c>
      <c r="J26" s="2">
        <f t="shared" si="11"/>
        <v>180</v>
      </c>
      <c r="K26" s="4">
        <f t="shared" si="10"/>
        <v>4.5</v>
      </c>
    </row>
    <row r="27">
      <c r="B27" s="2" t="str">
        <f>IFERROR(__xludf.DUMMYFUNCTION("""COMPUTED_VALUE"""),"Unmilled Rice")</f>
        <v>Unmilled Rice</v>
      </c>
      <c r="C27" s="2">
        <f>IFERROR(__xludf.DUMMYFUNCTION("""COMPUTED_VALUE"""),40.0)</f>
        <v>40</v>
      </c>
      <c r="D27" s="2">
        <f>IFERROR(__xludf.DUMMYFUNCTION("""COMPUTED_VALUE"""),30.0)</f>
        <v>30</v>
      </c>
      <c r="E27" s="2">
        <f>IFERROR(__xludf.DUMMYFUNCTION("""COMPUTED_VALUE"""),6.0)</f>
        <v>6</v>
      </c>
      <c r="F27" s="3" t="str">
        <f>IFERROR(__xludf.DUMMYFUNCTION("""COMPUTED_VALUE"""),"NA")</f>
        <v>NA</v>
      </c>
      <c r="G27" s="1" t="s">
        <v>59</v>
      </c>
      <c r="H27" s="2" t="str">
        <f t="shared" si="8"/>
        <v>Mill</v>
      </c>
      <c r="I27" s="2">
        <f t="shared" si="9"/>
        <v>100</v>
      </c>
      <c r="J27" s="2">
        <f t="shared" si="11"/>
        <v>240</v>
      </c>
      <c r="K27" s="4">
        <f t="shared" si="10"/>
        <v>6</v>
      </c>
    </row>
    <row r="28">
      <c r="K28" s="4"/>
    </row>
    <row r="29">
      <c r="F29" s="1" t="s">
        <v>1</v>
      </c>
      <c r="G29" s="1" t="s">
        <v>2</v>
      </c>
      <c r="H29" s="1" t="s">
        <v>60</v>
      </c>
      <c r="I29" s="1" t="s">
        <v>61</v>
      </c>
      <c r="J29" s="1" t="s">
        <v>54</v>
      </c>
      <c r="K29" s="1" t="s">
        <v>55</v>
      </c>
    </row>
    <row r="30">
      <c r="F30" s="1" t="s">
        <v>7</v>
      </c>
      <c r="G30" s="1">
        <v>30.0</v>
      </c>
      <c r="H30" s="1">
        <v>200.0</v>
      </c>
      <c r="I30" s="1">
        <f t="shared" ref="I30:I31" si="12"> $H30 * 6</f>
        <v>1200</v>
      </c>
      <c r="J30" s="2">
        <f t="shared" ref="J30:J31" si="13"> $I30 - $G30</f>
        <v>1170</v>
      </c>
      <c r="K30" s="4">
        <f t="shared" ref="K30:K31" si="14"> $J30 / $G30</f>
        <v>39</v>
      </c>
    </row>
    <row r="31">
      <c r="F31" s="1" t="s">
        <v>17</v>
      </c>
      <c r="G31" s="1">
        <v>20.0</v>
      </c>
      <c r="H31" s="1">
        <v>160.0</v>
      </c>
      <c r="I31" s="1">
        <f t="shared" si="12"/>
        <v>960</v>
      </c>
      <c r="J31" s="2">
        <f t="shared" si="13"/>
        <v>940</v>
      </c>
      <c r="K31" s="4">
        <f t="shared" si="14"/>
        <v>47</v>
      </c>
    </row>
  </sheetData>
  <conditionalFormatting sqref="J2:J14">
    <cfRule type="colorScale" priority="1">
      <colorScale>
        <cfvo type="min"/>
        <cfvo type="max"/>
        <color rgb="FFFFFFFF"/>
        <color rgb="FF57BB8A"/>
      </colorScale>
    </cfRule>
  </conditionalFormatting>
  <conditionalFormatting sqref="K2:K14">
    <cfRule type="colorScale" priority="2">
      <colorScale>
        <cfvo type="min"/>
        <cfvo type="max"/>
        <color rgb="FFFFFFFF"/>
        <color rgb="FFFFD666"/>
      </colorScale>
    </cfRule>
  </conditionalFormatting>
  <conditionalFormatting sqref="J16:J31 E32:E34 J34:J35 E36:E38 J38:J39">
    <cfRule type="colorScale" priority="3">
      <colorScale>
        <cfvo type="min"/>
        <cfvo type="max"/>
        <color rgb="FFFFFFFF"/>
        <color rgb="FF57BB8A"/>
      </colorScale>
    </cfRule>
  </conditionalFormatting>
  <conditionalFormatting sqref="K16:K31 F32 K34:K35 F36 K38:K39">
    <cfRule type="colorScale" priority="4">
      <colorScale>
        <cfvo type="min"/>
        <cfvo type="max"/>
        <color rgb="FFFFFFFF"/>
        <color rgb="FFFFD666"/>
      </colorScale>
    </cfRule>
  </conditionalFormatting>
  <dataValidations>
    <dataValidation type="list" allowBlank="1" sqref="G16:G27">
      <formula1>"vegetable,fruit,hops,wheat,flower,grain"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5.75"/>
    <col customWidth="1" min="4" max="4" width="21.63"/>
    <col customWidth="1" min="5" max="5" width="16.75"/>
    <col customWidth="1" min="6" max="6" width="13.25"/>
    <col customWidth="1" min="7" max="7" width="16.88"/>
    <col customWidth="1" min="8" max="8" width="21.25"/>
    <col customWidth="1" min="9" max="9" width="22.5"/>
    <col customWidth="1" min="10" max="11" width="31.75"/>
    <col customWidth="1" min="12" max="22" width="20.0"/>
  </cols>
  <sheetData>
    <row r="1">
      <c r="A1" s="2" t="str">
        <f>IFERROR(__xludf.DUMMYFUNCTION("QUERY(headers)"),"plant_name")</f>
        <v>plant_name</v>
      </c>
      <c r="B1" s="2" t="str">
        <f>IFERROR(__xludf.DUMMYFUNCTION("""COMPUTED_VALUE"""),"seed_cost")</f>
        <v>seed_cost</v>
      </c>
      <c r="C1" s="2" t="str">
        <f>IFERROR(__xludf.DUMMYFUNCTION("""COMPUTED_VALUE"""),"crop_sell_price")</f>
        <v>crop_sell_price</v>
      </c>
      <c r="D1" s="2" t="str">
        <f>IFERROR(__xludf.DUMMYFUNCTION("""COMPUTED_VALUE"""),"time_until_harvest")</f>
        <v>time_until_harvest</v>
      </c>
      <c r="E1" s="2" t="str">
        <f>IFERROR(__xludf.DUMMYFUNCTION("""COMPUTED_VALUE"""),"time_until_regrowth")</f>
        <v>time_until_regrowth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</row>
    <row r="2">
      <c r="A2" s="2" t="str">
        <f>IFERROR(__xludf.DUMMYFUNCTION("filter(plant_data, seasons = ""Summer"")"),"Blueberry")</f>
        <v>Blueberry</v>
      </c>
      <c r="B2" s="2">
        <f>IFERROR(__xludf.DUMMYFUNCTION("""COMPUTED_VALUE"""),80.0)</f>
        <v>80</v>
      </c>
      <c r="C2" s="2">
        <f>IFERROR(__xludf.DUMMYFUNCTION("""COMPUTED_VALUE"""),50.0)</f>
        <v>50</v>
      </c>
      <c r="D2" s="2">
        <f>IFERROR(__xludf.DUMMYFUNCTION("""COMPUTED_VALUE"""),13.0)</f>
        <v>13</v>
      </c>
      <c r="E2" s="3">
        <f>IFERROR(__xludf.DUMMYFUNCTION("""COMPUTED_VALUE"""),4.0)</f>
        <v>4</v>
      </c>
      <c r="F2" s="2">
        <f t="shared" ref="F2:F14" si="1">IF($E2 &lt;&gt; "NA", 1, QUOTIENT(28,$D2))</f>
        <v>1</v>
      </c>
      <c r="G2" s="2">
        <f t="shared" ref="G2:G14" si="2">IF($F2 &gt; 1, $F2, (28-$D2)/$E2)</f>
        <v>3.75</v>
      </c>
      <c r="H2" s="1">
        <f t="shared" ref="H2:H14" si="3">$F2 * $B2</f>
        <v>80</v>
      </c>
      <c r="I2" s="2">
        <f t="shared" ref="I2:I14" si="4"> $G2 * $C2</f>
        <v>187.5</v>
      </c>
      <c r="J2" s="2">
        <f t="shared" ref="J2:J14" si="5"> $I2 - $H2</f>
        <v>107.5</v>
      </c>
      <c r="K2" s="4">
        <f t="shared" ref="K2:K14" si="6"> $J2 / $H2</f>
        <v>1.34375</v>
      </c>
      <c r="L2" s="2">
        <f t="shared" ref="L2:L13" si="7">$J2 / 28</f>
        <v>3.839285714</v>
      </c>
    </row>
    <row r="3">
      <c r="A3" s="2" t="str">
        <f>IFERROR(__xludf.DUMMYFUNCTION("""COMPUTED_VALUE"""),"Corn")</f>
        <v>Corn</v>
      </c>
      <c r="B3" s="2">
        <f>IFERROR(__xludf.DUMMYFUNCTION("""COMPUTED_VALUE"""),150.0)</f>
        <v>150</v>
      </c>
      <c r="C3" s="2">
        <f>IFERROR(__xludf.DUMMYFUNCTION("""COMPUTED_VALUE"""),50.0)</f>
        <v>50</v>
      </c>
      <c r="D3" s="2">
        <f>IFERROR(__xludf.DUMMYFUNCTION("""COMPUTED_VALUE"""),14.0)</f>
        <v>14</v>
      </c>
      <c r="E3" s="3">
        <f>IFERROR(__xludf.DUMMYFUNCTION("""COMPUTED_VALUE"""),4.0)</f>
        <v>4</v>
      </c>
      <c r="F3" s="2">
        <f t="shared" si="1"/>
        <v>1</v>
      </c>
      <c r="G3" s="2">
        <f t="shared" si="2"/>
        <v>3.5</v>
      </c>
      <c r="H3" s="1">
        <f t="shared" si="3"/>
        <v>150</v>
      </c>
      <c r="I3" s="2">
        <f t="shared" si="4"/>
        <v>175</v>
      </c>
      <c r="J3" s="2">
        <f t="shared" si="5"/>
        <v>25</v>
      </c>
      <c r="K3" s="4">
        <f t="shared" si="6"/>
        <v>0.1666666667</v>
      </c>
      <c r="L3" s="2">
        <f t="shared" si="7"/>
        <v>0.8928571429</v>
      </c>
    </row>
    <row r="4">
      <c r="A4" s="2" t="str">
        <f>IFERROR(__xludf.DUMMYFUNCTION("""COMPUTED_VALUE"""),"Hops")</f>
        <v>Hops</v>
      </c>
      <c r="B4" s="2">
        <f>IFERROR(__xludf.DUMMYFUNCTION("""COMPUTED_VALUE"""),60.0)</f>
        <v>60</v>
      </c>
      <c r="C4" s="2">
        <f>IFERROR(__xludf.DUMMYFUNCTION("""COMPUTED_VALUE"""),25.0)</f>
        <v>25</v>
      </c>
      <c r="D4" s="2">
        <f>IFERROR(__xludf.DUMMYFUNCTION("""COMPUTED_VALUE"""),11.0)</f>
        <v>11</v>
      </c>
      <c r="E4" s="3">
        <f>IFERROR(__xludf.DUMMYFUNCTION("""COMPUTED_VALUE"""),1.0)</f>
        <v>1</v>
      </c>
      <c r="F4" s="2">
        <f t="shared" si="1"/>
        <v>1</v>
      </c>
      <c r="G4" s="2">
        <f t="shared" si="2"/>
        <v>17</v>
      </c>
      <c r="H4" s="1">
        <f t="shared" si="3"/>
        <v>60</v>
      </c>
      <c r="I4" s="2">
        <f t="shared" si="4"/>
        <v>425</v>
      </c>
      <c r="J4" s="2">
        <f t="shared" si="5"/>
        <v>365</v>
      </c>
      <c r="K4" s="4">
        <f t="shared" si="6"/>
        <v>6.083333333</v>
      </c>
      <c r="L4" s="2">
        <f t="shared" si="7"/>
        <v>13.03571429</v>
      </c>
    </row>
    <row r="5">
      <c r="A5" s="2" t="str">
        <f>IFERROR(__xludf.DUMMYFUNCTION("""COMPUTED_VALUE"""),"Hot Pepper")</f>
        <v>Hot Pepper</v>
      </c>
      <c r="B5" s="2">
        <f>IFERROR(__xludf.DUMMYFUNCTION("""COMPUTED_VALUE"""),40.0)</f>
        <v>40</v>
      </c>
      <c r="C5" s="2">
        <f>IFERROR(__xludf.DUMMYFUNCTION("""COMPUTED_VALUE"""),40.0)</f>
        <v>40</v>
      </c>
      <c r="D5" s="2">
        <f>IFERROR(__xludf.DUMMYFUNCTION("""COMPUTED_VALUE"""),5.0)</f>
        <v>5</v>
      </c>
      <c r="E5" s="3">
        <f>IFERROR(__xludf.DUMMYFUNCTION("""COMPUTED_VALUE"""),3.0)</f>
        <v>3</v>
      </c>
      <c r="F5" s="2">
        <f t="shared" si="1"/>
        <v>1</v>
      </c>
      <c r="G5" s="2">
        <f t="shared" si="2"/>
        <v>7.666666667</v>
      </c>
      <c r="H5" s="1">
        <f t="shared" si="3"/>
        <v>40</v>
      </c>
      <c r="I5" s="2">
        <f t="shared" si="4"/>
        <v>306.6666667</v>
      </c>
      <c r="J5" s="2">
        <f t="shared" si="5"/>
        <v>266.6666667</v>
      </c>
      <c r="K5" s="4">
        <f t="shared" si="6"/>
        <v>6.666666667</v>
      </c>
      <c r="L5" s="2">
        <f t="shared" si="7"/>
        <v>9.523809524</v>
      </c>
    </row>
    <row r="6">
      <c r="A6" s="2" t="str">
        <f>IFERROR(__xludf.DUMMYFUNCTION("""COMPUTED_VALUE"""),"Melon")</f>
        <v>Melon</v>
      </c>
      <c r="B6" s="2">
        <f>IFERROR(__xludf.DUMMYFUNCTION("""COMPUTED_VALUE"""),80.0)</f>
        <v>80</v>
      </c>
      <c r="C6" s="2">
        <f>IFERROR(__xludf.DUMMYFUNCTION("""COMPUTED_VALUE"""),250.0)</f>
        <v>250</v>
      </c>
      <c r="D6" s="2">
        <f>IFERROR(__xludf.DUMMYFUNCTION("""COMPUTED_VALUE"""),12.0)</f>
        <v>12</v>
      </c>
      <c r="E6" s="3" t="str">
        <f>IFERROR(__xludf.DUMMYFUNCTION("""COMPUTED_VALUE"""),"NA")</f>
        <v>NA</v>
      </c>
      <c r="F6" s="2">
        <f t="shared" si="1"/>
        <v>2</v>
      </c>
      <c r="G6" s="2">
        <f t="shared" si="2"/>
        <v>2</v>
      </c>
      <c r="H6" s="1">
        <f t="shared" si="3"/>
        <v>160</v>
      </c>
      <c r="I6" s="2">
        <f t="shared" si="4"/>
        <v>500</v>
      </c>
      <c r="J6" s="2">
        <f t="shared" si="5"/>
        <v>340</v>
      </c>
      <c r="K6" s="4">
        <f t="shared" si="6"/>
        <v>2.125</v>
      </c>
      <c r="L6" s="2">
        <f t="shared" si="7"/>
        <v>12.14285714</v>
      </c>
    </row>
    <row r="7">
      <c r="A7" s="2" t="str">
        <f>IFERROR(__xludf.DUMMYFUNCTION("""COMPUTED_VALUE"""),"Poppy")</f>
        <v>Poppy</v>
      </c>
      <c r="B7" s="2">
        <f>IFERROR(__xludf.DUMMYFUNCTION("""COMPUTED_VALUE"""),100.0)</f>
        <v>100</v>
      </c>
      <c r="C7" s="2">
        <f>IFERROR(__xludf.DUMMYFUNCTION("""COMPUTED_VALUE"""),140.0)</f>
        <v>140</v>
      </c>
      <c r="D7" s="2">
        <f>IFERROR(__xludf.DUMMYFUNCTION("""COMPUTED_VALUE"""),7.0)</f>
        <v>7</v>
      </c>
      <c r="E7" s="3" t="str">
        <f>IFERROR(__xludf.DUMMYFUNCTION("""COMPUTED_VALUE"""),"NA")</f>
        <v>NA</v>
      </c>
      <c r="F7" s="2">
        <f t="shared" si="1"/>
        <v>4</v>
      </c>
      <c r="G7" s="2">
        <f t="shared" si="2"/>
        <v>4</v>
      </c>
      <c r="H7" s="1">
        <f t="shared" si="3"/>
        <v>400</v>
      </c>
      <c r="I7" s="2">
        <f t="shared" si="4"/>
        <v>560</v>
      </c>
      <c r="J7" s="2">
        <f t="shared" si="5"/>
        <v>160</v>
      </c>
      <c r="K7" s="4">
        <f t="shared" si="6"/>
        <v>0.4</v>
      </c>
      <c r="L7" s="2">
        <f t="shared" si="7"/>
        <v>5.714285714</v>
      </c>
    </row>
    <row r="8">
      <c r="A8" s="2" t="str">
        <f>IFERROR(__xludf.DUMMYFUNCTION("""COMPUTED_VALUE"""),"Radish")</f>
        <v>Radish</v>
      </c>
      <c r="B8" s="2">
        <f>IFERROR(__xludf.DUMMYFUNCTION("""COMPUTED_VALUE"""),40.0)</f>
        <v>40</v>
      </c>
      <c r="C8" s="2">
        <f>IFERROR(__xludf.DUMMYFUNCTION("""COMPUTED_VALUE"""),90.0)</f>
        <v>90</v>
      </c>
      <c r="D8" s="2">
        <f>IFERROR(__xludf.DUMMYFUNCTION("""COMPUTED_VALUE"""),6.0)</f>
        <v>6</v>
      </c>
      <c r="E8" s="3" t="str">
        <f>IFERROR(__xludf.DUMMYFUNCTION("""COMPUTED_VALUE"""),"NA")</f>
        <v>NA</v>
      </c>
      <c r="F8" s="2">
        <f t="shared" si="1"/>
        <v>4</v>
      </c>
      <c r="G8" s="2">
        <f t="shared" si="2"/>
        <v>4</v>
      </c>
      <c r="H8" s="1">
        <f t="shared" si="3"/>
        <v>160</v>
      </c>
      <c r="I8" s="2">
        <f t="shared" si="4"/>
        <v>360</v>
      </c>
      <c r="J8" s="2">
        <f t="shared" si="5"/>
        <v>200</v>
      </c>
      <c r="K8" s="4">
        <f t="shared" si="6"/>
        <v>1.25</v>
      </c>
      <c r="L8" s="2">
        <f t="shared" si="7"/>
        <v>7.142857143</v>
      </c>
    </row>
    <row r="9">
      <c r="A9" s="2" t="str">
        <f>IFERROR(__xludf.DUMMYFUNCTION("""COMPUTED_VALUE"""),"Red Cabbage")</f>
        <v>Red Cabbage</v>
      </c>
      <c r="B9" s="2">
        <f>IFERROR(__xludf.DUMMYFUNCTION("""COMPUTED_VALUE"""),100.0)</f>
        <v>100</v>
      </c>
      <c r="C9" s="2">
        <f>IFERROR(__xludf.DUMMYFUNCTION("""COMPUTED_VALUE"""),260.0)</f>
        <v>260</v>
      </c>
      <c r="D9" s="2">
        <f>IFERROR(__xludf.DUMMYFUNCTION("""COMPUTED_VALUE"""),9.0)</f>
        <v>9</v>
      </c>
      <c r="E9" s="3" t="str">
        <f>IFERROR(__xludf.DUMMYFUNCTION("""COMPUTED_VALUE"""),"NA")</f>
        <v>NA</v>
      </c>
      <c r="F9" s="2">
        <f t="shared" si="1"/>
        <v>3</v>
      </c>
      <c r="G9" s="2">
        <f t="shared" si="2"/>
        <v>3</v>
      </c>
      <c r="H9" s="1">
        <f t="shared" si="3"/>
        <v>300</v>
      </c>
      <c r="I9" s="2">
        <f t="shared" si="4"/>
        <v>780</v>
      </c>
      <c r="J9" s="2">
        <f t="shared" si="5"/>
        <v>480</v>
      </c>
      <c r="K9" s="4">
        <f t="shared" si="6"/>
        <v>1.6</v>
      </c>
      <c r="L9" s="2">
        <f t="shared" si="7"/>
        <v>17.14285714</v>
      </c>
    </row>
    <row r="10">
      <c r="A10" s="2" t="str">
        <f>IFERROR(__xludf.DUMMYFUNCTION("""COMPUTED_VALUE"""),"Starfruit")</f>
        <v>Starfruit</v>
      </c>
      <c r="B10" s="2">
        <f>IFERROR(__xludf.DUMMYFUNCTION("""COMPUTED_VALUE"""),400.0)</f>
        <v>400</v>
      </c>
      <c r="C10" s="2">
        <f>IFERROR(__xludf.DUMMYFUNCTION("""COMPUTED_VALUE"""),750.0)</f>
        <v>750</v>
      </c>
      <c r="D10" s="2">
        <f>IFERROR(__xludf.DUMMYFUNCTION("""COMPUTED_VALUE"""),13.0)</f>
        <v>13</v>
      </c>
      <c r="E10" s="3" t="str">
        <f>IFERROR(__xludf.DUMMYFUNCTION("""COMPUTED_VALUE"""),"NA")</f>
        <v>NA</v>
      </c>
      <c r="F10" s="2">
        <f t="shared" si="1"/>
        <v>2</v>
      </c>
      <c r="G10" s="2">
        <f t="shared" si="2"/>
        <v>2</v>
      </c>
      <c r="H10" s="1">
        <f t="shared" si="3"/>
        <v>800</v>
      </c>
      <c r="I10" s="2">
        <f t="shared" si="4"/>
        <v>1500</v>
      </c>
      <c r="J10" s="2">
        <f t="shared" si="5"/>
        <v>700</v>
      </c>
      <c r="K10" s="4">
        <f t="shared" si="6"/>
        <v>0.875</v>
      </c>
      <c r="L10" s="2">
        <f t="shared" si="7"/>
        <v>25</v>
      </c>
    </row>
    <row r="11">
      <c r="A11" s="2" t="str">
        <f>IFERROR(__xludf.DUMMYFUNCTION("""COMPUTED_VALUE"""),"Summer Spangle")</f>
        <v>Summer Spangle</v>
      </c>
      <c r="B11" s="2">
        <f>IFERROR(__xludf.DUMMYFUNCTION("""COMPUTED_VALUE"""),50.0)</f>
        <v>50</v>
      </c>
      <c r="C11" s="2">
        <f>IFERROR(__xludf.DUMMYFUNCTION("""COMPUTED_VALUE"""),90.0)</f>
        <v>90</v>
      </c>
      <c r="D11" s="2">
        <f>IFERROR(__xludf.DUMMYFUNCTION("""COMPUTED_VALUE"""),8.0)</f>
        <v>8</v>
      </c>
      <c r="E11" s="3" t="str">
        <f>IFERROR(__xludf.DUMMYFUNCTION("""COMPUTED_VALUE"""),"NA")</f>
        <v>NA</v>
      </c>
      <c r="F11" s="2">
        <f t="shared" si="1"/>
        <v>3</v>
      </c>
      <c r="G11" s="2">
        <f t="shared" si="2"/>
        <v>3</v>
      </c>
      <c r="H11" s="1">
        <f t="shared" si="3"/>
        <v>150</v>
      </c>
      <c r="I11" s="2">
        <f t="shared" si="4"/>
        <v>270</v>
      </c>
      <c r="J11" s="2">
        <f t="shared" si="5"/>
        <v>120</v>
      </c>
      <c r="K11" s="4">
        <f t="shared" si="6"/>
        <v>0.8</v>
      </c>
      <c r="L11" s="2">
        <f t="shared" si="7"/>
        <v>4.285714286</v>
      </c>
    </row>
    <row r="12">
      <c r="A12" s="2" t="str">
        <f>IFERROR(__xludf.DUMMYFUNCTION("""COMPUTED_VALUE"""),"Sunflower")</f>
        <v>Sunflower</v>
      </c>
      <c r="B12" s="2">
        <f>IFERROR(__xludf.DUMMYFUNCTION("""COMPUTED_VALUE"""),200.0)</f>
        <v>200</v>
      </c>
      <c r="C12" s="2">
        <f>IFERROR(__xludf.DUMMYFUNCTION("""COMPUTED_VALUE"""),80.0)</f>
        <v>80</v>
      </c>
      <c r="D12" s="2">
        <f>IFERROR(__xludf.DUMMYFUNCTION("""COMPUTED_VALUE"""),8.0)</f>
        <v>8</v>
      </c>
      <c r="E12" s="3" t="str">
        <f>IFERROR(__xludf.DUMMYFUNCTION("""COMPUTED_VALUE"""),"NA")</f>
        <v>NA</v>
      </c>
      <c r="F12" s="2">
        <f t="shared" si="1"/>
        <v>3</v>
      </c>
      <c r="G12" s="2">
        <f t="shared" si="2"/>
        <v>3</v>
      </c>
      <c r="H12" s="1">
        <f t="shared" si="3"/>
        <v>600</v>
      </c>
      <c r="I12" s="2">
        <f t="shared" si="4"/>
        <v>240</v>
      </c>
      <c r="J12" s="2">
        <f t="shared" si="5"/>
        <v>-360</v>
      </c>
      <c r="K12" s="4">
        <f t="shared" si="6"/>
        <v>-0.6</v>
      </c>
      <c r="L12" s="2">
        <f t="shared" si="7"/>
        <v>-12.85714286</v>
      </c>
    </row>
    <row r="13">
      <c r="A13" s="2" t="str">
        <f>IFERROR(__xludf.DUMMYFUNCTION("""COMPUTED_VALUE"""),"Tomato")</f>
        <v>Tomato</v>
      </c>
      <c r="B13" s="2">
        <f>IFERROR(__xludf.DUMMYFUNCTION("""COMPUTED_VALUE"""),50.0)</f>
        <v>50</v>
      </c>
      <c r="C13" s="2">
        <f>IFERROR(__xludf.DUMMYFUNCTION("""COMPUTED_VALUE"""),60.0)</f>
        <v>60</v>
      </c>
      <c r="D13" s="2">
        <f>IFERROR(__xludf.DUMMYFUNCTION("""COMPUTED_VALUE"""),11.0)</f>
        <v>11</v>
      </c>
      <c r="E13" s="3">
        <f>IFERROR(__xludf.DUMMYFUNCTION("""COMPUTED_VALUE"""),4.0)</f>
        <v>4</v>
      </c>
      <c r="F13" s="2">
        <f t="shared" si="1"/>
        <v>1</v>
      </c>
      <c r="G13" s="2">
        <f t="shared" si="2"/>
        <v>4.25</v>
      </c>
      <c r="H13" s="1">
        <f t="shared" si="3"/>
        <v>50</v>
      </c>
      <c r="I13" s="2">
        <f t="shared" si="4"/>
        <v>255</v>
      </c>
      <c r="J13" s="2">
        <f t="shared" si="5"/>
        <v>205</v>
      </c>
      <c r="K13" s="4">
        <f t="shared" si="6"/>
        <v>4.1</v>
      </c>
      <c r="L13" s="2">
        <f t="shared" si="7"/>
        <v>7.321428571</v>
      </c>
    </row>
    <row r="14">
      <c r="A14" s="2" t="str">
        <f>IFERROR(__xludf.DUMMYFUNCTION("""COMPUTED_VALUE"""),"Wheat")</f>
        <v>Wheat</v>
      </c>
      <c r="B14" s="2">
        <f>IFERROR(__xludf.DUMMYFUNCTION("""COMPUTED_VALUE"""),10.0)</f>
        <v>10</v>
      </c>
      <c r="C14" s="2">
        <f>IFERROR(__xludf.DUMMYFUNCTION("""COMPUTED_VALUE"""),25.0)</f>
        <v>25</v>
      </c>
      <c r="D14" s="2">
        <f>IFERROR(__xludf.DUMMYFUNCTION("""COMPUTED_VALUE"""),4.0)</f>
        <v>4</v>
      </c>
      <c r="E14" s="2" t="str">
        <f>IFERROR(__xludf.DUMMYFUNCTION("""COMPUTED_VALUE"""),"NA")</f>
        <v>NA</v>
      </c>
      <c r="F14" s="2">
        <f t="shared" si="1"/>
        <v>7</v>
      </c>
      <c r="G14" s="2">
        <f t="shared" si="2"/>
        <v>7</v>
      </c>
      <c r="H14" s="1">
        <f t="shared" si="3"/>
        <v>70</v>
      </c>
      <c r="I14" s="2">
        <f t="shared" si="4"/>
        <v>175</v>
      </c>
      <c r="J14" s="2">
        <f t="shared" si="5"/>
        <v>105</v>
      </c>
      <c r="K14" s="4">
        <f t="shared" si="6"/>
        <v>1.5</v>
      </c>
    </row>
    <row r="15">
      <c r="B15" s="2" t="str">
        <f>IFERROR(__xludf.DUMMYFUNCTION("QUERY(headers)"),"plant_name")</f>
        <v>plant_name</v>
      </c>
      <c r="C15" s="2" t="str">
        <f>IFERROR(__xludf.DUMMYFUNCTION("""COMPUTED_VALUE"""),"seed_cost")</f>
        <v>seed_cost</v>
      </c>
      <c r="D15" s="2" t="str">
        <f>IFERROR(__xludf.DUMMYFUNCTION("""COMPUTED_VALUE"""),"crop_sell_price")</f>
        <v>crop_sell_price</v>
      </c>
      <c r="E15" s="2" t="str">
        <f>IFERROR(__xludf.DUMMYFUNCTION("""COMPUTED_VALUE"""),"time_until_harvest")</f>
        <v>time_until_harvest</v>
      </c>
      <c r="F15" s="2" t="str">
        <f>IFERROR(__xludf.DUMMYFUNCTION("""COMPUTED_VALUE"""),"time_until_regrowth")</f>
        <v>time_until_regrowth</v>
      </c>
      <c r="G15" s="1" t="s">
        <v>51</v>
      </c>
      <c r="H15" s="1" t="s">
        <v>52</v>
      </c>
      <c r="I15" s="1" t="s">
        <v>53</v>
      </c>
      <c r="J15" s="1" t="s">
        <v>54</v>
      </c>
      <c r="K15" s="1" t="s">
        <v>55</v>
      </c>
    </row>
    <row r="16">
      <c r="B16" s="2" t="str">
        <f>IFERROR(__xludf.DUMMYFUNCTION("filter(plant_data, seasons = ""Summer"")"),"Blueberry")</f>
        <v>Blueberry</v>
      </c>
      <c r="C16" s="2">
        <f>IFERROR(__xludf.DUMMYFUNCTION("""COMPUTED_VALUE"""),80.0)</f>
        <v>80</v>
      </c>
      <c r="D16" s="2">
        <f>IFERROR(__xludf.DUMMYFUNCTION("""COMPUTED_VALUE"""),50.0)</f>
        <v>50</v>
      </c>
      <c r="E16" s="2">
        <f>IFERROR(__xludf.DUMMYFUNCTION("""COMPUTED_VALUE"""),13.0)</f>
        <v>13</v>
      </c>
      <c r="F16" s="3">
        <f>IFERROR(__xludf.DUMMYFUNCTION("""COMPUTED_VALUE"""),4.0)</f>
        <v>4</v>
      </c>
      <c r="G16" s="1" t="s">
        <v>58</v>
      </c>
      <c r="H16" s="2" t="str">
        <f t="shared" ref="H16:H28" si="8">IFS($G16 = "vegetable", "Preserve Jar", $G16 = "fruit", "Keg", $G16 = "wheat", "Keg (Beer)", $G16 = "hops", "Keg (Pale Ale)", $G16 = "flower", "Bees", $G16 = "grain", "Mill")</f>
        <v>Keg</v>
      </c>
      <c r="I16" s="2">
        <f t="shared" ref="I16:I28" si="9">IFS($H16 = "Bees", "See Below", $H16 = "Preserve Jar", ($D16 * 2) + 50, $H16 = "Keg", $D16 * 3, $G16 = "wheat", 200, $G16 = "hops", 300, $H16 = "mill", 100)</f>
        <v>150</v>
      </c>
      <c r="J16" s="2">
        <f> ($I16 * $G2) - $C16</f>
        <v>482.5</v>
      </c>
      <c r="K16" s="4">
        <f t="shared" ref="K16:K28" si="10"> $J16 / $C16</f>
        <v>6.03125</v>
      </c>
    </row>
    <row r="17">
      <c r="B17" s="2" t="str">
        <f>IFERROR(__xludf.DUMMYFUNCTION("""COMPUTED_VALUE"""),"Corn")</f>
        <v>Corn</v>
      </c>
      <c r="C17" s="2">
        <f>IFERROR(__xludf.DUMMYFUNCTION("""COMPUTED_VALUE"""),150.0)</f>
        <v>150</v>
      </c>
      <c r="D17" s="2">
        <f>IFERROR(__xludf.DUMMYFUNCTION("""COMPUTED_VALUE"""),50.0)</f>
        <v>50</v>
      </c>
      <c r="E17" s="2">
        <f>IFERROR(__xludf.DUMMYFUNCTION("""COMPUTED_VALUE"""),14.0)</f>
        <v>14</v>
      </c>
      <c r="F17" s="3">
        <f>IFERROR(__xludf.DUMMYFUNCTION("""COMPUTED_VALUE"""),4.0)</f>
        <v>4</v>
      </c>
      <c r="G17" s="1" t="s">
        <v>57</v>
      </c>
      <c r="H17" s="2" t="str">
        <f t="shared" si="8"/>
        <v>Preserve Jar</v>
      </c>
      <c r="I17" s="2">
        <f t="shared" si="9"/>
        <v>150</v>
      </c>
      <c r="J17" s="2">
        <f t="shared" ref="J17:J28" si="11"> ($I17 * $G3) - $H3</f>
        <v>375</v>
      </c>
      <c r="K17" s="4">
        <f t="shared" si="10"/>
        <v>2.5</v>
      </c>
    </row>
    <row r="18">
      <c r="B18" s="2" t="str">
        <f>IFERROR(__xludf.DUMMYFUNCTION("""COMPUTED_VALUE"""),"Hops")</f>
        <v>Hops</v>
      </c>
      <c r="C18" s="2">
        <f>IFERROR(__xludf.DUMMYFUNCTION("""COMPUTED_VALUE"""),60.0)</f>
        <v>60</v>
      </c>
      <c r="D18" s="2">
        <f>IFERROR(__xludf.DUMMYFUNCTION("""COMPUTED_VALUE"""),25.0)</f>
        <v>25</v>
      </c>
      <c r="E18" s="2">
        <f>IFERROR(__xludf.DUMMYFUNCTION("""COMPUTED_VALUE"""),11.0)</f>
        <v>11</v>
      </c>
      <c r="F18" s="3">
        <f>IFERROR(__xludf.DUMMYFUNCTION("""COMPUTED_VALUE"""),1.0)</f>
        <v>1</v>
      </c>
      <c r="G18" s="1" t="s">
        <v>62</v>
      </c>
      <c r="H18" s="2" t="str">
        <f t="shared" si="8"/>
        <v>Keg (Pale Ale)</v>
      </c>
      <c r="I18" s="2">
        <f t="shared" si="9"/>
        <v>300</v>
      </c>
      <c r="J18" s="2">
        <f t="shared" si="11"/>
        <v>5040</v>
      </c>
      <c r="K18" s="4">
        <f t="shared" si="10"/>
        <v>84</v>
      </c>
    </row>
    <row r="19">
      <c r="B19" s="2" t="str">
        <f>IFERROR(__xludf.DUMMYFUNCTION("""COMPUTED_VALUE"""),"Hot Pepper")</f>
        <v>Hot Pepper</v>
      </c>
      <c r="C19" s="2">
        <f>IFERROR(__xludf.DUMMYFUNCTION("""COMPUTED_VALUE"""),40.0)</f>
        <v>40</v>
      </c>
      <c r="D19" s="2">
        <f>IFERROR(__xludf.DUMMYFUNCTION("""COMPUTED_VALUE"""),40.0)</f>
        <v>40</v>
      </c>
      <c r="E19" s="2">
        <f>IFERROR(__xludf.DUMMYFUNCTION("""COMPUTED_VALUE"""),5.0)</f>
        <v>5</v>
      </c>
      <c r="F19" s="3">
        <f>IFERROR(__xludf.DUMMYFUNCTION("""COMPUTED_VALUE"""),3.0)</f>
        <v>3</v>
      </c>
      <c r="G19" s="1" t="s">
        <v>58</v>
      </c>
      <c r="H19" s="2" t="str">
        <f t="shared" si="8"/>
        <v>Keg</v>
      </c>
      <c r="I19" s="2">
        <f t="shared" si="9"/>
        <v>120</v>
      </c>
      <c r="J19" s="2">
        <f t="shared" si="11"/>
        <v>880</v>
      </c>
      <c r="K19" s="4">
        <f t="shared" si="10"/>
        <v>22</v>
      </c>
    </row>
    <row r="20">
      <c r="B20" s="2" t="str">
        <f>IFERROR(__xludf.DUMMYFUNCTION("""COMPUTED_VALUE"""),"Melon")</f>
        <v>Melon</v>
      </c>
      <c r="C20" s="2">
        <f>IFERROR(__xludf.DUMMYFUNCTION("""COMPUTED_VALUE"""),80.0)</f>
        <v>80</v>
      </c>
      <c r="D20" s="2">
        <f>IFERROR(__xludf.DUMMYFUNCTION("""COMPUTED_VALUE"""),250.0)</f>
        <v>250</v>
      </c>
      <c r="E20" s="2">
        <f>IFERROR(__xludf.DUMMYFUNCTION("""COMPUTED_VALUE"""),12.0)</f>
        <v>12</v>
      </c>
      <c r="F20" s="3" t="str">
        <f>IFERROR(__xludf.DUMMYFUNCTION("""COMPUTED_VALUE"""),"NA")</f>
        <v>NA</v>
      </c>
      <c r="G20" s="1" t="s">
        <v>58</v>
      </c>
      <c r="H20" s="2" t="str">
        <f t="shared" si="8"/>
        <v>Keg</v>
      </c>
      <c r="I20" s="2">
        <f t="shared" si="9"/>
        <v>750</v>
      </c>
      <c r="J20" s="2">
        <f t="shared" si="11"/>
        <v>1340</v>
      </c>
      <c r="K20" s="4">
        <f t="shared" si="10"/>
        <v>16.75</v>
      </c>
    </row>
    <row r="21">
      <c r="B21" s="2" t="str">
        <f>IFERROR(__xludf.DUMMYFUNCTION("""COMPUTED_VALUE"""),"Poppy")</f>
        <v>Poppy</v>
      </c>
      <c r="C21" s="2">
        <f>IFERROR(__xludf.DUMMYFUNCTION("""COMPUTED_VALUE"""),100.0)</f>
        <v>100</v>
      </c>
      <c r="D21" s="2">
        <f>IFERROR(__xludf.DUMMYFUNCTION("""COMPUTED_VALUE"""),140.0)</f>
        <v>140</v>
      </c>
      <c r="E21" s="2">
        <f>IFERROR(__xludf.DUMMYFUNCTION("""COMPUTED_VALUE"""),7.0)</f>
        <v>7</v>
      </c>
      <c r="F21" s="3" t="str">
        <f>IFERROR(__xludf.DUMMYFUNCTION("""COMPUTED_VALUE"""),"NA")</f>
        <v>NA</v>
      </c>
      <c r="G21" s="1" t="s">
        <v>56</v>
      </c>
      <c r="H21" s="2" t="str">
        <f t="shared" si="8"/>
        <v>Bees</v>
      </c>
      <c r="I21" s="2" t="str">
        <f t="shared" si="9"/>
        <v>See Below</v>
      </c>
      <c r="J21" s="2" t="str">
        <f t="shared" si="11"/>
        <v>#VALUE!</v>
      </c>
      <c r="K21" s="4" t="str">
        <f t="shared" si="10"/>
        <v>#VALUE!</v>
      </c>
    </row>
    <row r="22">
      <c r="B22" s="2" t="str">
        <f>IFERROR(__xludf.DUMMYFUNCTION("""COMPUTED_VALUE"""),"Radish")</f>
        <v>Radish</v>
      </c>
      <c r="C22" s="2">
        <f>IFERROR(__xludf.DUMMYFUNCTION("""COMPUTED_VALUE"""),40.0)</f>
        <v>40</v>
      </c>
      <c r="D22" s="2">
        <f>IFERROR(__xludf.DUMMYFUNCTION("""COMPUTED_VALUE"""),90.0)</f>
        <v>90</v>
      </c>
      <c r="E22" s="2">
        <f>IFERROR(__xludf.DUMMYFUNCTION("""COMPUTED_VALUE"""),6.0)</f>
        <v>6</v>
      </c>
      <c r="F22" s="3" t="str">
        <f>IFERROR(__xludf.DUMMYFUNCTION("""COMPUTED_VALUE"""),"NA")</f>
        <v>NA</v>
      </c>
      <c r="G22" s="1" t="s">
        <v>57</v>
      </c>
      <c r="H22" s="2" t="str">
        <f t="shared" si="8"/>
        <v>Preserve Jar</v>
      </c>
      <c r="I22" s="2">
        <f t="shared" si="9"/>
        <v>230</v>
      </c>
      <c r="J22" s="2">
        <f t="shared" si="11"/>
        <v>760</v>
      </c>
      <c r="K22" s="4">
        <f t="shared" si="10"/>
        <v>19</v>
      </c>
    </row>
    <row r="23">
      <c r="B23" s="2" t="str">
        <f>IFERROR(__xludf.DUMMYFUNCTION("""COMPUTED_VALUE"""),"Red Cabbage")</f>
        <v>Red Cabbage</v>
      </c>
      <c r="C23" s="2">
        <f>IFERROR(__xludf.DUMMYFUNCTION("""COMPUTED_VALUE"""),100.0)</f>
        <v>100</v>
      </c>
      <c r="D23" s="2">
        <f>IFERROR(__xludf.DUMMYFUNCTION("""COMPUTED_VALUE"""),260.0)</f>
        <v>260</v>
      </c>
      <c r="E23" s="2">
        <f>IFERROR(__xludf.DUMMYFUNCTION("""COMPUTED_VALUE"""),9.0)</f>
        <v>9</v>
      </c>
      <c r="F23" s="3" t="str">
        <f>IFERROR(__xludf.DUMMYFUNCTION("""COMPUTED_VALUE"""),"NA")</f>
        <v>NA</v>
      </c>
      <c r="G23" s="1" t="s">
        <v>57</v>
      </c>
      <c r="H23" s="2" t="str">
        <f t="shared" si="8"/>
        <v>Preserve Jar</v>
      </c>
      <c r="I23" s="2">
        <f t="shared" si="9"/>
        <v>570</v>
      </c>
      <c r="J23" s="2">
        <f t="shared" si="11"/>
        <v>1410</v>
      </c>
      <c r="K23" s="4">
        <f t="shared" si="10"/>
        <v>14.1</v>
      </c>
    </row>
    <row r="24">
      <c r="B24" s="2" t="str">
        <f>IFERROR(__xludf.DUMMYFUNCTION("""COMPUTED_VALUE"""),"Starfruit")</f>
        <v>Starfruit</v>
      </c>
      <c r="C24" s="2">
        <f>IFERROR(__xludf.DUMMYFUNCTION("""COMPUTED_VALUE"""),400.0)</f>
        <v>400</v>
      </c>
      <c r="D24" s="2">
        <f>IFERROR(__xludf.DUMMYFUNCTION("""COMPUTED_VALUE"""),750.0)</f>
        <v>750</v>
      </c>
      <c r="E24" s="2">
        <f>IFERROR(__xludf.DUMMYFUNCTION("""COMPUTED_VALUE"""),13.0)</f>
        <v>13</v>
      </c>
      <c r="F24" s="3" t="str">
        <f>IFERROR(__xludf.DUMMYFUNCTION("""COMPUTED_VALUE"""),"NA")</f>
        <v>NA</v>
      </c>
      <c r="G24" s="1" t="s">
        <v>58</v>
      </c>
      <c r="H24" s="2" t="str">
        <f t="shared" si="8"/>
        <v>Keg</v>
      </c>
      <c r="I24" s="2">
        <f t="shared" si="9"/>
        <v>2250</v>
      </c>
      <c r="J24" s="2">
        <f t="shared" si="11"/>
        <v>3700</v>
      </c>
      <c r="K24" s="4">
        <f t="shared" si="10"/>
        <v>9.25</v>
      </c>
    </row>
    <row r="25">
      <c r="B25" s="2" t="str">
        <f>IFERROR(__xludf.DUMMYFUNCTION("""COMPUTED_VALUE"""),"Summer Spangle")</f>
        <v>Summer Spangle</v>
      </c>
      <c r="C25" s="2">
        <f>IFERROR(__xludf.DUMMYFUNCTION("""COMPUTED_VALUE"""),50.0)</f>
        <v>50</v>
      </c>
      <c r="D25" s="2">
        <f>IFERROR(__xludf.DUMMYFUNCTION("""COMPUTED_VALUE"""),90.0)</f>
        <v>90</v>
      </c>
      <c r="E25" s="2">
        <f>IFERROR(__xludf.DUMMYFUNCTION("""COMPUTED_VALUE"""),8.0)</f>
        <v>8</v>
      </c>
      <c r="F25" s="3" t="str">
        <f>IFERROR(__xludf.DUMMYFUNCTION("""COMPUTED_VALUE"""),"NA")</f>
        <v>NA</v>
      </c>
      <c r="G25" s="1" t="s">
        <v>56</v>
      </c>
      <c r="H25" s="2" t="str">
        <f t="shared" si="8"/>
        <v>Bees</v>
      </c>
      <c r="I25" s="2" t="str">
        <f t="shared" si="9"/>
        <v>See Below</v>
      </c>
      <c r="J25" s="2" t="str">
        <f t="shared" si="11"/>
        <v>#VALUE!</v>
      </c>
      <c r="K25" s="4" t="str">
        <f t="shared" si="10"/>
        <v>#VALUE!</v>
      </c>
    </row>
    <row r="26">
      <c r="B26" s="2" t="str">
        <f>IFERROR(__xludf.DUMMYFUNCTION("""COMPUTED_VALUE"""),"Sunflower")</f>
        <v>Sunflower</v>
      </c>
      <c r="C26" s="2">
        <f>IFERROR(__xludf.DUMMYFUNCTION("""COMPUTED_VALUE"""),200.0)</f>
        <v>200</v>
      </c>
      <c r="D26" s="2">
        <f>IFERROR(__xludf.DUMMYFUNCTION("""COMPUTED_VALUE"""),80.0)</f>
        <v>80</v>
      </c>
      <c r="E26" s="2">
        <f>IFERROR(__xludf.DUMMYFUNCTION("""COMPUTED_VALUE"""),8.0)</f>
        <v>8</v>
      </c>
      <c r="F26" s="3" t="str">
        <f>IFERROR(__xludf.DUMMYFUNCTION("""COMPUTED_VALUE"""),"NA")</f>
        <v>NA</v>
      </c>
      <c r="G26" s="1" t="s">
        <v>56</v>
      </c>
      <c r="H26" s="2" t="str">
        <f t="shared" si="8"/>
        <v>Bees</v>
      </c>
      <c r="I26" s="2" t="str">
        <f t="shared" si="9"/>
        <v>See Below</v>
      </c>
      <c r="J26" s="2" t="str">
        <f t="shared" si="11"/>
        <v>#VALUE!</v>
      </c>
      <c r="K26" s="4" t="str">
        <f t="shared" si="10"/>
        <v>#VALUE!</v>
      </c>
    </row>
    <row r="27">
      <c r="B27" s="2" t="str">
        <f>IFERROR(__xludf.DUMMYFUNCTION("""COMPUTED_VALUE"""),"Tomato")</f>
        <v>Tomato</v>
      </c>
      <c r="C27" s="2">
        <f>IFERROR(__xludf.DUMMYFUNCTION("""COMPUTED_VALUE"""),50.0)</f>
        <v>50</v>
      </c>
      <c r="D27" s="2">
        <f>IFERROR(__xludf.DUMMYFUNCTION("""COMPUTED_VALUE"""),60.0)</f>
        <v>60</v>
      </c>
      <c r="E27" s="2">
        <f>IFERROR(__xludf.DUMMYFUNCTION("""COMPUTED_VALUE"""),11.0)</f>
        <v>11</v>
      </c>
      <c r="F27" s="3">
        <f>IFERROR(__xludf.DUMMYFUNCTION("""COMPUTED_VALUE"""),4.0)</f>
        <v>4</v>
      </c>
      <c r="G27" s="1" t="s">
        <v>57</v>
      </c>
      <c r="H27" s="2" t="str">
        <f t="shared" si="8"/>
        <v>Preserve Jar</v>
      </c>
      <c r="I27" s="2">
        <f t="shared" si="9"/>
        <v>170</v>
      </c>
      <c r="J27" s="2">
        <f t="shared" si="11"/>
        <v>672.5</v>
      </c>
      <c r="K27" s="4">
        <f t="shared" si="10"/>
        <v>13.45</v>
      </c>
    </row>
    <row r="28">
      <c r="B28" s="2" t="str">
        <f>IFERROR(__xludf.DUMMYFUNCTION("""COMPUTED_VALUE"""),"Wheat")</f>
        <v>Wheat</v>
      </c>
      <c r="C28" s="2">
        <f>IFERROR(__xludf.DUMMYFUNCTION("""COMPUTED_VALUE"""),10.0)</f>
        <v>10</v>
      </c>
      <c r="D28" s="2">
        <f>IFERROR(__xludf.DUMMYFUNCTION("""COMPUTED_VALUE"""),25.0)</f>
        <v>25</v>
      </c>
      <c r="E28" s="2">
        <f>IFERROR(__xludf.DUMMYFUNCTION("""COMPUTED_VALUE"""),4.0)</f>
        <v>4</v>
      </c>
      <c r="F28" s="2" t="str">
        <f>IFERROR(__xludf.DUMMYFUNCTION("""COMPUTED_VALUE"""),"NA")</f>
        <v>NA</v>
      </c>
      <c r="G28" s="1" t="s">
        <v>63</v>
      </c>
      <c r="H28" s="2" t="str">
        <f t="shared" si="8"/>
        <v>Keg (Beer)</v>
      </c>
      <c r="I28" s="2">
        <f t="shared" si="9"/>
        <v>200</v>
      </c>
      <c r="J28" s="2">
        <f t="shared" si="11"/>
        <v>1330</v>
      </c>
      <c r="K28" s="4">
        <f t="shared" si="10"/>
        <v>133</v>
      </c>
    </row>
    <row r="29">
      <c r="F29" s="1" t="s">
        <v>1</v>
      </c>
      <c r="G29" s="1" t="s">
        <v>2</v>
      </c>
      <c r="H29" s="1" t="s">
        <v>60</v>
      </c>
      <c r="I29" s="1" t="s">
        <v>61</v>
      </c>
      <c r="J29" s="1" t="s">
        <v>54</v>
      </c>
      <c r="K29" s="1" t="s">
        <v>55</v>
      </c>
    </row>
    <row r="30">
      <c r="F30" s="1" t="s">
        <v>29</v>
      </c>
      <c r="G30" s="1">
        <v>200.0</v>
      </c>
      <c r="H30" s="1">
        <v>260.0</v>
      </c>
      <c r="I30" s="1">
        <f t="shared" ref="I30:I32" si="12"> $H30 * 6</f>
        <v>1560</v>
      </c>
      <c r="J30" s="2">
        <f t="shared" ref="J30:J32" si="13"> $I30 - $G30</f>
        <v>1360</v>
      </c>
      <c r="K30" s="4">
        <f t="shared" ref="K30:K32" si="14"> $J30 / $G30</f>
        <v>6.8</v>
      </c>
    </row>
    <row r="31">
      <c r="F31" s="1" t="s">
        <v>28</v>
      </c>
      <c r="G31" s="1">
        <v>50.0</v>
      </c>
      <c r="H31" s="1">
        <v>280.0</v>
      </c>
      <c r="I31" s="1">
        <f t="shared" si="12"/>
        <v>1680</v>
      </c>
      <c r="J31" s="2">
        <f t="shared" si="13"/>
        <v>1630</v>
      </c>
      <c r="K31" s="4">
        <f t="shared" si="14"/>
        <v>32.6</v>
      </c>
    </row>
    <row r="32">
      <c r="F32" s="1" t="s">
        <v>24</v>
      </c>
      <c r="G32" s="1">
        <v>100.0</v>
      </c>
      <c r="H32" s="1">
        <v>380.0</v>
      </c>
      <c r="I32" s="1">
        <f t="shared" si="12"/>
        <v>2280</v>
      </c>
      <c r="J32" s="2">
        <f t="shared" si="13"/>
        <v>2180</v>
      </c>
      <c r="K32" s="4">
        <f t="shared" si="14"/>
        <v>21.8</v>
      </c>
    </row>
  </sheetData>
  <conditionalFormatting sqref="J2:J14">
    <cfRule type="colorScale" priority="1">
      <colorScale>
        <cfvo type="min"/>
        <cfvo type="max"/>
        <color rgb="FFFFFFFF"/>
        <color rgb="FF57BB8A"/>
      </colorScale>
    </cfRule>
  </conditionalFormatting>
  <conditionalFormatting sqref="K2:K14">
    <cfRule type="colorScale" priority="2">
      <colorScale>
        <cfvo type="min"/>
        <cfvo type="max"/>
        <color rgb="FFFFFFFF"/>
        <color rgb="FFFFD666"/>
      </colorScale>
    </cfRule>
  </conditionalFormatting>
  <conditionalFormatting sqref="J16:J35 E32:E34 E36:E38 J38:J39">
    <cfRule type="colorScale" priority="3">
      <colorScale>
        <cfvo type="min"/>
        <cfvo type="max"/>
        <color rgb="FFFFFFFF"/>
        <color rgb="FF57BB8A"/>
      </colorScale>
    </cfRule>
  </conditionalFormatting>
  <conditionalFormatting sqref="K16:K35 F32:F33 F36 K38:K39">
    <cfRule type="colorScale" priority="4">
      <colorScale>
        <cfvo type="min"/>
        <cfvo type="max"/>
        <color rgb="FFFFFFFF"/>
        <color rgb="FFFFD666"/>
      </colorScale>
    </cfRule>
  </conditionalFormatting>
  <dataValidations>
    <dataValidation type="list" allowBlank="1" sqref="G16:G28">
      <formula1>"vegetable,fruit,hops,wheat,flower,grain"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5.75"/>
    <col customWidth="1" min="4" max="4" width="21.63"/>
    <col customWidth="1" min="5" max="5" width="16.5"/>
    <col customWidth="1" min="6" max="6" width="13.25"/>
    <col customWidth="1" min="7" max="7" width="16.88"/>
    <col customWidth="1" min="8" max="8" width="21.25"/>
    <col customWidth="1" min="9" max="9" width="22.5"/>
    <col customWidth="1" min="10" max="11" width="31.75"/>
    <col customWidth="1" min="12" max="22" width="20.0"/>
  </cols>
  <sheetData>
    <row r="1">
      <c r="A1" s="2" t="str">
        <f>IFERROR(__xludf.DUMMYFUNCTION("QUERY(headers)"),"plant_name")</f>
        <v>plant_name</v>
      </c>
      <c r="B1" s="2" t="str">
        <f>IFERROR(__xludf.DUMMYFUNCTION("""COMPUTED_VALUE"""),"seed_cost")</f>
        <v>seed_cost</v>
      </c>
      <c r="C1" s="2" t="str">
        <f>IFERROR(__xludf.DUMMYFUNCTION("""COMPUTED_VALUE"""),"crop_sell_price")</f>
        <v>crop_sell_price</v>
      </c>
      <c r="D1" s="2" t="str">
        <f>IFERROR(__xludf.DUMMYFUNCTION("""COMPUTED_VALUE"""),"time_until_harvest")</f>
        <v>time_until_harvest</v>
      </c>
      <c r="E1" s="2" t="str">
        <f>IFERROR(__xludf.DUMMYFUNCTION("""COMPUTED_VALUE"""),"time_until_regrowth")</f>
        <v>time_until_regrowth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</row>
    <row r="2">
      <c r="A2" s="2" t="str">
        <f>IFERROR(__xludf.DUMMYFUNCTION("filter(plant_data, seasons = ""Fall"")"),"Amaranth")</f>
        <v>Amaranth</v>
      </c>
      <c r="B2" s="2">
        <f>IFERROR(__xludf.DUMMYFUNCTION("""COMPUTED_VALUE"""),70.0)</f>
        <v>70</v>
      </c>
      <c r="C2" s="2">
        <f>IFERROR(__xludf.DUMMYFUNCTION("""COMPUTED_VALUE"""),150.0)</f>
        <v>150</v>
      </c>
      <c r="D2" s="2">
        <f>IFERROR(__xludf.DUMMYFUNCTION("""COMPUTED_VALUE"""),7.0)</f>
        <v>7</v>
      </c>
      <c r="E2" s="3" t="str">
        <f>IFERROR(__xludf.DUMMYFUNCTION("""COMPUTED_VALUE"""),"NA")</f>
        <v>NA</v>
      </c>
      <c r="F2" s="2">
        <f t="shared" ref="F2:F11" si="1">IF($E2 &lt;&gt; "NA", 1, QUOTIENT(28,$D2))</f>
        <v>4</v>
      </c>
      <c r="G2" s="2">
        <f t="shared" ref="G2:G11" si="2">IF($F2 &gt; 1, $F2, (28-$D2)/$E2)</f>
        <v>4</v>
      </c>
      <c r="H2" s="1">
        <f t="shared" ref="H2:H11" si="3">$F2 * $B2</f>
        <v>280</v>
      </c>
      <c r="I2" s="2">
        <f t="shared" ref="I2:I11" si="4"> $G2 * $C2</f>
        <v>600</v>
      </c>
      <c r="J2" s="2">
        <f t="shared" ref="J2:J11" si="5"> $I2 - $H2</f>
        <v>320</v>
      </c>
      <c r="K2" s="4">
        <f t="shared" ref="K2:K11" si="6"> $J2 / $H2</f>
        <v>1.142857143</v>
      </c>
      <c r="L2" s="2">
        <f t="shared" ref="L2:L13" si="7">$J2 / 28</f>
        <v>11.42857143</v>
      </c>
    </row>
    <row r="3">
      <c r="A3" s="2" t="str">
        <f>IFERROR(__xludf.DUMMYFUNCTION("""COMPUTED_VALUE"""),"Artichoke")</f>
        <v>Artichoke</v>
      </c>
      <c r="B3" s="2">
        <f>IFERROR(__xludf.DUMMYFUNCTION("""COMPUTED_VALUE"""),30.0)</f>
        <v>30</v>
      </c>
      <c r="C3" s="2">
        <f>IFERROR(__xludf.DUMMYFUNCTION("""COMPUTED_VALUE"""),160.0)</f>
        <v>160</v>
      </c>
      <c r="D3" s="2">
        <f>IFERROR(__xludf.DUMMYFUNCTION("""COMPUTED_VALUE"""),8.0)</f>
        <v>8</v>
      </c>
      <c r="E3" s="3" t="str">
        <f>IFERROR(__xludf.DUMMYFUNCTION("""COMPUTED_VALUE"""),"NA")</f>
        <v>NA</v>
      </c>
      <c r="F3" s="2">
        <f t="shared" si="1"/>
        <v>3</v>
      </c>
      <c r="G3" s="2">
        <f t="shared" si="2"/>
        <v>3</v>
      </c>
      <c r="H3" s="1">
        <f t="shared" si="3"/>
        <v>90</v>
      </c>
      <c r="I3" s="2">
        <f t="shared" si="4"/>
        <v>480</v>
      </c>
      <c r="J3" s="2">
        <f t="shared" si="5"/>
        <v>390</v>
      </c>
      <c r="K3" s="4">
        <f t="shared" si="6"/>
        <v>4.333333333</v>
      </c>
      <c r="L3" s="2">
        <f t="shared" si="7"/>
        <v>13.92857143</v>
      </c>
    </row>
    <row r="4">
      <c r="A4" s="2" t="str">
        <f>IFERROR(__xludf.DUMMYFUNCTION("""COMPUTED_VALUE"""),"Beet")</f>
        <v>Beet</v>
      </c>
      <c r="B4" s="2">
        <f>IFERROR(__xludf.DUMMYFUNCTION("""COMPUTED_VALUE"""),20.0)</f>
        <v>20</v>
      </c>
      <c r="C4" s="2">
        <f>IFERROR(__xludf.DUMMYFUNCTION("""COMPUTED_VALUE"""),100.0)</f>
        <v>100</v>
      </c>
      <c r="D4" s="2">
        <f>IFERROR(__xludf.DUMMYFUNCTION("""COMPUTED_VALUE"""),6.0)</f>
        <v>6</v>
      </c>
      <c r="E4" s="3" t="str">
        <f>IFERROR(__xludf.DUMMYFUNCTION("""COMPUTED_VALUE"""),"NA")</f>
        <v>NA</v>
      </c>
      <c r="F4" s="2">
        <f t="shared" si="1"/>
        <v>4</v>
      </c>
      <c r="G4" s="2">
        <f t="shared" si="2"/>
        <v>4</v>
      </c>
      <c r="H4" s="1">
        <f t="shared" si="3"/>
        <v>80</v>
      </c>
      <c r="I4" s="2">
        <f t="shared" si="4"/>
        <v>400</v>
      </c>
      <c r="J4" s="2">
        <f t="shared" si="5"/>
        <v>320</v>
      </c>
      <c r="K4" s="4">
        <f t="shared" si="6"/>
        <v>4</v>
      </c>
      <c r="L4" s="2">
        <f t="shared" si="7"/>
        <v>11.42857143</v>
      </c>
    </row>
    <row r="5">
      <c r="A5" s="2" t="str">
        <f>IFERROR(__xludf.DUMMYFUNCTION("""COMPUTED_VALUE"""),"Bok Choy")</f>
        <v>Bok Choy</v>
      </c>
      <c r="B5" s="2">
        <f>IFERROR(__xludf.DUMMYFUNCTION("""COMPUTED_VALUE"""),50.0)</f>
        <v>50</v>
      </c>
      <c r="C5" s="2">
        <f>IFERROR(__xludf.DUMMYFUNCTION("""COMPUTED_VALUE"""),80.0)</f>
        <v>80</v>
      </c>
      <c r="D5" s="2">
        <f>IFERROR(__xludf.DUMMYFUNCTION("""COMPUTED_VALUE"""),4.0)</f>
        <v>4</v>
      </c>
      <c r="E5" s="3" t="str">
        <f>IFERROR(__xludf.DUMMYFUNCTION("""COMPUTED_VALUE"""),"NA")</f>
        <v>NA</v>
      </c>
      <c r="F5" s="2">
        <f t="shared" si="1"/>
        <v>7</v>
      </c>
      <c r="G5" s="2">
        <f t="shared" si="2"/>
        <v>7</v>
      </c>
      <c r="H5" s="1">
        <f t="shared" si="3"/>
        <v>350</v>
      </c>
      <c r="I5" s="2">
        <f t="shared" si="4"/>
        <v>560</v>
      </c>
      <c r="J5" s="2">
        <f t="shared" si="5"/>
        <v>210</v>
      </c>
      <c r="K5" s="4">
        <f t="shared" si="6"/>
        <v>0.6</v>
      </c>
      <c r="L5" s="2">
        <f t="shared" si="7"/>
        <v>7.5</v>
      </c>
    </row>
    <row r="6">
      <c r="A6" s="2" t="str">
        <f>IFERROR(__xludf.DUMMYFUNCTION("""COMPUTED_VALUE"""),"Cranberries")</f>
        <v>Cranberries</v>
      </c>
      <c r="B6" s="2">
        <f>IFERROR(__xludf.DUMMYFUNCTION("""COMPUTED_VALUE"""),240.0)</f>
        <v>240</v>
      </c>
      <c r="C6" s="2">
        <f>IFERROR(__xludf.DUMMYFUNCTION("""COMPUTED_VALUE"""),75.0)</f>
        <v>75</v>
      </c>
      <c r="D6" s="2">
        <f>IFERROR(__xludf.DUMMYFUNCTION("""COMPUTED_VALUE"""),7.0)</f>
        <v>7</v>
      </c>
      <c r="E6" s="3">
        <f>IFERROR(__xludf.DUMMYFUNCTION("""COMPUTED_VALUE"""),5.0)</f>
        <v>5</v>
      </c>
      <c r="F6" s="2">
        <f t="shared" si="1"/>
        <v>1</v>
      </c>
      <c r="G6" s="2">
        <f t="shared" si="2"/>
        <v>4.2</v>
      </c>
      <c r="H6" s="1">
        <f t="shared" si="3"/>
        <v>240</v>
      </c>
      <c r="I6" s="2">
        <f t="shared" si="4"/>
        <v>315</v>
      </c>
      <c r="J6" s="2">
        <f t="shared" si="5"/>
        <v>75</v>
      </c>
      <c r="K6" s="4">
        <f t="shared" si="6"/>
        <v>0.3125</v>
      </c>
      <c r="L6" s="2">
        <f t="shared" si="7"/>
        <v>2.678571429</v>
      </c>
    </row>
    <row r="7">
      <c r="A7" s="2" t="str">
        <f>IFERROR(__xludf.DUMMYFUNCTION("""COMPUTED_VALUE"""),"Eggplant")</f>
        <v>Eggplant</v>
      </c>
      <c r="B7" s="2">
        <f>IFERROR(__xludf.DUMMYFUNCTION("""COMPUTED_VALUE"""),20.0)</f>
        <v>20</v>
      </c>
      <c r="C7" s="2">
        <f>IFERROR(__xludf.DUMMYFUNCTION("""COMPUTED_VALUE"""),60.0)</f>
        <v>60</v>
      </c>
      <c r="D7" s="2">
        <f>IFERROR(__xludf.DUMMYFUNCTION("""COMPUTED_VALUE"""),5.0)</f>
        <v>5</v>
      </c>
      <c r="E7" s="3">
        <f>IFERROR(__xludf.DUMMYFUNCTION("""COMPUTED_VALUE"""),5.0)</f>
        <v>5</v>
      </c>
      <c r="F7" s="2">
        <f t="shared" si="1"/>
        <v>1</v>
      </c>
      <c r="G7" s="2">
        <f t="shared" si="2"/>
        <v>4.6</v>
      </c>
      <c r="H7" s="1">
        <f t="shared" si="3"/>
        <v>20</v>
      </c>
      <c r="I7" s="2">
        <f t="shared" si="4"/>
        <v>276</v>
      </c>
      <c r="J7" s="2">
        <f t="shared" si="5"/>
        <v>256</v>
      </c>
      <c r="K7" s="4">
        <f t="shared" si="6"/>
        <v>12.8</v>
      </c>
      <c r="L7" s="2">
        <f t="shared" si="7"/>
        <v>9.142857143</v>
      </c>
    </row>
    <row r="8">
      <c r="A8" s="2" t="str">
        <f>IFERROR(__xludf.DUMMYFUNCTION("""COMPUTED_VALUE"""),"Fairy Rose")</f>
        <v>Fairy Rose</v>
      </c>
      <c r="B8" s="2">
        <f>IFERROR(__xludf.DUMMYFUNCTION("""COMPUTED_VALUE"""),200.0)</f>
        <v>200</v>
      </c>
      <c r="C8" s="2">
        <f>IFERROR(__xludf.DUMMYFUNCTION("""COMPUTED_VALUE"""),290.0)</f>
        <v>290</v>
      </c>
      <c r="D8" s="2">
        <f>IFERROR(__xludf.DUMMYFUNCTION("""COMPUTED_VALUE"""),12.0)</f>
        <v>12</v>
      </c>
      <c r="E8" s="3" t="str">
        <f>IFERROR(__xludf.DUMMYFUNCTION("""COMPUTED_VALUE"""),"NA")</f>
        <v>NA</v>
      </c>
      <c r="F8" s="2">
        <f t="shared" si="1"/>
        <v>2</v>
      </c>
      <c r="G8" s="2">
        <f t="shared" si="2"/>
        <v>2</v>
      </c>
      <c r="H8" s="1">
        <f t="shared" si="3"/>
        <v>400</v>
      </c>
      <c r="I8" s="2">
        <f t="shared" si="4"/>
        <v>580</v>
      </c>
      <c r="J8" s="2">
        <f t="shared" si="5"/>
        <v>180</v>
      </c>
      <c r="K8" s="4">
        <f t="shared" si="6"/>
        <v>0.45</v>
      </c>
      <c r="L8" s="2">
        <f t="shared" si="7"/>
        <v>6.428571429</v>
      </c>
    </row>
    <row r="9">
      <c r="A9" s="2" t="str">
        <f>IFERROR(__xludf.DUMMYFUNCTION("""COMPUTED_VALUE"""),"Grape")</f>
        <v>Grape</v>
      </c>
      <c r="B9" s="2">
        <f>IFERROR(__xludf.DUMMYFUNCTION("""COMPUTED_VALUE"""),60.0)</f>
        <v>60</v>
      </c>
      <c r="C9" s="2">
        <f>IFERROR(__xludf.DUMMYFUNCTION("""COMPUTED_VALUE"""),80.0)</f>
        <v>80</v>
      </c>
      <c r="D9" s="2">
        <f>IFERROR(__xludf.DUMMYFUNCTION("""COMPUTED_VALUE"""),10.0)</f>
        <v>10</v>
      </c>
      <c r="E9" s="3">
        <f>IFERROR(__xludf.DUMMYFUNCTION("""COMPUTED_VALUE"""),3.0)</f>
        <v>3</v>
      </c>
      <c r="F9" s="2">
        <f t="shared" si="1"/>
        <v>1</v>
      </c>
      <c r="G9" s="2">
        <f t="shared" si="2"/>
        <v>6</v>
      </c>
      <c r="H9" s="1">
        <f t="shared" si="3"/>
        <v>60</v>
      </c>
      <c r="I9" s="2">
        <f t="shared" si="4"/>
        <v>480</v>
      </c>
      <c r="J9" s="2">
        <f t="shared" si="5"/>
        <v>420</v>
      </c>
      <c r="K9" s="4">
        <f t="shared" si="6"/>
        <v>7</v>
      </c>
      <c r="L9" s="2">
        <f t="shared" si="7"/>
        <v>15</v>
      </c>
    </row>
    <row r="10">
      <c r="A10" s="2" t="str">
        <f>IFERROR(__xludf.DUMMYFUNCTION("""COMPUTED_VALUE"""),"Pumpkin")</f>
        <v>Pumpkin</v>
      </c>
      <c r="B10" s="2">
        <f>IFERROR(__xludf.DUMMYFUNCTION("""COMPUTED_VALUE"""),100.0)</f>
        <v>100</v>
      </c>
      <c r="C10" s="2">
        <f>IFERROR(__xludf.DUMMYFUNCTION("""COMPUTED_VALUE"""),320.0)</f>
        <v>320</v>
      </c>
      <c r="D10" s="2">
        <f>IFERROR(__xludf.DUMMYFUNCTION("""COMPUTED_VALUE"""),13.0)</f>
        <v>13</v>
      </c>
      <c r="E10" s="3" t="str">
        <f>IFERROR(__xludf.DUMMYFUNCTION("""COMPUTED_VALUE"""),"NA")</f>
        <v>NA</v>
      </c>
      <c r="F10" s="2">
        <f t="shared" si="1"/>
        <v>2</v>
      </c>
      <c r="G10" s="2">
        <f t="shared" si="2"/>
        <v>2</v>
      </c>
      <c r="H10" s="1">
        <f t="shared" si="3"/>
        <v>200</v>
      </c>
      <c r="I10" s="2">
        <f t="shared" si="4"/>
        <v>640</v>
      </c>
      <c r="J10" s="2">
        <f t="shared" si="5"/>
        <v>440</v>
      </c>
      <c r="K10" s="4">
        <f t="shared" si="6"/>
        <v>2.2</v>
      </c>
      <c r="L10" s="2">
        <f t="shared" si="7"/>
        <v>15.71428571</v>
      </c>
    </row>
    <row r="11">
      <c r="A11" s="2" t="str">
        <f>IFERROR(__xludf.DUMMYFUNCTION("""COMPUTED_VALUE"""),"Yam")</f>
        <v>Yam</v>
      </c>
      <c r="B11" s="2">
        <f>IFERROR(__xludf.DUMMYFUNCTION("""COMPUTED_VALUE"""),60.0)</f>
        <v>60</v>
      </c>
      <c r="C11" s="2">
        <f>IFERROR(__xludf.DUMMYFUNCTION("""COMPUTED_VALUE"""),160.0)</f>
        <v>160</v>
      </c>
      <c r="D11" s="2">
        <f>IFERROR(__xludf.DUMMYFUNCTION("""COMPUTED_VALUE"""),10.0)</f>
        <v>10</v>
      </c>
      <c r="E11" s="3" t="str">
        <f>IFERROR(__xludf.DUMMYFUNCTION("""COMPUTED_VALUE"""),"NA")</f>
        <v>NA</v>
      </c>
      <c r="F11" s="2">
        <f t="shared" si="1"/>
        <v>2</v>
      </c>
      <c r="G11" s="2">
        <f t="shared" si="2"/>
        <v>2</v>
      </c>
      <c r="H11" s="1">
        <f t="shared" si="3"/>
        <v>120</v>
      </c>
      <c r="I11" s="2">
        <f t="shared" si="4"/>
        <v>320</v>
      </c>
      <c r="J11" s="2">
        <f t="shared" si="5"/>
        <v>200</v>
      </c>
      <c r="K11" s="4">
        <f t="shared" si="6"/>
        <v>1.666666667</v>
      </c>
      <c r="L11" s="2">
        <f t="shared" si="7"/>
        <v>7.142857143</v>
      </c>
    </row>
    <row r="12">
      <c r="E12" s="3"/>
      <c r="K12" s="4"/>
      <c r="L12" s="2">
        <f t="shared" si="7"/>
        <v>0</v>
      </c>
    </row>
    <row r="13">
      <c r="E13" s="3"/>
      <c r="K13" s="4"/>
      <c r="L13" s="2">
        <f t="shared" si="7"/>
        <v>0</v>
      </c>
    </row>
    <row r="14">
      <c r="K14" s="4"/>
    </row>
    <row r="15">
      <c r="B15" s="2" t="str">
        <f>IFERROR(__xludf.DUMMYFUNCTION("QUERY(headers)"),"plant_name")</f>
        <v>plant_name</v>
      </c>
      <c r="C15" s="2" t="str">
        <f>IFERROR(__xludf.DUMMYFUNCTION("""COMPUTED_VALUE"""),"seed_cost")</f>
        <v>seed_cost</v>
      </c>
      <c r="D15" s="2" t="str">
        <f>IFERROR(__xludf.DUMMYFUNCTION("""COMPUTED_VALUE"""),"crop_sell_price")</f>
        <v>crop_sell_price</v>
      </c>
      <c r="E15" s="2" t="str">
        <f>IFERROR(__xludf.DUMMYFUNCTION("""COMPUTED_VALUE"""),"time_until_harvest")</f>
        <v>time_until_harvest</v>
      </c>
      <c r="F15" s="2" t="str">
        <f>IFERROR(__xludf.DUMMYFUNCTION("""COMPUTED_VALUE"""),"time_until_regrowth")</f>
        <v>time_until_regrowth</v>
      </c>
      <c r="G15" s="1" t="s">
        <v>51</v>
      </c>
      <c r="H15" s="1" t="s">
        <v>52</v>
      </c>
      <c r="I15" s="1" t="s">
        <v>53</v>
      </c>
      <c r="J15" s="1" t="s">
        <v>54</v>
      </c>
      <c r="K15" s="1" t="s">
        <v>55</v>
      </c>
    </row>
    <row r="16">
      <c r="B16" s="2" t="str">
        <f>IFERROR(__xludf.DUMMYFUNCTION("filter(plant_data, seasons = ""Fall"")"),"Amaranth")</f>
        <v>Amaranth</v>
      </c>
      <c r="C16" s="2">
        <f>IFERROR(__xludf.DUMMYFUNCTION("""COMPUTED_VALUE"""),70.0)</f>
        <v>70</v>
      </c>
      <c r="D16" s="2">
        <f>IFERROR(__xludf.DUMMYFUNCTION("""COMPUTED_VALUE"""),150.0)</f>
        <v>150</v>
      </c>
      <c r="E16" s="2">
        <f>IFERROR(__xludf.DUMMYFUNCTION("""COMPUTED_VALUE"""),7.0)</f>
        <v>7</v>
      </c>
      <c r="F16" s="3" t="str">
        <f>IFERROR(__xludf.DUMMYFUNCTION("""COMPUTED_VALUE"""),"NA")</f>
        <v>NA</v>
      </c>
      <c r="G16" s="1" t="s">
        <v>58</v>
      </c>
      <c r="H16" s="2" t="str">
        <f t="shared" ref="H16:H25" si="8">IFS($G16 = "vegetable", "Preserve Jar", $G16 = "fruit", "Keg", $G16 = "wheat", "Keg (Beer)", $G16 = "hops", "Keg (Pale Ale)", $G16 = "flower", "Bees", $G16 = "grain", "Mill")</f>
        <v>Keg</v>
      </c>
      <c r="I16" s="2">
        <f t="shared" ref="I16:I25" si="9">IFS($H16 = "Bees", "See Below", $H16 = "Preserve Jar", ($D16 * 2) + 50, $H16 = "Keg", $D16 * 3, $G16 = "wheat", 200, $G16 = "hops", 300, $H16 = "mill", 100)</f>
        <v>450</v>
      </c>
      <c r="J16" s="2">
        <f> ($I16 * $G2) - $C16</f>
        <v>1730</v>
      </c>
      <c r="K16" s="4">
        <f t="shared" ref="K16:K25" si="10"> $J16 / $C16</f>
        <v>24.71428571</v>
      </c>
    </row>
    <row r="17">
      <c r="B17" s="2" t="str">
        <f>IFERROR(__xludf.DUMMYFUNCTION("""COMPUTED_VALUE"""),"Artichoke")</f>
        <v>Artichoke</v>
      </c>
      <c r="C17" s="2">
        <f>IFERROR(__xludf.DUMMYFUNCTION("""COMPUTED_VALUE"""),30.0)</f>
        <v>30</v>
      </c>
      <c r="D17" s="2">
        <f>IFERROR(__xludf.DUMMYFUNCTION("""COMPUTED_VALUE"""),160.0)</f>
        <v>160</v>
      </c>
      <c r="E17" s="2">
        <f>IFERROR(__xludf.DUMMYFUNCTION("""COMPUTED_VALUE"""),8.0)</f>
        <v>8</v>
      </c>
      <c r="F17" s="3" t="str">
        <f>IFERROR(__xludf.DUMMYFUNCTION("""COMPUTED_VALUE"""),"NA")</f>
        <v>NA</v>
      </c>
      <c r="G17" s="1" t="s">
        <v>57</v>
      </c>
      <c r="H17" s="2" t="str">
        <f t="shared" si="8"/>
        <v>Preserve Jar</v>
      </c>
      <c r="I17" s="2">
        <f t="shared" si="9"/>
        <v>370</v>
      </c>
      <c r="J17" s="2">
        <f t="shared" ref="J17:J25" si="11"> ($I17 * $G3) - $H3</f>
        <v>1020</v>
      </c>
      <c r="K17" s="4">
        <f t="shared" si="10"/>
        <v>34</v>
      </c>
    </row>
    <row r="18">
      <c r="B18" s="2" t="str">
        <f>IFERROR(__xludf.DUMMYFUNCTION("""COMPUTED_VALUE"""),"Beet")</f>
        <v>Beet</v>
      </c>
      <c r="C18" s="2">
        <f>IFERROR(__xludf.DUMMYFUNCTION("""COMPUTED_VALUE"""),20.0)</f>
        <v>20</v>
      </c>
      <c r="D18" s="2">
        <f>IFERROR(__xludf.DUMMYFUNCTION("""COMPUTED_VALUE"""),100.0)</f>
        <v>100</v>
      </c>
      <c r="E18" s="2">
        <f>IFERROR(__xludf.DUMMYFUNCTION("""COMPUTED_VALUE"""),6.0)</f>
        <v>6</v>
      </c>
      <c r="F18" s="3" t="str">
        <f>IFERROR(__xludf.DUMMYFUNCTION("""COMPUTED_VALUE"""),"NA")</f>
        <v>NA</v>
      </c>
      <c r="G18" s="1" t="s">
        <v>62</v>
      </c>
      <c r="H18" s="2" t="str">
        <f t="shared" si="8"/>
        <v>Keg (Pale Ale)</v>
      </c>
      <c r="I18" s="2">
        <f t="shared" si="9"/>
        <v>300</v>
      </c>
      <c r="J18" s="2">
        <f t="shared" si="11"/>
        <v>1120</v>
      </c>
      <c r="K18" s="4">
        <f t="shared" si="10"/>
        <v>56</v>
      </c>
    </row>
    <row r="19">
      <c r="B19" s="2" t="str">
        <f>IFERROR(__xludf.DUMMYFUNCTION("""COMPUTED_VALUE"""),"Bok Choy")</f>
        <v>Bok Choy</v>
      </c>
      <c r="C19" s="2">
        <f>IFERROR(__xludf.DUMMYFUNCTION("""COMPUTED_VALUE"""),50.0)</f>
        <v>50</v>
      </c>
      <c r="D19" s="2">
        <f>IFERROR(__xludf.DUMMYFUNCTION("""COMPUTED_VALUE"""),80.0)</f>
        <v>80</v>
      </c>
      <c r="E19" s="2">
        <f>IFERROR(__xludf.DUMMYFUNCTION("""COMPUTED_VALUE"""),4.0)</f>
        <v>4</v>
      </c>
      <c r="F19" s="3" t="str">
        <f>IFERROR(__xludf.DUMMYFUNCTION("""COMPUTED_VALUE"""),"NA")</f>
        <v>NA</v>
      </c>
      <c r="G19" s="1" t="s">
        <v>58</v>
      </c>
      <c r="H19" s="2" t="str">
        <f t="shared" si="8"/>
        <v>Keg</v>
      </c>
      <c r="I19" s="2">
        <f t="shared" si="9"/>
        <v>240</v>
      </c>
      <c r="J19" s="2">
        <f t="shared" si="11"/>
        <v>1330</v>
      </c>
      <c r="K19" s="4">
        <f t="shared" si="10"/>
        <v>26.6</v>
      </c>
    </row>
    <row r="20">
      <c r="B20" s="2" t="str">
        <f>IFERROR(__xludf.DUMMYFUNCTION("""COMPUTED_VALUE"""),"Cranberries")</f>
        <v>Cranberries</v>
      </c>
      <c r="C20" s="2">
        <f>IFERROR(__xludf.DUMMYFUNCTION("""COMPUTED_VALUE"""),240.0)</f>
        <v>240</v>
      </c>
      <c r="D20" s="2">
        <f>IFERROR(__xludf.DUMMYFUNCTION("""COMPUTED_VALUE"""),75.0)</f>
        <v>75</v>
      </c>
      <c r="E20" s="2">
        <f>IFERROR(__xludf.DUMMYFUNCTION("""COMPUTED_VALUE"""),7.0)</f>
        <v>7</v>
      </c>
      <c r="F20" s="3">
        <f>IFERROR(__xludf.DUMMYFUNCTION("""COMPUTED_VALUE"""),5.0)</f>
        <v>5</v>
      </c>
      <c r="G20" s="1" t="s">
        <v>58</v>
      </c>
      <c r="H20" s="2" t="str">
        <f t="shared" si="8"/>
        <v>Keg</v>
      </c>
      <c r="I20" s="2">
        <f t="shared" si="9"/>
        <v>225</v>
      </c>
      <c r="J20" s="2">
        <f t="shared" si="11"/>
        <v>705</v>
      </c>
      <c r="K20" s="4">
        <f t="shared" si="10"/>
        <v>2.9375</v>
      </c>
    </row>
    <row r="21">
      <c r="B21" s="2" t="str">
        <f>IFERROR(__xludf.DUMMYFUNCTION("""COMPUTED_VALUE"""),"Eggplant")</f>
        <v>Eggplant</v>
      </c>
      <c r="C21" s="2">
        <f>IFERROR(__xludf.DUMMYFUNCTION("""COMPUTED_VALUE"""),20.0)</f>
        <v>20</v>
      </c>
      <c r="D21" s="2">
        <f>IFERROR(__xludf.DUMMYFUNCTION("""COMPUTED_VALUE"""),60.0)</f>
        <v>60</v>
      </c>
      <c r="E21" s="2">
        <f>IFERROR(__xludf.DUMMYFUNCTION("""COMPUTED_VALUE"""),5.0)</f>
        <v>5</v>
      </c>
      <c r="F21" s="3">
        <f>IFERROR(__xludf.DUMMYFUNCTION("""COMPUTED_VALUE"""),5.0)</f>
        <v>5</v>
      </c>
      <c r="G21" s="1" t="s">
        <v>56</v>
      </c>
      <c r="H21" s="2" t="str">
        <f t="shared" si="8"/>
        <v>Bees</v>
      </c>
      <c r="I21" s="2" t="str">
        <f t="shared" si="9"/>
        <v>See Below</v>
      </c>
      <c r="J21" s="2" t="str">
        <f t="shared" si="11"/>
        <v>#VALUE!</v>
      </c>
      <c r="K21" s="4" t="str">
        <f t="shared" si="10"/>
        <v>#VALUE!</v>
      </c>
    </row>
    <row r="22">
      <c r="B22" s="2" t="str">
        <f>IFERROR(__xludf.DUMMYFUNCTION("""COMPUTED_VALUE"""),"Fairy Rose")</f>
        <v>Fairy Rose</v>
      </c>
      <c r="C22" s="2">
        <f>IFERROR(__xludf.DUMMYFUNCTION("""COMPUTED_VALUE"""),200.0)</f>
        <v>200</v>
      </c>
      <c r="D22" s="2">
        <f>IFERROR(__xludf.DUMMYFUNCTION("""COMPUTED_VALUE"""),290.0)</f>
        <v>290</v>
      </c>
      <c r="E22" s="2">
        <f>IFERROR(__xludf.DUMMYFUNCTION("""COMPUTED_VALUE"""),12.0)</f>
        <v>12</v>
      </c>
      <c r="F22" s="3" t="str">
        <f>IFERROR(__xludf.DUMMYFUNCTION("""COMPUTED_VALUE"""),"NA")</f>
        <v>NA</v>
      </c>
      <c r="G22" s="1" t="s">
        <v>57</v>
      </c>
      <c r="H22" s="2" t="str">
        <f t="shared" si="8"/>
        <v>Preserve Jar</v>
      </c>
      <c r="I22" s="2">
        <f t="shared" si="9"/>
        <v>630</v>
      </c>
      <c r="J22" s="2">
        <f t="shared" si="11"/>
        <v>860</v>
      </c>
      <c r="K22" s="4">
        <f t="shared" si="10"/>
        <v>4.3</v>
      </c>
    </row>
    <row r="23">
      <c r="B23" s="2" t="str">
        <f>IFERROR(__xludf.DUMMYFUNCTION("""COMPUTED_VALUE"""),"Grape")</f>
        <v>Grape</v>
      </c>
      <c r="C23" s="2">
        <f>IFERROR(__xludf.DUMMYFUNCTION("""COMPUTED_VALUE"""),60.0)</f>
        <v>60</v>
      </c>
      <c r="D23" s="2">
        <f>IFERROR(__xludf.DUMMYFUNCTION("""COMPUTED_VALUE"""),80.0)</f>
        <v>80</v>
      </c>
      <c r="E23" s="2">
        <f>IFERROR(__xludf.DUMMYFUNCTION("""COMPUTED_VALUE"""),10.0)</f>
        <v>10</v>
      </c>
      <c r="F23" s="3">
        <f>IFERROR(__xludf.DUMMYFUNCTION("""COMPUTED_VALUE"""),3.0)</f>
        <v>3</v>
      </c>
      <c r="G23" s="1" t="s">
        <v>57</v>
      </c>
      <c r="H23" s="2" t="str">
        <f t="shared" si="8"/>
        <v>Preserve Jar</v>
      </c>
      <c r="I23" s="2">
        <f t="shared" si="9"/>
        <v>210</v>
      </c>
      <c r="J23" s="2">
        <f t="shared" si="11"/>
        <v>1200</v>
      </c>
      <c r="K23" s="4">
        <f t="shared" si="10"/>
        <v>20</v>
      </c>
    </row>
    <row r="24">
      <c r="B24" s="2" t="str">
        <f>IFERROR(__xludf.DUMMYFUNCTION("""COMPUTED_VALUE"""),"Pumpkin")</f>
        <v>Pumpkin</v>
      </c>
      <c r="C24" s="2">
        <f>IFERROR(__xludf.DUMMYFUNCTION("""COMPUTED_VALUE"""),100.0)</f>
        <v>100</v>
      </c>
      <c r="D24" s="2">
        <f>IFERROR(__xludf.DUMMYFUNCTION("""COMPUTED_VALUE"""),320.0)</f>
        <v>320</v>
      </c>
      <c r="E24" s="2">
        <f>IFERROR(__xludf.DUMMYFUNCTION("""COMPUTED_VALUE"""),13.0)</f>
        <v>13</v>
      </c>
      <c r="F24" s="3" t="str">
        <f>IFERROR(__xludf.DUMMYFUNCTION("""COMPUTED_VALUE"""),"NA")</f>
        <v>NA</v>
      </c>
      <c r="G24" s="1" t="s">
        <v>58</v>
      </c>
      <c r="H24" s="2" t="str">
        <f t="shared" si="8"/>
        <v>Keg</v>
      </c>
      <c r="I24" s="2">
        <f t="shared" si="9"/>
        <v>960</v>
      </c>
      <c r="J24" s="2">
        <f t="shared" si="11"/>
        <v>1720</v>
      </c>
      <c r="K24" s="4">
        <f t="shared" si="10"/>
        <v>17.2</v>
      </c>
    </row>
    <row r="25">
      <c r="B25" s="2" t="str">
        <f>IFERROR(__xludf.DUMMYFUNCTION("""COMPUTED_VALUE"""),"Yam")</f>
        <v>Yam</v>
      </c>
      <c r="C25" s="2">
        <f>IFERROR(__xludf.DUMMYFUNCTION("""COMPUTED_VALUE"""),60.0)</f>
        <v>60</v>
      </c>
      <c r="D25" s="2">
        <f>IFERROR(__xludf.DUMMYFUNCTION("""COMPUTED_VALUE"""),160.0)</f>
        <v>160</v>
      </c>
      <c r="E25" s="2">
        <f>IFERROR(__xludf.DUMMYFUNCTION("""COMPUTED_VALUE"""),10.0)</f>
        <v>10</v>
      </c>
      <c r="F25" s="3" t="str">
        <f>IFERROR(__xludf.DUMMYFUNCTION("""COMPUTED_VALUE"""),"NA")</f>
        <v>NA</v>
      </c>
      <c r="G25" s="1" t="s">
        <v>56</v>
      </c>
      <c r="H25" s="2" t="str">
        <f t="shared" si="8"/>
        <v>Bees</v>
      </c>
      <c r="I25" s="2" t="str">
        <f t="shared" si="9"/>
        <v>See Below</v>
      </c>
      <c r="J25" s="2" t="str">
        <f t="shared" si="11"/>
        <v>#VALUE!</v>
      </c>
      <c r="K25" s="4" t="str">
        <f t="shared" si="10"/>
        <v>#VALUE!</v>
      </c>
    </row>
    <row r="26">
      <c r="F26" s="3"/>
      <c r="G26" s="2"/>
      <c r="K26" s="4"/>
    </row>
    <row r="27">
      <c r="F27" s="3"/>
      <c r="G27" s="2"/>
      <c r="K27" s="4"/>
    </row>
    <row r="28">
      <c r="G28" s="2"/>
      <c r="K28" s="4"/>
    </row>
    <row r="29">
      <c r="F29" s="1" t="s">
        <v>1</v>
      </c>
      <c r="G29" s="1" t="s">
        <v>2</v>
      </c>
      <c r="H29" s="1" t="s">
        <v>60</v>
      </c>
      <c r="I29" s="1" t="s">
        <v>61</v>
      </c>
      <c r="J29" s="1" t="s">
        <v>54</v>
      </c>
      <c r="K29" s="1" t="s">
        <v>55</v>
      </c>
    </row>
    <row r="30">
      <c r="F30" s="1" t="s">
        <v>29</v>
      </c>
      <c r="G30" s="1">
        <v>200.0</v>
      </c>
      <c r="H30" s="1">
        <v>260.0</v>
      </c>
      <c r="I30" s="1">
        <f t="shared" ref="I30:I31" si="12"> $H30 * 6</f>
        <v>1560</v>
      </c>
      <c r="J30" s="2">
        <f t="shared" ref="J30:J31" si="13"> $I30 - $G30</f>
        <v>1360</v>
      </c>
      <c r="K30" s="4">
        <f t="shared" ref="K30:K31" si="14"> $J30 / $G30</f>
        <v>6.8</v>
      </c>
    </row>
    <row r="31">
      <c r="F31" s="1" t="s">
        <v>39</v>
      </c>
      <c r="G31" s="1">
        <v>200.0</v>
      </c>
      <c r="H31" s="1">
        <v>680.0</v>
      </c>
      <c r="I31" s="1">
        <f t="shared" si="12"/>
        <v>4080</v>
      </c>
      <c r="J31" s="2">
        <f t="shared" si="13"/>
        <v>3880</v>
      </c>
      <c r="K31" s="4">
        <f t="shared" si="14"/>
        <v>19.4</v>
      </c>
    </row>
    <row r="32">
      <c r="K32" s="4"/>
    </row>
  </sheetData>
  <conditionalFormatting sqref="J2:J14">
    <cfRule type="colorScale" priority="1">
      <colorScale>
        <cfvo type="min"/>
        <cfvo type="max"/>
        <color rgb="FFFFFFFF"/>
        <color rgb="FF57BB8A"/>
      </colorScale>
    </cfRule>
  </conditionalFormatting>
  <conditionalFormatting sqref="K2:K14">
    <cfRule type="colorScale" priority="2">
      <colorScale>
        <cfvo type="min"/>
        <cfvo type="max"/>
        <color rgb="FFFFFFFF"/>
        <color rgb="FFFFD666"/>
      </colorScale>
    </cfRule>
  </conditionalFormatting>
  <conditionalFormatting sqref="J16:J35 E32:E34 E36:E38 J38:J39">
    <cfRule type="colorScale" priority="3">
      <colorScale>
        <cfvo type="min"/>
        <cfvo type="max"/>
        <color rgb="FFFFFFFF"/>
        <color rgb="FF57BB8A"/>
      </colorScale>
    </cfRule>
  </conditionalFormatting>
  <conditionalFormatting sqref="K16:K35 F32:F33 F36 K38:K39">
    <cfRule type="colorScale" priority="4">
      <colorScale>
        <cfvo type="min"/>
        <cfvo type="max"/>
        <color rgb="FFFFFFFF"/>
        <color rgb="FFFFD666"/>
      </colorScale>
    </cfRule>
  </conditionalFormatting>
  <dataValidations>
    <dataValidation type="list" allowBlank="1" sqref="G16:G28">
      <formula1>"vegetable,fruit,hops,wheat,flower,grain"</formula1>
    </dataValidation>
  </dataValidations>
  <drawing r:id="rId1"/>
</worksheet>
</file>