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ri\Documents\egg\JAVA\Guia2\"/>
    </mc:Choice>
  </mc:AlternateContent>
  <xr:revisionPtr revIDLastSave="0" documentId="13_ncr:1_{01EB365E-CEF1-4909-8CFF-029B409D3211}" xr6:coauthVersionLast="45" xr6:coauthVersionMax="45" xr10:uidLastSave="{00000000-0000-0000-0000-000000000000}"/>
  <bookViews>
    <workbookView xWindow="-108" yWindow="-108" windowWidth="23256" windowHeight="12576" tabRatio="669" activeTab="4" xr2:uid="{00000000-000D-0000-FFFF-FFFF00000000}"/>
  </bookViews>
  <sheets>
    <sheet name="Personal" sheetId="9" r:id="rId1"/>
    <sheet name="Det_Personal" sheetId="10" r:id="rId2"/>
    <sheet name="Claro" sheetId="3" r:id="rId3"/>
    <sheet name="Equipos" sheetId="4" r:id="rId4"/>
    <sheet name="Brunela" sheetId="5" r:id="rId5"/>
    <sheet name="Rodrigo M" sheetId="7" r:id="rId6"/>
    <sheet name="Marcelo C" sheetId="8" r:id="rId7"/>
    <sheet name="Hoja1" sheetId="11" r:id="rId8"/>
    <sheet name="Hoja2" sheetId="12" r:id="rId9"/>
    <sheet name="movistar" sheetId="13" r:id="rId10"/>
  </sheets>
  <definedNames>
    <definedName name="_xlnm._FilterDatabase" localSheetId="2" hidden="1">Claro!$A$1:$AA$395</definedName>
    <definedName name="_xlnm._FilterDatabase" localSheetId="9" hidden="1">movistar!$A$5:$Q$63</definedName>
    <definedName name="_xlnm._FilterDatabase" localSheetId="0" hidden="1">Personal!$A$1:$P$57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0" i="13" l="1"/>
  <c r="E74" i="9" l="1"/>
  <c r="E69" i="9"/>
  <c r="C72" i="9" l="1"/>
  <c r="A4" i="10" l="1"/>
  <c r="B4" i="10"/>
  <c r="C4" i="10"/>
  <c r="D4" i="10"/>
  <c r="E4" i="10"/>
  <c r="G4" i="10"/>
  <c r="A5" i="10"/>
  <c r="B5" i="10"/>
  <c r="C5" i="10"/>
  <c r="D5" i="10"/>
  <c r="E5" i="10"/>
  <c r="G5" i="10"/>
  <c r="A6" i="10"/>
  <c r="B6" i="10"/>
  <c r="C6" i="10"/>
  <c r="D6" i="10"/>
  <c r="E6" i="10"/>
  <c r="G6" i="10"/>
  <c r="A7" i="10"/>
  <c r="B7" i="10"/>
  <c r="C7" i="10"/>
  <c r="D7" i="10"/>
  <c r="E7" i="10"/>
  <c r="G7" i="10"/>
  <c r="A8" i="10"/>
  <c r="B8" i="10"/>
  <c r="C8" i="10"/>
  <c r="D8" i="10"/>
  <c r="E8" i="10"/>
  <c r="G8" i="10"/>
  <c r="A9" i="10"/>
  <c r="B9" i="10"/>
  <c r="C9" i="10"/>
  <c r="D9" i="10"/>
  <c r="E9" i="10"/>
  <c r="G9" i="10"/>
  <c r="A10" i="10"/>
  <c r="B10" i="10"/>
  <c r="C10" i="10"/>
  <c r="D10" i="10"/>
  <c r="E10" i="10"/>
  <c r="G10" i="10"/>
  <c r="A11" i="10"/>
  <c r="B11" i="10"/>
  <c r="C11" i="10"/>
  <c r="D11" i="10"/>
  <c r="E11" i="10"/>
  <c r="G11" i="10"/>
  <c r="A12" i="10"/>
  <c r="B12" i="10"/>
  <c r="C12" i="10"/>
  <c r="D12" i="10"/>
  <c r="E12" i="10"/>
  <c r="G12" i="10"/>
  <c r="A13" i="10"/>
  <c r="B13" i="10"/>
  <c r="C13" i="10"/>
  <c r="D13" i="10"/>
  <c r="E13" i="10"/>
  <c r="G13" i="10"/>
  <c r="A14" i="10"/>
  <c r="B14" i="10"/>
  <c r="C14" i="10"/>
  <c r="D14" i="10"/>
  <c r="E14" i="10"/>
  <c r="G14" i="10"/>
  <c r="A15" i="10"/>
  <c r="B15" i="10"/>
  <c r="C15" i="10"/>
  <c r="D15" i="10"/>
  <c r="E15" i="10"/>
  <c r="G15" i="10"/>
  <c r="A16" i="10"/>
  <c r="B16" i="10"/>
  <c r="C16" i="10"/>
  <c r="D16" i="10"/>
  <c r="E16" i="10"/>
  <c r="G16" i="10"/>
  <c r="A17" i="10"/>
  <c r="B17" i="10"/>
  <c r="C17" i="10"/>
  <c r="D17" i="10"/>
  <c r="E17" i="10"/>
  <c r="G17" i="10"/>
  <c r="A18" i="10"/>
  <c r="B18" i="10"/>
  <c r="C18" i="10"/>
  <c r="D18" i="10"/>
  <c r="E18" i="10"/>
  <c r="G18" i="10"/>
  <c r="A19" i="10"/>
  <c r="B19" i="10"/>
  <c r="C19" i="10"/>
  <c r="D19" i="10"/>
  <c r="E19" i="10"/>
  <c r="G19" i="10"/>
  <c r="A20" i="10"/>
  <c r="B20" i="10"/>
  <c r="C20" i="10"/>
  <c r="D20" i="10"/>
  <c r="E20" i="10"/>
  <c r="G20" i="10"/>
  <c r="A21" i="10"/>
  <c r="B21" i="10"/>
  <c r="C21" i="10"/>
  <c r="D21" i="10"/>
  <c r="E21" i="10"/>
  <c r="G21" i="10"/>
  <c r="A22" i="10"/>
  <c r="B22" i="10"/>
  <c r="C22" i="10"/>
  <c r="D22" i="10"/>
  <c r="E22" i="10"/>
  <c r="G22" i="10"/>
  <c r="A23" i="10"/>
  <c r="B23" i="10"/>
  <c r="C23" i="10"/>
  <c r="D23" i="10"/>
  <c r="E23" i="10"/>
  <c r="G23" i="10"/>
  <c r="A24" i="10"/>
  <c r="B24" i="10"/>
  <c r="C24" i="10"/>
  <c r="D24" i="10"/>
  <c r="E24" i="10"/>
  <c r="G24" i="10"/>
  <c r="A25" i="10"/>
  <c r="B25" i="10"/>
  <c r="C25" i="10"/>
  <c r="D25" i="10"/>
  <c r="E25" i="10"/>
  <c r="G25" i="10"/>
  <c r="A26" i="10"/>
  <c r="B26" i="10"/>
  <c r="C26" i="10"/>
  <c r="D26" i="10"/>
  <c r="E26" i="10"/>
  <c r="G26" i="10"/>
  <c r="A27" i="10"/>
  <c r="B27" i="10"/>
  <c r="C27" i="10"/>
  <c r="D27" i="10"/>
  <c r="E27" i="10"/>
  <c r="G27" i="10"/>
  <c r="A28" i="10"/>
  <c r="B28" i="10"/>
  <c r="C28" i="10"/>
  <c r="D28" i="10"/>
  <c r="E28" i="10"/>
  <c r="G28" i="10"/>
  <c r="A29" i="10"/>
  <c r="B29" i="10"/>
  <c r="C29" i="10"/>
  <c r="D29" i="10"/>
  <c r="E29" i="10"/>
  <c r="G29" i="10"/>
  <c r="A30" i="10"/>
  <c r="B30" i="10"/>
  <c r="C30" i="10"/>
  <c r="D30" i="10"/>
  <c r="E30" i="10"/>
  <c r="G30" i="10"/>
  <c r="A31" i="10"/>
  <c r="B31" i="10"/>
  <c r="C31" i="10"/>
  <c r="D31" i="10"/>
  <c r="E31" i="10"/>
  <c r="G31" i="10"/>
  <c r="A32" i="10"/>
  <c r="B32" i="10"/>
  <c r="C32" i="10"/>
  <c r="D32" i="10"/>
  <c r="E32" i="10"/>
  <c r="G32" i="10"/>
  <c r="A33" i="10"/>
  <c r="B33" i="10"/>
  <c r="C33" i="10"/>
  <c r="D33" i="10"/>
  <c r="E33" i="10"/>
  <c r="G33" i="10"/>
  <c r="A34" i="10"/>
  <c r="B34" i="10"/>
  <c r="C34" i="10"/>
  <c r="D34" i="10"/>
  <c r="E34" i="10"/>
  <c r="G34" i="10"/>
  <c r="A35" i="10"/>
  <c r="B35" i="10"/>
  <c r="C35" i="10"/>
  <c r="D35" i="10"/>
  <c r="E35" i="10"/>
  <c r="G35" i="10"/>
  <c r="A36" i="10"/>
  <c r="B36" i="10"/>
  <c r="C36" i="10"/>
  <c r="D36" i="10"/>
  <c r="E36" i="10"/>
  <c r="G36" i="10"/>
  <c r="A37" i="10"/>
  <c r="B37" i="10"/>
  <c r="C37" i="10"/>
  <c r="D37" i="10"/>
  <c r="E37" i="10"/>
  <c r="G37" i="10"/>
  <c r="A38" i="10"/>
  <c r="B38" i="10"/>
  <c r="C38" i="10"/>
  <c r="D38" i="10"/>
  <c r="E38" i="10"/>
  <c r="G38" i="10"/>
  <c r="A39" i="10"/>
  <c r="B39" i="10"/>
  <c r="C39" i="10"/>
  <c r="D39" i="10"/>
  <c r="E39" i="10"/>
  <c r="G39" i="10"/>
  <c r="A40" i="10"/>
  <c r="B40" i="10"/>
  <c r="C40" i="10"/>
  <c r="D40" i="10"/>
  <c r="E40" i="10"/>
  <c r="G40" i="10"/>
  <c r="A41" i="10"/>
  <c r="B41" i="10"/>
  <c r="C41" i="10"/>
  <c r="D41" i="10"/>
  <c r="E41" i="10"/>
  <c r="G41" i="10"/>
  <c r="A42" i="10"/>
  <c r="B42" i="10"/>
  <c r="C42" i="10"/>
  <c r="D42" i="10"/>
  <c r="E42" i="10"/>
  <c r="G42" i="10"/>
  <c r="A43" i="10"/>
  <c r="B43" i="10"/>
  <c r="C43" i="10"/>
  <c r="D43" i="10"/>
  <c r="E43" i="10"/>
  <c r="G43" i="10"/>
  <c r="A44" i="10"/>
  <c r="B44" i="10"/>
  <c r="C44" i="10"/>
  <c r="D44" i="10"/>
  <c r="E44" i="10"/>
  <c r="G44" i="10"/>
  <c r="A45" i="10"/>
  <c r="B45" i="10"/>
  <c r="C45" i="10"/>
  <c r="D45" i="10"/>
  <c r="E45" i="10"/>
  <c r="G45" i="10"/>
  <c r="A46" i="10"/>
  <c r="B46" i="10"/>
  <c r="C46" i="10"/>
  <c r="D46" i="10"/>
  <c r="E46" i="10"/>
  <c r="G46" i="10"/>
  <c r="A47" i="10"/>
  <c r="B47" i="10"/>
  <c r="C47" i="10"/>
  <c r="D47" i="10"/>
  <c r="E47" i="10"/>
  <c r="G47" i="10"/>
  <c r="A48" i="10"/>
  <c r="B48" i="10"/>
  <c r="C48" i="10"/>
  <c r="D48" i="10"/>
  <c r="E48" i="10"/>
  <c r="G48" i="10"/>
  <c r="A49" i="10"/>
  <c r="B49" i="10"/>
  <c r="C49" i="10"/>
  <c r="D49" i="10"/>
  <c r="E49" i="10"/>
  <c r="G49" i="10"/>
  <c r="A50" i="10"/>
  <c r="B50" i="10"/>
  <c r="C50" i="10"/>
  <c r="D50" i="10"/>
  <c r="E50" i="10"/>
  <c r="G50" i="10"/>
  <c r="A51" i="10"/>
  <c r="B51" i="10"/>
  <c r="C51" i="10"/>
  <c r="D51" i="10"/>
  <c r="E51" i="10"/>
  <c r="G51" i="10"/>
  <c r="A52" i="10"/>
  <c r="B52" i="10"/>
  <c r="C52" i="10"/>
  <c r="D52" i="10"/>
  <c r="E52" i="10"/>
  <c r="G52" i="10"/>
  <c r="A53" i="10"/>
  <c r="B53" i="10"/>
  <c r="C53" i="10"/>
  <c r="D53" i="10"/>
  <c r="E53" i="10"/>
  <c r="G53" i="10"/>
  <c r="A54" i="10"/>
  <c r="B54" i="10"/>
  <c r="C54" i="10"/>
  <c r="D54" i="10"/>
  <c r="E54" i="10"/>
  <c r="G54" i="10"/>
  <c r="A55" i="10"/>
  <c r="B55" i="10"/>
  <c r="C55" i="10"/>
  <c r="D55" i="10"/>
  <c r="E55" i="10"/>
  <c r="G55" i="10"/>
  <c r="A56" i="10"/>
  <c r="B56" i="10"/>
  <c r="C56" i="10"/>
  <c r="D56" i="10"/>
  <c r="E56" i="10"/>
  <c r="G56" i="10"/>
  <c r="A57" i="10"/>
  <c r="B57" i="10"/>
  <c r="C57" i="10"/>
  <c r="D57" i="10"/>
  <c r="E57" i="10"/>
  <c r="G57" i="10"/>
  <c r="A58" i="10"/>
  <c r="B58" i="10"/>
  <c r="C58" i="10"/>
  <c r="D58" i="10"/>
  <c r="E58" i="10"/>
  <c r="G58" i="10"/>
  <c r="G3" i="10"/>
  <c r="E3" i="10"/>
  <c r="D3" i="10"/>
  <c r="C3" i="10"/>
  <c r="B3" i="10"/>
  <c r="A3" i="10"/>
  <c r="D24" i="9" l="1"/>
  <c r="T11" i="4"/>
  <c r="T3" i="4" l="1"/>
  <c r="D68" i="10" l="1"/>
  <c r="D69" i="10"/>
  <c r="D70" i="10"/>
  <c r="E24" i="9" l="1"/>
  <c r="F24" i="9"/>
  <c r="G24" i="9"/>
  <c r="J24" i="9"/>
  <c r="D26" i="9"/>
  <c r="K24" i="9"/>
  <c r="D27" i="9"/>
  <c r="H24" i="9"/>
  <c r="D25" i="9"/>
  <c r="T14" i="4"/>
  <c r="M24" i="9" l="1"/>
  <c r="O24" i="9"/>
  <c r="L24" i="9"/>
  <c r="T5" i="4"/>
  <c r="P24" i="9" l="1"/>
  <c r="T7" i="4"/>
  <c r="S14" i="4"/>
  <c r="T12" i="4" l="1"/>
  <c r="T9" i="4"/>
  <c r="T10" i="4"/>
  <c r="T8" i="4"/>
  <c r="T6" i="4" l="1"/>
  <c r="T13" i="4" l="1"/>
  <c r="S4" i="4" l="1"/>
  <c r="T4" i="4" s="1"/>
  <c r="S5" i="4"/>
  <c r="S6" i="4"/>
  <c r="S7" i="4"/>
  <c r="S8" i="4"/>
  <c r="S9" i="4"/>
  <c r="S10" i="4"/>
  <c r="S11" i="4"/>
  <c r="S12" i="4"/>
  <c r="S3" i="4"/>
  <c r="G65" i="10" l="1"/>
  <c r="B65" i="10"/>
  <c r="D69" i="9" s="1"/>
  <c r="F446" i="8" l="1"/>
  <c r="C447" i="8"/>
  <c r="F457" i="8"/>
  <c r="F460" i="8" s="1"/>
  <c r="F315" i="8" l="1"/>
  <c r="F330" i="8"/>
  <c r="F329" i="8"/>
  <c r="F419" i="8"/>
  <c r="F432" i="8"/>
  <c r="F433" i="8"/>
  <c r="F331" i="8" l="1"/>
  <c r="F328" i="8"/>
  <c r="F332" i="8"/>
  <c r="F435" i="8"/>
  <c r="F434" i="8"/>
  <c r="F436" i="8"/>
  <c r="C68" i="9"/>
  <c r="F437" i="8" l="1"/>
  <c r="F333" i="8"/>
  <c r="C82" i="7"/>
  <c r="F92" i="7"/>
  <c r="F95" i="7" s="1"/>
  <c r="F81" i="7"/>
  <c r="G22" i="9" l="1"/>
  <c r="G33" i="9"/>
  <c r="G29" i="9"/>
  <c r="G19" i="9"/>
  <c r="G35" i="9"/>
  <c r="G21" i="9"/>
  <c r="G12" i="9"/>
  <c r="G23" i="9"/>
  <c r="F456" i="8" s="1"/>
  <c r="G30" i="9"/>
  <c r="G34" i="9"/>
  <c r="G16" i="9"/>
  <c r="G17" i="9"/>
  <c r="G32" i="9"/>
  <c r="M32" i="9" s="1"/>
  <c r="G26" i="9"/>
  <c r="G13" i="9"/>
  <c r="G8" i="9"/>
  <c r="G15" i="9"/>
  <c r="G7" i="9"/>
  <c r="G27" i="9"/>
  <c r="G6" i="9"/>
  <c r="G18" i="9"/>
  <c r="G9" i="9"/>
  <c r="G14" i="9"/>
  <c r="G20" i="9"/>
  <c r="G11" i="9"/>
  <c r="G28" i="9"/>
  <c r="G10" i="9"/>
  <c r="G25" i="9"/>
  <c r="G36" i="9"/>
  <c r="G3" i="9"/>
  <c r="G43" i="9"/>
  <c r="G44" i="9"/>
  <c r="G38" i="9"/>
  <c r="G40" i="9"/>
  <c r="G41" i="9"/>
  <c r="G42" i="9"/>
  <c r="G37" i="9"/>
  <c r="G39" i="9"/>
  <c r="G46" i="9"/>
  <c r="G45" i="9"/>
  <c r="G50" i="9"/>
  <c r="G51" i="9"/>
  <c r="G47" i="9"/>
  <c r="G56" i="9"/>
  <c r="G53" i="9"/>
  <c r="G49" i="9"/>
  <c r="G52" i="9"/>
  <c r="G2" i="9"/>
  <c r="M2" i="9" s="1"/>
  <c r="L4" i="12" s="1"/>
  <c r="G55" i="9"/>
  <c r="G54" i="9"/>
  <c r="G57" i="9"/>
  <c r="M57" i="9" s="1"/>
  <c r="G4" i="9"/>
  <c r="G48" i="9"/>
  <c r="G5" i="9"/>
  <c r="G31" i="9"/>
  <c r="F22" i="9"/>
  <c r="F33" i="9"/>
  <c r="F29" i="9"/>
  <c r="F19" i="9"/>
  <c r="F35" i="9"/>
  <c r="F21" i="9"/>
  <c r="F12" i="9"/>
  <c r="F23" i="9"/>
  <c r="F455" i="8" s="1"/>
  <c r="F30" i="9"/>
  <c r="F34" i="9"/>
  <c r="F16" i="9"/>
  <c r="F17" i="9"/>
  <c r="F32" i="9"/>
  <c r="F26" i="9"/>
  <c r="F13" i="9"/>
  <c r="F8" i="9"/>
  <c r="F15" i="9"/>
  <c r="F7" i="9"/>
  <c r="F27" i="9"/>
  <c r="F6" i="9"/>
  <c r="F18" i="9"/>
  <c r="F9" i="9"/>
  <c r="F14" i="9"/>
  <c r="F20" i="9"/>
  <c r="F11" i="9"/>
  <c r="F28" i="9"/>
  <c r="F10" i="9"/>
  <c r="F25" i="9"/>
  <c r="F36" i="9"/>
  <c r="F3" i="9"/>
  <c r="F43" i="9"/>
  <c r="F44" i="9"/>
  <c r="F38" i="9"/>
  <c r="F40" i="9"/>
  <c r="F41" i="9"/>
  <c r="F42" i="9"/>
  <c r="F37" i="9"/>
  <c r="F39" i="9"/>
  <c r="F46" i="9"/>
  <c r="F45" i="9"/>
  <c r="F50" i="9"/>
  <c r="F51" i="9"/>
  <c r="F47" i="9"/>
  <c r="F56" i="9"/>
  <c r="F53" i="9"/>
  <c r="F49" i="9"/>
  <c r="F52" i="9"/>
  <c r="F2" i="9"/>
  <c r="F55" i="9"/>
  <c r="F54" i="9"/>
  <c r="F57" i="9"/>
  <c r="F4" i="9"/>
  <c r="F48" i="9"/>
  <c r="F5" i="9"/>
  <c r="F31" i="9"/>
  <c r="M35" i="9" l="1"/>
  <c r="M22" i="9"/>
  <c r="M11" i="9"/>
  <c r="M34" i="9"/>
  <c r="M25" i="9"/>
  <c r="M18" i="9"/>
  <c r="M15" i="9"/>
  <c r="F4" i="12"/>
  <c r="M30" i="9"/>
  <c r="M56" i="9"/>
  <c r="M47" i="9"/>
  <c r="M28" i="9"/>
  <c r="M54" i="9"/>
  <c r="M42" i="9"/>
  <c r="M27" i="9"/>
  <c r="M16" i="9"/>
  <c r="M29" i="9"/>
  <c r="M39" i="9"/>
  <c r="M48" i="9"/>
  <c r="M55" i="9"/>
  <c r="M53" i="9"/>
  <c r="M10" i="9"/>
  <c r="M6" i="9"/>
  <c r="M4" i="9"/>
  <c r="M31" i="9"/>
  <c r="M8" i="9"/>
  <c r="M50" i="9"/>
  <c r="M12" i="9"/>
  <c r="M5" i="9"/>
  <c r="M52" i="9"/>
  <c r="M46" i="9"/>
  <c r="M40" i="9"/>
  <c r="M36" i="9"/>
  <c r="M9" i="9"/>
  <c r="M26" i="9"/>
  <c r="M21" i="9"/>
  <c r="M45" i="9"/>
  <c r="M14" i="9"/>
  <c r="M13" i="9"/>
  <c r="F90" i="7"/>
  <c r="M3" i="9"/>
  <c r="F91" i="7"/>
  <c r="F59" i="9"/>
  <c r="G59" i="9"/>
  <c r="D22" i="9"/>
  <c r="D33" i="9"/>
  <c r="D29" i="9"/>
  <c r="D19" i="9"/>
  <c r="D35" i="9"/>
  <c r="D21" i="9"/>
  <c r="D12" i="9"/>
  <c r="D23" i="9"/>
  <c r="C448" i="8" s="1"/>
  <c r="D30" i="9"/>
  <c r="D34" i="9"/>
  <c r="D16" i="9"/>
  <c r="D17" i="9"/>
  <c r="D32" i="9"/>
  <c r="D13" i="9"/>
  <c r="D8" i="9"/>
  <c r="D15" i="9"/>
  <c r="D7" i="9"/>
  <c r="D6" i="9"/>
  <c r="D18" i="9"/>
  <c r="D9" i="9"/>
  <c r="D14" i="9"/>
  <c r="D20" i="9"/>
  <c r="D11" i="9"/>
  <c r="D28" i="9"/>
  <c r="D10" i="9"/>
  <c r="D36" i="9"/>
  <c r="D3" i="9"/>
  <c r="D43" i="9"/>
  <c r="D44" i="9"/>
  <c r="D38" i="9"/>
  <c r="D40" i="9"/>
  <c r="D41" i="9"/>
  <c r="D42" i="9"/>
  <c r="D37" i="9"/>
  <c r="D39" i="9"/>
  <c r="D46" i="9"/>
  <c r="D45" i="9"/>
  <c r="D50" i="9"/>
  <c r="D51" i="9"/>
  <c r="D47" i="9"/>
  <c r="D56" i="9"/>
  <c r="D53" i="9"/>
  <c r="D49" i="9"/>
  <c r="D52" i="9"/>
  <c r="D2" i="9"/>
  <c r="D55" i="9"/>
  <c r="D54" i="9"/>
  <c r="D57" i="9"/>
  <c r="D4" i="9"/>
  <c r="D48" i="9"/>
  <c r="D5" i="9"/>
  <c r="D31" i="9"/>
  <c r="T2" i="10"/>
  <c r="K4" i="12" l="1"/>
  <c r="C450" i="8"/>
  <c r="C451" i="8"/>
  <c r="C449" i="8"/>
  <c r="C83" i="7"/>
  <c r="C84" i="7" s="1"/>
  <c r="K142" i="3"/>
  <c r="K141" i="3"/>
  <c r="C85" i="7" l="1"/>
  <c r="C86" i="7"/>
  <c r="K139" i="3"/>
  <c r="K137" i="3"/>
  <c r="K140" i="3"/>
  <c r="K138" i="3"/>
  <c r="K136" i="3"/>
  <c r="K143" i="3" l="1"/>
  <c r="E70" i="9"/>
  <c r="H113" i="3" l="1"/>
  <c r="G114" i="3"/>
  <c r="H114" i="3" s="1"/>
  <c r="G112" i="3"/>
  <c r="H112" i="3" s="1"/>
  <c r="G110" i="3"/>
  <c r="H110" i="3" s="1"/>
  <c r="G111" i="3"/>
  <c r="H111" i="3" s="1"/>
  <c r="H115" i="3" l="1"/>
  <c r="K133" i="3"/>
  <c r="K132" i="3"/>
  <c r="K131" i="3"/>
  <c r="K130" i="3"/>
  <c r="K129" i="3"/>
  <c r="K134" i="3" l="1"/>
  <c r="G128" i="3" l="1"/>
  <c r="G141" i="3" s="1"/>
  <c r="F112" i="3" l="1"/>
  <c r="F114" i="3"/>
  <c r="F113" i="3"/>
  <c r="F111" i="3"/>
  <c r="F110" i="3"/>
  <c r="F115" i="3" l="1"/>
  <c r="C40" i="5"/>
  <c r="C66" i="5" l="1"/>
  <c r="F404" i="8"/>
  <c r="F407" i="8" s="1"/>
  <c r="C394" i="8"/>
  <c r="F393" i="8"/>
  <c r="F378" i="8"/>
  <c r="F381" i="8" s="1"/>
  <c r="C368" i="8"/>
  <c r="F367" i="8"/>
  <c r="F355" i="8"/>
  <c r="F341" i="8"/>
  <c r="F300" i="8"/>
  <c r="F303" i="8" s="1"/>
  <c r="C290" i="8"/>
  <c r="F289" i="8"/>
  <c r="F274" i="8"/>
  <c r="F277" i="8" s="1"/>
  <c r="C264" i="8"/>
  <c r="F263" i="8"/>
  <c r="F248" i="8"/>
  <c r="F251" i="8" s="1"/>
  <c r="C238" i="8"/>
  <c r="F237" i="8"/>
  <c r="F222" i="8"/>
  <c r="F225" i="8" s="1"/>
  <c r="C212" i="8"/>
  <c r="F211" i="8"/>
  <c r="F196" i="8"/>
  <c r="F199" i="8" s="1"/>
  <c r="C186" i="8"/>
  <c r="F185" i="8"/>
  <c r="F170" i="8"/>
  <c r="F173" i="8" s="1"/>
  <c r="C160" i="8"/>
  <c r="F159" i="8"/>
  <c r="F147" i="8"/>
  <c r="F133" i="8"/>
  <c r="F118" i="8"/>
  <c r="F121" i="8" s="1"/>
  <c r="C108" i="8"/>
  <c r="F107" i="8"/>
  <c r="F95" i="8"/>
  <c r="F81" i="8"/>
  <c r="F66" i="8"/>
  <c r="F69" i="8" s="1"/>
  <c r="C56" i="8"/>
  <c r="F55" i="8"/>
  <c r="F40" i="8"/>
  <c r="F43" i="8" s="1"/>
  <c r="C30" i="8"/>
  <c r="F29" i="8"/>
  <c r="F17" i="8"/>
  <c r="F3" i="8"/>
  <c r="F66" i="7"/>
  <c r="F69" i="7" s="1"/>
  <c r="C56" i="7"/>
  <c r="F55" i="7"/>
  <c r="F40" i="7"/>
  <c r="F43" i="7" s="1"/>
  <c r="C30" i="7"/>
  <c r="F29" i="7"/>
  <c r="F14" i="5"/>
  <c r="F92" i="5"/>
  <c r="F66" i="5"/>
  <c r="C56" i="5" l="1"/>
  <c r="F55" i="5"/>
  <c r="F29" i="5"/>
  <c r="C4" i="5"/>
  <c r="F3" i="5"/>
  <c r="J36" i="9"/>
  <c r="J29" i="9"/>
  <c r="J9" i="9"/>
  <c r="J10" i="9"/>
  <c r="J18" i="9"/>
  <c r="J33" i="9"/>
  <c r="J37" i="9"/>
  <c r="J6" i="9"/>
  <c r="J23" i="9"/>
  <c r="J19" i="9"/>
  <c r="J34" i="9"/>
  <c r="J22" i="9"/>
  <c r="J21" i="9"/>
  <c r="J31" i="9"/>
  <c r="J20" i="9"/>
  <c r="J35" i="9"/>
  <c r="J11" i="9"/>
  <c r="J12" i="9"/>
  <c r="J16" i="9"/>
  <c r="J57" i="9"/>
  <c r="J39" i="9"/>
  <c r="J43" i="9"/>
  <c r="J42" i="9"/>
  <c r="J38" i="9"/>
  <c r="J2" i="9"/>
  <c r="J17" i="9"/>
  <c r="J44" i="9"/>
  <c r="J46" i="9"/>
  <c r="J47" i="9"/>
  <c r="J45" i="9"/>
  <c r="J53" i="9"/>
  <c r="J51" i="9"/>
  <c r="J48" i="9"/>
  <c r="J30" i="9"/>
  <c r="J49" i="9"/>
  <c r="J13" i="9"/>
  <c r="J8" i="9"/>
  <c r="J7" i="9"/>
  <c r="J25" i="9"/>
  <c r="J26" i="9"/>
  <c r="J27" i="9"/>
  <c r="J15" i="9"/>
  <c r="J14" i="9"/>
  <c r="J3" i="9"/>
  <c r="J28" i="9"/>
  <c r="J54" i="9"/>
  <c r="J5" i="9"/>
  <c r="J32" i="9"/>
  <c r="J50" i="9"/>
  <c r="J56" i="9"/>
  <c r="J40" i="9"/>
  <c r="J4" i="9"/>
  <c r="J41" i="9"/>
  <c r="J52" i="9"/>
  <c r="J55" i="9"/>
  <c r="K25" i="9" l="1"/>
  <c r="K13" i="9"/>
  <c r="K7" i="9"/>
  <c r="K26" i="9"/>
  <c r="K14" i="9"/>
  <c r="K3" i="9"/>
  <c r="K27" i="9"/>
  <c r="K8" i="9"/>
  <c r="K28" i="9"/>
  <c r="K15" i="9"/>
  <c r="K50" i="9"/>
  <c r="K46" i="9"/>
  <c r="K47" i="9"/>
  <c r="K51" i="9"/>
  <c r="K4" i="9"/>
  <c r="K40" i="9"/>
  <c r="K48" i="9"/>
  <c r="K41" i="9"/>
  <c r="K53" i="9"/>
  <c r="K45" i="9"/>
  <c r="K56" i="9"/>
  <c r="K55" i="9"/>
  <c r="K23" i="9"/>
  <c r="K19" i="9"/>
  <c r="K54" i="9"/>
  <c r="K9" i="9"/>
  <c r="K10" i="9"/>
  <c r="K36" i="9"/>
  <c r="K34" i="9"/>
  <c r="K22" i="9"/>
  <c r="K11" i="9"/>
  <c r="K21" i="9"/>
  <c r="K18" i="9"/>
  <c r="K33" i="9"/>
  <c r="K31" i="9"/>
  <c r="K29" i="9"/>
  <c r="K20" i="9"/>
  <c r="K37" i="9"/>
  <c r="K6" i="9"/>
  <c r="K43" i="9"/>
  <c r="K2" i="9"/>
  <c r="K57" i="9"/>
  <c r="K42" i="9"/>
  <c r="K35" i="9"/>
  <c r="K12" i="9"/>
  <c r="K16" i="9"/>
  <c r="K39" i="9"/>
  <c r="K30" i="9"/>
  <c r="K38" i="9"/>
  <c r="K17" i="9"/>
  <c r="K44" i="9"/>
  <c r="K49" i="9"/>
  <c r="K32" i="9"/>
  <c r="K52" i="9"/>
  <c r="K5" i="9"/>
  <c r="C57" i="5"/>
  <c r="C58" i="5" s="1"/>
  <c r="C369" i="8"/>
  <c r="C5" i="5"/>
  <c r="C6" i="5" s="1"/>
  <c r="C291" i="8"/>
  <c r="C265" i="8"/>
  <c r="C239" i="8"/>
  <c r="C213" i="8"/>
  <c r="C187" i="8"/>
  <c r="C161" i="8"/>
  <c r="C109" i="8"/>
  <c r="C57" i="7"/>
  <c r="C395" i="8"/>
  <c r="C31" i="7"/>
  <c r="C57" i="8"/>
  <c r="C31" i="8"/>
  <c r="C398" i="8" l="1"/>
  <c r="C397" i="8"/>
  <c r="C396" i="8"/>
  <c r="C241" i="8"/>
  <c r="C242" i="8"/>
  <c r="C240" i="8"/>
  <c r="C111" i="8"/>
  <c r="C112" i="8"/>
  <c r="C110" i="8"/>
  <c r="C189" i="8"/>
  <c r="C190" i="8"/>
  <c r="C188" i="8"/>
  <c r="C267" i="8"/>
  <c r="C268" i="8"/>
  <c r="C266" i="8"/>
  <c r="C371" i="8"/>
  <c r="C372" i="8"/>
  <c r="C370" i="8"/>
  <c r="C293" i="8"/>
  <c r="C294" i="8"/>
  <c r="C292" i="8"/>
  <c r="C33" i="8"/>
  <c r="C34" i="8"/>
  <c r="C32" i="8"/>
  <c r="C59" i="8"/>
  <c r="C60" i="8"/>
  <c r="C58" i="8"/>
  <c r="C163" i="8"/>
  <c r="C164" i="8"/>
  <c r="C162" i="8"/>
  <c r="C215" i="8"/>
  <c r="C216" i="8"/>
  <c r="C214" i="8"/>
  <c r="C33" i="7"/>
  <c r="C34" i="7"/>
  <c r="C32" i="7"/>
  <c r="C59" i="7"/>
  <c r="C60" i="7"/>
  <c r="C58" i="7"/>
  <c r="C7" i="5"/>
  <c r="C60" i="5"/>
  <c r="C8" i="5"/>
  <c r="C59" i="5"/>
  <c r="F95" i="5"/>
  <c r="C83" i="5"/>
  <c r="C82" i="5"/>
  <c r="F81" i="5"/>
  <c r="I59" i="9"/>
  <c r="C70" i="9" s="1"/>
  <c r="C84" i="5" l="1"/>
  <c r="C86" i="5"/>
  <c r="C85" i="5"/>
  <c r="F38" i="7"/>
  <c r="F64" i="7"/>
  <c r="F116" i="8"/>
  <c r="F168" i="8"/>
  <c r="F194" i="8"/>
  <c r="F220" i="8"/>
  <c r="F246" i="8"/>
  <c r="F272" i="8"/>
  <c r="F298" i="8"/>
  <c r="F12" i="5"/>
  <c r="E23" i="9"/>
  <c r="E19" i="9"/>
  <c r="M19" i="9" s="1"/>
  <c r="E54" i="9"/>
  <c r="E9" i="9"/>
  <c r="E10" i="9"/>
  <c r="E36" i="9"/>
  <c r="E34" i="9"/>
  <c r="E22" i="9"/>
  <c r="E11" i="9"/>
  <c r="E21" i="9"/>
  <c r="E18" i="9"/>
  <c r="E33" i="9"/>
  <c r="M33" i="9" s="1"/>
  <c r="E31" i="9"/>
  <c r="E29" i="9"/>
  <c r="E20" i="9"/>
  <c r="M20" i="9" s="1"/>
  <c r="E4" i="12" s="1"/>
  <c r="E37" i="9"/>
  <c r="M37" i="9" s="1"/>
  <c r="C4" i="12" s="1"/>
  <c r="E6" i="9"/>
  <c r="E43" i="9"/>
  <c r="M43" i="9" s="1"/>
  <c r="B4" i="12" s="1"/>
  <c r="E2" i="9"/>
  <c r="E57" i="9"/>
  <c r="E42" i="9"/>
  <c r="E35" i="9"/>
  <c r="E12" i="9"/>
  <c r="E16" i="9"/>
  <c r="E39" i="9"/>
  <c r="E30" i="9"/>
  <c r="E38" i="9"/>
  <c r="M38" i="9" s="1"/>
  <c r="A4" i="12" s="1"/>
  <c r="E17" i="9"/>
  <c r="M17" i="9" s="1"/>
  <c r="J4" i="12" s="1"/>
  <c r="E44" i="9"/>
  <c r="M44" i="9" s="1"/>
  <c r="D4" i="12" s="1"/>
  <c r="E49" i="9"/>
  <c r="M49" i="9" s="1"/>
  <c r="E32" i="9"/>
  <c r="E52" i="9"/>
  <c r="M23" i="9" l="1"/>
  <c r="F402" i="8"/>
  <c r="F244" i="8"/>
  <c r="F64" i="5"/>
  <c r="F296" i="8"/>
  <c r="F166" i="8"/>
  <c r="F270" i="8"/>
  <c r="F192" i="8"/>
  <c r="F114" i="8"/>
  <c r="F376" i="8"/>
  <c r="F36" i="7"/>
  <c r="F62" i="7"/>
  <c r="F10" i="5"/>
  <c r="O32" i="9"/>
  <c r="O16" i="9"/>
  <c r="O43" i="9"/>
  <c r="O31" i="9"/>
  <c r="O36" i="9"/>
  <c r="O17" i="9"/>
  <c r="O20" i="9"/>
  <c r="O11" i="9"/>
  <c r="O19" i="9"/>
  <c r="F90" i="5"/>
  <c r="O44" i="9"/>
  <c r="O39" i="9"/>
  <c r="O35" i="9"/>
  <c r="O2" i="9"/>
  <c r="O29" i="9"/>
  <c r="O21" i="9"/>
  <c r="O34" i="9"/>
  <c r="O54" i="9"/>
  <c r="O30" i="9"/>
  <c r="O57" i="9"/>
  <c r="O37" i="9"/>
  <c r="O18" i="9"/>
  <c r="O22" i="9"/>
  <c r="O9" i="9"/>
  <c r="O52" i="9"/>
  <c r="O49" i="9"/>
  <c r="O38" i="9"/>
  <c r="O12" i="9"/>
  <c r="O42" i="9"/>
  <c r="O6" i="9"/>
  <c r="O33" i="9"/>
  <c r="O10" i="9"/>
  <c r="O23" i="9"/>
  <c r="F38" i="8"/>
  <c r="F64" i="8"/>
  <c r="E5" i="9"/>
  <c r="E25" i="9"/>
  <c r="E13" i="9"/>
  <c r="E7" i="9"/>
  <c r="E26" i="9"/>
  <c r="E14" i="9"/>
  <c r="E3" i="9"/>
  <c r="F88" i="7" s="1"/>
  <c r="E27" i="9"/>
  <c r="E8" i="9"/>
  <c r="E28" i="9"/>
  <c r="E15" i="9"/>
  <c r="E50" i="9"/>
  <c r="E46" i="9"/>
  <c r="E47" i="9"/>
  <c r="E51" i="9"/>
  <c r="M51" i="9" s="1"/>
  <c r="G4" i="12" s="1"/>
  <c r="E4" i="9"/>
  <c r="E40" i="9"/>
  <c r="E48" i="9"/>
  <c r="E41" i="9"/>
  <c r="M41" i="9" s="1"/>
  <c r="I4" i="12" s="1"/>
  <c r="E53" i="9"/>
  <c r="E45" i="9"/>
  <c r="E56" i="9"/>
  <c r="E55" i="9"/>
  <c r="F461" i="8" l="1"/>
  <c r="F463" i="8"/>
  <c r="F459" i="8"/>
  <c r="F462" i="8"/>
  <c r="F218" i="8"/>
  <c r="M7" i="9"/>
  <c r="H4" i="12" s="1"/>
  <c r="E59" i="9"/>
  <c r="F94" i="7"/>
  <c r="F96" i="7"/>
  <c r="F98" i="7"/>
  <c r="F97" i="7"/>
  <c r="F62" i="8"/>
  <c r="F36" i="8"/>
  <c r="I66" i="3"/>
  <c r="H66" i="3"/>
  <c r="G66" i="3"/>
  <c r="D66" i="3"/>
  <c r="C66" i="3"/>
  <c r="C69" i="9" l="1"/>
  <c r="F464" i="8"/>
  <c r="L64" i="9"/>
  <c r="L66" i="9" s="1"/>
  <c r="F99" i="7"/>
  <c r="F63" i="9"/>
  <c r="E62" i="9"/>
  <c r="O51" i="9"/>
  <c r="L68" i="9" l="1"/>
  <c r="L65" i="9"/>
  <c r="L67" i="9"/>
  <c r="F60" i="9"/>
  <c r="F62" i="9"/>
  <c r="E61" i="9"/>
  <c r="E63" i="9"/>
  <c r="F61" i="9"/>
  <c r="E60" i="9"/>
  <c r="O25" i="9"/>
  <c r="O13" i="9"/>
  <c r="O7" i="9"/>
  <c r="O26" i="9"/>
  <c r="O14" i="9"/>
  <c r="O3" i="9"/>
  <c r="O27" i="9"/>
  <c r="O8" i="9"/>
  <c r="O28" i="9"/>
  <c r="O15" i="9"/>
  <c r="O50" i="9"/>
  <c r="O46" i="9"/>
  <c r="O47" i="9"/>
  <c r="O4" i="9"/>
  <c r="O40" i="9"/>
  <c r="O48" i="9"/>
  <c r="O41" i="9"/>
  <c r="O53" i="9"/>
  <c r="O45" i="9"/>
  <c r="O56" i="9"/>
  <c r="O55" i="9"/>
  <c r="O5" i="9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39" i="3"/>
  <c r="I40" i="3"/>
  <c r="I41" i="3"/>
  <c r="I43" i="3"/>
  <c r="I58" i="3"/>
  <c r="I62" i="3"/>
  <c r="I2" i="3"/>
  <c r="I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42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6" i="3"/>
  <c r="G58" i="3"/>
  <c r="G62" i="3"/>
  <c r="G63" i="3"/>
  <c r="G2" i="3"/>
  <c r="A68" i="3"/>
  <c r="C101" i="3" s="1"/>
  <c r="D10" i="4" l="1"/>
  <c r="D28" i="4" s="1"/>
  <c r="E15" i="4"/>
  <c r="G87" i="3" l="1"/>
  <c r="C87" i="3"/>
  <c r="G31" i="3" l="1"/>
  <c r="G47" i="3"/>
  <c r="G55" i="3"/>
  <c r="G46" i="3"/>
  <c r="G32" i="3"/>
  <c r="G48" i="3"/>
  <c r="G56" i="3"/>
  <c r="G64" i="3"/>
  <c r="G57" i="3"/>
  <c r="G33" i="3"/>
  <c r="G49" i="3"/>
  <c r="G65" i="3"/>
  <c r="G30" i="3"/>
  <c r="G34" i="3"/>
  <c r="G42" i="3"/>
  <c r="G50" i="3"/>
  <c r="G54" i="3"/>
  <c r="G27" i="3"/>
  <c r="G35" i="3"/>
  <c r="G51" i="3"/>
  <c r="G59" i="3"/>
  <c r="G67" i="3"/>
  <c r="G28" i="3"/>
  <c r="G36" i="3"/>
  <c r="G44" i="3"/>
  <c r="G52" i="3"/>
  <c r="G60" i="3"/>
  <c r="G61" i="3"/>
  <c r="G38" i="3"/>
  <c r="G29" i="3"/>
  <c r="G37" i="3"/>
  <c r="G45" i="3"/>
  <c r="G53" i="3"/>
  <c r="I28" i="3"/>
  <c r="I36" i="3"/>
  <c r="I44" i="3"/>
  <c r="I52" i="3"/>
  <c r="I60" i="3"/>
  <c r="I29" i="3"/>
  <c r="I37" i="3"/>
  <c r="I45" i="3"/>
  <c r="I53" i="3"/>
  <c r="I61" i="3"/>
  <c r="I27" i="3"/>
  <c r="I59" i="3"/>
  <c r="I30" i="3"/>
  <c r="I38" i="3"/>
  <c r="I46" i="3"/>
  <c r="I54" i="3"/>
  <c r="I35" i="3"/>
  <c r="I67" i="3"/>
  <c r="I31" i="3"/>
  <c r="I47" i="3"/>
  <c r="I55" i="3"/>
  <c r="I32" i="3"/>
  <c r="I48" i="3"/>
  <c r="I56" i="3"/>
  <c r="I64" i="3"/>
  <c r="I33" i="3"/>
  <c r="I49" i="3"/>
  <c r="I57" i="3"/>
  <c r="I65" i="3"/>
  <c r="I34" i="3"/>
  <c r="I42" i="3"/>
  <c r="I50" i="3"/>
  <c r="I51" i="3"/>
  <c r="D88" i="3" l="1"/>
  <c r="C88" i="3"/>
  <c r="G39" i="3" l="1"/>
  <c r="G24" i="3"/>
  <c r="G40" i="3"/>
  <c r="G25" i="3"/>
  <c r="G41" i="3"/>
  <c r="G43" i="3"/>
  <c r="H24" i="3"/>
  <c r="H40" i="3"/>
  <c r="H39" i="3"/>
  <c r="H25" i="3"/>
  <c r="H41" i="3"/>
  <c r="H43" i="3"/>
  <c r="E103" i="3" l="1"/>
  <c r="G92" i="3" l="1"/>
  <c r="I63" i="3" l="1"/>
  <c r="I26" i="3"/>
  <c r="C103" i="3" l="1"/>
  <c r="D62" i="3" l="1"/>
  <c r="C62" i="3"/>
  <c r="D67" i="3" l="1"/>
  <c r="C67" i="3"/>
  <c r="D47" i="3" l="1"/>
  <c r="C47" i="3"/>
  <c r="C78" i="3" l="1"/>
  <c r="D58" i="3" l="1"/>
  <c r="D45" i="3"/>
  <c r="C58" i="3"/>
  <c r="J66" i="3" l="1"/>
  <c r="P65" i="3"/>
  <c r="N66" i="3"/>
  <c r="M66" i="3"/>
  <c r="S66" i="3"/>
  <c r="R66" i="3"/>
  <c r="Q66" i="3"/>
  <c r="T66" i="3"/>
  <c r="K66" i="3"/>
  <c r="L66" i="3"/>
  <c r="P66" i="3"/>
  <c r="P10" i="3"/>
  <c r="P39" i="3"/>
  <c r="P41" i="3"/>
  <c r="P15" i="3"/>
  <c r="P48" i="3"/>
  <c r="P21" i="3"/>
  <c r="P54" i="3"/>
  <c r="P30" i="3"/>
  <c r="P24" i="3"/>
  <c r="P25" i="3"/>
  <c r="P3" i="3"/>
  <c r="P64" i="3"/>
  <c r="P59" i="3"/>
  <c r="P38" i="3"/>
  <c r="P14" i="3"/>
  <c r="P67" i="3"/>
  <c r="P35" i="3"/>
  <c r="P27" i="3"/>
  <c r="P28" i="3"/>
  <c r="P29" i="3"/>
  <c r="P63" i="3"/>
  <c r="P31" i="3"/>
  <c r="P32" i="3"/>
  <c r="P33" i="3"/>
  <c r="P58" i="3"/>
  <c r="P23" i="3"/>
  <c r="P37" i="3"/>
  <c r="P5" i="3"/>
  <c r="P34" i="3"/>
  <c r="P11" i="3"/>
  <c r="P4" i="3"/>
  <c r="P9" i="3"/>
  <c r="P12" i="3"/>
  <c r="P6" i="3"/>
  <c r="P51" i="3"/>
  <c r="P13" i="3"/>
  <c r="P2" i="3"/>
  <c r="P26" i="3"/>
  <c r="P45" i="3"/>
  <c r="P47" i="3"/>
  <c r="P7" i="3"/>
  <c r="P43" i="3"/>
  <c r="P50" i="3"/>
  <c r="P17" i="3"/>
  <c r="P36" i="3"/>
  <c r="P40" i="3"/>
  <c r="P57" i="3"/>
  <c r="P52" i="3"/>
  <c r="P20" i="3"/>
  <c r="P56" i="3"/>
  <c r="P60" i="3"/>
  <c r="P61" i="3"/>
  <c r="P8" i="3"/>
  <c r="P22" i="3"/>
  <c r="P49" i="3"/>
  <c r="P62" i="3"/>
  <c r="P53" i="3"/>
  <c r="P55" i="3"/>
  <c r="P46" i="3"/>
  <c r="P19" i="3"/>
  <c r="P18" i="3"/>
  <c r="P42" i="3"/>
  <c r="P16" i="3"/>
  <c r="P44" i="3"/>
  <c r="R63" i="3"/>
  <c r="R48" i="3"/>
  <c r="T65" i="3"/>
  <c r="R42" i="3"/>
  <c r="T12" i="3"/>
  <c r="R61" i="3"/>
  <c r="T52" i="3"/>
  <c r="R46" i="3"/>
  <c r="T49" i="3"/>
  <c r="R16" i="3"/>
  <c r="T25" i="3"/>
  <c r="R33" i="3"/>
  <c r="T32" i="3"/>
  <c r="R6" i="3"/>
  <c r="T44" i="3"/>
  <c r="R26" i="3"/>
  <c r="T43" i="3"/>
  <c r="R36" i="3"/>
  <c r="T6" i="3"/>
  <c r="R15" i="3"/>
  <c r="T9" i="3"/>
  <c r="R21" i="3"/>
  <c r="T5" i="3"/>
  <c r="R34" i="3"/>
  <c r="T29" i="3"/>
  <c r="T40" i="3"/>
  <c r="R39" i="3"/>
  <c r="T22" i="3"/>
  <c r="R57" i="3"/>
  <c r="T38" i="3"/>
  <c r="R50" i="3"/>
  <c r="T54" i="3"/>
  <c r="R60" i="3"/>
  <c r="T42" i="3"/>
  <c r="R31" i="3"/>
  <c r="T30" i="3"/>
  <c r="R2" i="3"/>
  <c r="R40" i="3"/>
  <c r="R3" i="3"/>
  <c r="T63" i="3"/>
  <c r="R9" i="3"/>
  <c r="T4" i="3"/>
  <c r="Q22" i="3"/>
  <c r="R55" i="3"/>
  <c r="T61" i="3"/>
  <c r="T67" i="3"/>
  <c r="R7" i="3"/>
  <c r="T16" i="3"/>
  <c r="R38" i="3"/>
  <c r="T8" i="3"/>
  <c r="R51" i="3"/>
  <c r="T7" i="3"/>
  <c r="R43" i="3"/>
  <c r="T17" i="3"/>
  <c r="R37" i="3"/>
  <c r="T36" i="3"/>
  <c r="R45" i="3"/>
  <c r="T24" i="3"/>
  <c r="R28" i="3"/>
  <c r="T21" i="3"/>
  <c r="T53" i="3"/>
  <c r="R20" i="3"/>
  <c r="T39" i="3"/>
  <c r="R65" i="3"/>
  <c r="R10" i="3"/>
  <c r="T2" i="3"/>
  <c r="R58" i="3"/>
  <c r="T59" i="3"/>
  <c r="R35" i="3"/>
  <c r="T34" i="3"/>
  <c r="R23" i="3"/>
  <c r="T31" i="3"/>
  <c r="R17" i="3"/>
  <c r="T33" i="3"/>
  <c r="R11" i="3"/>
  <c r="T3" i="3"/>
  <c r="T46" i="3"/>
  <c r="R49" i="3"/>
  <c r="T60" i="3"/>
  <c r="R62" i="3"/>
  <c r="T55" i="3"/>
  <c r="R47" i="3"/>
  <c r="T56" i="3"/>
  <c r="R53" i="3"/>
  <c r="T62" i="3"/>
  <c r="R8" i="3"/>
  <c r="T14" i="3"/>
  <c r="R19" i="3"/>
  <c r="T51" i="3"/>
  <c r="R12" i="3"/>
  <c r="T57" i="3"/>
  <c r="R41" i="3"/>
  <c r="T37" i="3"/>
  <c r="R29" i="3"/>
  <c r="T27" i="3"/>
  <c r="R30" i="3"/>
  <c r="T28" i="3"/>
  <c r="R32" i="3"/>
  <c r="T35" i="3"/>
  <c r="R67" i="3"/>
  <c r="R52" i="3"/>
  <c r="T50" i="3"/>
  <c r="R18" i="3"/>
  <c r="T45" i="3"/>
  <c r="R25" i="3"/>
  <c r="T58" i="3"/>
  <c r="R14" i="3"/>
  <c r="R44" i="3"/>
  <c r="T23" i="3"/>
  <c r="R4" i="3"/>
  <c r="T10" i="3"/>
  <c r="R13" i="3"/>
  <c r="T11" i="3"/>
  <c r="R27" i="3"/>
  <c r="T15" i="3"/>
  <c r="R5" i="3"/>
  <c r="T13" i="3"/>
  <c r="T64" i="3"/>
  <c r="R56" i="3"/>
  <c r="T47" i="3"/>
  <c r="R22" i="3"/>
  <c r="T48" i="3"/>
  <c r="R64" i="3"/>
  <c r="T20" i="3"/>
  <c r="R54" i="3"/>
  <c r="T19" i="3"/>
  <c r="R24" i="3"/>
  <c r="T26" i="3"/>
  <c r="R59" i="3"/>
  <c r="T41" i="3"/>
  <c r="T18" i="3"/>
  <c r="L40" i="3"/>
  <c r="L39" i="3"/>
  <c r="L65" i="3"/>
  <c r="L2" i="3"/>
  <c r="L3" i="3"/>
  <c r="L21" i="3"/>
  <c r="L28" i="3"/>
  <c r="L27" i="3"/>
  <c r="L30" i="3"/>
  <c r="L4" i="3"/>
  <c r="L9" i="3"/>
  <c r="L29" i="3"/>
  <c r="L64" i="3"/>
  <c r="L45" i="3"/>
  <c r="L62" i="3"/>
  <c r="L42" i="3"/>
  <c r="L10" i="3"/>
  <c r="L35" i="3"/>
  <c r="L33" i="3"/>
  <c r="L31" i="3"/>
  <c r="L34" i="3"/>
  <c r="L11" i="3"/>
  <c r="L44" i="3"/>
  <c r="L17" i="3"/>
  <c r="L13" i="3"/>
  <c r="L36" i="3"/>
  <c r="L63" i="3"/>
  <c r="L26" i="3"/>
  <c r="L32" i="3"/>
  <c r="L15" i="3"/>
  <c r="L47" i="3"/>
  <c r="L5" i="3"/>
  <c r="L67" i="3"/>
  <c r="L58" i="3"/>
  <c r="L41" i="3"/>
  <c r="L14" i="3"/>
  <c r="L19" i="3"/>
  <c r="L56" i="3"/>
  <c r="L18" i="3"/>
  <c r="L51" i="3"/>
  <c r="L59" i="3"/>
  <c r="L24" i="3"/>
  <c r="L7" i="3"/>
  <c r="L57" i="3"/>
  <c r="L23" i="3"/>
  <c r="L37" i="3"/>
  <c r="L6" i="3"/>
  <c r="L16" i="3"/>
  <c r="L60" i="3"/>
  <c r="L8" i="3"/>
  <c r="L52" i="3"/>
  <c r="L48" i="3"/>
  <c r="L50" i="3"/>
  <c r="L38" i="3"/>
  <c r="L61" i="3"/>
  <c r="L20" i="3"/>
  <c r="L46" i="3"/>
  <c r="L53" i="3"/>
  <c r="L54" i="3"/>
  <c r="L49" i="3"/>
  <c r="L55" i="3"/>
  <c r="L25" i="3"/>
  <c r="L22" i="3"/>
  <c r="L43" i="3"/>
  <c r="L12" i="3"/>
  <c r="S8" i="3"/>
  <c r="Q45" i="3"/>
  <c r="S63" i="3"/>
  <c r="S60" i="3"/>
  <c r="Q20" i="3"/>
  <c r="S28" i="3"/>
  <c r="S40" i="3"/>
  <c r="Q40" i="3"/>
  <c r="Q29" i="3"/>
  <c r="S10" i="3"/>
  <c r="Q23" i="3"/>
  <c r="Q49" i="3"/>
  <c r="S21" i="3"/>
  <c r="S46" i="3"/>
  <c r="S34" i="3"/>
  <c r="Q5" i="3"/>
  <c r="S2" i="3"/>
  <c r="Q19" i="3"/>
  <c r="S30" i="3"/>
  <c r="Q3" i="3"/>
  <c r="Q67" i="3"/>
  <c r="S24" i="3"/>
  <c r="S53" i="3"/>
  <c r="Q65" i="3"/>
  <c r="S47" i="3"/>
  <c r="Q9" i="3"/>
  <c r="Q56" i="3"/>
  <c r="Q2" i="3"/>
  <c r="S26" i="3"/>
  <c r="Q64" i="3"/>
  <c r="S15" i="3"/>
  <c r="Q4" i="3"/>
  <c r="S59" i="3"/>
  <c r="Q41" i="3"/>
  <c r="S44" i="3"/>
  <c r="Q62" i="3"/>
  <c r="Q58" i="3"/>
  <c r="S23" i="3"/>
  <c r="Q32" i="3"/>
  <c r="Q53" i="3"/>
  <c r="S7" i="3"/>
  <c r="S5" i="3"/>
  <c r="Q35" i="3"/>
  <c r="Q12" i="3"/>
  <c r="S6" i="3"/>
  <c r="Q37" i="3"/>
  <c r="S36" i="3"/>
  <c r="Q13" i="3"/>
  <c r="S33" i="3"/>
  <c r="S38" i="3"/>
  <c r="Q17" i="3"/>
  <c r="S19" i="3"/>
  <c r="S64" i="3"/>
  <c r="Q10" i="3"/>
  <c r="Q46" i="3"/>
  <c r="S4" i="3"/>
  <c r="Q21" i="3"/>
  <c r="S41" i="3"/>
  <c r="Q34" i="3"/>
  <c r="S29" i="3"/>
  <c r="Q51" i="3"/>
  <c r="S18" i="3"/>
  <c r="Q52" i="3"/>
  <c r="S31" i="3"/>
  <c r="Q11" i="3"/>
  <c r="S56" i="3"/>
  <c r="S43" i="3"/>
  <c r="S37" i="3"/>
  <c r="Q26" i="3"/>
  <c r="S13" i="3"/>
  <c r="Q15" i="3"/>
  <c r="S17" i="3"/>
  <c r="Q59" i="3"/>
  <c r="S51" i="3"/>
  <c r="S50" i="3"/>
  <c r="Q57" i="3"/>
  <c r="S27" i="3"/>
  <c r="S39" i="3"/>
  <c r="Q14" i="3"/>
  <c r="S42" i="3"/>
  <c r="Q55" i="3"/>
  <c r="Q16" i="3"/>
  <c r="S52" i="3"/>
  <c r="Q6" i="3"/>
  <c r="S11" i="3"/>
  <c r="Q36" i="3"/>
  <c r="S16" i="3"/>
  <c r="Q38" i="3"/>
  <c r="S61" i="3"/>
  <c r="Q27" i="3"/>
  <c r="S45" i="3"/>
  <c r="Q54" i="3"/>
  <c r="S62" i="3"/>
  <c r="S22" i="3"/>
  <c r="S65" i="3"/>
  <c r="Q25" i="3"/>
  <c r="Q61" i="3"/>
  <c r="Q33" i="3"/>
  <c r="S57" i="3"/>
  <c r="Q18" i="3"/>
  <c r="S14" i="3"/>
  <c r="Q31" i="3"/>
  <c r="S12" i="3"/>
  <c r="S55" i="3"/>
  <c r="Q43" i="3"/>
  <c r="S3" i="3"/>
  <c r="Q8" i="3"/>
  <c r="S48" i="3"/>
  <c r="S20" i="3"/>
  <c r="Q7" i="3"/>
  <c r="S9" i="3"/>
  <c r="Q28" i="3"/>
  <c r="Q44" i="3"/>
  <c r="S54" i="3"/>
  <c r="Q50" i="3"/>
  <c r="S58" i="3"/>
  <c r="S67" i="3"/>
  <c r="Q39" i="3"/>
  <c r="S25" i="3"/>
  <c r="Q42" i="3"/>
  <c r="Q48" i="3"/>
  <c r="S32" i="3"/>
  <c r="Q30" i="3"/>
  <c r="Q60" i="3"/>
  <c r="S49" i="3"/>
  <c r="S35" i="3"/>
  <c r="Q47" i="3"/>
  <c r="Q24" i="3"/>
  <c r="Q63" i="3"/>
  <c r="N62" i="3"/>
  <c r="K62" i="3"/>
  <c r="M62" i="3"/>
  <c r="J62" i="3"/>
  <c r="K47" i="3"/>
  <c r="M47" i="3"/>
  <c r="N47" i="3"/>
  <c r="J47" i="3"/>
  <c r="K67" i="3"/>
  <c r="M67" i="3"/>
  <c r="N67" i="3"/>
  <c r="J67" i="3"/>
  <c r="M58" i="3"/>
  <c r="K58" i="3"/>
  <c r="N58" i="3"/>
  <c r="J58" i="3"/>
  <c r="U66" i="3" l="1"/>
  <c r="V66" i="3" s="1"/>
  <c r="U67" i="3"/>
  <c r="U47" i="3"/>
  <c r="U62" i="3"/>
  <c r="W48" i="3"/>
  <c r="U58" i="3"/>
  <c r="C79" i="3" l="1"/>
  <c r="C82" i="3" s="1"/>
  <c r="C80" i="3"/>
  <c r="C81" i="3" l="1"/>
  <c r="D43" i="3" l="1"/>
  <c r="D41" i="3"/>
  <c r="D40" i="3"/>
  <c r="D25" i="3"/>
  <c r="D63" i="3"/>
  <c r="D3" i="3"/>
  <c r="D10" i="3"/>
  <c r="D11" i="3"/>
  <c r="D4" i="3"/>
  <c r="D13" i="3"/>
  <c r="D9" i="3"/>
  <c r="D5" i="3"/>
  <c r="D23" i="3"/>
  <c r="D15" i="3"/>
  <c r="D21" i="3"/>
  <c r="D20" i="3"/>
  <c r="D27" i="3"/>
  <c r="D28" i="3"/>
  <c r="D2" i="3"/>
  <c r="D38" i="3"/>
  <c r="D64" i="3"/>
  <c r="D26" i="3"/>
  <c r="D31" i="3"/>
  <c r="D32" i="3"/>
  <c r="D29" i="3"/>
  <c r="D36" i="3"/>
  <c r="D35" i="3"/>
  <c r="D16" i="3"/>
  <c r="D34" i="3"/>
  <c r="D44" i="3"/>
  <c r="D18" i="3"/>
  <c r="D30" i="3"/>
  <c r="D37" i="3"/>
  <c r="D33" i="3"/>
  <c r="D24" i="3"/>
  <c r="D59" i="3"/>
  <c r="D7" i="3"/>
  <c r="D52" i="3"/>
  <c r="D39" i="3"/>
  <c r="D14" i="3"/>
  <c r="D61" i="3"/>
  <c r="D19" i="3"/>
  <c r="D48" i="3"/>
  <c r="D22" i="3"/>
  <c r="D17" i="3"/>
  <c r="D6" i="3"/>
  <c r="D50" i="3"/>
  <c r="D12" i="3"/>
  <c r="D56" i="3"/>
  <c r="D55" i="3"/>
  <c r="D51" i="3"/>
  <c r="D60" i="3"/>
  <c r="D42" i="3"/>
  <c r="D57" i="3"/>
  <c r="D65" i="3"/>
  <c r="D49" i="3"/>
  <c r="D46" i="3"/>
  <c r="D8" i="3"/>
  <c r="D53" i="3"/>
  <c r="D54" i="3"/>
  <c r="J8" i="3" l="1"/>
  <c r="J39" i="3"/>
  <c r="J6" i="3"/>
  <c r="J65" i="3"/>
  <c r="J14" i="3"/>
  <c r="J41" i="3"/>
  <c r="J56" i="3"/>
  <c r="J43" i="3"/>
  <c r="J50" i="3"/>
  <c r="J57" i="3"/>
  <c r="J22" i="3"/>
  <c r="J45" i="3"/>
  <c r="J19" i="3"/>
  <c r="J42" i="3"/>
  <c r="J33" i="3"/>
  <c r="J44" i="3"/>
  <c r="J37" i="3"/>
  <c r="J34" i="3"/>
  <c r="J51" i="3"/>
  <c r="J11" i="3"/>
  <c r="J13" i="3"/>
  <c r="J5" i="3"/>
  <c r="J15" i="3"/>
  <c r="J20" i="3"/>
  <c r="J28" i="3"/>
  <c r="J2" i="3"/>
  <c r="J64" i="3"/>
  <c r="J32" i="3"/>
  <c r="J35" i="3"/>
  <c r="J16" i="3"/>
  <c r="J63" i="3"/>
  <c r="J3" i="3"/>
  <c r="J54" i="3"/>
  <c r="J12" i="3"/>
  <c r="J49" i="3"/>
  <c r="J46" i="3"/>
  <c r="J48" i="3"/>
  <c r="J53" i="3"/>
  <c r="J55" i="3"/>
  <c r="J61" i="3"/>
  <c r="J60" i="3"/>
  <c r="J17" i="3"/>
  <c r="J52" i="3"/>
  <c r="J7" i="3"/>
  <c r="J18" i="3"/>
  <c r="J36" i="3"/>
  <c r="J38" i="3"/>
  <c r="J26" i="3"/>
  <c r="J10" i="3"/>
  <c r="J4" i="3"/>
  <c r="J9" i="3"/>
  <c r="J23" i="3"/>
  <c r="J21" i="3"/>
  <c r="J27" i="3"/>
  <c r="J31" i="3"/>
  <c r="J29" i="3"/>
  <c r="J30" i="3"/>
  <c r="J24" i="3"/>
  <c r="J59" i="3"/>
  <c r="J25" i="3"/>
  <c r="J40" i="3"/>
  <c r="N26" i="3"/>
  <c r="M26" i="3"/>
  <c r="K26" i="3"/>
  <c r="K55" i="3"/>
  <c r="K51" i="3"/>
  <c r="K61" i="3"/>
  <c r="K50" i="3"/>
  <c r="K56" i="3"/>
  <c r="K39" i="3"/>
  <c r="K17" i="3"/>
  <c r="K22" i="3"/>
  <c r="K52" i="3"/>
  <c r="K19" i="3"/>
  <c r="K7" i="3"/>
  <c r="K59" i="3"/>
  <c r="K63" i="3"/>
  <c r="K33" i="3"/>
  <c r="K18" i="3"/>
  <c r="K44" i="3"/>
  <c r="K36" i="3"/>
  <c r="K37" i="3"/>
  <c r="K38" i="3"/>
  <c r="K34" i="3"/>
  <c r="K6" i="3"/>
  <c r="K16" i="3"/>
  <c r="K30" i="3"/>
  <c r="K35" i="3"/>
  <c r="K29" i="3"/>
  <c r="K32" i="3"/>
  <c r="K31" i="3"/>
  <c r="K64" i="3"/>
  <c r="K2" i="3"/>
  <c r="K28" i="3"/>
  <c r="K27" i="3"/>
  <c r="K20" i="3"/>
  <c r="K21" i="3"/>
  <c r="K15" i="3"/>
  <c r="K23" i="3"/>
  <c r="K5" i="3"/>
  <c r="K9" i="3"/>
  <c r="K13" i="3"/>
  <c r="K4" i="3"/>
  <c r="K11" i="3"/>
  <c r="K10" i="3"/>
  <c r="K3" i="3"/>
  <c r="K25" i="3"/>
  <c r="K43" i="3"/>
  <c r="K40" i="3"/>
  <c r="K41" i="3"/>
  <c r="K24" i="3"/>
  <c r="K8" i="3"/>
  <c r="K54" i="3"/>
  <c r="K57" i="3"/>
  <c r="K12" i="3"/>
  <c r="K60" i="3"/>
  <c r="K49" i="3"/>
  <c r="K65" i="3"/>
  <c r="K46" i="3"/>
  <c r="K14" i="3"/>
  <c r="K48" i="3"/>
  <c r="K42" i="3"/>
  <c r="K53" i="3"/>
  <c r="K45" i="3"/>
  <c r="M8" i="3"/>
  <c r="N54" i="3"/>
  <c r="M57" i="3"/>
  <c r="N12" i="3"/>
  <c r="M60" i="3"/>
  <c r="N65" i="3"/>
  <c r="W65" i="3" s="1"/>
  <c r="M46" i="3"/>
  <c r="N14" i="3"/>
  <c r="M56" i="3"/>
  <c r="M42" i="3"/>
  <c r="N53" i="3"/>
  <c r="M45" i="3"/>
  <c r="N55" i="3"/>
  <c r="M51" i="3"/>
  <c r="N61" i="3"/>
  <c r="M50" i="3"/>
  <c r="N48" i="3"/>
  <c r="N39" i="3"/>
  <c r="N8" i="3"/>
  <c r="M12" i="3"/>
  <c r="N60" i="3"/>
  <c r="M14" i="3"/>
  <c r="N56" i="3"/>
  <c r="N42" i="3"/>
  <c r="M55" i="3"/>
  <c r="N51" i="3"/>
  <c r="M48" i="3"/>
  <c r="M39" i="3"/>
  <c r="N17" i="3"/>
  <c r="M22" i="3"/>
  <c r="N52" i="3"/>
  <c r="M19" i="3"/>
  <c r="N7" i="3"/>
  <c r="M59" i="3"/>
  <c r="N63" i="3"/>
  <c r="M33" i="3"/>
  <c r="N18" i="3"/>
  <c r="M44" i="3"/>
  <c r="N36" i="3"/>
  <c r="M37" i="3"/>
  <c r="N38" i="3"/>
  <c r="M34" i="3"/>
  <c r="M54" i="3"/>
  <c r="N57" i="3"/>
  <c r="M65" i="3"/>
  <c r="N46" i="3"/>
  <c r="M53" i="3"/>
  <c r="N45" i="3"/>
  <c r="M61" i="3"/>
  <c r="N50" i="3"/>
  <c r="M17" i="3"/>
  <c r="N22" i="3"/>
  <c r="M52" i="3"/>
  <c r="N19" i="3"/>
  <c r="M7" i="3"/>
  <c r="N59" i="3"/>
  <c r="M63" i="3"/>
  <c r="N33" i="3"/>
  <c r="M18" i="3"/>
  <c r="M36" i="3"/>
  <c r="N37" i="3"/>
  <c r="M6" i="3"/>
  <c r="N16" i="3"/>
  <c r="M30" i="3"/>
  <c r="N35" i="3"/>
  <c r="M29" i="3"/>
  <c r="N32" i="3"/>
  <c r="M31" i="3"/>
  <c r="N64" i="3"/>
  <c r="N2" i="3"/>
  <c r="N28" i="3"/>
  <c r="M27" i="3"/>
  <c r="N20" i="3"/>
  <c r="M21" i="3"/>
  <c r="N15" i="3"/>
  <c r="M23" i="3"/>
  <c r="N5" i="3"/>
  <c r="M9" i="3"/>
  <c r="N13" i="3"/>
  <c r="M4" i="3"/>
  <c r="N11" i="3"/>
  <c r="M10" i="3"/>
  <c r="N3" i="3"/>
  <c r="M25" i="3"/>
  <c r="N43" i="3"/>
  <c r="M40" i="3"/>
  <c r="N41" i="3"/>
  <c r="M24" i="3"/>
  <c r="M49" i="3"/>
  <c r="N44" i="3"/>
  <c r="M38" i="3"/>
  <c r="N34" i="3"/>
  <c r="N6" i="3"/>
  <c r="M16" i="3"/>
  <c r="N30" i="3"/>
  <c r="M35" i="3"/>
  <c r="N29" i="3"/>
  <c r="M32" i="3"/>
  <c r="N31" i="3"/>
  <c r="M64" i="3"/>
  <c r="M2" i="3"/>
  <c r="M28" i="3"/>
  <c r="N27" i="3"/>
  <c r="M20" i="3"/>
  <c r="N21" i="3"/>
  <c r="M15" i="3"/>
  <c r="N23" i="3"/>
  <c r="M5" i="3"/>
  <c r="N9" i="3"/>
  <c r="M13" i="3"/>
  <c r="N4" i="3"/>
  <c r="M11" i="3"/>
  <c r="N10" i="3"/>
  <c r="M3" i="3"/>
  <c r="N25" i="3"/>
  <c r="M43" i="3"/>
  <c r="N40" i="3"/>
  <c r="M41" i="3"/>
  <c r="N24" i="3"/>
  <c r="N49" i="3"/>
  <c r="C54" i="3"/>
  <c r="C17" i="3"/>
  <c r="C6" i="3"/>
  <c r="C16" i="3"/>
  <c r="C3" i="3"/>
  <c r="C10" i="3"/>
  <c r="C11" i="3"/>
  <c r="C4" i="3"/>
  <c r="C13" i="3"/>
  <c r="C9" i="3"/>
  <c r="C5" i="3"/>
  <c r="C23" i="3"/>
  <c r="C15" i="3"/>
  <c r="C21" i="3"/>
  <c r="C20" i="3"/>
  <c r="C27" i="3"/>
  <c r="C28" i="3"/>
  <c r="C2" i="3"/>
  <c r="U2" i="3" s="1"/>
  <c r="C18" i="3"/>
  <c r="C29" i="3"/>
  <c r="C38" i="3"/>
  <c r="C22" i="3"/>
  <c r="C33" i="3"/>
  <c r="C14" i="3"/>
  <c r="U14" i="3" s="1"/>
  <c r="C7" i="3"/>
  <c r="U7" i="3" s="1"/>
  <c r="C12" i="3"/>
  <c r="C8" i="3"/>
  <c r="U8" i="3" s="1"/>
  <c r="C53" i="3"/>
  <c r="C46" i="3"/>
  <c r="C50" i="3"/>
  <c r="C55" i="3"/>
  <c r="C37" i="3"/>
  <c r="C63" i="3"/>
  <c r="C48" i="3"/>
  <c r="C39" i="3"/>
  <c r="C36" i="3"/>
  <c r="U36" i="3" s="1"/>
  <c r="C56" i="3"/>
  <c r="C57" i="3"/>
  <c r="C45" i="3"/>
  <c r="C61" i="3"/>
  <c r="C35" i="3"/>
  <c r="U35" i="3" s="1"/>
  <c r="C25" i="3"/>
  <c r="C51" i="3"/>
  <c r="C59" i="3"/>
  <c r="C60" i="3"/>
  <c r="U60" i="3" s="1"/>
  <c r="C64" i="3"/>
  <c r="C44" i="3"/>
  <c r="C65" i="3"/>
  <c r="C26" i="3"/>
  <c r="C30" i="3"/>
  <c r="C43" i="3"/>
  <c r="C40" i="3"/>
  <c r="C49" i="3"/>
  <c r="C42" i="3"/>
  <c r="C41" i="3"/>
  <c r="C52" i="3"/>
  <c r="C34" i="3"/>
  <c r="C31" i="3"/>
  <c r="C24" i="3"/>
  <c r="C32" i="3"/>
  <c r="C19" i="3"/>
  <c r="U19" i="3" l="1"/>
  <c r="U46" i="3"/>
  <c r="U44" i="3"/>
  <c r="U50" i="3"/>
  <c r="U56" i="3"/>
  <c r="U20" i="3"/>
  <c r="U5" i="3"/>
  <c r="U6" i="3"/>
  <c r="U64" i="3"/>
  <c r="U48" i="3"/>
  <c r="U17" i="3"/>
  <c r="U42" i="3"/>
  <c r="U22" i="3"/>
  <c r="U12" i="3"/>
  <c r="U40" i="3"/>
  <c r="U23" i="3"/>
  <c r="U34" i="3"/>
  <c r="U11" i="3"/>
  <c r="U49" i="3"/>
  <c r="U26" i="3"/>
  <c r="U51" i="3"/>
  <c r="U39" i="3"/>
  <c r="U18" i="3"/>
  <c r="U38" i="3"/>
  <c r="U59" i="3"/>
  <c r="U53" i="3"/>
  <c r="U4" i="3"/>
  <c r="V4" i="3" s="1"/>
  <c r="U21" i="3"/>
  <c r="U9" i="3"/>
  <c r="U10" i="3"/>
  <c r="U15" i="3"/>
  <c r="U13" i="3"/>
  <c r="U3" i="3"/>
  <c r="U45" i="3"/>
  <c r="U16" i="3"/>
  <c r="U43" i="3"/>
  <c r="U52" i="3"/>
  <c r="U37" i="3"/>
  <c r="U54" i="3"/>
  <c r="U24" i="3"/>
  <c r="U61" i="3"/>
  <c r="U31" i="3"/>
  <c r="U30" i="3"/>
  <c r="U25" i="3"/>
  <c r="V63" i="3"/>
  <c r="U41" i="3"/>
  <c r="U55" i="3"/>
  <c r="U33" i="3"/>
  <c r="U32" i="3"/>
  <c r="U65" i="3"/>
  <c r="U57" i="3"/>
  <c r="U27" i="3"/>
  <c r="U29" i="3"/>
  <c r="U28" i="3"/>
  <c r="V8" i="3"/>
  <c r="C70" i="3"/>
  <c r="C71" i="3"/>
  <c r="D71" i="3"/>
  <c r="D70" i="3"/>
  <c r="D69" i="3"/>
  <c r="W63" i="3" l="1"/>
  <c r="W2" i="3"/>
  <c r="V42" i="3"/>
  <c r="D72" i="3"/>
  <c r="E74" i="3" l="1"/>
  <c r="C69" i="3"/>
  <c r="V21" i="3"/>
  <c r="V3" i="3"/>
  <c r="V36" i="3"/>
  <c r="W36" i="3" s="1"/>
  <c r="V41" i="3"/>
  <c r="W41" i="3" s="1"/>
  <c r="V40" i="3"/>
  <c r="V59" i="3"/>
  <c r="W59" i="3" s="1"/>
  <c r="V24" i="3"/>
  <c r="W24" i="3" s="1"/>
  <c r="V22" i="3"/>
  <c r="W22" i="3" s="1"/>
  <c r="V56" i="3"/>
  <c r="W56" i="3" s="1"/>
  <c r="V39" i="3"/>
  <c r="W39" i="3" s="1"/>
  <c r="V58" i="3"/>
  <c r="V35" i="3"/>
  <c r="V13" i="3"/>
  <c r="V64" i="3"/>
  <c r="W64" i="3" s="1"/>
  <c r="V60" i="3"/>
  <c r="W60" i="3" s="1"/>
  <c r="V11" i="3"/>
  <c r="V10" i="3"/>
  <c r="V17" i="3"/>
  <c r="V15" i="3"/>
  <c r="V20" i="3"/>
  <c r="W20" i="3" s="1"/>
  <c r="V47" i="3"/>
  <c r="V9" i="3"/>
  <c r="V6" i="3"/>
  <c r="V28" i="3"/>
  <c r="V16" i="3"/>
  <c r="V37" i="3"/>
  <c r="W42" i="3"/>
  <c r="V29" i="3"/>
  <c r="V61" i="3"/>
  <c r="W61" i="3" s="1"/>
  <c r="V45" i="3"/>
  <c r="W45" i="3" s="1"/>
  <c r="V48" i="3"/>
  <c r="V51" i="3"/>
  <c r="W51" i="3" s="1"/>
  <c r="V43" i="3"/>
  <c r="W43" i="3" s="1"/>
  <c r="W26" i="3"/>
  <c r="V5" i="3"/>
  <c r="V27" i="3"/>
  <c r="V14" i="3"/>
  <c r="V30" i="3"/>
  <c r="V38" i="3"/>
  <c r="V12" i="3"/>
  <c r="V7" i="3"/>
  <c r="V18" i="3"/>
  <c r="V44" i="3"/>
  <c r="V65" i="3"/>
  <c r="V23" i="3"/>
  <c r="V2" i="3"/>
  <c r="V26" i="3"/>
  <c r="V34" i="3"/>
  <c r="V49" i="3"/>
  <c r="W49" i="3" s="1"/>
  <c r="V32" i="3"/>
  <c r="V50" i="3"/>
  <c r="V52" i="3"/>
  <c r="V57" i="3"/>
  <c r="W57" i="3" s="1"/>
  <c r="V19" i="3"/>
  <c r="V31" i="3"/>
  <c r="V53" i="3"/>
  <c r="V33" i="3"/>
  <c r="V55" i="3"/>
  <c r="V46" i="3"/>
  <c r="V54" i="3"/>
  <c r="V25" i="3"/>
  <c r="W25" i="3" s="1"/>
  <c r="V62" i="3"/>
  <c r="W62" i="3" s="1"/>
  <c r="V67" i="3"/>
  <c r="W67" i="3" s="1"/>
  <c r="E69" i="3" l="1"/>
  <c r="C72" i="3"/>
  <c r="W40" i="3"/>
  <c r="E73" i="3" s="1"/>
  <c r="E70" i="3"/>
  <c r="E71" i="3"/>
  <c r="E72" i="3" l="1"/>
  <c r="F43" i="5" l="1"/>
  <c r="F17" i="5"/>
  <c r="F69" i="5"/>
  <c r="H4" i="9"/>
  <c r="L41" i="9"/>
  <c r="P41" i="9" s="1"/>
  <c r="H5" i="9"/>
  <c r="H11" i="9"/>
  <c r="H50" i="9"/>
  <c r="H28" i="9"/>
  <c r="H40" i="9"/>
  <c r="H21" i="9"/>
  <c r="H3" i="9"/>
  <c r="H27" i="9"/>
  <c r="H43" i="9"/>
  <c r="H55" i="9"/>
  <c r="H17" i="9"/>
  <c r="H22" i="9"/>
  <c r="H25" i="9"/>
  <c r="H49" i="9"/>
  <c r="H46" i="9"/>
  <c r="H48" i="9"/>
  <c r="H38" i="9"/>
  <c r="H9" i="9"/>
  <c r="H47" i="9"/>
  <c r="H31" i="9"/>
  <c r="H35" i="9"/>
  <c r="H56" i="9"/>
  <c r="H8" i="9"/>
  <c r="H34" i="9"/>
  <c r="H33" i="9"/>
  <c r="H19" i="9"/>
  <c r="H44" i="9"/>
  <c r="H30" i="9"/>
  <c r="H57" i="9"/>
  <c r="H13" i="9"/>
  <c r="H15" i="9"/>
  <c r="H52" i="9"/>
  <c r="H45" i="9"/>
  <c r="H26" i="9"/>
  <c r="H36" i="9"/>
  <c r="H42" i="9"/>
  <c r="H16" i="9"/>
  <c r="H12" i="9"/>
  <c r="H2" i="9"/>
  <c r="H29" i="9"/>
  <c r="H32" i="9"/>
  <c r="H51" i="9"/>
  <c r="H41" i="9"/>
  <c r="H7" i="9"/>
  <c r="H39" i="9"/>
  <c r="H20" i="9"/>
  <c r="H14" i="9"/>
  <c r="H10" i="9"/>
  <c r="H54" i="9"/>
  <c r="H53" i="9"/>
  <c r="H23" i="9"/>
  <c r="H6" i="9"/>
  <c r="H18" i="9"/>
  <c r="H37" i="9"/>
  <c r="L16" i="9" l="1"/>
  <c r="P16" i="9" s="1"/>
  <c r="L26" i="9"/>
  <c r="P26" i="9" s="1"/>
  <c r="L10" i="9"/>
  <c r="P10" i="9" s="1"/>
  <c r="L3" i="9"/>
  <c r="P3" i="9" s="1"/>
  <c r="L40" i="9"/>
  <c r="P40" i="9" s="1"/>
  <c r="L48" i="9"/>
  <c r="P48" i="9" s="1"/>
  <c r="L21" i="9"/>
  <c r="P21" i="9" s="1"/>
  <c r="L55" i="9"/>
  <c r="P55" i="9" s="1"/>
  <c r="L12" i="9"/>
  <c r="P12" i="9" s="1"/>
  <c r="L36" i="9"/>
  <c r="P36" i="9" s="1"/>
  <c r="L25" i="9"/>
  <c r="P25" i="9" s="1"/>
  <c r="L47" i="9"/>
  <c r="P47" i="9" s="1"/>
  <c r="L14" i="9"/>
  <c r="P14" i="9" s="1"/>
  <c r="L29" i="9"/>
  <c r="P29" i="9" s="1"/>
  <c r="L15" i="9"/>
  <c r="P15" i="9" s="1"/>
  <c r="L6" i="9"/>
  <c r="P6" i="9" s="1"/>
  <c r="L39" i="9"/>
  <c r="P39" i="9" s="1"/>
  <c r="L11" i="9"/>
  <c r="P11" i="9" s="1"/>
  <c r="L7" i="9"/>
  <c r="L9" i="9"/>
  <c r="L22" i="9"/>
  <c r="P22" i="9" s="1"/>
  <c r="L53" i="9"/>
  <c r="P53" i="9" s="1"/>
  <c r="L50" i="9"/>
  <c r="P50" i="9" s="1"/>
  <c r="L4" i="9"/>
  <c r="P4" i="9" s="1"/>
  <c r="L27" i="9"/>
  <c r="P27" i="9" s="1"/>
  <c r="L13" i="9"/>
  <c r="P13" i="9" s="1"/>
  <c r="L56" i="9"/>
  <c r="P56" i="9" s="1"/>
  <c r="L34" i="9"/>
  <c r="P34" i="9" s="1"/>
  <c r="L31" i="9"/>
  <c r="P31" i="9" s="1"/>
  <c r="L35" i="9"/>
  <c r="P35" i="9" s="1"/>
  <c r="L57" i="9"/>
  <c r="P57" i="9" s="1"/>
  <c r="L30" i="9"/>
  <c r="P30" i="9" s="1"/>
  <c r="L46" i="9"/>
  <c r="P46" i="9" s="1"/>
  <c r="L45" i="9"/>
  <c r="P45" i="9" s="1"/>
  <c r="L8" i="9"/>
  <c r="P8" i="9" s="1"/>
  <c r="L28" i="9"/>
  <c r="P28" i="9" s="1"/>
  <c r="L52" i="9"/>
  <c r="L2" i="9"/>
  <c r="L32" i="9"/>
  <c r="L54" i="9"/>
  <c r="P54" i="9" s="1"/>
  <c r="L43" i="9"/>
  <c r="P43" i="9" s="1"/>
  <c r="F221" i="8"/>
  <c r="F226" i="8" s="1"/>
  <c r="L51" i="9"/>
  <c r="P51" i="9" s="1"/>
  <c r="L38" i="9"/>
  <c r="P38" i="9" s="1"/>
  <c r="F44" i="5"/>
  <c r="F148" i="8"/>
  <c r="L19" i="9"/>
  <c r="P19" i="9" s="1"/>
  <c r="L49" i="9"/>
  <c r="L44" i="9"/>
  <c r="F65" i="8"/>
  <c r="F72" i="8" s="1"/>
  <c r="F403" i="8"/>
  <c r="L42" i="9"/>
  <c r="P42" i="9" s="1"/>
  <c r="F91" i="5"/>
  <c r="L23" i="9"/>
  <c r="P23" i="9" s="1"/>
  <c r="F65" i="5"/>
  <c r="L18" i="9"/>
  <c r="F117" i="8"/>
  <c r="F299" i="8"/>
  <c r="F195" i="8"/>
  <c r="L33" i="9"/>
  <c r="P33" i="9" s="1"/>
  <c r="F169" i="8"/>
  <c r="F65" i="7"/>
  <c r="L37" i="9"/>
  <c r="P37" i="9" s="1"/>
  <c r="L20" i="9"/>
  <c r="P20" i="9" s="1"/>
  <c r="F39" i="7"/>
  <c r="F377" i="8"/>
  <c r="F247" i="8"/>
  <c r="F13" i="5"/>
  <c r="F273" i="8"/>
  <c r="F39" i="8"/>
  <c r="L5" i="9"/>
  <c r="P5" i="9" s="1"/>
  <c r="L17" i="9"/>
  <c r="P17" i="9" s="1"/>
  <c r="C5" i="11" l="1"/>
  <c r="L59" i="9"/>
  <c r="P9" i="9"/>
  <c r="P2" i="9"/>
  <c r="P7" i="9"/>
  <c r="F149" i="8"/>
  <c r="F45" i="5"/>
  <c r="F224" i="8"/>
  <c r="F227" i="8"/>
  <c r="F70" i="8"/>
  <c r="F42" i="5"/>
  <c r="F228" i="8"/>
  <c r="F46" i="5"/>
  <c r="F68" i="8"/>
  <c r="F146" i="8"/>
  <c r="F71" i="8"/>
  <c r="F150" i="8"/>
  <c r="F44" i="8"/>
  <c r="F46" i="8"/>
  <c r="F42" i="8"/>
  <c r="F45" i="8"/>
  <c r="F252" i="8"/>
  <c r="F254" i="8"/>
  <c r="F250" i="8"/>
  <c r="F253" i="8"/>
  <c r="F302" i="8"/>
  <c r="F304" i="8"/>
  <c r="F306" i="8"/>
  <c r="F305" i="8"/>
  <c r="F382" i="8"/>
  <c r="F380" i="8"/>
  <c r="F383" i="8"/>
  <c r="F384" i="8"/>
  <c r="F94" i="8"/>
  <c r="F98" i="8"/>
  <c r="F96" i="8"/>
  <c r="F97" i="8"/>
  <c r="F20" i="8"/>
  <c r="F16" i="8"/>
  <c r="F19" i="8"/>
  <c r="F18" i="8"/>
  <c r="F408" i="8"/>
  <c r="F409" i="8"/>
  <c r="F410" i="8"/>
  <c r="F406" i="8"/>
  <c r="F280" i="8"/>
  <c r="F279" i="8"/>
  <c r="F276" i="8"/>
  <c r="F278" i="8"/>
  <c r="F46" i="7"/>
  <c r="F42" i="7"/>
  <c r="F44" i="7"/>
  <c r="F45" i="7"/>
  <c r="F70" i="7"/>
  <c r="F71" i="7"/>
  <c r="F72" i="7"/>
  <c r="F68" i="7"/>
  <c r="F20" i="5"/>
  <c r="F19" i="5"/>
  <c r="F16" i="5"/>
  <c r="F18" i="5"/>
  <c r="F174" i="8"/>
  <c r="F175" i="8"/>
  <c r="F176" i="8"/>
  <c r="F172" i="8"/>
  <c r="P18" i="9"/>
  <c r="P44" i="9" s="1"/>
  <c r="G63" i="9"/>
  <c r="G61" i="9"/>
  <c r="G62" i="9"/>
  <c r="G60" i="9"/>
  <c r="F357" i="8"/>
  <c r="F356" i="8"/>
  <c r="F354" i="8"/>
  <c r="F358" i="8"/>
  <c r="F200" i="8"/>
  <c r="F202" i="8"/>
  <c r="F201" i="8"/>
  <c r="F198" i="8"/>
  <c r="F122" i="8"/>
  <c r="F123" i="8"/>
  <c r="F120" i="8"/>
  <c r="F124" i="8"/>
  <c r="F72" i="5"/>
  <c r="F71" i="5"/>
  <c r="F68" i="5"/>
  <c r="F70" i="5"/>
  <c r="F96" i="5"/>
  <c r="F98" i="5"/>
  <c r="F97" i="5"/>
  <c r="F94" i="5"/>
  <c r="C74" i="9" l="1"/>
  <c r="G74" i="9" s="1"/>
  <c r="F47" i="5"/>
  <c r="F73" i="8"/>
  <c r="F229" i="8"/>
  <c r="F203" i="8"/>
  <c r="F47" i="7"/>
  <c r="F21" i="8"/>
  <c r="F385" i="8"/>
  <c r="F255" i="8"/>
  <c r="F47" i="8"/>
  <c r="F99" i="5"/>
  <c r="F21" i="5"/>
  <c r="F281" i="8"/>
  <c r="F73" i="5"/>
  <c r="F359" i="8"/>
  <c r="F99" i="8"/>
  <c r="F125" i="8"/>
  <c r="F177" i="8"/>
  <c r="F73" i="7"/>
  <c r="F411" i="8"/>
  <c r="F307" i="8"/>
  <c r="C6" i="11" l="1"/>
  <c r="N61" i="9"/>
  <c r="C7" i="11"/>
  <c r="N59" i="9"/>
  <c r="N60" i="9"/>
  <c r="C4" i="11" l="1"/>
  <c r="C8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Caparotta</author>
  </authors>
  <commentList>
    <comment ref="K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PACK 100</t>
        </r>
      </text>
    </comment>
    <comment ref="K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Pack 200</t>
        </r>
      </text>
    </comment>
    <comment ref="K4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PACK 100</t>
        </r>
      </text>
    </comment>
    <comment ref="K4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Pack 200 SMS</t>
        </r>
      </text>
    </comment>
    <comment ref="K5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PACK 100</t>
        </r>
      </text>
    </comment>
    <comment ref="K6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PACK 100</t>
        </r>
      </text>
    </comment>
  </commentList>
</comments>
</file>

<file path=xl/sharedStrings.xml><?xml version="1.0" encoding="utf-8"?>
<sst xmlns="http://schemas.openxmlformats.org/spreadsheetml/2006/main" count="4500" uniqueCount="522">
  <si>
    <t>BILL_NUMBER</t>
  </si>
  <si>
    <t>CANTIDAD</t>
  </si>
  <si>
    <t>Cargo 1% financ ENARD Ley 26.573/09</t>
  </si>
  <si>
    <t>BB  - BUNDLE - CORPO</t>
  </si>
  <si>
    <t>PACK MULTIMEDIA AR</t>
  </si>
  <si>
    <t>Pack de datos Ilimitado $50</t>
  </si>
  <si>
    <t>INTLC</t>
  </si>
  <si>
    <t>TOTAL</t>
  </si>
  <si>
    <t>NETO</t>
  </si>
  <si>
    <t>Rodrigo Godoy</t>
  </si>
  <si>
    <t>Marcelo Caparotta</t>
  </si>
  <si>
    <t>Rubén Caparotta</t>
  </si>
  <si>
    <t>David Zambruno</t>
  </si>
  <si>
    <t>Verónica Caparotta</t>
  </si>
  <si>
    <t>Mariano Godoy</t>
  </si>
  <si>
    <t>Rubén Massi</t>
  </si>
  <si>
    <t>Noelia Massi</t>
  </si>
  <si>
    <t>Amadío</t>
  </si>
  <si>
    <t>Laura Godoy</t>
  </si>
  <si>
    <t>Américo Agüero</t>
  </si>
  <si>
    <t>Melina Cianci</t>
  </si>
  <si>
    <t>Amadio (hijo)</t>
  </si>
  <si>
    <t>Rodrigo Quiñones</t>
  </si>
  <si>
    <t>Pepi Zambruno</t>
  </si>
  <si>
    <t>Marcos Reinoso</t>
  </si>
  <si>
    <t>Recepción Montañas</t>
  </si>
  <si>
    <t>Erica Godoy</t>
  </si>
  <si>
    <t>David Costarelli</t>
  </si>
  <si>
    <t>Julieta De Monte</t>
  </si>
  <si>
    <t>Mauricio Moreno</t>
  </si>
  <si>
    <t>Israel Gelvez</t>
  </si>
  <si>
    <t>Emiliano Chirino</t>
  </si>
  <si>
    <t>Telular Central Telefónica</t>
  </si>
  <si>
    <t>Margarita Nuñez</t>
  </si>
  <si>
    <t>Mary Agüero</t>
  </si>
  <si>
    <t>Guardia</t>
  </si>
  <si>
    <t>Nicolas Iviglia</t>
  </si>
  <si>
    <t>Matías Martinez (desde 23/01/2012)</t>
  </si>
  <si>
    <t>Carina Zambruno</t>
  </si>
  <si>
    <t>Mili Zambruno</t>
  </si>
  <si>
    <t>Miguel (Laura G.)</t>
  </si>
  <si>
    <t>Marcelo Decon</t>
  </si>
  <si>
    <t>Amadío 3</t>
  </si>
  <si>
    <t>Renzo Papagni</t>
  </si>
  <si>
    <t>Silvana Gimenez (mucama)</t>
  </si>
  <si>
    <t>USUARIO</t>
  </si>
  <si>
    <t>PAGA</t>
  </si>
  <si>
    <t>RUBÉN CAPAROTTA</t>
  </si>
  <si>
    <t>MARIANO GODOY</t>
  </si>
  <si>
    <t>AMERICO AGÜERO</t>
  </si>
  <si>
    <t>RUBÉN MASSI</t>
  </si>
  <si>
    <t>AMADÍO</t>
  </si>
  <si>
    <t>RODRIGO GODOY</t>
  </si>
  <si>
    <t>DAVID ZAMBRUNO</t>
  </si>
  <si>
    <t>MAURICIO MORENO</t>
  </si>
  <si>
    <t>LAURA GODOY</t>
  </si>
  <si>
    <t>MARCELO CAPAROTTA</t>
  </si>
  <si>
    <t>Javier Perez</t>
  </si>
  <si>
    <t>Abono Virtual</t>
  </si>
  <si>
    <t>Min. Incluido</t>
  </si>
  <si>
    <t>CODIGO</t>
  </si>
  <si>
    <t>SMS</t>
  </si>
  <si>
    <t>OTROS</t>
  </si>
  <si>
    <t>ARTRANS - HOTEL</t>
  </si>
  <si>
    <t>ARTRANS - FABRICA</t>
  </si>
  <si>
    <t>IVA</t>
  </si>
  <si>
    <t>Impuesto Interno</t>
  </si>
  <si>
    <t>A PAGAR</t>
  </si>
  <si>
    <t>PAQUETE DATOS</t>
  </si>
  <si>
    <t>Sólo paga el Pack</t>
  </si>
  <si>
    <t>Alejandro Palacios</t>
  </si>
  <si>
    <t>Mayra Godoy</t>
  </si>
  <si>
    <t>Damian Cabral / Gaston Cruseño</t>
  </si>
  <si>
    <t xml:space="preserve">Viajero </t>
  </si>
  <si>
    <t>MINUTOS EN BOLSA:</t>
  </si>
  <si>
    <t>MINUTOS USADOS:</t>
  </si>
  <si>
    <t>MINUTOS SIN USO:</t>
  </si>
  <si>
    <t>TOTAL LINEAS</t>
  </si>
  <si>
    <t>Emiliano</t>
  </si>
  <si>
    <t>DESCUENTA MARCELO CAP.</t>
  </si>
  <si>
    <t>DESCUENTA RODRIGO M.</t>
  </si>
  <si>
    <t>DESCUENTA BRUNELA P.</t>
  </si>
  <si>
    <t>Min Exced.</t>
  </si>
  <si>
    <t>Plan:</t>
  </si>
  <si>
    <t>Nro. de Línea:</t>
  </si>
  <si>
    <t>Período:</t>
  </si>
  <si>
    <t>Pesos:</t>
  </si>
  <si>
    <t>Subtotal</t>
  </si>
  <si>
    <t>IVA (27%)</t>
  </si>
  <si>
    <t>IVA (21%)</t>
  </si>
  <si>
    <t>Total</t>
  </si>
  <si>
    <t xml:space="preserve">Nota: </t>
  </si>
  <si>
    <t>Usuario:</t>
  </si>
  <si>
    <t>PERIODO</t>
  </si>
  <si>
    <t>Cant. SMS</t>
  </si>
  <si>
    <t>Cant. Mult.</t>
  </si>
  <si>
    <t>Msj Mult</t>
  </si>
  <si>
    <t>Pack Datos</t>
  </si>
  <si>
    <t>Q Roaming</t>
  </si>
  <si>
    <t>$ Roaming</t>
  </si>
  <si>
    <t>GPRS</t>
  </si>
  <si>
    <t>Qty GPRS</t>
  </si>
  <si>
    <t>Sra. Mauricio Moreno</t>
  </si>
  <si>
    <t>Julio Bono / Marion (a partir del 7/12)</t>
  </si>
  <si>
    <t>VERO CAP.</t>
  </si>
  <si>
    <t>MINUTOS EXCEDENTES</t>
  </si>
  <si>
    <t>Los consumos corresponden al mes anterior y los abonos se pagan anticipados.</t>
  </si>
  <si>
    <t>Tickets</t>
  </si>
  <si>
    <t>T. Resumen</t>
  </si>
  <si>
    <t>Paquete Datos 25 MB</t>
  </si>
  <si>
    <t>Daniel Nieto (desde 28/02/2013)</t>
  </si>
  <si>
    <t>Verificar cantidad de líneas con factura.</t>
  </si>
  <si>
    <t>Planilla</t>
  </si>
  <si>
    <t>Factura</t>
  </si>
  <si>
    <t>Detalle_Fra</t>
  </si>
  <si>
    <t>Verificar cuotas equipos</t>
  </si>
  <si>
    <t>N/A</t>
  </si>
  <si>
    <t>Verificar gastos de líneas que pagan los usuarios y controlar ticket recibo. Verificar notas, equipos y otros</t>
  </si>
  <si>
    <t>VERIFICACIONES</t>
  </si>
  <si>
    <t>Cambiar mes</t>
  </si>
  <si>
    <t>Mantenimiento Hotel</t>
  </si>
  <si>
    <t>Adicionales bloqueados 15/3</t>
  </si>
  <si>
    <t>Verificar total planilla &gt;= detalle vs factura</t>
  </si>
  <si>
    <t>IN256</t>
  </si>
  <si>
    <t>Modem - Nicolás - Hotel</t>
  </si>
  <si>
    <t>Andrés Argento</t>
  </si>
  <si>
    <t>No paga abono ni pack de datos.</t>
  </si>
  <si>
    <t>FECHA</t>
  </si>
  <si>
    <t>EQUIPO</t>
  </si>
  <si>
    <t>Nokia N100 T</t>
  </si>
  <si>
    <t>Marcelo C.</t>
  </si>
  <si>
    <t>Melina</t>
  </si>
  <si>
    <t>Daniel N. ó Guardia</t>
  </si>
  <si>
    <t>Pide cambio de cel 22/07.</t>
  </si>
  <si>
    <t>Adrián Bollati</t>
  </si>
  <si>
    <t>Mauricio</t>
  </si>
  <si>
    <t>CARGADORES</t>
  </si>
  <si>
    <t>Irupé</t>
  </si>
  <si>
    <t xml:space="preserve"> (desde 25/06)</t>
  </si>
  <si>
    <t>14/08: Bloqueado portal movil.</t>
  </si>
  <si>
    <t>14/08: Bloqueado juegos</t>
  </si>
  <si>
    <t>Set 2013: Compramos Blackberry 9320 3G T</t>
  </si>
  <si>
    <t>Rodrigo G.</t>
  </si>
  <si>
    <t>Claudio V.</t>
  </si>
  <si>
    <t xml:space="preserve">Modem </t>
  </si>
  <si>
    <t>José Reales</t>
  </si>
  <si>
    <t>Paquete de Datos Ilimitados Empresas</t>
  </si>
  <si>
    <t>Verifica neto planilla = detalle = factura</t>
  </si>
  <si>
    <t>Brunela Pennacchio (nueva línea)</t>
  </si>
  <si>
    <t>No paga abono ni pack de datos. Compramos equipo set 2013</t>
  </si>
  <si>
    <t>JULIETA DE MONTE</t>
  </si>
  <si>
    <t>Claudio Venezia</t>
  </si>
  <si>
    <t>Se pide pack de datos 13/11.</t>
  </si>
  <si>
    <t>Sólo paga el pack. 16/10/2013: Se pide pack de datos y reintegro por conexión móvil. Volver a pedir bloqueo de datos. 28/02: Se bloquean suscripciones y conexión de datos. 9/4: Se vuelve a pedir bloqueo de suscripciones -&gt; Se necesita conocer los números desde los cuales llegan los mensajes.</t>
  </si>
  <si>
    <t>VALOR SMS</t>
  </si>
  <si>
    <t>Sams E1205 Keystone2 T C/Fact.12p.</t>
  </si>
  <si>
    <t>Sams E1205 Keystone2 T C/Fact.1p.</t>
  </si>
  <si>
    <t>ACI01</t>
  </si>
  <si>
    <t>Pack Internet 100MB</t>
  </si>
  <si>
    <t>Ivan</t>
  </si>
  <si>
    <t>Artrans paga abono y pack de llamadas ilimitadas.</t>
  </si>
  <si>
    <t>TCL67</t>
  </si>
  <si>
    <t>PLAN</t>
  </si>
  <si>
    <t>TCL67/2</t>
  </si>
  <si>
    <t>MIN INCL.</t>
  </si>
  <si>
    <t>Ilimitado</t>
  </si>
  <si>
    <t>LIBRE</t>
  </si>
  <si>
    <t>ABONO VIRTUAL</t>
  </si>
  <si>
    <t>ABONO REAL</t>
  </si>
  <si>
    <t>OBSERV.</t>
  </si>
  <si>
    <t>Bloquear conexión móvil</t>
  </si>
  <si>
    <t xml:space="preserve"> </t>
  </si>
  <si>
    <t>Min Exced.2</t>
  </si>
  <si>
    <t>TOTAL3</t>
  </si>
  <si>
    <t>EQUIPOS</t>
  </si>
  <si>
    <t>A cargo de Artrans</t>
  </si>
  <si>
    <t>Abono y pack de datos bonificado</t>
  </si>
  <si>
    <t>16/12/2013: Conexión móvil bloqueada.</t>
  </si>
  <si>
    <t>Ago 2014: Se pide Pack 200 SMS. Adicionales bloqueados 15/3</t>
  </si>
  <si>
    <t>Administracion Acc Sur. Gustavo M.</t>
  </si>
  <si>
    <t>Modificaciones</t>
  </si>
  <si>
    <t>https://empresas.claro.com.ar/</t>
  </si>
  <si>
    <t>http://redprivadavirtual.claroargentina.com:8080/ctivpn/login.do</t>
  </si>
  <si>
    <t>Minutos</t>
  </si>
  <si>
    <t>Liberado</t>
  </si>
  <si>
    <t>Ext: 300 Int: 0</t>
  </si>
  <si>
    <t>Ext: 300 Int: 25</t>
  </si>
  <si>
    <t xml:space="preserve">Set 2013: Compramos Nokia Lumia 620 Bco 3G T C/Fact.1p. </t>
  </si>
  <si>
    <t>Observaciones</t>
  </si>
  <si>
    <t>Se dan minutos Ext</t>
  </si>
  <si>
    <t>Ext: 10 Int: 0</t>
  </si>
  <si>
    <t>Ext: Liberado Int: 0</t>
  </si>
  <si>
    <t>Ext: Liberado Int: 60</t>
  </si>
  <si>
    <t xml:space="preserve">Set 2013: Compramos Nokia Lumia 620 3G T C/Fact.3p. 18/07: Bloqueada suscripciones.  </t>
  </si>
  <si>
    <t>???</t>
  </si>
  <si>
    <t>01/03: Se bloquean suscripciones, juegos y conexión de datos.</t>
  </si>
  <si>
    <t>Ext: 30 Int: 0</t>
  </si>
  <si>
    <t>??</t>
  </si>
  <si>
    <t>Carolina Brown (mucama)</t>
  </si>
  <si>
    <t>Vanesa Berrera (mucama)</t>
  </si>
  <si>
    <t>Cynthia Alvarez (mucama)</t>
  </si>
  <si>
    <t>Carolina Gutierrez (compras)</t>
  </si>
  <si>
    <t>Mauricio Tosal (reservas)</t>
  </si>
  <si>
    <t>MIN EXC.</t>
  </si>
  <si>
    <t>Verificar en planilla gastos no autorizados en las líneas que paga Artrans (juegos, suscripciones, datos, mensajes premium, SMS, etc.) En especial si figuran en la columna "Otros" o si excede los $ 250.- (resaltado en rojo)</t>
  </si>
  <si>
    <t>(1 modem)</t>
  </si>
  <si>
    <t>Liberado 6/2</t>
  </si>
  <si>
    <t>\\server\$tm$\Celus</t>
  </si>
  <si>
    <t>Germán Rodriguez</t>
  </si>
  <si>
    <t>VALOR MMS</t>
  </si>
  <si>
    <t>Nueva mucama</t>
  </si>
  <si>
    <t>Leo Díaz (Mantenimiento Artrans)</t>
  </si>
  <si>
    <t>Leonardo Blake (desde Mayo)</t>
  </si>
  <si>
    <t>Inge (se lo llevó) -&gt; Oscar</t>
  </si>
  <si>
    <t>Enrique Regueiro -&gt; Emiliano Embriglio -&gt; Inge</t>
  </si>
  <si>
    <t>Daniel N.</t>
  </si>
  <si>
    <t>Emiliano Embriglio (Desde Noviembre 2015)</t>
  </si>
  <si>
    <t>Pide cambio de cel 22/07. Se dan minutos Ext</t>
  </si>
  <si>
    <t>Cambia a Personal con fecha: descuento de abono anticipado</t>
  </si>
  <si>
    <t>Samsung Young 2</t>
  </si>
  <si>
    <t>Argento</t>
  </si>
  <si>
    <t>LG L 30</t>
  </si>
  <si>
    <t>Samsung S6 edge</t>
  </si>
  <si>
    <t>David Z.</t>
  </si>
  <si>
    <t>Motorola G 3gen</t>
  </si>
  <si>
    <t>PERSONAL</t>
  </si>
  <si>
    <t>OK</t>
  </si>
  <si>
    <t>PERS</t>
  </si>
  <si>
    <t>Baja línea Ivan</t>
  </si>
  <si>
    <t>Mucama</t>
  </si>
  <si>
    <t>usuario</t>
  </si>
  <si>
    <t>cargos fijos</t>
  </si>
  <si>
    <t>cargos variables</t>
  </si>
  <si>
    <t>impuestos</t>
  </si>
  <si>
    <t>Otros cargos</t>
  </si>
  <si>
    <t>Internet</t>
  </si>
  <si>
    <t>Cargos Variables</t>
  </si>
  <si>
    <t>Cargos Fijos</t>
  </si>
  <si>
    <t>Impuesto Interno 4,1667%</t>
  </si>
  <si>
    <t>Percep. 3% IVA</t>
  </si>
  <si>
    <t>Sin Percep.</t>
  </si>
  <si>
    <t>Amadio</t>
  </si>
  <si>
    <t>SAM Galaxy S6 EDGE 32 GB</t>
  </si>
  <si>
    <t>351816070962190</t>
  </si>
  <si>
    <t>LG H815AR G4 LTE</t>
  </si>
  <si>
    <t>352515071363445</t>
  </si>
  <si>
    <t>MT XT1542 Moto G 3Gen LTE</t>
  </si>
  <si>
    <t>358991061261853</t>
  </si>
  <si>
    <t>358991061261820</t>
  </si>
  <si>
    <t>LG 340 Leon LTE</t>
  </si>
  <si>
    <t>359975061621801</t>
  </si>
  <si>
    <t>359975061622114</t>
  </si>
  <si>
    <t>359975061622908</t>
  </si>
  <si>
    <t>359975061622973</t>
  </si>
  <si>
    <t>359975061623187</t>
  </si>
  <si>
    <t>359975061623336</t>
  </si>
  <si>
    <t>359975061623351</t>
  </si>
  <si>
    <t>359975061623641</t>
  </si>
  <si>
    <t>359975061623732</t>
  </si>
  <si>
    <t>359975061623781</t>
  </si>
  <si>
    <t>359975061706040</t>
  </si>
  <si>
    <t>359975061535761</t>
  </si>
  <si>
    <t>359975061535803</t>
  </si>
  <si>
    <t>359975061535928</t>
  </si>
  <si>
    <t>359975061536090</t>
  </si>
  <si>
    <t>359975061536215</t>
  </si>
  <si>
    <t>359975065084162</t>
  </si>
  <si>
    <t>359975065101198</t>
  </si>
  <si>
    <t>359975065101537</t>
  </si>
  <si>
    <t>359975065101669</t>
  </si>
  <si>
    <t>359975061521399</t>
  </si>
  <si>
    <t>359975061535332</t>
  </si>
  <si>
    <t>359975061520581</t>
  </si>
  <si>
    <t>359975061521191</t>
  </si>
  <si>
    <t>Equipo</t>
  </si>
  <si>
    <t>Imei</t>
  </si>
  <si>
    <t>rrhh</t>
  </si>
  <si>
    <t>A partir de noviembre 2015 no descontar paquete de datos.</t>
  </si>
  <si>
    <t>ABONO</t>
  </si>
  <si>
    <t>Min Incl.</t>
  </si>
  <si>
    <t>IVA 27%</t>
  </si>
  <si>
    <t>Imp. Internos</t>
  </si>
  <si>
    <t>Percep.IVA</t>
  </si>
  <si>
    <t>Cargo ENARD</t>
  </si>
  <si>
    <t>A Pagar</t>
  </si>
  <si>
    <t>Otros gastos</t>
  </si>
  <si>
    <t>linea</t>
  </si>
  <si>
    <t>total</t>
  </si>
  <si>
    <t>gustavo</t>
  </si>
  <si>
    <t>Ortiz</t>
  </si>
  <si>
    <t>Belmonte hijo</t>
  </si>
  <si>
    <t>Suarez nelson</t>
  </si>
  <si>
    <t>emiliano embriglio</t>
  </si>
  <si>
    <t>ayup sergio</t>
  </si>
  <si>
    <t>contreras cristian</t>
  </si>
  <si>
    <t>belmonte hugo</t>
  </si>
  <si>
    <t>Nicolas perez</t>
  </si>
  <si>
    <t>david zambruno</t>
  </si>
  <si>
    <t>martin gonzales</t>
  </si>
  <si>
    <t>Dominguez Victor</t>
  </si>
  <si>
    <t>BLAKE</t>
  </si>
  <si>
    <t>Oyarzun hans</t>
  </si>
  <si>
    <t>daniel sosa</t>
  </si>
  <si>
    <t>americo</t>
  </si>
  <si>
    <t>ventas jose</t>
  </si>
  <si>
    <t>ventas adrian</t>
  </si>
  <si>
    <t>rodrigo martinez</t>
  </si>
  <si>
    <t>estrella fernando</t>
  </si>
  <si>
    <t>mamani luis</t>
  </si>
  <si>
    <t>renzo gagliano</t>
  </si>
  <si>
    <t>banda negativa</t>
  </si>
  <si>
    <t>Columna1</t>
  </si>
  <si>
    <t>Debe devolver cargador David Z.</t>
  </si>
  <si>
    <t>,</t>
  </si>
  <si>
    <t>Columna2</t>
  </si>
  <si>
    <t>Columna3</t>
  </si>
  <si>
    <t>Columna4</t>
  </si>
  <si>
    <t>Columna5</t>
  </si>
  <si>
    <t>Paga</t>
  </si>
  <si>
    <t>Plan</t>
  </si>
  <si>
    <t>TI Empresas Ilimitado</t>
  </si>
  <si>
    <t>Conexión Total Premium XL</t>
  </si>
  <si>
    <t>TI Black Empresas 2</t>
  </si>
  <si>
    <t>SMS a Móvil</t>
  </si>
  <si>
    <t>Impuestos</t>
  </si>
  <si>
    <t>Minutos libres</t>
  </si>
  <si>
    <t>SMS a Teléfono Móvil</t>
  </si>
  <si>
    <t>Subsidio remanente: no cobrar.</t>
  </si>
  <si>
    <t>ok</t>
  </si>
  <si>
    <t>marcos</t>
  </si>
  <si>
    <t>rodrigo godoy</t>
  </si>
  <si>
    <t>Marcos R?</t>
  </si>
  <si>
    <t>jose rodriguez?</t>
  </si>
  <si>
    <t>Bonificado</t>
  </si>
  <si>
    <t>Equipos</t>
  </si>
  <si>
    <t>pepi</t>
  </si>
  <si>
    <t>(Otras companias)</t>
  </si>
  <si>
    <t>(Llamadas personal + corpo Gratis)</t>
  </si>
  <si>
    <t>Numero</t>
  </si>
  <si>
    <t>MINUTOS EN PLAN</t>
  </si>
  <si>
    <t>Minutos aire libre banda unica</t>
  </si>
  <si>
    <t>Minutos aires sin cargo</t>
  </si>
  <si>
    <t>exedentes</t>
  </si>
  <si>
    <t>plan</t>
  </si>
  <si>
    <t>TI2</t>
  </si>
  <si>
    <t>XL</t>
  </si>
  <si>
    <t>Minutos gastado en Clering</t>
  </si>
  <si>
    <t>Minutos no usados en Clering</t>
  </si>
  <si>
    <t>Columna6</t>
  </si>
  <si>
    <t>Columna7</t>
  </si>
  <si>
    <t>Columna8</t>
  </si>
  <si>
    <t>Columna9</t>
  </si>
  <si>
    <t>Columna10</t>
  </si>
  <si>
    <t>$ Min Excedente</t>
  </si>
  <si>
    <t>Cta y Orden 3ros</t>
  </si>
  <si>
    <t>Recargas</t>
  </si>
  <si>
    <t>OK 2016-03: Descontar subsidios remanentes por cambio de plan $ 2145,79</t>
  </si>
  <si>
    <t>OK 2016-04: Descontar suscripciones no solicitadas $ 1700 aprox</t>
  </si>
  <si>
    <t>$ Min. Excedente</t>
  </si>
  <si>
    <t>Min. Otras Cias</t>
  </si>
  <si>
    <t>Min. Excedentes</t>
  </si>
  <si>
    <t>Brunela Pennacchio</t>
  </si>
  <si>
    <t>Columna11</t>
  </si>
  <si>
    <t>OK 2016-05: Los abonos que nos cambiaron (15) no les están aplicando el descuento del 50% (ya van varios meses). -&gt; Por eso nos compensaron con más equipos.</t>
  </si>
  <si>
    <t>Abono</t>
  </si>
  <si>
    <t>Pack 50 SMS</t>
  </si>
  <si>
    <t>Internet 100MB</t>
  </si>
  <si>
    <t>Pack Llam. Ilim</t>
  </si>
  <si>
    <t>Bonif. Pack Llam.</t>
  </si>
  <si>
    <t>Deuda pendiente a Oct 2015</t>
  </si>
  <si>
    <t>Nov 2015 (cuota 16/18) s/abono</t>
  </si>
  <si>
    <t xml:space="preserve">Dic 2015 (cuota 17/18) </t>
  </si>
  <si>
    <t>Ene 2016 (cuota 18/18)</t>
  </si>
  <si>
    <t>Feb 2016 (aumentó abono)</t>
  </si>
  <si>
    <t>OK 2016 - 05: Suscripciones no solicitadas</t>
  </si>
  <si>
    <t>2016 - 05: Recargas que no corresponden por el tipo de plan. Idem en Junio.</t>
  </si>
  <si>
    <t>Renzo Gagliano</t>
  </si>
  <si>
    <t>Ivan pagó Fra Claro de Junio por</t>
  </si>
  <si>
    <t>Internet 200MB</t>
  </si>
  <si>
    <t>TOTAL al 15/06</t>
  </si>
  <si>
    <t>Saldo</t>
  </si>
  <si>
    <t>Brunela</t>
  </si>
  <si>
    <t>Rodrigo M</t>
  </si>
  <si>
    <t>Marcelo C</t>
  </si>
  <si>
    <t>Nota:</t>
  </si>
  <si>
    <t>Damian Cabral</t>
  </si>
  <si>
    <t>Oscar Quiroga</t>
  </si>
  <si>
    <t>Franco Schmir</t>
  </si>
  <si>
    <t>Pack 100 SMS</t>
  </si>
  <si>
    <t>Ivan pagó Fra de Diciembre por</t>
  </si>
  <si>
    <t>Venta Tarjeta Pre Paga $50</t>
  </si>
  <si>
    <t>Recompra Internet 200MB</t>
  </si>
  <si>
    <t>Administracion Acc Sur.</t>
  </si>
  <si>
    <t>Minutos fuera del plan</t>
  </si>
  <si>
    <t>otros cargos/sus/triv/cont</t>
  </si>
  <si>
    <t>2XL</t>
  </si>
  <si>
    <t>TI</t>
  </si>
  <si>
    <t>Conexión Total Premium 2XL</t>
  </si>
  <si>
    <t>8 GB</t>
  </si>
  <si>
    <t>1 GB</t>
  </si>
  <si>
    <t>6 GB</t>
  </si>
  <si>
    <t>3 GB</t>
  </si>
  <si>
    <t>Viajero (Rubén Malisani)</t>
  </si>
  <si>
    <t>Plan de cuentas</t>
  </si>
  <si>
    <t>Particulares</t>
  </si>
  <si>
    <t>proveedores</t>
  </si>
  <si>
    <t>Vero</t>
  </si>
  <si>
    <t>Renzo G.</t>
  </si>
  <si>
    <t>Matías M.</t>
  </si>
  <si>
    <t>Mayra</t>
  </si>
  <si>
    <t>Marga</t>
  </si>
  <si>
    <t>Mili</t>
  </si>
  <si>
    <t>Pepi</t>
  </si>
  <si>
    <t>Américo</t>
  </si>
  <si>
    <t>Ale P.</t>
  </si>
  <si>
    <t>Mariano</t>
  </si>
  <si>
    <t>Érica</t>
  </si>
  <si>
    <t>Veronica Caparotta (hijo)</t>
  </si>
  <si>
    <t>EQUIPOS Particulares</t>
  </si>
  <si>
    <t>Equipos proveedores</t>
  </si>
  <si>
    <t>Equipos Artrans</t>
  </si>
  <si>
    <t>Joaquin</t>
  </si>
  <si>
    <t>Alvares Pablo Mantenimiento</t>
  </si>
  <si>
    <t xml:space="preserve">Carlos Vazquez </t>
  </si>
  <si>
    <t>Columna12</t>
  </si>
  <si>
    <t>NO esta mas</t>
  </si>
  <si>
    <t>No esta mas</t>
  </si>
  <si>
    <t>no esta mas</t>
  </si>
  <si>
    <t>TOTALES</t>
  </si>
  <si>
    <t xml:space="preserve">totales </t>
  </si>
  <si>
    <t>imei</t>
  </si>
  <si>
    <t xml:space="preserve">EQUIPOS </t>
  </si>
  <si>
    <t>PRECIOS BONIF 50%</t>
  </si>
  <si>
    <t>cuotas</t>
  </si>
  <si>
    <t>valor cuota</t>
  </si>
  <si>
    <t>353517090099470</t>
  </si>
  <si>
    <t>Samsung Note 8 4G Azul</t>
  </si>
  <si>
    <t>Rodrigo Miranda</t>
  </si>
  <si>
    <t>359567082404190</t>
  </si>
  <si>
    <t>Motorla Moto G5s Plus 4G Dorado</t>
  </si>
  <si>
    <t>Juan Portugal</t>
  </si>
  <si>
    <t>355764086124502</t>
  </si>
  <si>
    <t>Samsung Galaxy J7 Prime 4G Negro</t>
  </si>
  <si>
    <t>358119088495577</t>
  </si>
  <si>
    <t>Sony Xperia L1 4G Blanco</t>
  </si>
  <si>
    <t>354621089567593</t>
  </si>
  <si>
    <t>Samsung Galaxy J5 Prime 4G LTE Negr</t>
  </si>
  <si>
    <t>358666080871730</t>
  </si>
  <si>
    <t>Samsung Galaxy S8 4G LTE Orquidea</t>
  </si>
  <si>
    <t>358666081181246</t>
  </si>
  <si>
    <t>Ruben Caparotta</t>
  </si>
  <si>
    <t>358666081434421</t>
  </si>
  <si>
    <t>Veronica Caparotta</t>
  </si>
  <si>
    <t>358666081376952</t>
  </si>
  <si>
    <t>358666081372084</t>
  </si>
  <si>
    <t xml:space="preserve">Claudio Venezia </t>
  </si>
  <si>
    <t>Cortes Juan 29/10/2018 ( exMantenimiento Hotel )</t>
  </si>
  <si>
    <t>Quevedo Damian Movimientos 29/10/2018 (Recepción Montañas)</t>
  </si>
  <si>
    <t>PAGADO 29/10/18</t>
  </si>
  <si>
    <t>Karina Barbero</t>
  </si>
  <si>
    <t>Juan Cortez</t>
  </si>
  <si>
    <t>pago $2500 09/11</t>
  </si>
  <si>
    <t>pago $2480 09/11</t>
  </si>
  <si>
    <t>saldo</t>
  </si>
  <si>
    <t>pago 3000 09/11/2018</t>
  </si>
  <si>
    <t>pago $2000 12/11</t>
  </si>
  <si>
    <t>Leo Díaz (Mantenimiento Artrans)/ juan Quilici 13/11/2018</t>
  </si>
  <si>
    <t>Alcatel 1 4g</t>
  </si>
  <si>
    <t>Blake</t>
  </si>
  <si>
    <t>pagado 13/11/2018</t>
  </si>
  <si>
    <t>pago 2000 14/11/2010</t>
  </si>
  <si>
    <t>descontado 14/11/18</t>
  </si>
  <si>
    <t>pagas 3000 07/12/2018</t>
  </si>
  <si>
    <t>pago 1250 07/12/18</t>
  </si>
  <si>
    <t>pago 800 07/12/2018</t>
  </si>
  <si>
    <t>pagas 2480 07/12/2018</t>
  </si>
  <si>
    <t>pago 2000 10/12/2018</t>
  </si>
  <si>
    <t>pago 1000 19/12/2018</t>
  </si>
  <si>
    <t>Libre</t>
  </si>
  <si>
    <t>no esta</t>
  </si>
  <si>
    <t>15/1/2019 pago 2500</t>
  </si>
  <si>
    <t>07/02/2019 pago 2500</t>
  </si>
  <si>
    <t>Roaming /ldi</t>
  </si>
  <si>
    <t>Nuevo buenos Aires</t>
  </si>
  <si>
    <t>pago 2000 11/01/2019, 20/02/19, pago 2000 12/03/2019</t>
  </si>
  <si>
    <t>13/3/2019 pago 2200</t>
  </si>
  <si>
    <t>3500 pago 10/04/2019</t>
  </si>
  <si>
    <t>pago2000 10/04/2019</t>
  </si>
  <si>
    <r>
      <rPr>
        <b/>
        <sz val="6"/>
        <rFont val="Segoe UI"/>
        <family val="2"/>
      </rPr>
      <t>Cargos Fijos</t>
    </r>
  </si>
  <si>
    <r>
      <rPr>
        <b/>
        <sz val="6"/>
        <rFont val="Segoe UI"/>
        <family val="2"/>
      </rPr>
      <t>Total Cargos Fijos</t>
    </r>
  </si>
  <si>
    <r>
      <rPr>
        <b/>
        <sz val="6"/>
        <rFont val="Segoe UI"/>
        <family val="2"/>
      </rPr>
      <t>Cargos Variable</t>
    </r>
  </si>
  <si>
    <r>
      <rPr>
        <b/>
        <sz val="6"/>
        <rFont val="Segoe UI"/>
        <family val="2"/>
      </rPr>
      <t>Total Cargos Variables</t>
    </r>
  </si>
  <si>
    <r>
      <rPr>
        <b/>
        <sz val="6"/>
        <rFont val="Segoe UI"/>
        <family val="2"/>
      </rPr>
      <t>Cargos x única vez</t>
    </r>
  </si>
  <si>
    <r>
      <rPr>
        <b/>
        <sz val="6"/>
        <rFont val="Segoe UI"/>
        <family val="2"/>
      </rPr>
      <t>Total Cargos Fijos y Variables</t>
    </r>
  </si>
  <si>
    <r>
      <rPr>
        <b/>
        <sz val="6"/>
        <rFont val="Segoe UI"/>
        <family val="2"/>
      </rPr>
      <t>Línea</t>
    </r>
  </si>
  <si>
    <r>
      <rPr>
        <b/>
        <sz val="6"/>
        <rFont val="Segoe UI"/>
        <family val="2"/>
      </rPr>
      <t>Plan de voz</t>
    </r>
  </si>
  <si>
    <r>
      <rPr>
        <b/>
        <sz val="6"/>
        <rFont val="Segoe UI"/>
        <family val="2"/>
      </rPr>
      <t>Servicios voz</t>
    </r>
  </si>
  <si>
    <r>
      <rPr>
        <b/>
        <sz val="6"/>
        <rFont val="Segoe UI"/>
        <family val="2"/>
      </rPr>
      <t>Pack SMS</t>
    </r>
  </si>
  <si>
    <r>
      <rPr>
        <b/>
        <sz val="6"/>
        <rFont val="Segoe UI"/>
        <family val="2"/>
      </rPr>
      <t>Pack Datos</t>
    </r>
  </si>
  <si>
    <r>
      <rPr>
        <b/>
        <sz val="6"/>
        <rFont val="Segoe UI"/>
        <family val="2"/>
      </rPr>
      <t>Garantia</t>
    </r>
  </si>
  <si>
    <r>
      <rPr>
        <b/>
        <sz val="6"/>
        <rFont val="Segoe UI"/>
        <family val="2"/>
      </rPr>
      <t>Otros Servicios</t>
    </r>
  </si>
  <si>
    <r>
      <rPr>
        <b/>
        <sz val="6"/>
        <rFont val="Segoe UI"/>
        <family val="2"/>
      </rPr>
      <t>Voz</t>
    </r>
  </si>
  <si>
    <r>
      <rPr>
        <b/>
        <sz val="6"/>
        <rFont val="Segoe UI"/>
        <family val="2"/>
      </rPr>
      <t>Red Local LDN - LDI</t>
    </r>
  </si>
  <si>
    <r>
      <rPr>
        <b/>
        <sz val="6"/>
        <rFont val="Segoe UI"/>
        <family val="2"/>
      </rPr>
      <t>Mensajes y Contenidos</t>
    </r>
  </si>
  <si>
    <r>
      <rPr>
        <b/>
        <sz val="6"/>
        <rFont val="Segoe UI"/>
        <family val="2"/>
      </rPr>
      <t>Datos</t>
    </r>
  </si>
  <si>
    <r>
      <rPr>
        <b/>
        <sz val="6"/>
        <rFont val="Segoe UI"/>
        <family val="2"/>
      </rPr>
      <t>Roaming</t>
    </r>
  </si>
  <si>
    <r>
      <rPr>
        <b/>
        <sz val="6"/>
        <rFont val="Segoe UI"/>
        <family val="2"/>
      </rPr>
      <t>Otros Cargos</t>
    </r>
  </si>
  <si>
    <r>
      <rPr>
        <b/>
        <sz val="13"/>
        <rFont val="Segoe UI"/>
        <family val="2"/>
      </rPr>
      <t>Cuadro Resumen de Consumos por Cuenta</t>
    </r>
  </si>
  <si>
    <t>RESUMEN IMPOSITIVO</t>
  </si>
  <si>
    <t>(*) Aplicadas específicamente sobre los servicios alcanzados conforme a normas en vigencia</t>
  </si>
  <si>
    <t>Nota de credito</t>
  </si>
  <si>
    <r>
      <rPr>
        <b/>
        <sz val="7"/>
        <rFont val="Segoe UI"/>
        <family val="2"/>
      </rPr>
      <t>Concepto</t>
    </r>
  </si>
  <si>
    <r>
      <rPr>
        <sz val="7"/>
        <rFont val="Segoe UI"/>
      </rPr>
      <t>Percep</t>
    </r>
    <r>
      <rPr>
        <sz val="6"/>
        <rFont val="Segoe UI"/>
      </rPr>
      <t>.</t>
    </r>
    <r>
      <rPr>
        <sz val="7"/>
        <rFont val="Segoe UI"/>
      </rPr>
      <t>Ingr.Brutos</t>
    </r>
    <r>
      <rPr>
        <sz val="6"/>
        <rFont val="Segoe UI"/>
      </rPr>
      <t xml:space="preserve"> </t>
    </r>
    <r>
      <rPr>
        <sz val="7"/>
        <rFont val="Segoe UI"/>
      </rPr>
      <t>Mendoza</t>
    </r>
  </si>
  <si>
    <r>
      <rPr>
        <sz val="7"/>
        <rFont val="Segoe UI"/>
      </rPr>
      <t>Ley</t>
    </r>
    <r>
      <rPr>
        <sz val="6"/>
        <rFont val="Segoe UI"/>
      </rPr>
      <t xml:space="preserve"> </t>
    </r>
    <r>
      <rPr>
        <sz val="7"/>
        <rFont val="Segoe UI"/>
      </rPr>
      <t>27.430</t>
    </r>
    <r>
      <rPr>
        <sz val="6"/>
        <rFont val="Segoe UI"/>
      </rPr>
      <t xml:space="preserve"> </t>
    </r>
    <r>
      <rPr>
        <sz val="7"/>
        <rFont val="Segoe UI"/>
      </rPr>
      <t>Impuestos</t>
    </r>
    <r>
      <rPr>
        <sz val="6"/>
        <rFont val="Segoe UI"/>
      </rPr>
      <t xml:space="preserve"> </t>
    </r>
    <r>
      <rPr>
        <sz val="7"/>
        <rFont val="Segoe UI"/>
      </rPr>
      <t>Internos</t>
    </r>
  </si>
  <si>
    <r>
      <rPr>
        <sz val="7"/>
        <rFont val="Segoe UI"/>
      </rPr>
      <t>5</t>
    </r>
    <r>
      <rPr>
        <sz val="6"/>
        <rFont val="Segoe UI"/>
      </rPr>
      <t>.</t>
    </r>
    <r>
      <rPr>
        <sz val="7"/>
        <rFont val="Segoe UI"/>
      </rPr>
      <t>2631</t>
    </r>
    <r>
      <rPr>
        <sz val="6"/>
        <rFont val="Segoe UI"/>
      </rPr>
      <t>%</t>
    </r>
  </si>
  <si>
    <r>
      <rPr>
        <sz val="7"/>
        <rFont val="Segoe UI"/>
      </rPr>
      <t>Percepcion</t>
    </r>
    <r>
      <rPr>
        <sz val="6"/>
        <rFont val="Segoe UI"/>
      </rPr>
      <t xml:space="preserve"> </t>
    </r>
    <r>
      <rPr>
        <sz val="7"/>
        <rFont val="Segoe UI"/>
      </rPr>
      <t>I</t>
    </r>
    <r>
      <rPr>
        <sz val="6"/>
        <rFont val="Segoe UI"/>
      </rPr>
      <t>.</t>
    </r>
    <r>
      <rPr>
        <sz val="7"/>
        <rFont val="Segoe UI"/>
      </rPr>
      <t>V</t>
    </r>
    <r>
      <rPr>
        <sz val="6"/>
        <rFont val="Segoe UI"/>
      </rPr>
      <t>.</t>
    </r>
    <r>
      <rPr>
        <sz val="7"/>
        <rFont val="Segoe UI"/>
      </rPr>
      <t>A</t>
    </r>
    <r>
      <rPr>
        <sz val="6"/>
        <rFont val="Segoe UI"/>
      </rPr>
      <t>.</t>
    </r>
  </si>
  <si>
    <r>
      <rPr>
        <sz val="7"/>
        <rFont val="Segoe UI"/>
      </rPr>
      <t>IVA</t>
    </r>
    <r>
      <rPr>
        <sz val="6"/>
        <rFont val="Segoe UI"/>
      </rPr>
      <t xml:space="preserve"> </t>
    </r>
    <r>
      <rPr>
        <sz val="7"/>
        <rFont val="Segoe UI"/>
      </rPr>
      <t>21</t>
    </r>
    <r>
      <rPr>
        <sz val="6"/>
        <rFont val="Segoe UI"/>
      </rPr>
      <t xml:space="preserve"> %</t>
    </r>
  </si>
  <si>
    <r>
      <rPr>
        <sz val="7"/>
        <rFont val="Segoe UI"/>
      </rPr>
      <t>IVA</t>
    </r>
    <r>
      <rPr>
        <sz val="6"/>
        <rFont val="Segoe UI"/>
      </rPr>
      <t xml:space="preserve"> </t>
    </r>
    <r>
      <rPr>
        <sz val="7"/>
        <rFont val="Segoe UI"/>
      </rPr>
      <t>27</t>
    </r>
    <r>
      <rPr>
        <sz val="6"/>
        <rFont val="Segoe UI"/>
      </rPr>
      <t xml:space="preserve"> %</t>
    </r>
  </si>
  <si>
    <r>
      <rPr>
        <sz val="7"/>
        <rFont val="Segoe UI"/>
      </rPr>
      <t>TOTAL</t>
    </r>
  </si>
  <si>
    <t>Totales</t>
  </si>
  <si>
    <t>Base Imponible</t>
  </si>
  <si>
    <t>Imp. No gravados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</si>
</sst>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.00;[Red]&quot;$&quot;\ \-#,##0.00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 * #,##0_ ;_ * \-#,##0_ ;_ * &quot;-&quot;??_ ;_ @_ "/>
    <numFmt numFmtId="169" formatCode="mmmm\-yy"/>
    <numFmt numFmtId="170" formatCode="[$$-2C0A]\ #,##0.00"/>
    <numFmt numFmtId="171" formatCode="_ &quot;$&quot;\ * #,##0.000_ ;_ &quot;$&quot;\ * \-#,##0.000_ ;_ &quot;$&quot;\ * &quot;-&quot;??_ ;_ @_ "/>
    <numFmt numFmtId="172" formatCode="[$$-2C0A]\ #,##0.000"/>
    <numFmt numFmtId="173" formatCode="_ &quot;$&quot;\ * #,##0.0000_ ;_ &quot;$&quot;\ * \-#,##0.0000_ ;_ &quot;$&quot;\ * &quot;-&quot;??_ ;_ @_ "/>
    <numFmt numFmtId="174" formatCode="_ &quot;$&quot;\ * #,##0.0000_ ;_ &quot;$&quot;\ * \-#,##0.0000_ ;_ &quot;$&quot;\ * &quot;-&quot;???_ ;_ @_ "/>
    <numFmt numFmtId="175" formatCode="0.000%"/>
    <numFmt numFmtId="176" formatCode="_-* #,##0_$_-;\-* #,##0_$_-;_-* &quot;-&quot;_$_-;_-@_-"/>
    <numFmt numFmtId="177" formatCode="_-* #,##0.00&quot;$&quot;_-;\-* #,##0.00&quot;$&quot;_-;_-* &quot;-&quot;??&quot;$&quot;_-;_-@_-"/>
    <numFmt numFmtId="178" formatCode="_-* #,##0.00_$_-;\-* #,##0.00_$_-;_-* &quot;-&quot;??_$_-;_-@_-"/>
    <numFmt numFmtId="179" formatCode="[$$-2C0A]#,##0.00"/>
    <numFmt numFmtId="180" formatCode="_-* #,##0.00[$€-1]_-;\-* #,##0.00[$€-1]_-;_-* &quot;-&quot;??[$€-1]_-"/>
    <numFmt numFmtId="181" formatCode="_ [$€-2]\ * #,##0.00_ ;_ [$€-2]\ * \-#,##0.00_ ;_ [$€-2]\ * &quot;-&quot;??_ "/>
    <numFmt numFmtId="182" formatCode="dd/mm/yy"/>
    <numFmt numFmtId="183" formatCode="&quot; &quot;&quot;$&quot;#,##0.00&quot; &quot;;&quot;-&quot;&quot;$&quot;#,##0.00&quot; &quot;;&quot; &quot;&quot;$&quot;&quot;-&quot;00&quot; &quot;;&quot; &quot;@&quot; &quot;"/>
    <numFmt numFmtId="184" formatCode="_ * #,##0.0000_ ;_ * \-#,##0.0000_ ;_ * &quot;-&quot;??_ ;_ @_ "/>
    <numFmt numFmtId="185" formatCode="_-* #,##0_-;\-* #,##0_-;_-* &quot;-&quot;??_-;_-@_-"/>
    <numFmt numFmtId="186" formatCode="_ &quot;$&quot;\ * #,##0.0_ ;_ &quot;$&quot;\ * \-#,##0.0_ ;_ &quot;$&quot;\ * &quot;-&quot;??_ ;_ @_ 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  <charset val="1"/>
    </font>
    <font>
      <sz val="10"/>
      <name val="Arial"/>
      <family val="2"/>
    </font>
    <font>
      <sz val="11"/>
      <color indexed="8"/>
      <name val="Arial1"/>
    </font>
    <font>
      <sz val="10"/>
      <color indexed="8"/>
      <name val="Arial"/>
      <family val="2"/>
      <charset val="1"/>
    </font>
    <font>
      <b/>
      <sz val="10"/>
      <color indexed="8"/>
      <name val="Calibri"/>
      <family val="2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indexed="8"/>
      <name val="Arial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name val="StempelGaramondRoman"/>
    </font>
    <font>
      <sz val="10"/>
      <name val="Helv"/>
    </font>
    <font>
      <u/>
      <sz val="7"/>
      <color theme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0"/>
      <color indexed="8"/>
      <name val="Calibri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6"/>
      <name val="Arial Unicode MS"/>
      <family val="2"/>
    </font>
    <font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6"/>
      <name val="Segoe UI"/>
      <family val="2"/>
    </font>
    <font>
      <b/>
      <sz val="13"/>
      <name val="Segoe UI"/>
      <family val="2"/>
    </font>
    <font>
      <sz val="11"/>
      <name val="Segoe UI"/>
      <family val="2"/>
    </font>
    <font>
      <b/>
      <sz val="7"/>
      <name val="Segoe UI"/>
      <family val="2"/>
    </font>
    <font>
      <sz val="7"/>
      <name val="Segoe UI"/>
    </font>
    <font>
      <sz val="6"/>
      <name val="Segoe UI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mediumGray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26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25" fillId="0" borderId="0"/>
    <xf numFmtId="0" fontId="26" fillId="0" borderId="0"/>
    <xf numFmtId="167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36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66" fontId="36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1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/>
    <xf numFmtId="0" fontId="36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36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8" borderId="8" applyNumberFormat="0" applyFont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19" fillId="0" borderId="23">
      <alignment horizontal="center"/>
    </xf>
    <xf numFmtId="3" fontId="19" fillId="0" borderId="0" applyFont="0" applyFill="0" applyBorder="0" applyAlignment="0" applyProtection="0"/>
    <xf numFmtId="0" fontId="19" fillId="43" borderId="0" applyNumberFormat="0" applyFont="0" applyBorder="0" applyAlignment="0" applyProtection="0"/>
    <xf numFmtId="0" fontId="39" fillId="0" borderId="0">
      <alignment vertical="center"/>
    </xf>
    <xf numFmtId="0" fontId="40" fillId="44" borderId="0" applyNumberFormat="0" applyBorder="0">
      <protection locked="0"/>
    </xf>
    <xf numFmtId="0" fontId="40" fillId="45" borderId="0" applyNumberFormat="0" applyBorder="0">
      <protection locked="0"/>
    </xf>
    <xf numFmtId="0" fontId="40" fillId="46" borderId="0" applyNumberFormat="0" applyBorder="0">
      <protection locked="0"/>
    </xf>
    <xf numFmtId="0" fontId="40" fillId="47" borderId="0" applyNumberFormat="0" applyBorder="0">
      <protection locked="0"/>
    </xf>
    <xf numFmtId="0" fontId="40" fillId="44" borderId="0" applyNumberFormat="0" applyBorder="0">
      <protection locked="0"/>
    </xf>
    <xf numFmtId="0" fontId="40" fillId="48" borderId="0" applyNumberFormat="0" applyBorder="0">
      <protection locked="0"/>
    </xf>
    <xf numFmtId="0" fontId="41" fillId="46" borderId="0" applyNumberFormat="0" applyBorder="0">
      <protection locked="0"/>
    </xf>
    <xf numFmtId="0" fontId="39" fillId="0" borderId="0">
      <protection locked="0"/>
    </xf>
    <xf numFmtId="0" fontId="42" fillId="49" borderId="24" applyNumberFormat="0">
      <protection locked="0"/>
    </xf>
    <xf numFmtId="0" fontId="33" fillId="0" borderId="0"/>
    <xf numFmtId="183" fontId="33" fillId="0" borderId="0" applyFont="0" applyFill="0" applyBorder="0" applyAlignment="0" applyProtection="0"/>
    <xf numFmtId="0" fontId="3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0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1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0" fontId="51" fillId="0" borderId="0" applyNumberFormat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0" fontId="51" fillId="0" borderId="0" applyNumberFormat="0" applyFont="0" applyFill="0" applyBorder="0" applyAlignment="0" applyProtection="0">
      <alignment vertical="top"/>
    </xf>
    <xf numFmtId="0" fontId="51" fillId="0" borderId="0" applyNumberFormat="0" applyFont="0" applyFill="0" applyBorder="0" applyAlignment="0" applyProtection="0">
      <alignment vertical="top"/>
    </xf>
    <xf numFmtId="0" fontId="53" fillId="0" borderId="0"/>
    <xf numFmtId="44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</cellStyleXfs>
  <cellXfs count="292">
    <xf numFmtId="0" fontId="0" fillId="0" borderId="0" xfId="0"/>
    <xf numFmtId="0" fontId="18" fillId="0" borderId="0" xfId="0" applyFont="1"/>
    <xf numFmtId="165" fontId="0" fillId="0" borderId="0" xfId="42" applyFont="1"/>
    <xf numFmtId="165" fontId="0" fillId="0" borderId="0" xfId="0" applyNumberFormat="1"/>
    <xf numFmtId="165" fontId="0" fillId="34" borderId="0" xfId="42" applyFont="1" applyFill="1"/>
    <xf numFmtId="9" fontId="0" fillId="0" borderId="0" xfId="0" applyNumberFormat="1"/>
    <xf numFmtId="10" fontId="0" fillId="0" borderId="0" xfId="0" applyNumberFormat="1"/>
    <xf numFmtId="0" fontId="0" fillId="0" borderId="10" xfId="0" applyBorder="1"/>
    <xf numFmtId="168" fontId="0" fillId="0" borderId="0" xfId="43" applyNumberFormat="1" applyFont="1"/>
    <xf numFmtId="168" fontId="0" fillId="0" borderId="0" xfId="0" applyNumberFormat="1"/>
    <xf numFmtId="49" fontId="19" fillId="0" borderId="10" xfId="0" applyNumberFormat="1" applyFont="1" applyBorder="1" applyAlignment="1" applyProtection="1">
      <alignment horizontal="left" vertical="center"/>
      <protection locked="0"/>
    </xf>
    <xf numFmtId="0" fontId="21" fillId="0" borderId="0" xfId="44" applyFont="1"/>
    <xf numFmtId="0" fontId="18" fillId="0" borderId="0" xfId="44" applyFont="1"/>
    <xf numFmtId="0" fontId="18" fillId="35" borderId="0" xfId="44" applyFont="1" applyFill="1"/>
    <xf numFmtId="0" fontId="18" fillId="0" borderId="0" xfId="44" applyFont="1" applyAlignment="1">
      <alignment horizontal="center"/>
    </xf>
    <xf numFmtId="49" fontId="18" fillId="35" borderId="0" xfId="44" applyNumberFormat="1" applyFont="1" applyFill="1" applyAlignment="1">
      <alignment horizontal="center" vertical="center"/>
    </xf>
    <xf numFmtId="0" fontId="22" fillId="0" borderId="10" xfId="44" applyFont="1" applyBorder="1" applyAlignment="1">
      <alignment horizontal="center"/>
    </xf>
    <xf numFmtId="0" fontId="22" fillId="0" borderId="10" xfId="44" applyFont="1" applyBorder="1"/>
    <xf numFmtId="16" fontId="18" fillId="0" borderId="0" xfId="44" applyNumberFormat="1" applyFont="1"/>
    <xf numFmtId="0" fontId="23" fillId="0" borderId="0" xfId="44" applyFont="1"/>
    <xf numFmtId="0" fontId="24" fillId="0" borderId="0" xfId="44" applyFont="1"/>
    <xf numFmtId="0" fontId="18" fillId="36" borderId="0" xfId="0" applyFont="1" applyFill="1"/>
    <xf numFmtId="0" fontId="18" fillId="34" borderId="0" xfId="0" applyFont="1" applyFill="1"/>
    <xf numFmtId="0" fontId="18" fillId="37" borderId="0" xfId="0" applyFont="1" applyFill="1"/>
    <xf numFmtId="0" fontId="26" fillId="0" borderId="0" xfId="46"/>
    <xf numFmtId="4" fontId="26" fillId="0" borderId="0" xfId="46" applyNumberFormat="1"/>
    <xf numFmtId="169" fontId="26" fillId="0" borderId="0" xfId="46" applyNumberFormat="1"/>
    <xf numFmtId="0" fontId="26" fillId="0" borderId="0" xfId="46" applyAlignment="1">
      <alignment horizontal="center"/>
    </xf>
    <xf numFmtId="49" fontId="26" fillId="0" borderId="0" xfId="46" applyNumberFormat="1"/>
    <xf numFmtId="0" fontId="26" fillId="0" borderId="11" xfId="46" applyBorder="1"/>
    <xf numFmtId="0" fontId="26" fillId="0" borderId="12" xfId="46" applyBorder="1"/>
    <xf numFmtId="0" fontId="26" fillId="0" borderId="12" xfId="46" applyBorder="1" applyAlignment="1">
      <alignment horizontal="center"/>
    </xf>
    <xf numFmtId="4" fontId="26" fillId="0" borderId="13" xfId="46" applyNumberFormat="1" applyBorder="1"/>
    <xf numFmtId="0" fontId="26" fillId="0" borderId="14" xfId="46" applyBorder="1"/>
    <xf numFmtId="0" fontId="27" fillId="0" borderId="0" xfId="46" applyFont="1" applyAlignment="1">
      <alignment horizontal="left"/>
    </xf>
    <xf numFmtId="0" fontId="27" fillId="0" borderId="0" xfId="46" applyFont="1" applyAlignment="1">
      <alignment horizontal="right"/>
    </xf>
    <xf numFmtId="4" fontId="27" fillId="0" borderId="15" xfId="46" applyNumberFormat="1" applyFont="1" applyBorder="1" applyAlignment="1">
      <alignment horizontal="left"/>
    </xf>
    <xf numFmtId="0" fontId="27" fillId="0" borderId="0" xfId="46" applyFont="1"/>
    <xf numFmtId="4" fontId="26" fillId="0" borderId="15" xfId="46" applyNumberFormat="1" applyBorder="1"/>
    <xf numFmtId="4" fontId="26" fillId="0" borderId="15" xfId="47" applyNumberFormat="1" applyBorder="1"/>
    <xf numFmtId="0" fontId="26" fillId="0" borderId="17" xfId="46" applyBorder="1"/>
    <xf numFmtId="0" fontId="26" fillId="0" borderId="16" xfId="46" applyBorder="1"/>
    <xf numFmtId="0" fontId="26" fillId="0" borderId="17" xfId="46" applyBorder="1" applyAlignment="1">
      <alignment horizontal="center"/>
    </xf>
    <xf numFmtId="0" fontId="27" fillId="0" borderId="0" xfId="46" applyFont="1" applyAlignment="1">
      <alignment horizontal="center"/>
    </xf>
    <xf numFmtId="4" fontId="26" fillId="0" borderId="18" xfId="46" applyNumberFormat="1" applyBorder="1"/>
    <xf numFmtId="170" fontId="26" fillId="0" borderId="12" xfId="46" applyNumberFormat="1" applyBorder="1"/>
    <xf numFmtId="170" fontId="26" fillId="0" borderId="0" xfId="46" applyNumberFormat="1"/>
    <xf numFmtId="170" fontId="26" fillId="0" borderId="0" xfId="47" applyNumberFormat="1"/>
    <xf numFmtId="170" fontId="26" fillId="0" borderId="17" xfId="46" applyNumberFormat="1" applyBorder="1"/>
    <xf numFmtId="170" fontId="27" fillId="0" borderId="0" xfId="46" applyNumberFormat="1" applyFont="1"/>
    <xf numFmtId="17" fontId="27" fillId="0" borderId="0" xfId="46" applyNumberFormat="1" applyFont="1" applyAlignment="1">
      <alignment horizontal="right"/>
    </xf>
    <xf numFmtId="17" fontId="0" fillId="0" borderId="0" xfId="0" applyNumberFormat="1"/>
    <xf numFmtId="0" fontId="19" fillId="0" borderId="0" xfId="46" applyFont="1"/>
    <xf numFmtId="0" fontId="19" fillId="0" borderId="17" xfId="46" applyFont="1" applyBorder="1"/>
    <xf numFmtId="165" fontId="0" fillId="33" borderId="0" xfId="0" applyNumberFormat="1" applyFill="1"/>
    <xf numFmtId="171" fontId="0" fillId="0" borderId="0" xfId="42" applyNumberFormat="1" applyFont="1"/>
    <xf numFmtId="0" fontId="28" fillId="0" borderId="0" xfId="0" applyFont="1"/>
    <xf numFmtId="0" fontId="0" fillId="33" borderId="0" xfId="0" applyFill="1"/>
    <xf numFmtId="16" fontId="18" fillId="0" borderId="0" xfId="44" applyNumberFormat="1" applyFont="1" applyAlignment="1">
      <alignment horizontal="center"/>
    </xf>
    <xf numFmtId="0" fontId="18" fillId="0" borderId="20" xfId="44" applyFont="1" applyBorder="1"/>
    <xf numFmtId="0" fontId="18" fillId="0" borderId="20" xfId="44" applyFont="1" applyBorder="1" applyAlignment="1">
      <alignment horizontal="center"/>
    </xf>
    <xf numFmtId="0" fontId="18" fillId="33" borderId="0" xfId="44" applyFont="1" applyFill="1" applyAlignment="1">
      <alignment horizontal="center"/>
    </xf>
    <xf numFmtId="0" fontId="19" fillId="0" borderId="0" xfId="0" applyFont="1"/>
    <xf numFmtId="173" fontId="0" fillId="0" borderId="0" xfId="42" applyNumberFormat="1" applyFont="1"/>
    <xf numFmtId="0" fontId="14" fillId="0" borderId="0" xfId="0" applyFont="1"/>
    <xf numFmtId="0" fontId="29" fillId="0" borderId="0" xfId="0" applyFont="1"/>
    <xf numFmtId="165" fontId="14" fillId="0" borderId="0" xfId="42" applyFont="1"/>
    <xf numFmtId="2" fontId="0" fillId="0" borderId="10" xfId="0" applyNumberFormat="1" applyBorder="1"/>
    <xf numFmtId="2" fontId="0" fillId="0" borderId="0" xfId="0" applyNumberFormat="1"/>
    <xf numFmtId="2" fontId="14" fillId="0" borderId="0" xfId="0" applyNumberFormat="1" applyFont="1"/>
    <xf numFmtId="165" fontId="29" fillId="0" borderId="0" xfId="42" applyFont="1"/>
    <xf numFmtId="165" fontId="14" fillId="0" borderId="0" xfId="0" applyNumberFormat="1" applyFont="1"/>
    <xf numFmtId="166" fontId="0" fillId="0" borderId="0" xfId="43" applyFont="1"/>
    <xf numFmtId="166" fontId="0" fillId="34" borderId="0" xfId="0" applyNumberFormat="1" applyFill="1"/>
    <xf numFmtId="0" fontId="0" fillId="34" borderId="0" xfId="0" applyFill="1"/>
    <xf numFmtId="165" fontId="0" fillId="34" borderId="0" xfId="0" applyNumberFormat="1" applyFill="1"/>
    <xf numFmtId="0" fontId="31" fillId="0" borderId="0" xfId="49"/>
    <xf numFmtId="165" fontId="29" fillId="0" borderId="0" xfId="0" applyNumberFormat="1" applyFont="1"/>
    <xf numFmtId="2" fontId="29" fillId="0" borderId="0" xfId="0" applyNumberFormat="1" applyFont="1"/>
    <xf numFmtId="174" fontId="0" fillId="0" borderId="0" xfId="0" applyNumberFormat="1"/>
    <xf numFmtId="173" fontId="0" fillId="0" borderId="0" xfId="0" applyNumberFormat="1"/>
    <xf numFmtId="166" fontId="0" fillId="0" borderId="0" xfId="0" applyNumberFormat="1"/>
    <xf numFmtId="0" fontId="0" fillId="38" borderId="0" xfId="0" applyFill="1"/>
    <xf numFmtId="0" fontId="29" fillId="33" borderId="0" xfId="0" applyFont="1" applyFill="1"/>
    <xf numFmtId="166" fontId="29" fillId="0" borderId="0" xfId="0" applyNumberFormat="1" applyFont="1"/>
    <xf numFmtId="0" fontId="0" fillId="0" borderId="21" xfId="0" applyBorder="1"/>
    <xf numFmtId="49" fontId="19" fillId="0" borderId="10" xfId="0" applyNumberFormat="1" applyFont="1" applyBorder="1" applyAlignment="1">
      <alignment horizontal="left" vertical="center"/>
    </xf>
    <xf numFmtId="0" fontId="0" fillId="0" borderId="22" xfId="0" applyBorder="1"/>
    <xf numFmtId="165" fontId="0" fillId="36" borderId="0" xfId="42" applyFont="1" applyFill="1"/>
    <xf numFmtId="49" fontId="19" fillId="33" borderId="10" xfId="0" applyNumberFormat="1" applyFont="1" applyFill="1" applyBorder="1" applyAlignment="1" applyProtection="1">
      <alignment horizontal="left" vertical="center"/>
      <protection locked="0"/>
    </xf>
    <xf numFmtId="165" fontId="0" fillId="0" borderId="10" xfId="42" applyFont="1" applyBorder="1"/>
    <xf numFmtId="165" fontId="0" fillId="39" borderId="0" xfId="0" applyNumberFormat="1" applyFill="1"/>
    <xf numFmtId="6" fontId="18" fillId="0" borderId="0" xfId="44" applyNumberFormat="1" applyFont="1" applyAlignment="1">
      <alignment horizontal="center"/>
    </xf>
    <xf numFmtId="16" fontId="18" fillId="0" borderId="20" xfId="44" applyNumberFormat="1" applyFont="1" applyBorder="1" applyAlignment="1">
      <alignment horizontal="center"/>
    </xf>
    <xf numFmtId="6" fontId="18" fillId="0" borderId="0" xfId="44" applyNumberFormat="1" applyFont="1"/>
    <xf numFmtId="6" fontId="18" fillId="0" borderId="20" xfId="44" applyNumberFormat="1" applyFont="1" applyBorder="1" applyAlignment="1">
      <alignment horizontal="center"/>
    </xf>
    <xf numFmtId="16" fontId="18" fillId="0" borderId="20" xfId="44" applyNumberFormat="1" applyFont="1" applyBorder="1"/>
    <xf numFmtId="0" fontId="24" fillId="0" borderId="0" xfId="44" applyFont="1" applyAlignment="1">
      <alignment horizontal="center"/>
    </xf>
    <xf numFmtId="165" fontId="0" fillId="33" borderId="0" xfId="42" applyFont="1" applyFill="1"/>
    <xf numFmtId="49" fontId="19" fillId="40" borderId="10" xfId="0" applyNumberFormat="1" applyFont="1" applyFill="1" applyBorder="1" applyAlignment="1" applyProtection="1">
      <alignment horizontal="left" vertical="center"/>
      <protection locked="0"/>
    </xf>
    <xf numFmtId="175" fontId="0" fillId="0" borderId="0" xfId="0" applyNumberFormat="1"/>
    <xf numFmtId="9" fontId="26" fillId="0" borderId="0" xfId="48"/>
    <xf numFmtId="165" fontId="27" fillId="0" borderId="0" xfId="42" applyFont="1" applyAlignment="1">
      <alignment horizontal="left"/>
    </xf>
    <xf numFmtId="1" fontId="27" fillId="0" borderId="0" xfId="46" applyNumberFormat="1" applyFont="1"/>
    <xf numFmtId="0" fontId="32" fillId="41" borderId="0" xfId="0" applyFont="1" applyFill="1" applyAlignment="1">
      <alignment vertical="center"/>
    </xf>
    <xf numFmtId="49" fontId="43" fillId="0" borderId="0" xfId="679" applyNumberFormat="1" applyFont="1" applyFill="1" applyAlignment="1" applyProtection="1">
      <alignment horizontal="center" vertical="center" wrapText="1"/>
    </xf>
    <xf numFmtId="49" fontId="43" fillId="0" borderId="0" xfId="679" applyNumberFormat="1" applyFont="1" applyFill="1" applyAlignment="1" applyProtection="1">
      <alignment horizontal="center" vertical="center"/>
    </xf>
    <xf numFmtId="49" fontId="43" fillId="0" borderId="0" xfId="679" applyNumberFormat="1" applyFont="1" applyFill="1" applyAlignment="1" applyProtection="1">
      <alignment horizontal="center" wrapText="1"/>
    </xf>
    <xf numFmtId="49" fontId="43" fillId="0" borderId="0" xfId="679" applyNumberFormat="1" applyFont="1" applyFill="1" applyAlignment="1" applyProtection="1">
      <alignment horizontal="center"/>
    </xf>
    <xf numFmtId="49" fontId="43" fillId="0" borderId="0" xfId="674" applyNumberFormat="1" applyFont="1" applyFill="1" applyAlignment="1" applyProtection="1">
      <alignment horizontal="center"/>
    </xf>
    <xf numFmtId="49" fontId="43" fillId="0" borderId="0" xfId="675" applyNumberFormat="1" applyFont="1" applyFill="1" applyAlignment="1" applyProtection="1">
      <alignment horizontal="center"/>
    </xf>
    <xf numFmtId="49" fontId="43" fillId="50" borderId="19" xfId="675" applyNumberFormat="1" applyFont="1" applyFill="1" applyBorder="1" applyAlignment="1" applyProtection="1">
      <alignment horizontal="center"/>
    </xf>
    <xf numFmtId="49" fontId="43" fillId="50" borderId="10" xfId="679" applyNumberFormat="1" applyFont="1" applyFill="1" applyBorder="1" applyAlignment="1" applyProtection="1">
      <alignment horizontal="center"/>
    </xf>
    <xf numFmtId="0" fontId="33" fillId="0" borderId="0" xfId="683"/>
    <xf numFmtId="0" fontId="43" fillId="0" borderId="0" xfId="44" applyFont="1"/>
    <xf numFmtId="49" fontId="19" fillId="39" borderId="10" xfId="0" applyNumberFormat="1" applyFont="1" applyFill="1" applyBorder="1" applyAlignment="1" applyProtection="1">
      <alignment horizontal="left" vertical="center"/>
      <protection locked="0"/>
    </xf>
    <xf numFmtId="172" fontId="19" fillId="0" borderId="0" xfId="46" applyNumberFormat="1" applyFont="1" applyAlignment="1">
      <alignment horizontal="center"/>
    </xf>
    <xf numFmtId="168" fontId="26" fillId="0" borderId="0" xfId="43" applyNumberFormat="1" applyFont="1" applyAlignment="1">
      <alignment horizontal="right"/>
    </xf>
    <xf numFmtId="166" fontId="0" fillId="0" borderId="0" xfId="43" applyFont="1" applyAlignment="1">
      <alignment wrapText="1"/>
    </xf>
    <xf numFmtId="0" fontId="0" fillId="0" borderId="0" xfId="0" applyAlignment="1">
      <alignment wrapText="1"/>
    </xf>
    <xf numFmtId="0" fontId="44" fillId="0" borderId="23" xfId="0" applyFont="1" applyBorder="1" applyAlignment="1">
      <alignment vertical="top" wrapText="1"/>
    </xf>
    <xf numFmtId="0" fontId="45" fillId="0" borderId="23" xfId="0" applyFont="1" applyBorder="1" applyAlignment="1">
      <alignment vertical="top" wrapText="1"/>
    </xf>
    <xf numFmtId="166" fontId="44" fillId="0" borderId="23" xfId="43" applyFont="1" applyBorder="1" applyAlignment="1">
      <alignment vertical="top" wrapText="1"/>
    </xf>
    <xf numFmtId="166" fontId="45" fillId="0" borderId="0" xfId="43" applyFont="1"/>
    <xf numFmtId="0" fontId="33" fillId="0" borderId="10" xfId="0" applyFont="1" applyBorder="1" applyAlignment="1">
      <alignment vertical="center"/>
    </xf>
    <xf numFmtId="0" fontId="33" fillId="42" borderId="10" xfId="0" applyFont="1" applyFill="1" applyBorder="1" applyAlignment="1">
      <alignment vertical="center"/>
    </xf>
    <xf numFmtId="184" fontId="26" fillId="0" borderId="0" xfId="43" applyNumberFormat="1" applyFont="1" applyAlignment="1">
      <alignment horizontal="right"/>
    </xf>
    <xf numFmtId="0" fontId="16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7" fontId="0" fillId="0" borderId="0" xfId="0" applyNumberFormat="1" applyAlignment="1">
      <alignment vertical="center"/>
    </xf>
    <xf numFmtId="165" fontId="16" fillId="0" borderId="0" xfId="42" applyFont="1"/>
    <xf numFmtId="0" fontId="47" fillId="42" borderId="10" xfId="0" applyFont="1" applyFill="1" applyBorder="1" applyAlignment="1">
      <alignment vertical="center"/>
    </xf>
    <xf numFmtId="49" fontId="27" fillId="0" borderId="10" xfId="0" applyNumberFormat="1" applyFont="1" applyBorder="1" applyAlignment="1">
      <alignment horizontal="left" vertical="center"/>
    </xf>
    <xf numFmtId="0" fontId="32" fillId="41" borderId="10" xfId="0" applyFont="1" applyFill="1" applyBorder="1" applyAlignment="1">
      <alignment vertical="center"/>
    </xf>
    <xf numFmtId="49" fontId="46" fillId="0" borderId="10" xfId="0" applyNumberFormat="1" applyFont="1" applyBorder="1" applyAlignment="1">
      <alignment horizontal="left" vertical="center"/>
    </xf>
    <xf numFmtId="165" fontId="33" fillId="42" borderId="10" xfId="42" applyFont="1" applyFill="1" applyBorder="1" applyAlignment="1">
      <alignment vertical="center"/>
    </xf>
    <xf numFmtId="166" fontId="33" fillId="42" borderId="10" xfId="43" applyFont="1" applyFill="1" applyBorder="1" applyAlignment="1">
      <alignment vertical="center"/>
    </xf>
    <xf numFmtId="165" fontId="33" fillId="0" borderId="10" xfId="42" applyFont="1" applyBorder="1" applyAlignment="1">
      <alignment vertical="center"/>
    </xf>
    <xf numFmtId="165" fontId="0" fillId="0" borderId="10" xfId="50" applyNumberFormat="1" applyFont="1" applyBorder="1"/>
    <xf numFmtId="0" fontId="33" fillId="34" borderId="10" xfId="0" applyFont="1" applyFill="1" applyBorder="1" applyAlignment="1">
      <alignment vertical="center"/>
    </xf>
    <xf numFmtId="165" fontId="33" fillId="36" borderId="10" xfId="42" applyFont="1" applyFill="1" applyBorder="1" applyAlignment="1">
      <alignment vertical="center"/>
    </xf>
    <xf numFmtId="0" fontId="33" fillId="36" borderId="10" xfId="0" applyFont="1" applyFill="1" applyBorder="1" applyAlignment="1">
      <alignment vertical="center"/>
    </xf>
    <xf numFmtId="0" fontId="33" fillId="37" borderId="10" xfId="0" applyFont="1" applyFill="1" applyBorder="1" applyAlignment="1">
      <alignment vertical="center"/>
    </xf>
    <xf numFmtId="165" fontId="0" fillId="0" borderId="10" xfId="0" applyNumberFormat="1" applyBorder="1"/>
    <xf numFmtId="0" fontId="48" fillId="0" borderId="10" xfId="0" applyFont="1" applyBorder="1" applyAlignment="1">
      <alignment vertical="center"/>
    </xf>
    <xf numFmtId="0" fontId="47" fillId="0" borderId="10" xfId="0" applyFont="1" applyBorder="1" applyAlignment="1">
      <alignment vertical="center"/>
    </xf>
    <xf numFmtId="165" fontId="33" fillId="38" borderId="10" xfId="42" applyFont="1" applyFill="1" applyBorder="1" applyAlignment="1">
      <alignment vertical="center"/>
    </xf>
    <xf numFmtId="165" fontId="1" fillId="0" borderId="0" xfId="42"/>
    <xf numFmtId="0" fontId="44" fillId="0" borderId="23" xfId="0" applyFont="1" applyBorder="1" applyAlignment="1">
      <alignment horizontal="left" vertical="center" wrapText="1"/>
    </xf>
    <xf numFmtId="44" fontId="44" fillId="0" borderId="26" xfId="686" applyFont="1" applyBorder="1" applyAlignment="1">
      <alignment horizontal="left" vertical="center" wrapText="1" indent="1"/>
    </xf>
    <xf numFmtId="44" fontId="44" fillId="0" borderId="0" xfId="686" applyFont="1" applyAlignment="1">
      <alignment horizontal="right" vertical="center" wrapText="1"/>
    </xf>
    <xf numFmtId="44" fontId="44" fillId="0" borderId="26" xfId="686" applyFont="1" applyBorder="1" applyAlignment="1">
      <alignment horizontal="right" vertical="center" wrapText="1"/>
    </xf>
    <xf numFmtId="0" fontId="45" fillId="0" borderId="0" xfId="683" applyFont="1"/>
    <xf numFmtId="0" fontId="0" fillId="0" borderId="10" xfId="0" applyBorder="1" applyAlignment="1">
      <alignment vertical="center"/>
    </xf>
    <xf numFmtId="186" fontId="0" fillId="0" borderId="10" xfId="42" applyNumberFormat="1" applyFont="1" applyBorder="1" applyAlignment="1">
      <alignment vertical="center"/>
    </xf>
    <xf numFmtId="0" fontId="45" fillId="0" borderId="0" xfId="0" applyFont="1"/>
    <xf numFmtId="44" fontId="0" fillId="0" borderId="0" xfId="0" applyNumberFormat="1"/>
    <xf numFmtId="43" fontId="45" fillId="0" borderId="0" xfId="690" applyFont="1"/>
    <xf numFmtId="0" fontId="0" fillId="51" borderId="10" xfId="0" applyFill="1" applyBorder="1"/>
    <xf numFmtId="0" fontId="0" fillId="51" borderId="10" xfId="0" applyFill="1" applyBorder="1" applyAlignment="1">
      <alignment horizontal="left" vertical="top" wrapText="1"/>
    </xf>
    <xf numFmtId="0" fontId="0" fillId="52" borderId="10" xfId="0" applyFill="1" applyBorder="1" applyAlignment="1">
      <alignment horizontal="left" vertical="top" wrapText="1"/>
    </xf>
    <xf numFmtId="0" fontId="0" fillId="52" borderId="10" xfId="0" applyFill="1" applyBorder="1"/>
    <xf numFmtId="185" fontId="45" fillId="0" borderId="0" xfId="690" applyNumberFormat="1" applyFont="1"/>
    <xf numFmtId="0" fontId="19" fillId="0" borderId="27" xfId="694" applyBorder="1" applyAlignment="1">
      <alignment horizontal="left" vertical="top"/>
    </xf>
    <xf numFmtId="0" fontId="19" fillId="0" borderId="0" xfId="694" applyAlignment="1">
      <alignment horizontal="left" vertical="top"/>
    </xf>
    <xf numFmtId="0" fontId="52" fillId="0" borderId="20" xfId="694" applyFont="1" applyBorder="1" applyAlignment="1">
      <alignment horizontal="center" vertical="top"/>
    </xf>
    <xf numFmtId="0" fontId="52" fillId="0" borderId="25" xfId="694" applyFont="1" applyBorder="1" applyAlignment="1">
      <alignment horizontal="center" vertical="top"/>
    </xf>
    <xf numFmtId="0" fontId="52" fillId="0" borderId="27" xfId="694" applyFont="1" applyBorder="1" applyAlignment="1">
      <alignment horizontal="center" vertical="top"/>
    </xf>
    <xf numFmtId="0" fontId="52" fillId="0" borderId="0" xfId="694" applyFont="1" applyAlignment="1">
      <alignment horizontal="center" vertical="top"/>
    </xf>
    <xf numFmtId="0" fontId="49" fillId="0" borderId="0" xfId="694" applyFont="1" applyAlignment="1">
      <alignment horizontal="center" vertical="top"/>
    </xf>
    <xf numFmtId="0" fontId="49" fillId="0" borderId="20" xfId="694" applyFont="1" applyBorder="1" applyAlignment="1">
      <alignment horizontal="center" vertical="top"/>
    </xf>
    <xf numFmtId="0" fontId="49" fillId="0" borderId="0" xfId="694" applyFont="1">
      <alignment vertical="top"/>
    </xf>
    <xf numFmtId="165" fontId="0" fillId="0" borderId="30" xfId="42" applyFont="1" applyBorder="1"/>
    <xf numFmtId="0" fontId="0" fillId="0" borderId="31" xfId="0" applyBorder="1"/>
    <xf numFmtId="0" fontId="0" fillId="0" borderId="20" xfId="0" applyBorder="1"/>
    <xf numFmtId="0" fontId="0" fillId="0" borderId="32" xfId="0" applyBorder="1"/>
    <xf numFmtId="0" fontId="0" fillId="0" borderId="33" xfId="0" applyBorder="1"/>
    <xf numFmtId="165" fontId="0" fillId="0" borderId="33" xfId="42" applyFon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6" fillId="2" borderId="10" xfId="6" applyBorder="1"/>
    <xf numFmtId="4" fontId="0" fillId="0" borderId="0" xfId="0" applyNumberFormat="1"/>
    <xf numFmtId="0" fontId="52" fillId="0" borderId="0" xfId="0" applyFont="1" applyAlignment="1">
      <alignment horizontal="left" vertical="top"/>
    </xf>
    <xf numFmtId="0" fontId="44" fillId="0" borderId="0" xfId="683" applyFont="1" applyAlignment="1">
      <alignment horizontal="left" vertical="center" wrapText="1"/>
    </xf>
    <xf numFmtId="0" fontId="44" fillId="0" borderId="23" xfId="683" applyFont="1" applyBorder="1" applyAlignment="1">
      <alignment horizontal="left" vertical="center" wrapText="1"/>
    </xf>
    <xf numFmtId="0" fontId="49" fillId="0" borderId="0" xfId="0" applyFont="1" applyAlignment="1">
      <alignment horizontal="left" vertical="top"/>
    </xf>
    <xf numFmtId="4" fontId="49" fillId="0" borderId="0" xfId="0" applyNumberFormat="1" applyFont="1" applyAlignment="1">
      <alignment horizontal="left" vertical="top"/>
    </xf>
    <xf numFmtId="0" fontId="52" fillId="0" borderId="0" xfId="0" applyFont="1" applyAlignment="1">
      <alignment horizontal="left" vertical="top" indent="1"/>
    </xf>
    <xf numFmtId="0" fontId="49" fillId="0" borderId="23" xfId="0" applyFont="1" applyBorder="1" applyAlignment="1">
      <alignment horizontal="left" vertical="top"/>
    </xf>
    <xf numFmtId="4" fontId="52" fillId="0" borderId="23" xfId="0" applyNumberFormat="1" applyFont="1" applyBorder="1" applyAlignment="1">
      <alignment horizontal="left" vertical="top"/>
    </xf>
    <xf numFmtId="0" fontId="49" fillId="0" borderId="26" xfId="0" applyFont="1" applyBorder="1" applyAlignment="1">
      <alignment horizontal="left" vertical="top"/>
    </xf>
    <xf numFmtId="179" fontId="49" fillId="0" borderId="26" xfId="0" applyNumberFormat="1" applyFont="1" applyBorder="1" applyAlignment="1">
      <alignment horizontal="left" vertical="top"/>
    </xf>
    <xf numFmtId="0" fontId="18" fillId="35" borderId="10" xfId="44" applyFont="1" applyFill="1" applyBorder="1"/>
    <xf numFmtId="0" fontId="18" fillId="0" borderId="10" xfId="44" applyFont="1" applyBorder="1"/>
    <xf numFmtId="8" fontId="18" fillId="35" borderId="10" xfId="44" applyNumberFormat="1" applyFont="1" applyFill="1" applyBorder="1"/>
    <xf numFmtId="49" fontId="18" fillId="35" borderId="34" xfId="44" applyNumberFormat="1" applyFont="1" applyFill="1" applyBorder="1" applyAlignment="1">
      <alignment horizontal="center" vertical="center"/>
    </xf>
    <xf numFmtId="0" fontId="18" fillId="35" borderId="35" xfId="44" applyFont="1" applyFill="1" applyBorder="1"/>
    <xf numFmtId="0" fontId="18" fillId="0" borderId="35" xfId="44" applyFont="1" applyBorder="1"/>
    <xf numFmtId="49" fontId="18" fillId="35" borderId="36" xfId="44" applyNumberFormat="1" applyFont="1" applyFill="1" applyBorder="1" applyAlignment="1">
      <alignment horizontal="center" vertical="center"/>
    </xf>
    <xf numFmtId="49" fontId="18" fillId="35" borderId="37" xfId="44" applyNumberFormat="1" applyFont="1" applyFill="1" applyBorder="1" applyAlignment="1">
      <alignment horizontal="center" vertical="center"/>
    </xf>
    <xf numFmtId="0" fontId="18" fillId="35" borderId="38" xfId="44" applyFont="1" applyFill="1" applyBorder="1"/>
    <xf numFmtId="49" fontId="18" fillId="53" borderId="36" xfId="44" applyNumberFormat="1" applyFont="1" applyFill="1" applyBorder="1" applyAlignment="1">
      <alignment horizontal="center" vertical="center"/>
    </xf>
    <xf numFmtId="0" fontId="18" fillId="53" borderId="10" xfId="44" applyFont="1" applyFill="1" applyBorder="1"/>
    <xf numFmtId="8" fontId="18" fillId="53" borderId="10" xfId="44" applyNumberFormat="1" applyFont="1" applyFill="1" applyBorder="1"/>
    <xf numFmtId="0" fontId="18" fillId="33" borderId="10" xfId="44" applyFont="1" applyFill="1" applyBorder="1"/>
    <xf numFmtId="0" fontId="18" fillId="33" borderId="0" xfId="44" applyFont="1" applyFill="1"/>
    <xf numFmtId="0" fontId="18" fillId="0" borderId="39" xfId="44" applyFont="1" applyBorder="1"/>
    <xf numFmtId="8" fontId="18" fillId="0" borderId="40" xfId="44" applyNumberFormat="1" applyFont="1" applyBorder="1"/>
    <xf numFmtId="8" fontId="18" fillId="33" borderId="40" xfId="44" applyNumberFormat="1" applyFont="1" applyFill="1" applyBorder="1"/>
    <xf numFmtId="0" fontId="18" fillId="33" borderId="38" xfId="44" applyFont="1" applyFill="1" applyBorder="1"/>
    <xf numFmtId="165" fontId="18" fillId="0" borderId="10" xfId="42" applyFont="1" applyBorder="1"/>
    <xf numFmtId="165" fontId="18" fillId="33" borderId="10" xfId="42" applyFont="1" applyFill="1" applyBorder="1"/>
    <xf numFmtId="8" fontId="18" fillId="33" borderId="0" xfId="44" applyNumberFormat="1" applyFont="1" applyFill="1"/>
    <xf numFmtId="165" fontId="18" fillId="33" borderId="0" xfId="42" applyFont="1" applyFill="1"/>
    <xf numFmtId="0" fontId="0" fillId="0" borderId="0" xfId="0" applyAlignment="1">
      <alignment horizontal="right"/>
    </xf>
    <xf numFmtId="168" fontId="19" fillId="0" borderId="0" xfId="43" applyNumberFormat="1" applyFont="1" applyAlignment="1">
      <alignment horizontal="right"/>
    </xf>
    <xf numFmtId="184" fontId="19" fillId="0" borderId="0" xfId="43" applyNumberFormat="1" applyFont="1" applyAlignment="1">
      <alignment horizontal="right"/>
    </xf>
    <xf numFmtId="14" fontId="18" fillId="33" borderId="0" xfId="44" applyNumberFormat="1" applyFont="1" applyFill="1"/>
    <xf numFmtId="0" fontId="21" fillId="33" borderId="0" xfId="44" applyFont="1" applyFill="1"/>
    <xf numFmtId="0" fontId="0" fillId="0" borderId="0" xfId="0" applyAlignment="1">
      <alignment vertical="top"/>
    </xf>
    <xf numFmtId="0" fontId="44" fillId="0" borderId="26" xfId="686" applyNumberFormat="1" applyFont="1" applyBorder="1" applyAlignment="1">
      <alignment horizontal="right" vertical="center" wrapText="1"/>
    </xf>
    <xf numFmtId="0" fontId="0" fillId="0" borderId="0" xfId="43" applyNumberFormat="1" applyFont="1" applyAlignment="1">
      <alignment horizontal="center"/>
    </xf>
    <xf numFmtId="0" fontId="0" fillId="0" borderId="0" xfId="43" applyNumberFormat="1" applyFont="1"/>
    <xf numFmtId="0" fontId="33" fillId="0" borderId="0" xfId="43" applyNumberFormat="1" applyFont="1" applyAlignment="1">
      <alignment vertical="center"/>
    </xf>
    <xf numFmtId="165" fontId="0" fillId="0" borderId="0" xfId="42" applyFont="1" applyAlignment="1">
      <alignment horizontal="right"/>
    </xf>
    <xf numFmtId="12" fontId="21" fillId="33" borderId="0" xfId="44" applyNumberFormat="1" applyFont="1" applyFill="1"/>
    <xf numFmtId="0" fontId="0" fillId="0" borderId="41" xfId="0" applyBorder="1" applyAlignment="1">
      <alignment horizontal="left" vertical="top"/>
    </xf>
    <xf numFmtId="0" fontId="0" fillId="0" borderId="41" xfId="0" applyBorder="1" applyAlignment="1">
      <alignment horizontal="center" vertical="top"/>
    </xf>
    <xf numFmtId="0" fontId="0" fillId="0" borderId="41" xfId="0" applyBorder="1" applyAlignment="1">
      <alignment horizontal="right" vertical="top"/>
    </xf>
    <xf numFmtId="0" fontId="0" fillId="0" borderId="41" xfId="0" applyBorder="1" applyAlignment="1">
      <alignment horizontal="center" vertical="top" wrapText="1"/>
    </xf>
    <xf numFmtId="0" fontId="0" fillId="0" borderId="41" xfId="0" applyBorder="1" applyAlignment="1">
      <alignment horizontal="left" vertical="top" wrapText="1"/>
    </xf>
    <xf numFmtId="0" fontId="0" fillId="0" borderId="41" xfId="0" applyBorder="1" applyAlignment="1">
      <alignment horizontal="justify" vertical="top" wrapText="1"/>
    </xf>
    <xf numFmtId="1" fontId="49" fillId="0" borderId="0" xfId="0" applyNumberFormat="1" applyFont="1" applyAlignment="1">
      <alignment horizontal="left" vertical="top"/>
    </xf>
    <xf numFmtId="17" fontId="56" fillId="0" borderId="0" xfId="0" applyNumberFormat="1" applyFont="1" applyAlignment="1">
      <alignment vertical="top"/>
    </xf>
    <xf numFmtId="0" fontId="0" fillId="0" borderId="0" xfId="0" applyFill="1" applyBorder="1"/>
    <xf numFmtId="0" fontId="53" fillId="0" borderId="41" xfId="709" applyBorder="1" applyAlignment="1">
      <alignment horizontal="center" vertical="top"/>
    </xf>
    <xf numFmtId="0" fontId="53" fillId="0" borderId="42" xfId="709" applyBorder="1" applyAlignment="1">
      <alignment horizontal="left" vertical="top"/>
    </xf>
    <xf numFmtId="0" fontId="53" fillId="0" borderId="43" xfId="709" applyBorder="1" applyAlignment="1">
      <alignment horizontal="left" vertical="top"/>
    </xf>
    <xf numFmtId="0" fontId="53" fillId="0" borderId="41" xfId="709" applyBorder="1" applyAlignment="1">
      <alignment horizontal="left" vertical="top" indent="4"/>
    </xf>
    <xf numFmtId="4" fontId="53" fillId="0" borderId="0" xfId="710" applyNumberFormat="1" applyBorder="1" applyAlignment="1">
      <alignment vertical="top"/>
    </xf>
    <xf numFmtId="4" fontId="0" fillId="0" borderId="46" xfId="0" applyNumberFormat="1" applyBorder="1" applyAlignment="1">
      <alignment horizontal="right" vertical="center"/>
    </xf>
    <xf numFmtId="4" fontId="0" fillId="0" borderId="44" xfId="0" applyNumberFormat="1" applyBorder="1" applyAlignment="1">
      <alignment horizontal="right" vertical="center"/>
    </xf>
    <xf numFmtId="0" fontId="0" fillId="0" borderId="41" xfId="0" applyBorder="1" applyAlignment="1">
      <alignment horizontal="left" vertical="center"/>
    </xf>
    <xf numFmtId="4" fontId="0" fillId="0" borderId="41" xfId="0" applyNumberFormat="1" applyBorder="1" applyAlignment="1">
      <alignment horizontal="right" vertical="center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 vertical="top"/>
    </xf>
    <xf numFmtId="0" fontId="0" fillId="0" borderId="48" xfId="0" applyBorder="1" applyAlignment="1">
      <alignment horizontal="left" vertical="top" indent="2"/>
    </xf>
    <xf numFmtId="0" fontId="0" fillId="0" borderId="49" xfId="0" applyBorder="1" applyAlignment="1">
      <alignment horizontal="left" vertical="top" indent="4"/>
    </xf>
    <xf numFmtId="0" fontId="0" fillId="0" borderId="50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2"/>
    </xf>
    <xf numFmtId="0" fontId="0" fillId="0" borderId="51" xfId="0" applyBorder="1" applyAlignment="1">
      <alignment horizontal="left" vertical="top" indent="4"/>
    </xf>
    <xf numFmtId="0" fontId="0" fillId="0" borderId="50" xfId="0" applyBorder="1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52" xfId="0" applyBorder="1" applyAlignment="1">
      <alignment horizontal="left" vertical="top"/>
    </xf>
    <xf numFmtId="0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23" xfId="0" applyNumberFormat="1" applyBorder="1" applyAlignment="1">
      <alignment horizontal="right" vertical="top"/>
    </xf>
    <xf numFmtId="4" fontId="0" fillId="0" borderId="53" xfId="0" applyNumberFormat="1" applyBorder="1" applyAlignment="1">
      <alignment horizontal="right" vertical="top"/>
    </xf>
    <xf numFmtId="4" fontId="0" fillId="0" borderId="48" xfId="0" applyNumberFormat="1" applyBorder="1" applyAlignment="1">
      <alignment horizontal="right"/>
    </xf>
    <xf numFmtId="0" fontId="0" fillId="0" borderId="44" xfId="0" applyBorder="1" applyAlignment="1">
      <alignment horizontal="left" vertical="center"/>
    </xf>
    <xf numFmtId="0" fontId="0" fillId="0" borderId="44" xfId="0" applyBorder="1" applyAlignment="1">
      <alignment horizontal="right" vertical="center"/>
    </xf>
    <xf numFmtId="0" fontId="0" fillId="0" borderId="44" xfId="0" applyBorder="1" applyAlignment="1">
      <alignment horizontal="right"/>
    </xf>
    <xf numFmtId="0" fontId="0" fillId="0" borderId="46" xfId="0" applyBorder="1" applyAlignment="1">
      <alignment horizontal="left" vertical="center"/>
    </xf>
    <xf numFmtId="4" fontId="0" fillId="0" borderId="46" xfId="0" applyNumberFormat="1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46" xfId="0" applyBorder="1" applyAlignment="1">
      <alignment horizontal="right" vertical="center"/>
    </xf>
    <xf numFmtId="0" fontId="0" fillId="0" borderId="45" xfId="0" applyBorder="1" applyAlignment="1">
      <alignment horizontal="left" vertical="center"/>
    </xf>
    <xf numFmtId="4" fontId="0" fillId="0" borderId="45" xfId="0" applyNumberFormat="1" applyBorder="1" applyAlignment="1">
      <alignment horizontal="right"/>
    </xf>
    <xf numFmtId="0" fontId="0" fillId="0" borderId="45" xfId="0" applyBorder="1" applyAlignment="1">
      <alignment horizontal="right"/>
    </xf>
    <xf numFmtId="4" fontId="0" fillId="0" borderId="44" xfId="0" applyNumberFormat="1" applyBorder="1" applyAlignment="1">
      <alignment horizontal="right"/>
    </xf>
    <xf numFmtId="0" fontId="0" fillId="0" borderId="45" xfId="0" applyBorder="1" applyAlignment="1">
      <alignment horizontal="right" vertical="center"/>
    </xf>
    <xf numFmtId="0" fontId="0" fillId="0" borderId="41" xfId="0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4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0" fontId="0" fillId="0" borderId="42" xfId="0" applyBorder="1" applyAlignment="1">
      <alignment horizontal="left" indent="14"/>
    </xf>
    <xf numFmtId="0" fontId="0" fillId="0" borderId="26" xfId="0" applyBorder="1" applyAlignment="1">
      <alignment horizontal="left" indent="14"/>
    </xf>
    <xf numFmtId="0" fontId="0" fillId="0" borderId="43" xfId="0" applyBorder="1" applyAlignment="1">
      <alignment horizontal="left" indent="14"/>
    </xf>
    <xf numFmtId="0" fontId="0" fillId="0" borderId="44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44" xfId="0" applyBorder="1" applyAlignment="1">
      <alignment horizontal="justify" wrapText="1"/>
    </xf>
    <xf numFmtId="0" fontId="0" fillId="0" borderId="45" xfId="0" applyBorder="1" applyAlignment="1">
      <alignment horizontal="justify" wrapText="1"/>
    </xf>
  </cellXfs>
  <cellStyles count="71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1 2" xfId="674" xr:uid="{00000000-0005-0000-0000-000007000000}"/>
    <cellStyle name="40% - Énfasis2" xfId="24" builtinId="35" customBuiltin="1"/>
    <cellStyle name="40% - Énfasis2 2" xfId="675" xr:uid="{00000000-0005-0000-0000-000009000000}"/>
    <cellStyle name="40% - Énfasis3" xfId="28" builtinId="39" customBuiltin="1"/>
    <cellStyle name="40% - Énfasis3 2" xfId="676" xr:uid="{00000000-0005-0000-0000-00000B000000}"/>
    <cellStyle name="40% - Énfasis4" xfId="32" builtinId="43" customBuiltin="1"/>
    <cellStyle name="40% - Énfasis4 2" xfId="677" xr:uid="{00000000-0005-0000-0000-00000D000000}"/>
    <cellStyle name="40% - Énfasis5" xfId="36" builtinId="47" customBuiltin="1"/>
    <cellStyle name="40% - Énfasis5 2" xfId="678" xr:uid="{00000000-0005-0000-0000-00000F000000}"/>
    <cellStyle name="40% - Énfasis6" xfId="40" builtinId="51" customBuiltin="1"/>
    <cellStyle name="40% - Énfasis6 2" xfId="679" xr:uid="{00000000-0005-0000-0000-000011000000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 2" xfId="680" xr:uid="{00000000-0005-0000-0000-000019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51" xr:uid="{00000000-0005-0000-0000-000025000000}"/>
    <cellStyle name="Estilo 1 2" xfId="52" xr:uid="{00000000-0005-0000-0000-000026000000}"/>
    <cellStyle name="Estilo 1 3" xfId="53" xr:uid="{00000000-0005-0000-0000-000027000000}"/>
    <cellStyle name="Estilo 1 4" xfId="54" xr:uid="{00000000-0005-0000-0000-000028000000}"/>
    <cellStyle name="Estilo 1 5" xfId="55" xr:uid="{00000000-0005-0000-0000-000029000000}"/>
    <cellStyle name="Estilo 1 6" xfId="56" xr:uid="{00000000-0005-0000-0000-00002A000000}"/>
    <cellStyle name="Estilo 1 7" xfId="57" xr:uid="{00000000-0005-0000-0000-00002B000000}"/>
    <cellStyle name="Estilo 1 8" xfId="58" xr:uid="{00000000-0005-0000-0000-00002C000000}"/>
    <cellStyle name="Estilo 1 9" xfId="59" xr:uid="{00000000-0005-0000-0000-00002D000000}"/>
    <cellStyle name="Euro" xfId="60" xr:uid="{00000000-0005-0000-0000-00002E000000}"/>
    <cellStyle name="Euro 10" xfId="61" xr:uid="{00000000-0005-0000-0000-00002F000000}"/>
    <cellStyle name="Euro 11" xfId="62" xr:uid="{00000000-0005-0000-0000-000030000000}"/>
    <cellStyle name="Euro 12" xfId="63" xr:uid="{00000000-0005-0000-0000-000031000000}"/>
    <cellStyle name="Euro 13" xfId="64" xr:uid="{00000000-0005-0000-0000-000032000000}"/>
    <cellStyle name="Euro 14" xfId="65" xr:uid="{00000000-0005-0000-0000-000033000000}"/>
    <cellStyle name="Euro 15" xfId="66" xr:uid="{00000000-0005-0000-0000-000034000000}"/>
    <cellStyle name="Euro 16" xfId="67" xr:uid="{00000000-0005-0000-0000-000035000000}"/>
    <cellStyle name="Euro 17" xfId="68" xr:uid="{00000000-0005-0000-0000-000036000000}"/>
    <cellStyle name="Euro 18" xfId="69" xr:uid="{00000000-0005-0000-0000-000037000000}"/>
    <cellStyle name="Euro 19" xfId="70" xr:uid="{00000000-0005-0000-0000-000038000000}"/>
    <cellStyle name="Euro 2" xfId="71" xr:uid="{00000000-0005-0000-0000-000039000000}"/>
    <cellStyle name="Euro 20" xfId="72" xr:uid="{00000000-0005-0000-0000-00003A000000}"/>
    <cellStyle name="Euro 21" xfId="73" xr:uid="{00000000-0005-0000-0000-00003B000000}"/>
    <cellStyle name="Euro 22" xfId="74" xr:uid="{00000000-0005-0000-0000-00003C000000}"/>
    <cellStyle name="Euro 23" xfId="75" xr:uid="{00000000-0005-0000-0000-00003D000000}"/>
    <cellStyle name="Euro 24" xfId="76" xr:uid="{00000000-0005-0000-0000-00003E000000}"/>
    <cellStyle name="Euro 25" xfId="77" xr:uid="{00000000-0005-0000-0000-00003F000000}"/>
    <cellStyle name="Euro 26" xfId="78" xr:uid="{00000000-0005-0000-0000-000040000000}"/>
    <cellStyle name="Euro 3" xfId="79" xr:uid="{00000000-0005-0000-0000-000041000000}"/>
    <cellStyle name="Euro 4" xfId="80" xr:uid="{00000000-0005-0000-0000-000042000000}"/>
    <cellStyle name="Euro 5" xfId="81" xr:uid="{00000000-0005-0000-0000-000043000000}"/>
    <cellStyle name="Euro 6" xfId="82" xr:uid="{00000000-0005-0000-0000-000044000000}"/>
    <cellStyle name="Euro 7" xfId="83" xr:uid="{00000000-0005-0000-0000-000045000000}"/>
    <cellStyle name="Euro 8" xfId="84" xr:uid="{00000000-0005-0000-0000-000046000000}"/>
    <cellStyle name="Euro 9" xfId="85" xr:uid="{00000000-0005-0000-0000-000047000000}"/>
    <cellStyle name="Excel Built-in Normal" xfId="45" xr:uid="{00000000-0005-0000-0000-000048000000}"/>
    <cellStyle name="Hipervínculo" xfId="49" builtinId="8"/>
    <cellStyle name="Hipervínculo 2" xfId="86" xr:uid="{00000000-0005-0000-0000-00004A000000}"/>
    <cellStyle name="Incorrecto" xfId="7" builtinId="27" customBuiltin="1"/>
    <cellStyle name="Millares" xfId="43" builtinId="3"/>
    <cellStyle name="Millares [0] 2" xfId="87" xr:uid="{00000000-0005-0000-0000-00004D000000}"/>
    <cellStyle name="Millares [0] 2 2" xfId="88" xr:uid="{00000000-0005-0000-0000-00004E000000}"/>
    <cellStyle name="Millares [0] 2 3" xfId="89" xr:uid="{00000000-0005-0000-0000-00004F000000}"/>
    <cellStyle name="Millares [0] 2 4" xfId="90" xr:uid="{00000000-0005-0000-0000-000050000000}"/>
    <cellStyle name="Millares [0] 2 5" xfId="91" xr:uid="{00000000-0005-0000-0000-000051000000}"/>
    <cellStyle name="Millares 10" xfId="692" xr:uid="{00000000-0005-0000-0000-000052000000}"/>
    <cellStyle name="Millares 10 2" xfId="92" xr:uid="{00000000-0005-0000-0000-000053000000}"/>
    <cellStyle name="Millares 10 2 2" xfId="93" xr:uid="{00000000-0005-0000-0000-000054000000}"/>
    <cellStyle name="Millares 10 2 3" xfId="94" xr:uid="{00000000-0005-0000-0000-000055000000}"/>
    <cellStyle name="Millares 10 2 4" xfId="95" xr:uid="{00000000-0005-0000-0000-000056000000}"/>
    <cellStyle name="Millares 10 2 5" xfId="96" xr:uid="{00000000-0005-0000-0000-000057000000}"/>
    <cellStyle name="Millares 10 2 6" xfId="97" xr:uid="{00000000-0005-0000-0000-000058000000}"/>
    <cellStyle name="Millares 10 3" xfId="98" xr:uid="{00000000-0005-0000-0000-000059000000}"/>
    <cellStyle name="Millares 10 4" xfId="99" xr:uid="{00000000-0005-0000-0000-00005A000000}"/>
    <cellStyle name="Millares 10 5" xfId="100" xr:uid="{00000000-0005-0000-0000-00005B000000}"/>
    <cellStyle name="Millares 10 6" xfId="101" xr:uid="{00000000-0005-0000-0000-00005C000000}"/>
    <cellStyle name="Millares 10 7" xfId="102" xr:uid="{00000000-0005-0000-0000-00005D000000}"/>
    <cellStyle name="Millares 11" xfId="103" xr:uid="{00000000-0005-0000-0000-00005E000000}"/>
    <cellStyle name="Millares 11 2" xfId="104" xr:uid="{00000000-0005-0000-0000-00005F000000}"/>
    <cellStyle name="Millares 12" xfId="105" xr:uid="{00000000-0005-0000-0000-000060000000}"/>
    <cellStyle name="Millares 12 2" xfId="106" xr:uid="{00000000-0005-0000-0000-000061000000}"/>
    <cellStyle name="Millares 13" xfId="691" xr:uid="{00000000-0005-0000-0000-000062000000}"/>
    <cellStyle name="Millares 14" xfId="690" xr:uid="{00000000-0005-0000-0000-000063000000}"/>
    <cellStyle name="Millares 15" xfId="695" xr:uid="{00000000-0005-0000-0000-000064000000}"/>
    <cellStyle name="Millares 16" xfId="697" xr:uid="{00000000-0005-0000-0000-000065000000}"/>
    <cellStyle name="Millares 2" xfId="107" xr:uid="{00000000-0005-0000-0000-000066000000}"/>
    <cellStyle name="Millares 2 10" xfId="108" xr:uid="{00000000-0005-0000-0000-000067000000}"/>
    <cellStyle name="Millares 2 11" xfId="109" xr:uid="{00000000-0005-0000-0000-000068000000}"/>
    <cellStyle name="Millares 2 2" xfId="110" xr:uid="{00000000-0005-0000-0000-000069000000}"/>
    <cellStyle name="Millares 2 2 2" xfId="111" xr:uid="{00000000-0005-0000-0000-00006A000000}"/>
    <cellStyle name="Millares 2 2 3" xfId="112" xr:uid="{00000000-0005-0000-0000-00006B000000}"/>
    <cellStyle name="Millares 2 2 4" xfId="113" xr:uid="{00000000-0005-0000-0000-00006C000000}"/>
    <cellStyle name="Millares 2 2 5" xfId="114" xr:uid="{00000000-0005-0000-0000-00006D000000}"/>
    <cellStyle name="Millares 2 3" xfId="115" xr:uid="{00000000-0005-0000-0000-00006E000000}"/>
    <cellStyle name="Millares 2 4" xfId="116" xr:uid="{00000000-0005-0000-0000-00006F000000}"/>
    <cellStyle name="Millares 2 5" xfId="117" xr:uid="{00000000-0005-0000-0000-000070000000}"/>
    <cellStyle name="Millares 2 6" xfId="118" xr:uid="{00000000-0005-0000-0000-000071000000}"/>
    <cellStyle name="Millares 2 7" xfId="119" xr:uid="{00000000-0005-0000-0000-000072000000}"/>
    <cellStyle name="Millares 2 8" xfId="120" xr:uid="{00000000-0005-0000-0000-000073000000}"/>
    <cellStyle name="Millares 2 9" xfId="121" xr:uid="{00000000-0005-0000-0000-000074000000}"/>
    <cellStyle name="Millares 3" xfId="122" xr:uid="{00000000-0005-0000-0000-000075000000}"/>
    <cellStyle name="Millares 3 2" xfId="123" xr:uid="{00000000-0005-0000-0000-000076000000}"/>
    <cellStyle name="Millares 3 2 2" xfId="124" xr:uid="{00000000-0005-0000-0000-000077000000}"/>
    <cellStyle name="Millares 3 2 2 2" xfId="125" xr:uid="{00000000-0005-0000-0000-000078000000}"/>
    <cellStyle name="Millares 3 2 2 3" xfId="126" xr:uid="{00000000-0005-0000-0000-000079000000}"/>
    <cellStyle name="Millares 3 2 2 4" xfId="127" xr:uid="{00000000-0005-0000-0000-00007A000000}"/>
    <cellStyle name="Millares 3 2 3" xfId="128" xr:uid="{00000000-0005-0000-0000-00007B000000}"/>
    <cellStyle name="Millares 3 2 4" xfId="129" xr:uid="{00000000-0005-0000-0000-00007C000000}"/>
    <cellStyle name="Millares 3 2 5" xfId="130" xr:uid="{00000000-0005-0000-0000-00007D000000}"/>
    <cellStyle name="Millares 3 3" xfId="131" xr:uid="{00000000-0005-0000-0000-00007E000000}"/>
    <cellStyle name="Millares 3 4" xfId="132" xr:uid="{00000000-0005-0000-0000-00007F000000}"/>
    <cellStyle name="Millares 3 5" xfId="133" xr:uid="{00000000-0005-0000-0000-000080000000}"/>
    <cellStyle name="Millares 3 6" xfId="134" xr:uid="{00000000-0005-0000-0000-000081000000}"/>
    <cellStyle name="Millares 4" xfId="135" xr:uid="{00000000-0005-0000-0000-000082000000}"/>
    <cellStyle name="Millares 4 2" xfId="136" xr:uid="{00000000-0005-0000-0000-000083000000}"/>
    <cellStyle name="Millares 4 3" xfId="137" xr:uid="{00000000-0005-0000-0000-000084000000}"/>
    <cellStyle name="Millares 4 4" xfId="138" xr:uid="{00000000-0005-0000-0000-000085000000}"/>
    <cellStyle name="Millares 4 5" xfId="139" xr:uid="{00000000-0005-0000-0000-000086000000}"/>
    <cellStyle name="Millares 5" xfId="140" xr:uid="{00000000-0005-0000-0000-000087000000}"/>
    <cellStyle name="Millares 5 2" xfId="141" xr:uid="{00000000-0005-0000-0000-000088000000}"/>
    <cellStyle name="Millares 5 3" xfId="142" xr:uid="{00000000-0005-0000-0000-000089000000}"/>
    <cellStyle name="Millares 5 4" xfId="143" xr:uid="{00000000-0005-0000-0000-00008A000000}"/>
    <cellStyle name="Millares 5 5" xfId="144" xr:uid="{00000000-0005-0000-0000-00008B000000}"/>
    <cellStyle name="Millares 6" xfId="145" xr:uid="{00000000-0005-0000-0000-00008C000000}"/>
    <cellStyle name="Millares 6 2" xfId="146" xr:uid="{00000000-0005-0000-0000-00008D000000}"/>
    <cellStyle name="Millares 6 3" xfId="147" xr:uid="{00000000-0005-0000-0000-00008E000000}"/>
    <cellStyle name="Millares 6 4" xfId="148" xr:uid="{00000000-0005-0000-0000-00008F000000}"/>
    <cellStyle name="Millares 6 5" xfId="149" xr:uid="{00000000-0005-0000-0000-000090000000}"/>
    <cellStyle name="Millares 7" xfId="150" xr:uid="{00000000-0005-0000-0000-000091000000}"/>
    <cellStyle name="Millares 7 2" xfId="151" xr:uid="{00000000-0005-0000-0000-000092000000}"/>
    <cellStyle name="Millares 7 3" xfId="152" xr:uid="{00000000-0005-0000-0000-000093000000}"/>
    <cellStyle name="Millares 7 4" xfId="153" xr:uid="{00000000-0005-0000-0000-000094000000}"/>
    <cellStyle name="Millares 7 5" xfId="154" xr:uid="{00000000-0005-0000-0000-000095000000}"/>
    <cellStyle name="Millares 8" xfId="155" xr:uid="{00000000-0005-0000-0000-000096000000}"/>
    <cellStyle name="Millares 8 2" xfId="156" xr:uid="{00000000-0005-0000-0000-000097000000}"/>
    <cellStyle name="Millares 8 3" xfId="157" xr:uid="{00000000-0005-0000-0000-000098000000}"/>
    <cellStyle name="Millares 8 4" xfId="158" xr:uid="{00000000-0005-0000-0000-000099000000}"/>
    <cellStyle name="Millares 8 5" xfId="159" xr:uid="{00000000-0005-0000-0000-00009A000000}"/>
    <cellStyle name="Millares 9" xfId="687" xr:uid="{00000000-0005-0000-0000-00009B000000}"/>
    <cellStyle name="Millares 9 10" xfId="160" xr:uid="{00000000-0005-0000-0000-00009C000000}"/>
    <cellStyle name="Millares 9 11" xfId="161" xr:uid="{00000000-0005-0000-0000-00009D000000}"/>
    <cellStyle name="Millares 9 12" xfId="162" xr:uid="{00000000-0005-0000-0000-00009E000000}"/>
    <cellStyle name="Millares 9 13" xfId="163" xr:uid="{00000000-0005-0000-0000-00009F000000}"/>
    <cellStyle name="Millares 9 2" xfId="164" xr:uid="{00000000-0005-0000-0000-0000A0000000}"/>
    <cellStyle name="Millares 9 3" xfId="165" xr:uid="{00000000-0005-0000-0000-0000A1000000}"/>
    <cellStyle name="Millares 9 4" xfId="166" xr:uid="{00000000-0005-0000-0000-0000A2000000}"/>
    <cellStyle name="Millares 9 5" xfId="167" xr:uid="{00000000-0005-0000-0000-0000A3000000}"/>
    <cellStyle name="Millares 9 6" xfId="168" xr:uid="{00000000-0005-0000-0000-0000A4000000}"/>
    <cellStyle name="Millares 9 7" xfId="169" xr:uid="{00000000-0005-0000-0000-0000A5000000}"/>
    <cellStyle name="Millares 9 8" xfId="170" xr:uid="{00000000-0005-0000-0000-0000A6000000}"/>
    <cellStyle name="Millares 9 9" xfId="171" xr:uid="{00000000-0005-0000-0000-0000A7000000}"/>
    <cellStyle name="Moneda" xfId="42" builtinId="4"/>
    <cellStyle name="Moneda 2" xfId="47" xr:uid="{00000000-0005-0000-0000-0000A9000000}"/>
    <cellStyle name="Moneda 2 2" xfId="173" xr:uid="{00000000-0005-0000-0000-0000AA000000}"/>
    <cellStyle name="Moneda 2 2 2" xfId="174" xr:uid="{00000000-0005-0000-0000-0000AB000000}"/>
    <cellStyle name="Moneda 2 2 3" xfId="175" xr:uid="{00000000-0005-0000-0000-0000AC000000}"/>
    <cellStyle name="Moneda 2 2 4" xfId="176" xr:uid="{00000000-0005-0000-0000-0000AD000000}"/>
    <cellStyle name="Moneda 2 2 5" xfId="177" xr:uid="{00000000-0005-0000-0000-0000AE000000}"/>
    <cellStyle name="Moneda 2 3" xfId="178" xr:uid="{00000000-0005-0000-0000-0000AF000000}"/>
    <cellStyle name="Moneda 2 3 2" xfId="179" xr:uid="{00000000-0005-0000-0000-0000B0000000}"/>
    <cellStyle name="Moneda 2 3 2 2" xfId="180" xr:uid="{00000000-0005-0000-0000-0000B1000000}"/>
    <cellStyle name="Moneda 2 3 2 3" xfId="181" xr:uid="{00000000-0005-0000-0000-0000B2000000}"/>
    <cellStyle name="Moneda 2 3 2 4" xfId="182" xr:uid="{00000000-0005-0000-0000-0000B3000000}"/>
    <cellStyle name="Moneda 2 3 3" xfId="183" xr:uid="{00000000-0005-0000-0000-0000B4000000}"/>
    <cellStyle name="Moneda 2 3 4" xfId="184" xr:uid="{00000000-0005-0000-0000-0000B5000000}"/>
    <cellStyle name="Moneda 2 3 5" xfId="185" xr:uid="{00000000-0005-0000-0000-0000B6000000}"/>
    <cellStyle name="Moneda 2 4" xfId="186" xr:uid="{00000000-0005-0000-0000-0000B7000000}"/>
    <cellStyle name="Moneda 2 5" xfId="187" xr:uid="{00000000-0005-0000-0000-0000B8000000}"/>
    <cellStyle name="Moneda 2 6" xfId="188" xr:uid="{00000000-0005-0000-0000-0000B9000000}"/>
    <cellStyle name="Moneda 2 7" xfId="189" xr:uid="{00000000-0005-0000-0000-0000BA000000}"/>
    <cellStyle name="Moneda 2 8" xfId="190" xr:uid="{00000000-0005-0000-0000-0000BB000000}"/>
    <cellStyle name="Moneda 2 9" xfId="172" xr:uid="{00000000-0005-0000-0000-0000BC000000}"/>
    <cellStyle name="Moneda 3" xfId="684" xr:uid="{00000000-0005-0000-0000-0000BD000000}"/>
    <cellStyle name="Moneda 3 2" xfId="191" xr:uid="{00000000-0005-0000-0000-0000BE000000}"/>
    <cellStyle name="Moneda 3 3" xfId="192" xr:uid="{00000000-0005-0000-0000-0000BF000000}"/>
    <cellStyle name="Moneda 3 4" xfId="193" xr:uid="{00000000-0005-0000-0000-0000C0000000}"/>
    <cellStyle name="Moneda 3 5" xfId="194" xr:uid="{00000000-0005-0000-0000-0000C1000000}"/>
    <cellStyle name="Moneda 3 6" xfId="195" xr:uid="{00000000-0005-0000-0000-0000C2000000}"/>
    <cellStyle name="Moneda 3 7" xfId="196" xr:uid="{00000000-0005-0000-0000-0000C3000000}"/>
    <cellStyle name="Moneda 4" xfId="686" xr:uid="{00000000-0005-0000-0000-0000C4000000}"/>
    <cellStyle name="Moneda 4 2" xfId="197" xr:uid="{00000000-0005-0000-0000-0000C5000000}"/>
    <cellStyle name="Moneda 4 3" xfId="198" xr:uid="{00000000-0005-0000-0000-0000C6000000}"/>
    <cellStyle name="Moneda 4 4" xfId="199" xr:uid="{00000000-0005-0000-0000-0000C7000000}"/>
    <cellStyle name="Moneda 4 5" xfId="200" xr:uid="{00000000-0005-0000-0000-0000C8000000}"/>
    <cellStyle name="Moneda 4 6" xfId="201" xr:uid="{00000000-0005-0000-0000-0000C9000000}"/>
    <cellStyle name="Moneda 5" xfId="701" xr:uid="{AE7391C0-F8C5-4FD5-8C3D-A9D21FAE422C}"/>
    <cellStyle name="Neutral" xfId="8" builtinId="28" customBuiltin="1"/>
    <cellStyle name="Normal" xfId="0" builtinId="0"/>
    <cellStyle name="Normal - Modelo1" xfId="202" xr:uid="{00000000-0005-0000-0000-0000CC000000}"/>
    <cellStyle name="Normal - Modelo2" xfId="203" xr:uid="{00000000-0005-0000-0000-0000CD000000}"/>
    <cellStyle name="Normal - Modelo3" xfId="204" xr:uid="{00000000-0005-0000-0000-0000CE000000}"/>
    <cellStyle name="Normal - Modelo4" xfId="205" xr:uid="{00000000-0005-0000-0000-0000CF000000}"/>
    <cellStyle name="Normal - Modelo5" xfId="206" xr:uid="{00000000-0005-0000-0000-0000D0000000}"/>
    <cellStyle name="Normal - Modelo6" xfId="207" xr:uid="{00000000-0005-0000-0000-0000D1000000}"/>
    <cellStyle name="Normal - Modelo7" xfId="208" xr:uid="{00000000-0005-0000-0000-0000D2000000}"/>
    <cellStyle name="Normal - Modelo8" xfId="209" xr:uid="{00000000-0005-0000-0000-0000D3000000}"/>
    <cellStyle name="Normal 10" xfId="673" xr:uid="{00000000-0005-0000-0000-0000D4000000}"/>
    <cellStyle name="Normal 11" xfId="210" xr:uid="{00000000-0005-0000-0000-0000D5000000}"/>
    <cellStyle name="Normal 11 2" xfId="211" xr:uid="{00000000-0005-0000-0000-0000D6000000}"/>
    <cellStyle name="Normal 11 3" xfId="212" xr:uid="{00000000-0005-0000-0000-0000D7000000}"/>
    <cellStyle name="Normal 11 4" xfId="213" xr:uid="{00000000-0005-0000-0000-0000D8000000}"/>
    <cellStyle name="Normal 11 5" xfId="214" xr:uid="{00000000-0005-0000-0000-0000D9000000}"/>
    <cellStyle name="Normal 12" xfId="215" xr:uid="{00000000-0005-0000-0000-0000DA000000}"/>
    <cellStyle name="Normal 12 2" xfId="216" xr:uid="{00000000-0005-0000-0000-0000DB000000}"/>
    <cellStyle name="Normal 12 3" xfId="217" xr:uid="{00000000-0005-0000-0000-0000DC000000}"/>
    <cellStyle name="Normal 12 4" xfId="218" xr:uid="{00000000-0005-0000-0000-0000DD000000}"/>
    <cellStyle name="Normal 12 5" xfId="219" xr:uid="{00000000-0005-0000-0000-0000DE000000}"/>
    <cellStyle name="Normal 13" xfId="220" xr:uid="{00000000-0005-0000-0000-0000DF000000}"/>
    <cellStyle name="Normal 13 2" xfId="221" xr:uid="{00000000-0005-0000-0000-0000E0000000}"/>
    <cellStyle name="Normal 13 3" xfId="222" xr:uid="{00000000-0005-0000-0000-0000E1000000}"/>
    <cellStyle name="Normal 13 4" xfId="223" xr:uid="{00000000-0005-0000-0000-0000E2000000}"/>
    <cellStyle name="Normal 13 5" xfId="224" xr:uid="{00000000-0005-0000-0000-0000E3000000}"/>
    <cellStyle name="Normal 14" xfId="225" xr:uid="{00000000-0005-0000-0000-0000E4000000}"/>
    <cellStyle name="Normal 14 2" xfId="226" xr:uid="{00000000-0005-0000-0000-0000E5000000}"/>
    <cellStyle name="Normal 14 2 2" xfId="227" xr:uid="{00000000-0005-0000-0000-0000E6000000}"/>
    <cellStyle name="Normal 14 2 3" xfId="228" xr:uid="{00000000-0005-0000-0000-0000E7000000}"/>
    <cellStyle name="Normal 14 2 4" xfId="229" xr:uid="{00000000-0005-0000-0000-0000E8000000}"/>
    <cellStyle name="Normal 14 3" xfId="230" xr:uid="{00000000-0005-0000-0000-0000E9000000}"/>
    <cellStyle name="Normal 14 4" xfId="231" xr:uid="{00000000-0005-0000-0000-0000EA000000}"/>
    <cellStyle name="Normal 14 5" xfId="232" xr:uid="{00000000-0005-0000-0000-0000EB000000}"/>
    <cellStyle name="Normal 14 7" xfId="233" xr:uid="{00000000-0005-0000-0000-0000EC000000}"/>
    <cellStyle name="Normal 15" xfId="234" xr:uid="{00000000-0005-0000-0000-0000ED000000}"/>
    <cellStyle name="Normal 15 2" xfId="235" xr:uid="{00000000-0005-0000-0000-0000EE000000}"/>
    <cellStyle name="Normal 15 3" xfId="236" xr:uid="{00000000-0005-0000-0000-0000EF000000}"/>
    <cellStyle name="Normal 15 4" xfId="237" xr:uid="{00000000-0005-0000-0000-0000F0000000}"/>
    <cellStyle name="Normal 15 5" xfId="238" xr:uid="{00000000-0005-0000-0000-0000F1000000}"/>
    <cellStyle name="Normal 16" xfId="683" xr:uid="{00000000-0005-0000-0000-0000F2000000}"/>
    <cellStyle name="Normal 17" xfId="685" xr:uid="{00000000-0005-0000-0000-0000F3000000}"/>
    <cellStyle name="Normal 18" xfId="696" xr:uid="{00000000-0005-0000-0000-0000F4000000}"/>
    <cellStyle name="Normal 19" xfId="698" xr:uid="{00000000-0005-0000-0000-0000F5000000}"/>
    <cellStyle name="Normal 2" xfId="44" xr:uid="{00000000-0005-0000-0000-0000F6000000}"/>
    <cellStyle name="Normal 2 10" xfId="240" xr:uid="{00000000-0005-0000-0000-0000F7000000}"/>
    <cellStyle name="Normal 2 11" xfId="241" xr:uid="{00000000-0005-0000-0000-0000F8000000}"/>
    <cellStyle name="Normal 2 12" xfId="242" xr:uid="{00000000-0005-0000-0000-0000F9000000}"/>
    <cellStyle name="Normal 2 13" xfId="243" xr:uid="{00000000-0005-0000-0000-0000FA000000}"/>
    <cellStyle name="Normal 2 14" xfId="244" xr:uid="{00000000-0005-0000-0000-0000FB000000}"/>
    <cellStyle name="Normal 2 15" xfId="245" xr:uid="{00000000-0005-0000-0000-0000FC000000}"/>
    <cellStyle name="Normal 2 15 2" xfId="246" xr:uid="{00000000-0005-0000-0000-0000FD000000}"/>
    <cellStyle name="Normal 2 15 3" xfId="247" xr:uid="{00000000-0005-0000-0000-0000FE000000}"/>
    <cellStyle name="Normal 2 15 4" xfId="248" xr:uid="{00000000-0005-0000-0000-0000FF000000}"/>
    <cellStyle name="Normal 2 15 5" xfId="249" xr:uid="{00000000-0005-0000-0000-000000010000}"/>
    <cellStyle name="Normal 2 16" xfId="250" xr:uid="{00000000-0005-0000-0000-000001010000}"/>
    <cellStyle name="Normal 2 16 2" xfId="251" xr:uid="{00000000-0005-0000-0000-000002010000}"/>
    <cellStyle name="Normal 2 17" xfId="252" xr:uid="{00000000-0005-0000-0000-000003010000}"/>
    <cellStyle name="Normal 2 18" xfId="253" xr:uid="{00000000-0005-0000-0000-000004010000}"/>
    <cellStyle name="Normal 2 19" xfId="254" xr:uid="{00000000-0005-0000-0000-000005010000}"/>
    <cellStyle name="Normal 2 2" xfId="255" xr:uid="{00000000-0005-0000-0000-000006010000}"/>
    <cellStyle name="Normal 2 2 10" xfId="256" xr:uid="{00000000-0005-0000-0000-000007010000}"/>
    <cellStyle name="Normal 2 2 11" xfId="257" xr:uid="{00000000-0005-0000-0000-000008010000}"/>
    <cellStyle name="Normal 2 2 12" xfId="258" xr:uid="{00000000-0005-0000-0000-000009010000}"/>
    <cellStyle name="Normal 2 2 13" xfId="259" xr:uid="{00000000-0005-0000-0000-00000A010000}"/>
    <cellStyle name="Normal 2 2 14" xfId="260" xr:uid="{00000000-0005-0000-0000-00000B010000}"/>
    <cellStyle name="Normal 2 2 15" xfId="261" xr:uid="{00000000-0005-0000-0000-00000C010000}"/>
    <cellStyle name="Normal 2 2 16" xfId="262" xr:uid="{00000000-0005-0000-0000-00000D010000}"/>
    <cellStyle name="Normal 2 2 17" xfId="263" xr:uid="{00000000-0005-0000-0000-00000E010000}"/>
    <cellStyle name="Normal 2 2 18" xfId="264" xr:uid="{00000000-0005-0000-0000-00000F010000}"/>
    <cellStyle name="Normal 2 2 19" xfId="265" xr:uid="{00000000-0005-0000-0000-000010010000}"/>
    <cellStyle name="Normal 2 2 2" xfId="266" xr:uid="{00000000-0005-0000-0000-000011010000}"/>
    <cellStyle name="Normal 2 2 2 10" xfId="267" xr:uid="{00000000-0005-0000-0000-000012010000}"/>
    <cellStyle name="Normal 2 2 2 10 2" xfId="268" xr:uid="{00000000-0005-0000-0000-000013010000}"/>
    <cellStyle name="Normal 2 2 2 11" xfId="269" xr:uid="{00000000-0005-0000-0000-000014010000}"/>
    <cellStyle name="Normal 2 2 2 12" xfId="270" xr:uid="{00000000-0005-0000-0000-000015010000}"/>
    <cellStyle name="Normal 2 2 2 13" xfId="271" xr:uid="{00000000-0005-0000-0000-000016010000}"/>
    <cellStyle name="Normal 2 2 2 14" xfId="272" xr:uid="{00000000-0005-0000-0000-000017010000}"/>
    <cellStyle name="Normal 2 2 2 15" xfId="273" xr:uid="{00000000-0005-0000-0000-000018010000}"/>
    <cellStyle name="Normal 2 2 2 16" xfId="274" xr:uid="{00000000-0005-0000-0000-000019010000}"/>
    <cellStyle name="Normal 2 2 2 17" xfId="275" xr:uid="{00000000-0005-0000-0000-00001A010000}"/>
    <cellStyle name="Normal 2 2 2 18" xfId="276" xr:uid="{00000000-0005-0000-0000-00001B010000}"/>
    <cellStyle name="Normal 2 2 2 19" xfId="277" xr:uid="{00000000-0005-0000-0000-00001C010000}"/>
    <cellStyle name="Normal 2 2 2 2" xfId="278" xr:uid="{00000000-0005-0000-0000-00001D010000}"/>
    <cellStyle name="Normal 2 2 2 2 10" xfId="279" xr:uid="{00000000-0005-0000-0000-00001E010000}"/>
    <cellStyle name="Normal 2 2 2 2 11" xfId="280" xr:uid="{00000000-0005-0000-0000-00001F010000}"/>
    <cellStyle name="Normal 2 2 2 2 12" xfId="281" xr:uid="{00000000-0005-0000-0000-000020010000}"/>
    <cellStyle name="Normal 2 2 2 2 13" xfId="282" xr:uid="{00000000-0005-0000-0000-000021010000}"/>
    <cellStyle name="Normal 2 2 2 2 14" xfId="283" xr:uid="{00000000-0005-0000-0000-000022010000}"/>
    <cellStyle name="Normal 2 2 2 2 15" xfId="284" xr:uid="{00000000-0005-0000-0000-000023010000}"/>
    <cellStyle name="Normal 2 2 2 2 16" xfId="285" xr:uid="{00000000-0005-0000-0000-000024010000}"/>
    <cellStyle name="Normal 2 2 2 2 17" xfId="286" xr:uid="{00000000-0005-0000-0000-000025010000}"/>
    <cellStyle name="Normal 2 2 2 2 18" xfId="287" xr:uid="{00000000-0005-0000-0000-000026010000}"/>
    <cellStyle name="Normal 2 2 2 2 19" xfId="288" xr:uid="{00000000-0005-0000-0000-000027010000}"/>
    <cellStyle name="Normal 2 2 2 2 2" xfId="289" xr:uid="{00000000-0005-0000-0000-000028010000}"/>
    <cellStyle name="Normal 2 2 2 2 2 10" xfId="290" xr:uid="{00000000-0005-0000-0000-000029010000}"/>
    <cellStyle name="Normal 2 2 2 2 2 11" xfId="291" xr:uid="{00000000-0005-0000-0000-00002A010000}"/>
    <cellStyle name="Normal 2 2 2 2 2 12" xfId="292" xr:uid="{00000000-0005-0000-0000-00002B010000}"/>
    <cellStyle name="Normal 2 2 2 2 2 13" xfId="293" xr:uid="{00000000-0005-0000-0000-00002C010000}"/>
    <cellStyle name="Normal 2 2 2 2 2 14" xfId="294" xr:uid="{00000000-0005-0000-0000-00002D010000}"/>
    <cellStyle name="Normal 2 2 2 2 2 15" xfId="295" xr:uid="{00000000-0005-0000-0000-00002E010000}"/>
    <cellStyle name="Normal 2 2 2 2 2 16" xfId="296" xr:uid="{00000000-0005-0000-0000-00002F010000}"/>
    <cellStyle name="Normal 2 2 2 2 2 17" xfId="297" xr:uid="{00000000-0005-0000-0000-000030010000}"/>
    <cellStyle name="Normal 2 2 2 2 2 18" xfId="298" xr:uid="{00000000-0005-0000-0000-000031010000}"/>
    <cellStyle name="Normal 2 2 2 2 2 19" xfId="299" xr:uid="{00000000-0005-0000-0000-000032010000}"/>
    <cellStyle name="Normal 2 2 2 2 2 2" xfId="300" xr:uid="{00000000-0005-0000-0000-000033010000}"/>
    <cellStyle name="Normal 2 2 2 2 2 20" xfId="301" xr:uid="{00000000-0005-0000-0000-000034010000}"/>
    <cellStyle name="Normal 2 2 2 2 2 21" xfId="302" xr:uid="{00000000-0005-0000-0000-000035010000}"/>
    <cellStyle name="Normal 2 2 2 2 2 22" xfId="303" xr:uid="{00000000-0005-0000-0000-000036010000}"/>
    <cellStyle name="Normal 2 2 2 2 2 23" xfId="304" xr:uid="{00000000-0005-0000-0000-000037010000}"/>
    <cellStyle name="Normal 2 2 2 2 2 24" xfId="305" xr:uid="{00000000-0005-0000-0000-000038010000}"/>
    <cellStyle name="Normal 2 2 2 2 2 25" xfId="306" xr:uid="{00000000-0005-0000-0000-000039010000}"/>
    <cellStyle name="Normal 2 2 2 2 2 26" xfId="307" xr:uid="{00000000-0005-0000-0000-00003A010000}"/>
    <cellStyle name="Normal 2 2 2 2 2 27" xfId="308" xr:uid="{00000000-0005-0000-0000-00003B010000}"/>
    <cellStyle name="Normal 2 2 2 2 2 28" xfId="309" xr:uid="{00000000-0005-0000-0000-00003C010000}"/>
    <cellStyle name="Normal 2 2 2 2 2 29" xfId="310" xr:uid="{00000000-0005-0000-0000-00003D010000}"/>
    <cellStyle name="Normal 2 2 2 2 2 3" xfId="311" xr:uid="{00000000-0005-0000-0000-00003E010000}"/>
    <cellStyle name="Normal 2 2 2 2 2 30" xfId="312" xr:uid="{00000000-0005-0000-0000-00003F010000}"/>
    <cellStyle name="Normal 2 2 2 2 2 31" xfId="313" xr:uid="{00000000-0005-0000-0000-000040010000}"/>
    <cellStyle name="Normal 2 2 2 2 2 32" xfId="314" xr:uid="{00000000-0005-0000-0000-000041010000}"/>
    <cellStyle name="Normal 2 2 2 2 2 33" xfId="315" xr:uid="{00000000-0005-0000-0000-000042010000}"/>
    <cellStyle name="Normal 2 2 2 2 2 34" xfId="316" xr:uid="{00000000-0005-0000-0000-000043010000}"/>
    <cellStyle name="Normal 2 2 2 2 2 35" xfId="317" xr:uid="{00000000-0005-0000-0000-000044010000}"/>
    <cellStyle name="Normal 2 2 2 2 2 36" xfId="318" xr:uid="{00000000-0005-0000-0000-000045010000}"/>
    <cellStyle name="Normal 2 2 2 2 2 37" xfId="319" xr:uid="{00000000-0005-0000-0000-000046010000}"/>
    <cellStyle name="Normal 2 2 2 2 2 38" xfId="320" xr:uid="{00000000-0005-0000-0000-000047010000}"/>
    <cellStyle name="Normal 2 2 2 2 2 39" xfId="321" xr:uid="{00000000-0005-0000-0000-000048010000}"/>
    <cellStyle name="Normal 2 2 2 2 2 4" xfId="322" xr:uid="{00000000-0005-0000-0000-000049010000}"/>
    <cellStyle name="Normal 2 2 2 2 2 40" xfId="323" xr:uid="{00000000-0005-0000-0000-00004A010000}"/>
    <cellStyle name="Normal 2 2 2 2 2 41" xfId="324" xr:uid="{00000000-0005-0000-0000-00004B010000}"/>
    <cellStyle name="Normal 2 2 2 2 2 42" xfId="325" xr:uid="{00000000-0005-0000-0000-00004C010000}"/>
    <cellStyle name="Normal 2 2 2 2 2 5" xfId="326" xr:uid="{00000000-0005-0000-0000-00004D010000}"/>
    <cellStyle name="Normal 2 2 2 2 2 5 10" xfId="327" xr:uid="{00000000-0005-0000-0000-00004E010000}"/>
    <cellStyle name="Normal 2 2 2 2 2 5 11" xfId="328" xr:uid="{00000000-0005-0000-0000-00004F010000}"/>
    <cellStyle name="Normal 2 2 2 2 2 5 12" xfId="329" xr:uid="{00000000-0005-0000-0000-000050010000}"/>
    <cellStyle name="Normal 2 2 2 2 2 5 13" xfId="330" xr:uid="{00000000-0005-0000-0000-000051010000}"/>
    <cellStyle name="Normal 2 2 2 2 2 5 14" xfId="331" xr:uid="{00000000-0005-0000-0000-000052010000}"/>
    <cellStyle name="Normal 2 2 2 2 2 5 15" xfId="332" xr:uid="{00000000-0005-0000-0000-000053010000}"/>
    <cellStyle name="Normal 2 2 2 2 2 5 16" xfId="333" xr:uid="{00000000-0005-0000-0000-000054010000}"/>
    <cellStyle name="Normal 2 2 2 2 2 5 2" xfId="334" xr:uid="{00000000-0005-0000-0000-000055010000}"/>
    <cellStyle name="Normal 2 2 2 2 2 5 3" xfId="335" xr:uid="{00000000-0005-0000-0000-000056010000}"/>
    <cellStyle name="Normal 2 2 2 2 2 5 4" xfId="336" xr:uid="{00000000-0005-0000-0000-000057010000}"/>
    <cellStyle name="Normal 2 2 2 2 2 5 5" xfId="337" xr:uid="{00000000-0005-0000-0000-000058010000}"/>
    <cellStyle name="Normal 2 2 2 2 2 5 6" xfId="338" xr:uid="{00000000-0005-0000-0000-000059010000}"/>
    <cellStyle name="Normal 2 2 2 2 2 5 7" xfId="339" xr:uid="{00000000-0005-0000-0000-00005A010000}"/>
    <cellStyle name="Normal 2 2 2 2 2 5 8" xfId="340" xr:uid="{00000000-0005-0000-0000-00005B010000}"/>
    <cellStyle name="Normal 2 2 2 2 2 5 9" xfId="341" xr:uid="{00000000-0005-0000-0000-00005C010000}"/>
    <cellStyle name="Normal 2 2 2 2 2 6" xfId="342" xr:uid="{00000000-0005-0000-0000-00005D010000}"/>
    <cellStyle name="Normal 2 2 2 2 2 6 2" xfId="343" xr:uid="{00000000-0005-0000-0000-00005E010000}"/>
    <cellStyle name="Normal 2 2 2 2 2 6 3" xfId="344" xr:uid="{00000000-0005-0000-0000-00005F010000}"/>
    <cellStyle name="Normal 2 2 2 2 2 6 4" xfId="345" xr:uid="{00000000-0005-0000-0000-000060010000}"/>
    <cellStyle name="Normal 2 2 2 2 2 6 5" xfId="346" xr:uid="{00000000-0005-0000-0000-000061010000}"/>
    <cellStyle name="Normal 2 2 2 2 2 7" xfId="347" xr:uid="{00000000-0005-0000-0000-000062010000}"/>
    <cellStyle name="Normal 2 2 2 2 2 7 2" xfId="348" xr:uid="{00000000-0005-0000-0000-000063010000}"/>
    <cellStyle name="Normal 2 2 2 2 2 8" xfId="349" xr:uid="{00000000-0005-0000-0000-000064010000}"/>
    <cellStyle name="Normal 2 2 2 2 2 9" xfId="350" xr:uid="{00000000-0005-0000-0000-000065010000}"/>
    <cellStyle name="Normal 2 2 2 2 20" xfId="351" xr:uid="{00000000-0005-0000-0000-000066010000}"/>
    <cellStyle name="Normal 2 2 2 2 21" xfId="352" xr:uid="{00000000-0005-0000-0000-000067010000}"/>
    <cellStyle name="Normal 2 2 2 2 22" xfId="353" xr:uid="{00000000-0005-0000-0000-000068010000}"/>
    <cellStyle name="Normal 2 2 2 2 23" xfId="354" xr:uid="{00000000-0005-0000-0000-000069010000}"/>
    <cellStyle name="Normal 2 2 2 2 24" xfId="355" xr:uid="{00000000-0005-0000-0000-00006A010000}"/>
    <cellStyle name="Normal 2 2 2 2 25" xfId="356" xr:uid="{00000000-0005-0000-0000-00006B010000}"/>
    <cellStyle name="Normal 2 2 2 2 26" xfId="357" xr:uid="{00000000-0005-0000-0000-00006C010000}"/>
    <cellStyle name="Normal 2 2 2 2 27" xfId="358" xr:uid="{00000000-0005-0000-0000-00006D010000}"/>
    <cellStyle name="Normal 2 2 2 2 28" xfId="359" xr:uid="{00000000-0005-0000-0000-00006E010000}"/>
    <cellStyle name="Normal 2 2 2 2 29" xfId="360" xr:uid="{00000000-0005-0000-0000-00006F010000}"/>
    <cellStyle name="Normal 2 2 2 2 3" xfId="361" xr:uid="{00000000-0005-0000-0000-000070010000}"/>
    <cellStyle name="Normal 2 2 2 2 3 10" xfId="362" xr:uid="{00000000-0005-0000-0000-000071010000}"/>
    <cellStyle name="Normal 2 2 2 2 3 11" xfId="363" xr:uid="{00000000-0005-0000-0000-000072010000}"/>
    <cellStyle name="Normal 2 2 2 2 3 12" xfId="364" xr:uid="{00000000-0005-0000-0000-000073010000}"/>
    <cellStyle name="Normal 2 2 2 2 3 13" xfId="365" xr:uid="{00000000-0005-0000-0000-000074010000}"/>
    <cellStyle name="Normal 2 2 2 2 3 14" xfId="366" xr:uid="{00000000-0005-0000-0000-000075010000}"/>
    <cellStyle name="Normal 2 2 2 2 3 15" xfId="367" xr:uid="{00000000-0005-0000-0000-000076010000}"/>
    <cellStyle name="Normal 2 2 2 2 3 16" xfId="368" xr:uid="{00000000-0005-0000-0000-000077010000}"/>
    <cellStyle name="Normal 2 2 2 2 3 2" xfId="369" xr:uid="{00000000-0005-0000-0000-000078010000}"/>
    <cellStyle name="Normal 2 2 2 2 3 3" xfId="370" xr:uid="{00000000-0005-0000-0000-000079010000}"/>
    <cellStyle name="Normal 2 2 2 2 3 4" xfId="371" xr:uid="{00000000-0005-0000-0000-00007A010000}"/>
    <cellStyle name="Normal 2 2 2 2 3 5" xfId="372" xr:uid="{00000000-0005-0000-0000-00007B010000}"/>
    <cellStyle name="Normal 2 2 2 2 3 6" xfId="373" xr:uid="{00000000-0005-0000-0000-00007C010000}"/>
    <cellStyle name="Normal 2 2 2 2 3 7" xfId="374" xr:uid="{00000000-0005-0000-0000-00007D010000}"/>
    <cellStyle name="Normal 2 2 2 2 3 8" xfId="375" xr:uid="{00000000-0005-0000-0000-00007E010000}"/>
    <cellStyle name="Normal 2 2 2 2 3 9" xfId="376" xr:uid="{00000000-0005-0000-0000-00007F010000}"/>
    <cellStyle name="Normal 2 2 2 2 30" xfId="377" xr:uid="{00000000-0005-0000-0000-000080010000}"/>
    <cellStyle name="Normal 2 2 2 2 31" xfId="378" xr:uid="{00000000-0005-0000-0000-000081010000}"/>
    <cellStyle name="Normal 2 2 2 2 32" xfId="379" xr:uid="{00000000-0005-0000-0000-000082010000}"/>
    <cellStyle name="Normal 2 2 2 2 33" xfId="380" xr:uid="{00000000-0005-0000-0000-000083010000}"/>
    <cellStyle name="Normal 2 2 2 2 34" xfId="381" xr:uid="{00000000-0005-0000-0000-000084010000}"/>
    <cellStyle name="Normal 2 2 2 2 35" xfId="382" xr:uid="{00000000-0005-0000-0000-000085010000}"/>
    <cellStyle name="Normal 2 2 2 2 36" xfId="383" xr:uid="{00000000-0005-0000-0000-000086010000}"/>
    <cellStyle name="Normal 2 2 2 2 37" xfId="384" xr:uid="{00000000-0005-0000-0000-000087010000}"/>
    <cellStyle name="Normal 2 2 2 2 38" xfId="385" xr:uid="{00000000-0005-0000-0000-000088010000}"/>
    <cellStyle name="Normal 2 2 2 2 39" xfId="386" xr:uid="{00000000-0005-0000-0000-000089010000}"/>
    <cellStyle name="Normal 2 2 2 2 4" xfId="387" xr:uid="{00000000-0005-0000-0000-00008A010000}"/>
    <cellStyle name="Normal 2 2 2 2 4 2" xfId="388" xr:uid="{00000000-0005-0000-0000-00008B010000}"/>
    <cellStyle name="Normal 2 2 2 2 4 3" xfId="389" xr:uid="{00000000-0005-0000-0000-00008C010000}"/>
    <cellStyle name="Normal 2 2 2 2 4 4" xfId="390" xr:uid="{00000000-0005-0000-0000-00008D010000}"/>
    <cellStyle name="Normal 2 2 2 2 4 5" xfId="391" xr:uid="{00000000-0005-0000-0000-00008E010000}"/>
    <cellStyle name="Normal 2 2 2 2 40" xfId="392" xr:uid="{00000000-0005-0000-0000-00008F010000}"/>
    <cellStyle name="Normal 2 2 2 2 5" xfId="393" xr:uid="{00000000-0005-0000-0000-000090010000}"/>
    <cellStyle name="Normal 2 2 2 2 5 2" xfId="394" xr:uid="{00000000-0005-0000-0000-000091010000}"/>
    <cellStyle name="Normal 2 2 2 2 6" xfId="395" xr:uid="{00000000-0005-0000-0000-000092010000}"/>
    <cellStyle name="Normal 2 2 2 2 7" xfId="396" xr:uid="{00000000-0005-0000-0000-000093010000}"/>
    <cellStyle name="Normal 2 2 2 2 8" xfId="397" xr:uid="{00000000-0005-0000-0000-000094010000}"/>
    <cellStyle name="Normal 2 2 2 2 9" xfId="398" xr:uid="{00000000-0005-0000-0000-000095010000}"/>
    <cellStyle name="Normal 2 2 2 20" xfId="399" xr:uid="{00000000-0005-0000-0000-000096010000}"/>
    <cellStyle name="Normal 2 2 2 21" xfId="400" xr:uid="{00000000-0005-0000-0000-000097010000}"/>
    <cellStyle name="Normal 2 2 2 22" xfId="401" xr:uid="{00000000-0005-0000-0000-000098010000}"/>
    <cellStyle name="Normal 2 2 2 23" xfId="402" xr:uid="{00000000-0005-0000-0000-000099010000}"/>
    <cellStyle name="Normal 2 2 2 24" xfId="403" xr:uid="{00000000-0005-0000-0000-00009A010000}"/>
    <cellStyle name="Normal 2 2 2 25" xfId="404" xr:uid="{00000000-0005-0000-0000-00009B010000}"/>
    <cellStyle name="Normal 2 2 2 26" xfId="405" xr:uid="{00000000-0005-0000-0000-00009C010000}"/>
    <cellStyle name="Normal 2 2 2 27" xfId="406" xr:uid="{00000000-0005-0000-0000-00009D010000}"/>
    <cellStyle name="Normal 2 2 2 28" xfId="407" xr:uid="{00000000-0005-0000-0000-00009E010000}"/>
    <cellStyle name="Normal 2 2 2 29" xfId="408" xr:uid="{00000000-0005-0000-0000-00009F010000}"/>
    <cellStyle name="Normal 2 2 2 3" xfId="409" xr:uid="{00000000-0005-0000-0000-0000A0010000}"/>
    <cellStyle name="Normal 2 2 2 3 2" xfId="410" xr:uid="{00000000-0005-0000-0000-0000A1010000}"/>
    <cellStyle name="Normal 2 2 2 3 3" xfId="411" xr:uid="{00000000-0005-0000-0000-0000A2010000}"/>
    <cellStyle name="Normal 2 2 2 3 4" xfId="412" xr:uid="{00000000-0005-0000-0000-0000A3010000}"/>
    <cellStyle name="Normal 2 2 2 30" xfId="413" xr:uid="{00000000-0005-0000-0000-0000A4010000}"/>
    <cellStyle name="Normal 2 2 2 31" xfId="414" xr:uid="{00000000-0005-0000-0000-0000A5010000}"/>
    <cellStyle name="Normal 2 2 2 32" xfId="415" xr:uid="{00000000-0005-0000-0000-0000A6010000}"/>
    <cellStyle name="Normal 2 2 2 33" xfId="416" xr:uid="{00000000-0005-0000-0000-0000A7010000}"/>
    <cellStyle name="Normal 2 2 2 34" xfId="417" xr:uid="{00000000-0005-0000-0000-0000A8010000}"/>
    <cellStyle name="Normal 2 2 2 35" xfId="418" xr:uid="{00000000-0005-0000-0000-0000A9010000}"/>
    <cellStyle name="Normal 2 2 2 36" xfId="419" xr:uid="{00000000-0005-0000-0000-0000AA010000}"/>
    <cellStyle name="Normal 2 2 2 37" xfId="420" xr:uid="{00000000-0005-0000-0000-0000AB010000}"/>
    <cellStyle name="Normal 2 2 2 38" xfId="421" xr:uid="{00000000-0005-0000-0000-0000AC010000}"/>
    <cellStyle name="Normal 2 2 2 39" xfId="422" xr:uid="{00000000-0005-0000-0000-0000AD010000}"/>
    <cellStyle name="Normal 2 2 2 4" xfId="423" xr:uid="{00000000-0005-0000-0000-0000AE010000}"/>
    <cellStyle name="Normal 2 2 2 4 2" xfId="424" xr:uid="{00000000-0005-0000-0000-0000AF010000}"/>
    <cellStyle name="Normal 2 2 2 4 3" xfId="425" xr:uid="{00000000-0005-0000-0000-0000B0010000}"/>
    <cellStyle name="Normal 2 2 2 4 4" xfId="426" xr:uid="{00000000-0005-0000-0000-0000B1010000}"/>
    <cellStyle name="Normal 2 2 2 40" xfId="427" xr:uid="{00000000-0005-0000-0000-0000B2010000}"/>
    <cellStyle name="Normal 2 2 2 41" xfId="428" xr:uid="{00000000-0005-0000-0000-0000B3010000}"/>
    <cellStyle name="Normal 2 2 2 42" xfId="429" xr:uid="{00000000-0005-0000-0000-0000B4010000}"/>
    <cellStyle name="Normal 2 2 2 43" xfId="430" xr:uid="{00000000-0005-0000-0000-0000B5010000}"/>
    <cellStyle name="Normal 2 2 2 44" xfId="431" xr:uid="{00000000-0005-0000-0000-0000B6010000}"/>
    <cellStyle name="Normal 2 2 2 45" xfId="432" xr:uid="{00000000-0005-0000-0000-0000B7010000}"/>
    <cellStyle name="Normal 2 2 2 5" xfId="433" xr:uid="{00000000-0005-0000-0000-0000B8010000}"/>
    <cellStyle name="Normal 2 2 2 6" xfId="434" xr:uid="{00000000-0005-0000-0000-0000B9010000}"/>
    <cellStyle name="Normal 2 2 2 7" xfId="435" xr:uid="{00000000-0005-0000-0000-0000BA010000}"/>
    <cellStyle name="Normal 2 2 2 8" xfId="436" xr:uid="{00000000-0005-0000-0000-0000BB010000}"/>
    <cellStyle name="Normal 2 2 2 8 10" xfId="437" xr:uid="{00000000-0005-0000-0000-0000BC010000}"/>
    <cellStyle name="Normal 2 2 2 8 11" xfId="438" xr:uid="{00000000-0005-0000-0000-0000BD010000}"/>
    <cellStyle name="Normal 2 2 2 8 12" xfId="439" xr:uid="{00000000-0005-0000-0000-0000BE010000}"/>
    <cellStyle name="Normal 2 2 2 8 13" xfId="440" xr:uid="{00000000-0005-0000-0000-0000BF010000}"/>
    <cellStyle name="Normal 2 2 2 8 14" xfId="441" xr:uid="{00000000-0005-0000-0000-0000C0010000}"/>
    <cellStyle name="Normal 2 2 2 8 15" xfId="442" xr:uid="{00000000-0005-0000-0000-0000C1010000}"/>
    <cellStyle name="Normal 2 2 2 8 16" xfId="443" xr:uid="{00000000-0005-0000-0000-0000C2010000}"/>
    <cellStyle name="Normal 2 2 2 8 2" xfId="444" xr:uid="{00000000-0005-0000-0000-0000C3010000}"/>
    <cellStyle name="Normal 2 2 2 8 3" xfId="445" xr:uid="{00000000-0005-0000-0000-0000C4010000}"/>
    <cellStyle name="Normal 2 2 2 8 4" xfId="446" xr:uid="{00000000-0005-0000-0000-0000C5010000}"/>
    <cellStyle name="Normal 2 2 2 8 5" xfId="447" xr:uid="{00000000-0005-0000-0000-0000C6010000}"/>
    <cellStyle name="Normal 2 2 2 8 6" xfId="448" xr:uid="{00000000-0005-0000-0000-0000C7010000}"/>
    <cellStyle name="Normal 2 2 2 8 7" xfId="449" xr:uid="{00000000-0005-0000-0000-0000C8010000}"/>
    <cellStyle name="Normal 2 2 2 8 8" xfId="450" xr:uid="{00000000-0005-0000-0000-0000C9010000}"/>
    <cellStyle name="Normal 2 2 2 8 9" xfId="451" xr:uid="{00000000-0005-0000-0000-0000CA010000}"/>
    <cellStyle name="Normal 2 2 2 9" xfId="452" xr:uid="{00000000-0005-0000-0000-0000CB010000}"/>
    <cellStyle name="Normal 2 2 2 9 2" xfId="453" xr:uid="{00000000-0005-0000-0000-0000CC010000}"/>
    <cellStyle name="Normal 2 2 2 9 3" xfId="454" xr:uid="{00000000-0005-0000-0000-0000CD010000}"/>
    <cellStyle name="Normal 2 2 2 9 4" xfId="455" xr:uid="{00000000-0005-0000-0000-0000CE010000}"/>
    <cellStyle name="Normal 2 2 2 9 5" xfId="456" xr:uid="{00000000-0005-0000-0000-0000CF010000}"/>
    <cellStyle name="Normal 2 2 20" xfId="457" xr:uid="{00000000-0005-0000-0000-0000D0010000}"/>
    <cellStyle name="Normal 2 2 21" xfId="458" xr:uid="{00000000-0005-0000-0000-0000D1010000}"/>
    <cellStyle name="Normal 2 2 22" xfId="459" xr:uid="{00000000-0005-0000-0000-0000D2010000}"/>
    <cellStyle name="Normal 2 2 23" xfId="460" xr:uid="{00000000-0005-0000-0000-0000D3010000}"/>
    <cellStyle name="Normal 2 2 24" xfId="461" xr:uid="{00000000-0005-0000-0000-0000D4010000}"/>
    <cellStyle name="Normal 2 2 25" xfId="462" xr:uid="{00000000-0005-0000-0000-0000D5010000}"/>
    <cellStyle name="Normal 2 2 26" xfId="463" xr:uid="{00000000-0005-0000-0000-0000D6010000}"/>
    <cellStyle name="Normal 2 2 27" xfId="464" xr:uid="{00000000-0005-0000-0000-0000D7010000}"/>
    <cellStyle name="Normal 2 2 28" xfId="465" xr:uid="{00000000-0005-0000-0000-0000D8010000}"/>
    <cellStyle name="Normal 2 2 29" xfId="466" xr:uid="{00000000-0005-0000-0000-0000D9010000}"/>
    <cellStyle name="Normal 2 2 3" xfId="467" xr:uid="{00000000-0005-0000-0000-0000DA010000}"/>
    <cellStyle name="Normal 2 2 3 2" xfId="468" xr:uid="{00000000-0005-0000-0000-0000DB010000}"/>
    <cellStyle name="Normal 2 2 3 2 2" xfId="469" xr:uid="{00000000-0005-0000-0000-0000DC010000}"/>
    <cellStyle name="Normal 2 2 3 2 3" xfId="470" xr:uid="{00000000-0005-0000-0000-0000DD010000}"/>
    <cellStyle name="Normal 2 2 3 2 4" xfId="471" xr:uid="{00000000-0005-0000-0000-0000DE010000}"/>
    <cellStyle name="Normal 2 2 3 3" xfId="472" xr:uid="{00000000-0005-0000-0000-0000DF010000}"/>
    <cellStyle name="Normal 2 2 3 4" xfId="473" xr:uid="{00000000-0005-0000-0000-0000E0010000}"/>
    <cellStyle name="Normal 2 2 3 5" xfId="474" xr:uid="{00000000-0005-0000-0000-0000E1010000}"/>
    <cellStyle name="Normal 2 2 30" xfId="475" xr:uid="{00000000-0005-0000-0000-0000E2010000}"/>
    <cellStyle name="Normal 2 2 31" xfId="476" xr:uid="{00000000-0005-0000-0000-0000E3010000}"/>
    <cellStyle name="Normal 2 2 32" xfId="477" xr:uid="{00000000-0005-0000-0000-0000E4010000}"/>
    <cellStyle name="Normal 2 2 33" xfId="478" xr:uid="{00000000-0005-0000-0000-0000E5010000}"/>
    <cellStyle name="Normal 2 2 34" xfId="479" xr:uid="{00000000-0005-0000-0000-0000E6010000}"/>
    <cellStyle name="Normal 2 2 35" xfId="480" xr:uid="{00000000-0005-0000-0000-0000E7010000}"/>
    <cellStyle name="Normal 2 2 36" xfId="481" xr:uid="{00000000-0005-0000-0000-0000E8010000}"/>
    <cellStyle name="Normal 2 2 37" xfId="482" xr:uid="{00000000-0005-0000-0000-0000E9010000}"/>
    <cellStyle name="Normal 2 2 38" xfId="483" xr:uid="{00000000-0005-0000-0000-0000EA010000}"/>
    <cellStyle name="Normal 2 2 39" xfId="484" xr:uid="{00000000-0005-0000-0000-0000EB010000}"/>
    <cellStyle name="Normal 2 2 4" xfId="485" xr:uid="{00000000-0005-0000-0000-0000EC010000}"/>
    <cellStyle name="Normal 2 2 4 2" xfId="486" xr:uid="{00000000-0005-0000-0000-0000ED010000}"/>
    <cellStyle name="Normal 2 2 40" xfId="487" xr:uid="{00000000-0005-0000-0000-0000EE010000}"/>
    <cellStyle name="Normal 2 2 41" xfId="488" xr:uid="{00000000-0005-0000-0000-0000EF010000}"/>
    <cellStyle name="Normal 2 2 42" xfId="489" xr:uid="{00000000-0005-0000-0000-0000F0010000}"/>
    <cellStyle name="Normal 2 2 43" xfId="490" xr:uid="{00000000-0005-0000-0000-0000F1010000}"/>
    <cellStyle name="Normal 2 2 5" xfId="491" xr:uid="{00000000-0005-0000-0000-0000F2010000}"/>
    <cellStyle name="Normal 2 2 6" xfId="492" xr:uid="{00000000-0005-0000-0000-0000F3010000}"/>
    <cellStyle name="Normal 2 2 6 10" xfId="493" xr:uid="{00000000-0005-0000-0000-0000F4010000}"/>
    <cellStyle name="Normal 2 2 6 11" xfId="494" xr:uid="{00000000-0005-0000-0000-0000F5010000}"/>
    <cellStyle name="Normal 2 2 6 12" xfId="495" xr:uid="{00000000-0005-0000-0000-0000F6010000}"/>
    <cellStyle name="Normal 2 2 6 13" xfId="496" xr:uid="{00000000-0005-0000-0000-0000F7010000}"/>
    <cellStyle name="Normal 2 2 6 14" xfId="497" xr:uid="{00000000-0005-0000-0000-0000F8010000}"/>
    <cellStyle name="Normal 2 2 6 15" xfId="498" xr:uid="{00000000-0005-0000-0000-0000F9010000}"/>
    <cellStyle name="Normal 2 2 6 16" xfId="499" xr:uid="{00000000-0005-0000-0000-0000FA010000}"/>
    <cellStyle name="Normal 2 2 6 2" xfId="500" xr:uid="{00000000-0005-0000-0000-0000FB010000}"/>
    <cellStyle name="Normal 2 2 6 3" xfId="501" xr:uid="{00000000-0005-0000-0000-0000FC010000}"/>
    <cellStyle name="Normal 2 2 6 4" xfId="502" xr:uid="{00000000-0005-0000-0000-0000FD010000}"/>
    <cellStyle name="Normal 2 2 6 5" xfId="503" xr:uid="{00000000-0005-0000-0000-0000FE010000}"/>
    <cellStyle name="Normal 2 2 6 6" xfId="504" xr:uid="{00000000-0005-0000-0000-0000FF010000}"/>
    <cellStyle name="Normal 2 2 6 7" xfId="505" xr:uid="{00000000-0005-0000-0000-000000020000}"/>
    <cellStyle name="Normal 2 2 6 8" xfId="506" xr:uid="{00000000-0005-0000-0000-000001020000}"/>
    <cellStyle name="Normal 2 2 6 9" xfId="507" xr:uid="{00000000-0005-0000-0000-000002020000}"/>
    <cellStyle name="Normal 2 2 7" xfId="508" xr:uid="{00000000-0005-0000-0000-000003020000}"/>
    <cellStyle name="Normal 2 2 7 2" xfId="509" xr:uid="{00000000-0005-0000-0000-000004020000}"/>
    <cellStyle name="Normal 2 2 7 3" xfId="510" xr:uid="{00000000-0005-0000-0000-000005020000}"/>
    <cellStyle name="Normal 2 2 7 4" xfId="511" xr:uid="{00000000-0005-0000-0000-000006020000}"/>
    <cellStyle name="Normal 2 2 7 5" xfId="512" xr:uid="{00000000-0005-0000-0000-000007020000}"/>
    <cellStyle name="Normal 2 2 8" xfId="513" xr:uid="{00000000-0005-0000-0000-000008020000}"/>
    <cellStyle name="Normal 2 2 8 2" xfId="514" xr:uid="{00000000-0005-0000-0000-000009020000}"/>
    <cellStyle name="Normal 2 2 9" xfId="515" xr:uid="{00000000-0005-0000-0000-00000A020000}"/>
    <cellStyle name="Normal 2 20" xfId="516" xr:uid="{00000000-0005-0000-0000-00000B020000}"/>
    <cellStyle name="Normal 2 21" xfId="517" xr:uid="{00000000-0005-0000-0000-00000C020000}"/>
    <cellStyle name="Normal 2 22" xfId="518" xr:uid="{00000000-0005-0000-0000-00000D020000}"/>
    <cellStyle name="Normal 2 23" xfId="519" xr:uid="{00000000-0005-0000-0000-00000E020000}"/>
    <cellStyle name="Normal 2 24" xfId="239" xr:uid="{00000000-0005-0000-0000-00000F020000}"/>
    <cellStyle name="Normal 2 25" xfId="681" xr:uid="{00000000-0005-0000-0000-000010020000}"/>
    <cellStyle name="Normal 2 26" xfId="688" xr:uid="{00000000-0005-0000-0000-000011020000}"/>
    <cellStyle name="Normal 2 27" xfId="693" xr:uid="{00000000-0005-0000-0000-000012020000}"/>
    <cellStyle name="Normal 2 28" xfId="694" xr:uid="{00000000-0005-0000-0000-000013020000}"/>
    <cellStyle name="Normal 2 3" xfId="520" xr:uid="{00000000-0005-0000-0000-000014020000}"/>
    <cellStyle name="Normal 2 4" xfId="521" xr:uid="{00000000-0005-0000-0000-000015020000}"/>
    <cellStyle name="Normal 2 4 2" xfId="522" xr:uid="{00000000-0005-0000-0000-000016020000}"/>
    <cellStyle name="Normal 2 4 2 2" xfId="523" xr:uid="{00000000-0005-0000-0000-000017020000}"/>
    <cellStyle name="Normal 2 5" xfId="524" xr:uid="{00000000-0005-0000-0000-000018020000}"/>
    <cellStyle name="Normal 2 6" xfId="525" xr:uid="{00000000-0005-0000-0000-000019020000}"/>
    <cellStyle name="Normal 2 7" xfId="526" xr:uid="{00000000-0005-0000-0000-00001A020000}"/>
    <cellStyle name="Normal 2 8" xfId="527" xr:uid="{00000000-0005-0000-0000-00001B020000}"/>
    <cellStyle name="Normal 2 9" xfId="528" xr:uid="{00000000-0005-0000-0000-00001C020000}"/>
    <cellStyle name="Normal 20" xfId="699" xr:uid="{00000000-0005-0000-0000-00001D020000}"/>
    <cellStyle name="Normal 21" xfId="700" xr:uid="{282A730D-2239-43E0-94A6-E8227EB1FBAD}"/>
    <cellStyle name="Normal 22" xfId="702" xr:uid="{75A11531-8B7C-4086-94AC-043BA2B309A9}"/>
    <cellStyle name="Normal 23" xfId="703" xr:uid="{FE6A5137-95B8-43C9-B5B6-DAC153C3C89B}"/>
    <cellStyle name="Normal 24" xfId="704" xr:uid="{67789A4A-32B2-4FBF-9314-81C5718D3546}"/>
    <cellStyle name="Normal 25" xfId="705" xr:uid="{B3D98B3B-81E0-4F43-B727-BBFBC3554188}"/>
    <cellStyle name="Normal 26" xfId="706" xr:uid="{406936ED-42D4-4998-953C-7326459B9076}"/>
    <cellStyle name="Normal 27" xfId="707" xr:uid="{52991B3F-3D71-4C42-9C8E-EAD941EF88FC}"/>
    <cellStyle name="Normal 28" xfId="708" xr:uid="{3940A08E-324E-4BD1-894B-6DF5649910BA}"/>
    <cellStyle name="Normal 29" xfId="709" xr:uid="{752D4563-C8C3-45B9-9ED1-DCD6ECDECF3D}"/>
    <cellStyle name="Normal 3" xfId="46" xr:uid="{00000000-0005-0000-0000-00001E020000}"/>
    <cellStyle name="Normal 3 2" xfId="530" xr:uid="{00000000-0005-0000-0000-00001F020000}"/>
    <cellStyle name="Normal 3 2 2" xfId="531" xr:uid="{00000000-0005-0000-0000-000020020000}"/>
    <cellStyle name="Normal 3 2 2 2" xfId="532" xr:uid="{00000000-0005-0000-0000-000021020000}"/>
    <cellStyle name="Normal 3 2 2 3" xfId="533" xr:uid="{00000000-0005-0000-0000-000022020000}"/>
    <cellStyle name="Normal 3 2 2 4" xfId="534" xr:uid="{00000000-0005-0000-0000-000023020000}"/>
    <cellStyle name="Normal 3 2 3" xfId="535" xr:uid="{00000000-0005-0000-0000-000024020000}"/>
    <cellStyle name="Normal 3 2 4" xfId="536" xr:uid="{00000000-0005-0000-0000-000025020000}"/>
    <cellStyle name="Normal 3 2 5" xfId="537" xr:uid="{00000000-0005-0000-0000-000026020000}"/>
    <cellStyle name="Normal 3 3" xfId="538" xr:uid="{00000000-0005-0000-0000-000027020000}"/>
    <cellStyle name="Normal 3 3 2" xfId="539" xr:uid="{00000000-0005-0000-0000-000028020000}"/>
    <cellStyle name="Normal 3 3 2 2" xfId="540" xr:uid="{00000000-0005-0000-0000-000029020000}"/>
    <cellStyle name="Normal 3 3 2 3" xfId="541" xr:uid="{00000000-0005-0000-0000-00002A020000}"/>
    <cellStyle name="Normal 3 3 2 4" xfId="542" xr:uid="{00000000-0005-0000-0000-00002B020000}"/>
    <cellStyle name="Normal 3 3 3" xfId="543" xr:uid="{00000000-0005-0000-0000-00002C020000}"/>
    <cellStyle name="Normal 3 3 4" xfId="544" xr:uid="{00000000-0005-0000-0000-00002D020000}"/>
    <cellStyle name="Normal 3 3 5" xfId="545" xr:uid="{00000000-0005-0000-0000-00002E020000}"/>
    <cellStyle name="Normal 3 4" xfId="546" xr:uid="{00000000-0005-0000-0000-00002F020000}"/>
    <cellStyle name="Normal 3 4 2" xfId="547" xr:uid="{00000000-0005-0000-0000-000030020000}"/>
    <cellStyle name="Normal 3 4 3" xfId="548" xr:uid="{00000000-0005-0000-0000-000031020000}"/>
    <cellStyle name="Normal 3 4 4" xfId="549" xr:uid="{00000000-0005-0000-0000-000032020000}"/>
    <cellStyle name="Normal 3 5" xfId="550" xr:uid="{00000000-0005-0000-0000-000033020000}"/>
    <cellStyle name="Normal 3 6" xfId="551" xr:uid="{00000000-0005-0000-0000-000034020000}"/>
    <cellStyle name="Normal 3 7" xfId="552" xr:uid="{00000000-0005-0000-0000-000035020000}"/>
    <cellStyle name="Normal 3 8" xfId="529" xr:uid="{00000000-0005-0000-0000-000036020000}"/>
    <cellStyle name="Normal 3 9" xfId="689" xr:uid="{00000000-0005-0000-0000-000037020000}"/>
    <cellStyle name="Normal 30" xfId="710" xr:uid="{3E2BC1F8-138C-432E-82B6-2F6DD89CF243}"/>
    <cellStyle name="Normal 4" xfId="553" xr:uid="{00000000-0005-0000-0000-000038020000}"/>
    <cellStyle name="Normal 4 2" xfId="554" xr:uid="{00000000-0005-0000-0000-000039020000}"/>
    <cellStyle name="Normal 4 2 10" xfId="555" xr:uid="{00000000-0005-0000-0000-00003A020000}"/>
    <cellStyle name="Normal 4 2 10 2" xfId="556" xr:uid="{00000000-0005-0000-0000-00003B020000}"/>
    <cellStyle name="Normal 4 2 11" xfId="557" xr:uid="{00000000-0005-0000-0000-00003C020000}"/>
    <cellStyle name="Normal 4 2 2" xfId="558" xr:uid="{00000000-0005-0000-0000-00003D020000}"/>
    <cellStyle name="Normal 4 2 2 2" xfId="559" xr:uid="{00000000-0005-0000-0000-00003E020000}"/>
    <cellStyle name="Normal 4 2 3" xfId="560" xr:uid="{00000000-0005-0000-0000-00003F020000}"/>
    <cellStyle name="Normal 4 2 3 2" xfId="561" xr:uid="{00000000-0005-0000-0000-000040020000}"/>
    <cellStyle name="Normal 4 2 4" xfId="562" xr:uid="{00000000-0005-0000-0000-000041020000}"/>
    <cellStyle name="Normal 4 2 4 2" xfId="563" xr:uid="{00000000-0005-0000-0000-000042020000}"/>
    <cellStyle name="Normal 4 2 5" xfId="564" xr:uid="{00000000-0005-0000-0000-000043020000}"/>
    <cellStyle name="Normal 4 2 5 2" xfId="565" xr:uid="{00000000-0005-0000-0000-000044020000}"/>
    <cellStyle name="Normal 4 2 6" xfId="566" xr:uid="{00000000-0005-0000-0000-000045020000}"/>
    <cellStyle name="Normal 4 2 6 2" xfId="567" xr:uid="{00000000-0005-0000-0000-000046020000}"/>
    <cellStyle name="Normal 4 2 7" xfId="568" xr:uid="{00000000-0005-0000-0000-000047020000}"/>
    <cellStyle name="Normal 4 2 7 2" xfId="569" xr:uid="{00000000-0005-0000-0000-000048020000}"/>
    <cellStyle name="Normal 4 2 8" xfId="570" xr:uid="{00000000-0005-0000-0000-000049020000}"/>
    <cellStyle name="Normal 4 2 8 2" xfId="571" xr:uid="{00000000-0005-0000-0000-00004A020000}"/>
    <cellStyle name="Normal 4 2 9" xfId="572" xr:uid="{00000000-0005-0000-0000-00004B020000}"/>
    <cellStyle name="Normal 4 2 9 2" xfId="573" xr:uid="{00000000-0005-0000-0000-00004C020000}"/>
    <cellStyle name="Normal 4 3" xfId="574" xr:uid="{00000000-0005-0000-0000-00004D020000}"/>
    <cellStyle name="Normal 4 3 2" xfId="575" xr:uid="{00000000-0005-0000-0000-00004E020000}"/>
    <cellStyle name="Normal 4 3 3" xfId="576" xr:uid="{00000000-0005-0000-0000-00004F020000}"/>
    <cellStyle name="Normal 4 3 4" xfId="577" xr:uid="{00000000-0005-0000-0000-000050020000}"/>
    <cellStyle name="Normal 4 4" xfId="578" xr:uid="{00000000-0005-0000-0000-000051020000}"/>
    <cellStyle name="Normal 4 5" xfId="579" xr:uid="{00000000-0005-0000-0000-000052020000}"/>
    <cellStyle name="Normal 4 6" xfId="580" xr:uid="{00000000-0005-0000-0000-000053020000}"/>
    <cellStyle name="Normal 5" xfId="581" xr:uid="{00000000-0005-0000-0000-000054020000}"/>
    <cellStyle name="Normal 5 10" xfId="582" xr:uid="{00000000-0005-0000-0000-000055020000}"/>
    <cellStyle name="Normal 5 11" xfId="583" xr:uid="{00000000-0005-0000-0000-000056020000}"/>
    <cellStyle name="Normal 5 12" xfId="584" xr:uid="{00000000-0005-0000-0000-000057020000}"/>
    <cellStyle name="Normal 5 13" xfId="585" xr:uid="{00000000-0005-0000-0000-000058020000}"/>
    <cellStyle name="Normal 5 14" xfId="586" xr:uid="{00000000-0005-0000-0000-000059020000}"/>
    <cellStyle name="Normal 5 15" xfId="587" xr:uid="{00000000-0005-0000-0000-00005A020000}"/>
    <cellStyle name="Normal 5 16" xfId="588" xr:uid="{00000000-0005-0000-0000-00005B020000}"/>
    <cellStyle name="Normal 5 17" xfId="589" xr:uid="{00000000-0005-0000-0000-00005C020000}"/>
    <cellStyle name="Normal 5 18" xfId="590" xr:uid="{00000000-0005-0000-0000-00005D020000}"/>
    <cellStyle name="Normal 5 19" xfId="591" xr:uid="{00000000-0005-0000-0000-00005E020000}"/>
    <cellStyle name="Normal 5 2" xfId="592" xr:uid="{00000000-0005-0000-0000-00005F020000}"/>
    <cellStyle name="Normal 5 20" xfId="593" xr:uid="{00000000-0005-0000-0000-000060020000}"/>
    <cellStyle name="Normal 5 3" xfId="594" xr:uid="{00000000-0005-0000-0000-000061020000}"/>
    <cellStyle name="Normal 5 4" xfId="595" xr:uid="{00000000-0005-0000-0000-000062020000}"/>
    <cellStyle name="Normal 5 5" xfId="596" xr:uid="{00000000-0005-0000-0000-000063020000}"/>
    <cellStyle name="Normal 5 6" xfId="597" xr:uid="{00000000-0005-0000-0000-000064020000}"/>
    <cellStyle name="Normal 5 7" xfId="598" xr:uid="{00000000-0005-0000-0000-000065020000}"/>
    <cellStyle name="Normal 5 8" xfId="599" xr:uid="{00000000-0005-0000-0000-000066020000}"/>
    <cellStyle name="Normal 5 9" xfId="600" xr:uid="{00000000-0005-0000-0000-000067020000}"/>
    <cellStyle name="Normal 6" xfId="601" xr:uid="{00000000-0005-0000-0000-000068020000}"/>
    <cellStyle name="Normal 6 2" xfId="602" xr:uid="{00000000-0005-0000-0000-000069020000}"/>
    <cellStyle name="Normal 6 3" xfId="603" xr:uid="{00000000-0005-0000-0000-00006A020000}"/>
    <cellStyle name="Normal 6 4" xfId="604" xr:uid="{00000000-0005-0000-0000-00006B020000}"/>
    <cellStyle name="Normal 6 5" xfId="605" xr:uid="{00000000-0005-0000-0000-00006C020000}"/>
    <cellStyle name="Normal 6 6" xfId="606" xr:uid="{00000000-0005-0000-0000-00006D020000}"/>
    <cellStyle name="Normal 6 7" xfId="607" xr:uid="{00000000-0005-0000-0000-00006E020000}"/>
    <cellStyle name="Normal 7" xfId="608" xr:uid="{00000000-0005-0000-0000-00006F020000}"/>
    <cellStyle name="Normal 7 2" xfId="609" xr:uid="{00000000-0005-0000-0000-000070020000}"/>
    <cellStyle name="Normal 7 3" xfId="610" xr:uid="{00000000-0005-0000-0000-000071020000}"/>
    <cellStyle name="Normal 7 4" xfId="611" xr:uid="{00000000-0005-0000-0000-000072020000}"/>
    <cellStyle name="Normal 8" xfId="612" xr:uid="{00000000-0005-0000-0000-000073020000}"/>
    <cellStyle name="Normal 9" xfId="613" xr:uid="{00000000-0005-0000-0000-000074020000}"/>
    <cellStyle name="Notas" xfId="15" builtinId="10" customBuiltin="1"/>
    <cellStyle name="Notas 2" xfId="614" xr:uid="{00000000-0005-0000-0000-000076020000}"/>
    <cellStyle name="Output" xfId="682" xr:uid="{00000000-0005-0000-0000-000077020000}"/>
    <cellStyle name="Porcentaje" xfId="50" builtinId="5"/>
    <cellStyle name="Porcentaje 2" xfId="48" xr:uid="{00000000-0005-0000-0000-000079020000}"/>
    <cellStyle name="Porcentual 10" xfId="615" xr:uid="{00000000-0005-0000-0000-00007A020000}"/>
    <cellStyle name="Porcentual 11" xfId="616" xr:uid="{00000000-0005-0000-0000-00007B020000}"/>
    <cellStyle name="Porcentual 11 2" xfId="617" xr:uid="{00000000-0005-0000-0000-00007C020000}"/>
    <cellStyle name="Porcentual 11 3" xfId="618" xr:uid="{00000000-0005-0000-0000-00007D020000}"/>
    <cellStyle name="Porcentual 11 4" xfId="619" xr:uid="{00000000-0005-0000-0000-00007E020000}"/>
    <cellStyle name="Porcentual 11 5" xfId="620" xr:uid="{00000000-0005-0000-0000-00007F020000}"/>
    <cellStyle name="Porcentual 2" xfId="621" xr:uid="{00000000-0005-0000-0000-000080020000}"/>
    <cellStyle name="Porcentual 2 10" xfId="622" xr:uid="{00000000-0005-0000-0000-000081020000}"/>
    <cellStyle name="Porcentual 2 11" xfId="623" xr:uid="{00000000-0005-0000-0000-000082020000}"/>
    <cellStyle name="Porcentual 2 2" xfId="624" xr:uid="{00000000-0005-0000-0000-000083020000}"/>
    <cellStyle name="Porcentual 2 2 2" xfId="625" xr:uid="{00000000-0005-0000-0000-000084020000}"/>
    <cellStyle name="Porcentual 2 2 2 2" xfId="626" xr:uid="{00000000-0005-0000-0000-000085020000}"/>
    <cellStyle name="Porcentual 2 2 3" xfId="627" xr:uid="{00000000-0005-0000-0000-000086020000}"/>
    <cellStyle name="Porcentual 2 2 4" xfId="628" xr:uid="{00000000-0005-0000-0000-000087020000}"/>
    <cellStyle name="Porcentual 2 3" xfId="629" xr:uid="{00000000-0005-0000-0000-000088020000}"/>
    <cellStyle name="Porcentual 2 4" xfId="630" xr:uid="{00000000-0005-0000-0000-000089020000}"/>
    <cellStyle name="Porcentual 2 5" xfId="631" xr:uid="{00000000-0005-0000-0000-00008A020000}"/>
    <cellStyle name="Porcentual 2 6" xfId="632" xr:uid="{00000000-0005-0000-0000-00008B020000}"/>
    <cellStyle name="Porcentual 2 7" xfId="633" xr:uid="{00000000-0005-0000-0000-00008C020000}"/>
    <cellStyle name="Porcentual 2 8" xfId="634" xr:uid="{00000000-0005-0000-0000-00008D020000}"/>
    <cellStyle name="Porcentual 2 9" xfId="635" xr:uid="{00000000-0005-0000-0000-00008E020000}"/>
    <cellStyle name="Porcentual 3 10" xfId="636" xr:uid="{00000000-0005-0000-0000-00008F020000}"/>
    <cellStyle name="Porcentual 3 10 2" xfId="637" xr:uid="{00000000-0005-0000-0000-000090020000}"/>
    <cellStyle name="Porcentual 3 11" xfId="638" xr:uid="{00000000-0005-0000-0000-000091020000}"/>
    <cellStyle name="Porcentual 3 11 2" xfId="639" xr:uid="{00000000-0005-0000-0000-000092020000}"/>
    <cellStyle name="Porcentual 3 12" xfId="640" xr:uid="{00000000-0005-0000-0000-000093020000}"/>
    <cellStyle name="Porcentual 3 12 2" xfId="641" xr:uid="{00000000-0005-0000-0000-000094020000}"/>
    <cellStyle name="Porcentual 3 13" xfId="642" xr:uid="{00000000-0005-0000-0000-000095020000}"/>
    <cellStyle name="Porcentual 3 14" xfId="643" xr:uid="{00000000-0005-0000-0000-000096020000}"/>
    <cellStyle name="Porcentual 3 2" xfId="644" xr:uid="{00000000-0005-0000-0000-000097020000}"/>
    <cellStyle name="Porcentual 3 2 2" xfId="645" xr:uid="{00000000-0005-0000-0000-000098020000}"/>
    <cellStyle name="Porcentual 3 3" xfId="646" xr:uid="{00000000-0005-0000-0000-000099020000}"/>
    <cellStyle name="Porcentual 3 3 2" xfId="647" xr:uid="{00000000-0005-0000-0000-00009A020000}"/>
    <cellStyle name="Porcentual 3 4" xfId="648" xr:uid="{00000000-0005-0000-0000-00009B020000}"/>
    <cellStyle name="Porcentual 3 4 2" xfId="649" xr:uid="{00000000-0005-0000-0000-00009C020000}"/>
    <cellStyle name="Porcentual 3 5" xfId="650" xr:uid="{00000000-0005-0000-0000-00009D020000}"/>
    <cellStyle name="Porcentual 3 5 2" xfId="651" xr:uid="{00000000-0005-0000-0000-00009E020000}"/>
    <cellStyle name="Porcentual 3 6" xfId="652" xr:uid="{00000000-0005-0000-0000-00009F020000}"/>
    <cellStyle name="Porcentual 3 6 2" xfId="653" xr:uid="{00000000-0005-0000-0000-0000A0020000}"/>
    <cellStyle name="Porcentual 3 7" xfId="654" xr:uid="{00000000-0005-0000-0000-0000A1020000}"/>
    <cellStyle name="Porcentual 3 7 2" xfId="655" xr:uid="{00000000-0005-0000-0000-0000A2020000}"/>
    <cellStyle name="Porcentual 3 8" xfId="656" xr:uid="{00000000-0005-0000-0000-0000A3020000}"/>
    <cellStyle name="Porcentual 3 8 2" xfId="657" xr:uid="{00000000-0005-0000-0000-0000A4020000}"/>
    <cellStyle name="Porcentual 3 9" xfId="658" xr:uid="{00000000-0005-0000-0000-0000A5020000}"/>
    <cellStyle name="Porcentual 3 9 2" xfId="659" xr:uid="{00000000-0005-0000-0000-0000A6020000}"/>
    <cellStyle name="Porcentual 4 2" xfId="660" xr:uid="{00000000-0005-0000-0000-0000A7020000}"/>
    <cellStyle name="Porcentual 4 3" xfId="661" xr:uid="{00000000-0005-0000-0000-0000A8020000}"/>
    <cellStyle name="Porcentual 4 4" xfId="662" xr:uid="{00000000-0005-0000-0000-0000A9020000}"/>
    <cellStyle name="Porcentual 4 5" xfId="663" xr:uid="{00000000-0005-0000-0000-0000AA020000}"/>
    <cellStyle name="Porcentual 4 6" xfId="664" xr:uid="{00000000-0005-0000-0000-0000AB020000}"/>
    <cellStyle name="Porcentual 5" xfId="665" xr:uid="{00000000-0005-0000-0000-0000AC020000}"/>
    <cellStyle name="Porcentual 5 2" xfId="666" xr:uid="{00000000-0005-0000-0000-0000AD020000}"/>
    <cellStyle name="PSChar" xfId="667" xr:uid="{00000000-0005-0000-0000-0000AE020000}"/>
    <cellStyle name="PSDate" xfId="668" xr:uid="{00000000-0005-0000-0000-0000AF020000}"/>
    <cellStyle name="PSDec" xfId="669" xr:uid="{00000000-0005-0000-0000-0000B0020000}"/>
    <cellStyle name="PSHeading" xfId="670" xr:uid="{00000000-0005-0000-0000-0000B1020000}"/>
    <cellStyle name="PSInt" xfId="671" xr:uid="{00000000-0005-0000-0000-0000B2020000}"/>
    <cellStyle name="PSSpacer" xfId="672" xr:uid="{00000000-0005-0000-0000-0000B302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0" formatCode="@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0" formatCode="@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color auto="1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_ &quot;$&quot;\ * #,##0.00_ ;_ &quot;$&quot;\ * \-#,##0.00_ ;_ &quot;$&quot;\ * &quot;-&quot;??_ ;_ @_ "/>
      <fill>
        <patternFill patternType="none">
          <fgColor indexed="64"/>
          <bgColor indexed="65"/>
        </patternFill>
      </fill>
    </dxf>
    <dxf>
      <numFmt numFmtId="165" formatCode="_ &quot;$&quot;\ * #,##0.00_ ;_ &quot;$&quot;\ * \-#,##0.0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 * #,##0_ ;_ * \-#,##0_ ;_ * &quot;-&quot;??_ ;_ @_ "/>
    </dxf>
    <dxf>
      <numFmt numFmtId="165" formatCode="_ &quot;$&quot;\ * #,##0.00_ ;_ &quot;$&quot;\ * \-#,##0.0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 * #,##0_ ;_ * \-#,##0_ ;_ * &quot;-&quot;??_ ;_ @_ "/>
    </dxf>
    <dxf>
      <numFmt numFmtId="165" formatCode="_ &quot;$&quot;\ * #,##0.00_ ;_ &quot;$&quot;\ * \-#,##0.00_ ;_ &quot;$&quot;\ * &quot;-&quot;??_ ;_ @_ "/>
    </dxf>
    <dxf>
      <numFmt numFmtId="165" formatCode="_ &quot;$&quot;\ * #,##0.00_ ;_ &quot;$&quot;\ * \-#,##0.00_ ;_ &quot;$&quot;\ * &quot;-&quot;??_ ;_ @_ "/>
    </dxf>
    <dxf>
      <numFmt numFmtId="165" formatCode="_ &quot;$&quot;\ * #,##0.00_ ;_ &quot;$&quot;\ * \-#,##0.0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 * #,##0_ ;_ * \-#,##0_ ;_ * &quot;-&quot;??_ ;_ @_ "/>
    </dxf>
    <dxf>
      <numFmt numFmtId="165" formatCode="_ &quot;$&quot;\ * #,##0.00_ ;_ &quot;$&quot;\ * \-#,##0.0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 &quot;$&quot;\ * #,##0.0000_ ;_ &quot;$&quot;\ * \-#,##0.0000_ ;_ &quot;$&quot;\ * &quot;-&quot;??_ ;_ @_ 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63" displayName="Tabla63" ref="A1:N70" totalsRowShown="0">
  <autoFilter ref="A1:N70" xr:uid="{00000000-0009-0000-0100-000003000000}"/>
  <sortState xmlns:xlrd2="http://schemas.microsoft.com/office/spreadsheetml/2017/richdata2" ref="A2:D63">
    <sortCondition ref="A1:A63"/>
  </sortState>
  <tableColumns count="14">
    <tableColumn id="1" xr3:uid="{00000000-0010-0000-0000-000001000000}" name="Columna1" dataDxfId="54"/>
    <tableColumn id="2" xr3:uid="{00000000-0010-0000-0000-000002000000}" name="Columna2" dataDxfId="53" dataCellStyle="Moneda 4"/>
    <tableColumn id="3" xr3:uid="{00000000-0010-0000-0000-000003000000}" name="Columna3" dataDxfId="52" dataCellStyle="Moneda 4"/>
    <tableColumn id="4" xr3:uid="{00000000-0010-0000-0000-000004000000}" name="Columna4" dataDxfId="51" dataCellStyle="Moneda 4">
      <calculatedColumnFormula>SUM(movistar!J6,movistar!M6)</calculatedColumnFormula>
    </tableColumn>
    <tableColumn id="5" xr3:uid="{00000000-0010-0000-0000-000005000000}" name="Columna5" dataDxfId="50" dataCellStyle="Moneda 4"/>
    <tableColumn id="6" xr3:uid="{00000000-0010-0000-0000-000006000000}" name="Columna6" dataDxfId="49" dataCellStyle="Moneda 4"/>
    <tableColumn id="7" xr3:uid="{00000000-0010-0000-0000-000007000000}" name="Columna7" dataDxfId="48" dataCellStyle="Moneda 4"/>
    <tableColumn id="8" xr3:uid="{00000000-0010-0000-0000-000008000000}" name="Columna8" dataDxfId="47" dataCellStyle="Normal 16"/>
    <tableColumn id="9" xr3:uid="{00000000-0010-0000-0000-000009000000}" name="(Otras companias)" dataDxfId="46" dataCellStyle="Millares"/>
    <tableColumn id="10" xr3:uid="{00000000-0010-0000-0000-00000A000000}" name="(Llamadas personal + corpo Gratis)" dataDxfId="45" dataCellStyle="Millares"/>
    <tableColumn id="11" xr3:uid="{00000000-0010-0000-0000-00000B000000}" name="Columna9"/>
    <tableColumn id="12" xr3:uid="{00000000-0010-0000-0000-00000C000000}" name="Columna10"/>
    <tableColumn id="13" xr3:uid="{00000000-0010-0000-0000-00000D000000}" name="Columna11" dataCellStyle="Normal 16"/>
    <tableColumn id="14" xr3:uid="{00000000-0010-0000-0000-00000E000000}" name="Columna12" dataDxfId="44" dataCellStyle="Normal 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AA67" totalsRowShown="0" headerRowDxfId="25">
  <autoFilter ref="A1:AA67" xr:uid="{00000000-0009-0000-0100-000001000000}"/>
  <sortState xmlns:xlrd2="http://schemas.microsoft.com/office/spreadsheetml/2017/richdata2" ref="A2:AA67">
    <sortCondition ref="V1:V67"/>
  </sortState>
  <tableColumns count="27">
    <tableColumn id="1" xr3:uid="{00000000-0010-0000-0100-000001000000}" name="BILL_NUMBER"/>
    <tableColumn id="2" xr3:uid="{00000000-0010-0000-0100-000002000000}" name="USUARIO" dataDxfId="24"/>
    <tableColumn id="3" xr3:uid="{00000000-0010-0000-0100-000003000000}" name="NETO" dataDxfId="23">
      <calculatedColumnFormula>SUMIF(#REF!,A2,#REF!)</calculatedColumnFormula>
    </tableColumn>
    <tableColumn id="4" xr3:uid="{00000000-0010-0000-0100-000004000000}" name="TOTAL">
      <calculatedColumnFormula>SUMIF(#REF!,A2,#REF!)</calculatedColumnFormula>
    </tableColumn>
    <tableColumn id="5" xr3:uid="{00000000-0010-0000-0100-000005000000}" name="PAGA" dataDxfId="22"/>
    <tableColumn id="6" xr3:uid="{00000000-0010-0000-0100-000006000000}" name="PLAN" dataDxfId="21"/>
    <tableColumn id="7" xr3:uid="{00000000-0010-0000-0100-000007000000}" name="Abono Virtual" dataDxfId="20" dataCellStyle="Moneda">
      <calculatedColumnFormula>VLOOKUP(F2,B$86:D$92,2,FALSE)</calculatedColumnFormula>
    </tableColumn>
    <tableColumn id="8" xr3:uid="{00000000-0010-0000-0100-000008000000}" name="Min. Incluido" dataDxfId="19">
      <calculatedColumnFormula>VLOOKUP(F2,B$86:D$92,3,FALSE)</calculatedColumnFormula>
    </tableColumn>
    <tableColumn id="9" xr3:uid="{00000000-0010-0000-0100-000009000000}" name="Min Exced." dataDxfId="18" dataCellStyle="Moneda"/>
    <tableColumn id="10" xr3:uid="{00000000-0010-0000-0100-00000A000000}" name="Min Exced.2">
      <calculatedColumnFormula>IF((SUMIF(#REF!,A2&amp;"Minutos*",#REF!)+SUMIF(#REF!,A2&amp;"A *",#REF!))&lt;=H2,0,(SUMIF(#REF!,A2&amp;"Minutos*",#REF!)+SUMIF(#REF!,A2&amp;"A *",#REF!))-H2)</calculatedColumnFormula>
    </tableColumn>
    <tableColumn id="11" xr3:uid="{00000000-0010-0000-0100-00000B000000}" name="Cant. SMS">
      <calculatedColumnFormula>SUMIF(#REF!,A2&amp;"Mensajes Persona a Persona",#REF!)</calculatedColumnFormula>
    </tableColumn>
    <tableColumn id="12" xr3:uid="{00000000-0010-0000-0100-00000C000000}" name="SMS" dataDxfId="17">
      <calculatedColumnFormula>SUMIF(#REF!,A2&amp;"Mensajes Persona a Persona",#REF!)+SUMIF(#REF!,A2&amp;"PACK *00 SMS",#REF!)</calculatedColumnFormula>
    </tableColumn>
    <tableColumn id="13" xr3:uid="{00000000-0010-0000-0100-00000D000000}" name="Cant. Mult." dataDxfId="16" dataCellStyle="Millares">
      <calculatedColumnFormula>SUMIF(#REF!,A2&amp;"Mensajes Mul*",#REF!)</calculatedColumnFormula>
    </tableColumn>
    <tableColumn id="14" xr3:uid="{00000000-0010-0000-0100-00000E000000}" name="Msj Mult" dataDxfId="15">
      <calculatedColumnFormula>SUMIF(#REF!,A2&amp;"Mensajes Mul*",#REF!)</calculatedColumnFormula>
    </tableColumn>
    <tableColumn id="15" xr3:uid="{00000000-0010-0000-0100-00000F000000}" name="EQUIPOS" dataDxfId="14"/>
    <tableColumn id="16" xr3:uid="{00000000-0010-0000-0100-000010000000}" name="Pack Datos" dataDxfId="13">
      <calculatedColumnFormula>SUMIF(#REF!,A2&amp;"Pack Mult*",#REF!)+SUMIF(#REF!,A2&amp;"Pack Blacberry BIS",#REF!)+SUMIF(#REF!,A2&amp;"Pack de datos*",#REF!)+SUMIF(#REF!,A2&amp;"Paquetes datos*",#REF!)+SUMIF(#REF!,A2&amp;"Paquete de datos*",#REF!)+SUMIF(#REF!,A2&amp;"Servicio BIS BLACKBERRY*",#REF!)+SUMIF(#REF!,A2&amp;"Pack Internet*",#REF!)+SUMIF(#REF!,A2&amp;"Pack de*",#REF!)+SUMIF(#REF!,A2&amp;"Pack 100M*",#REF!)++SUMIF(#REF!,A2&amp;"Paquete Internet*",#REF!)</calculatedColumnFormula>
    </tableColumn>
    <tableColumn id="17" xr3:uid="{00000000-0010-0000-0100-000011000000}" name="Q Roaming" dataDxfId="12" dataCellStyle="Millares">
      <calculatedColumnFormula>SUMIF(#REF!,A2&amp;"Llamadas Roam*",#REF!)+SUMIF(#REF!,A2&amp;"Llamadas Internacionales",#REF!)</calculatedColumnFormula>
    </tableColumn>
    <tableColumn id="18" xr3:uid="{00000000-0010-0000-0100-000012000000}" name="$ Roaming" dataDxfId="11">
      <calculatedColumnFormula>SUMIF(#REF!,A2&amp;"Llamadas Roam*",#REF!)+SUMIF(#REF!,A2&amp;"Llamadas Internacionales",#REF!)+SUMIF(#REF!,A2&amp;"Llamadas y SMS Roaming",#REF!)+SUMIF(#REF!,A2&amp;"SMS Roaming",#REF!)</calculatedColumnFormula>
    </tableColumn>
    <tableColumn id="19" xr3:uid="{00000000-0010-0000-0100-000013000000}" name="Qty GPRS" dataDxfId="10" dataCellStyle="Millares">
      <calculatedColumnFormula>SUMIF(#REF!,A2&amp;"Roaming*",#REF!)</calculatedColumnFormula>
    </tableColumn>
    <tableColumn id="20" xr3:uid="{00000000-0010-0000-0100-000014000000}" name="GPRS" dataDxfId="9">
      <calculatedColumnFormula>SUMIF(#REF!,A2&amp;"Roaming*",#REF!)+SUMIF(#REF!,A2&amp;"Internet Roaming*",#REF!)</calculatedColumnFormula>
    </tableColumn>
    <tableColumn id="21" xr3:uid="{00000000-0010-0000-0100-000015000000}" name="OTROS" dataDxfId="8">
      <calculatedColumnFormula>C2-75-L2-N2-P2-R2-T2-SUMIF(#REF!,A2&amp;"Minutos*",#REF!)-SUMIF(#REF!,A2&amp;"A *",#REF!)</calculatedColumnFormula>
    </tableColumn>
    <tableColumn id="22" xr3:uid="{00000000-0010-0000-0100-000016000000}" name="TOTAL3" dataDxfId="7" dataCellStyle="Moneda">
      <calculatedColumnFormula>(G2+J2*I2+L2+N2+P2+R2+T2+U2)*(1+$C$74+$C$75+$C$76)+O2*1.21</calculatedColumnFormula>
    </tableColumn>
    <tableColumn id="23" xr3:uid="{00000000-0010-0000-0100-000017000000}" name="A PAGAR" dataDxfId="6" dataCellStyle="Moneda"/>
    <tableColumn id="24" xr3:uid="{00000000-0010-0000-0100-000018000000}" name="Modificaciones"/>
    <tableColumn id="26" xr3:uid="{00000000-0010-0000-0100-00001A000000}" name="Observaciones" dataDxfId="5"/>
    <tableColumn id="27" xr3:uid="{00000000-0010-0000-0100-00001B000000}" name="Minutos" dataDxfId="4"/>
    <tableColumn id="25" xr3:uid="{00000000-0010-0000-0100-000019000000}" name="PAQUETE DATO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H1:K40" totalsRowShown="0">
  <autoFilter ref="H1:K40" xr:uid="{00000000-0009-0000-0100-000002000000}"/>
  <tableColumns count="4">
    <tableColumn id="1" xr3:uid="{00000000-0010-0000-0200-000001000000}" name="Equipo" dataDxfId="3" dataCellStyle="40% - Énfasis2 2"/>
    <tableColumn id="2" xr3:uid="{00000000-0010-0000-0200-000002000000}" name="Imei" dataDxfId="2" dataCellStyle="40% - Énfasis6 2"/>
    <tableColumn id="3" xr3:uid="{00000000-0010-0000-0200-000003000000}" name="usuario" dataDxfId="1" dataCellStyle="Normal 2"/>
    <tableColumn id="4" xr3:uid="{00000000-0010-0000-0200-000004000000}" name="Columna1" dataDxfId="0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B3:C7" totalsRowShown="0">
  <autoFilter ref="B3:C7" xr:uid="{00000000-0009-0000-0100-000005000000}"/>
  <tableColumns count="2">
    <tableColumn id="1" xr3:uid="{00000000-0010-0000-0300-000001000000}" name="Plan de cuentas"/>
    <tableColumn id="2" xr3:uid="{00000000-0010-0000-0300-000002000000}" name="total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$TM$/Celu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$TM$/Celu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redprivadavirtual.claroargentina.com:8080/ctivpn/login.do" TargetMode="External"/><Relationship Id="rId1" Type="http://schemas.openxmlformats.org/officeDocument/2006/relationships/hyperlink" Target="https://empresas.claro.com.ar/" TargetMode="External"/><Relationship Id="rId6" Type="http://schemas.openxmlformats.org/officeDocument/2006/relationships/table" Target="../tables/table2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81"/>
  <sheetViews>
    <sheetView workbookViewId="0">
      <pane xSplit="2" ySplit="1" topLeftCell="I17" activePane="bottomRight" state="frozen"/>
      <selection pane="topRight" activeCell="C1" sqref="C1"/>
      <selection pane="bottomLeft" activeCell="A2" sqref="A2"/>
      <selection pane="bottomRight" activeCell="L60" sqref="L60"/>
    </sheetView>
  </sheetViews>
  <sheetFormatPr baseColWidth="10" defaultRowHeight="14.4"/>
  <cols>
    <col min="1" max="1" width="12.33203125" customWidth="1"/>
    <col min="2" max="2" width="57.33203125" customWidth="1"/>
    <col min="3" max="3" width="19.6640625" customWidth="1"/>
    <col min="4" max="4" width="25.5546875" customWidth="1"/>
    <col min="5" max="5" width="12.6640625" bestFit="1" customWidth="1"/>
    <col min="6" max="6" width="11.44140625" customWidth="1"/>
    <col min="7" max="7" width="16.33203125" customWidth="1"/>
    <col min="8" max="9" width="11.44140625" customWidth="1"/>
    <col min="10" max="10" width="17.33203125" customWidth="1"/>
    <col min="11" max="11" width="11.44140625" customWidth="1"/>
    <col min="12" max="12" width="12.33203125" bestFit="1" customWidth="1"/>
    <col min="13" max="13" width="11.44140625" customWidth="1"/>
    <col min="14" max="14" width="38" bestFit="1" customWidth="1"/>
  </cols>
  <sheetData>
    <row r="1" spans="1:17">
      <c r="A1" s="134" t="s">
        <v>286</v>
      </c>
      <c r="B1" s="134" t="s">
        <v>230</v>
      </c>
      <c r="C1" s="134" t="s">
        <v>318</v>
      </c>
      <c r="D1" s="134" t="s">
        <v>319</v>
      </c>
      <c r="E1" s="134" t="s">
        <v>231</v>
      </c>
      <c r="F1" s="134" t="s">
        <v>232</v>
      </c>
      <c r="G1" s="134" t="s">
        <v>354</v>
      </c>
      <c r="H1" s="134" t="s">
        <v>355</v>
      </c>
      <c r="I1" s="134" t="s">
        <v>334</v>
      </c>
      <c r="J1" s="134" t="s">
        <v>359</v>
      </c>
      <c r="K1" s="134" t="s">
        <v>233</v>
      </c>
      <c r="L1" s="134" t="s">
        <v>90</v>
      </c>
      <c r="M1" s="134" t="s">
        <v>284</v>
      </c>
      <c r="N1" s="134" t="s">
        <v>188</v>
      </c>
      <c r="O1" s="134" t="s">
        <v>239</v>
      </c>
      <c r="P1" s="134" t="s">
        <v>240</v>
      </c>
    </row>
    <row r="2" spans="1:17" hidden="1">
      <c r="A2" s="7">
        <v>2615123926</v>
      </c>
      <c r="B2" s="133" t="s">
        <v>37</v>
      </c>
      <c r="C2" s="140" t="s">
        <v>64</v>
      </c>
      <c r="D2" s="125" t="str">
        <f>VLOOKUP(VLOOKUP(A2,Det_Personal!A:L,12,FALSE),Det_Personal!O$1:T$5,2,FALSE)</f>
        <v>TI Black Empresas 2</v>
      </c>
      <c r="E2" s="136">
        <f>VLOOKUP(A2,Det_Personal!A:D,2,FALSE)</f>
        <v>1610</v>
      </c>
      <c r="F2" s="136">
        <f>VLOOKUP($A2,Det_Personal!$A:$D,3,FALSE)+VLOOKUP($A2,Det_Personal!$A:$D,4,FALSE)</f>
        <v>0</v>
      </c>
      <c r="G2" s="136">
        <f>VLOOKUP($A2,Det_Personal!$A:$E,5,FALSE)</f>
        <v>0</v>
      </c>
      <c r="H2" s="136">
        <f>VLOOKUP($A2,Det_Personal!$A:$E,5,FALSE)</f>
        <v>0</v>
      </c>
      <c r="I2" s="136"/>
      <c r="J2" s="137">
        <f>VLOOKUP(A2,Det_Personal!$A:$I,9,FALSE)</f>
        <v>109.67</v>
      </c>
      <c r="K2" s="136">
        <f>VLOOKUP($A2,Det_Personal!$A:$F,6,FALSE)</f>
        <v>0</v>
      </c>
      <c r="L2" s="138">
        <f t="shared" ref="L2:L33" si="0">E2+F2+G2+K2</f>
        <v>1610</v>
      </c>
      <c r="M2" s="147">
        <f>G2+I2*1.21</f>
        <v>0</v>
      </c>
      <c r="N2" s="7"/>
      <c r="O2" s="90">
        <f t="shared" ref="O2:O33" si="1">SUM(E2:F2)*3%</f>
        <v>48.3</v>
      </c>
      <c r="P2" s="139">
        <f t="shared" ref="P2:P31" si="2">L2-O2</f>
        <v>1561.7</v>
      </c>
    </row>
    <row r="3" spans="1:17" hidden="1">
      <c r="A3" s="125">
        <v>2613861800</v>
      </c>
      <c r="B3" s="132" t="s">
        <v>179</v>
      </c>
      <c r="C3" s="124" t="s">
        <v>64</v>
      </c>
      <c r="D3" s="125" t="str">
        <f>VLOOKUP(VLOOKUP(A3,Det_Personal!A:L,12,FALSE),Det_Personal!O$1:T$5,2,FALSE)</f>
        <v>Conexión Total Premium XL</v>
      </c>
      <c r="E3" s="136">
        <f>VLOOKUP(A3,Det_Personal!A:D,2,FALSE)</f>
        <v>640</v>
      </c>
      <c r="F3" s="136">
        <f>VLOOKUP($A3,Det_Personal!$A:$D,3,FALSE)+VLOOKUP($A3,Det_Personal!$A:$D,4,FALSE)</f>
        <v>0</v>
      </c>
      <c r="G3" s="136">
        <f>VLOOKUP($A3,Det_Personal!$A:$E,5,FALSE)</f>
        <v>0</v>
      </c>
      <c r="H3" s="136">
        <f>VLOOKUP($A3,Det_Personal!$A:$E,5,FALSE)</f>
        <v>0</v>
      </c>
      <c r="I3" s="136"/>
      <c r="J3" s="137">
        <f>VLOOKUP(A3,Det_Personal!$A:$I,9,FALSE)</f>
        <v>91.97</v>
      </c>
      <c r="K3" s="136">
        <f>VLOOKUP($A3,Det_Personal!$A:$F,6,FALSE)</f>
        <v>0</v>
      </c>
      <c r="L3" s="138">
        <f t="shared" si="0"/>
        <v>640</v>
      </c>
      <c r="M3" s="147">
        <f t="shared" ref="M3:M16" si="3">F3*1.321667+G3+I3*1.21</f>
        <v>0</v>
      </c>
      <c r="N3" s="7"/>
      <c r="O3" s="90">
        <f t="shared" si="1"/>
        <v>19.2</v>
      </c>
      <c r="P3" s="139">
        <f t="shared" si="2"/>
        <v>620.79999999999995</v>
      </c>
    </row>
    <row r="4" spans="1:17" hidden="1">
      <c r="A4" s="124">
        <v>2616611035</v>
      </c>
      <c r="B4" s="133" t="s">
        <v>478</v>
      </c>
      <c r="C4" s="140" t="s">
        <v>64</v>
      </c>
      <c r="D4" s="125" t="str">
        <f>VLOOKUP(VLOOKUP(A4,Det_Personal!A:L,12,FALSE),Det_Personal!O$1:T$5,2,FALSE)</f>
        <v>TI Empresas Ilimitado</v>
      </c>
      <c r="E4" s="136">
        <f>VLOOKUP(A4,Det_Personal!A:D,2,FALSE)</f>
        <v>640</v>
      </c>
      <c r="F4" s="136">
        <f>VLOOKUP($A4,Det_Personal!$A:$D,3,FALSE)+VLOOKUP($A4,Det_Personal!$A:$D,4,FALSE)</f>
        <v>0</v>
      </c>
      <c r="G4" s="136">
        <f>VLOOKUP($A4,Det_Personal!$A:$E,5,FALSE)</f>
        <v>0</v>
      </c>
      <c r="H4" s="136">
        <f>VLOOKUP($A4,Det_Personal!$A:$E,5,FALSE)</f>
        <v>0</v>
      </c>
      <c r="I4" s="136"/>
      <c r="J4" s="137">
        <f>VLOOKUP(A4,Det_Personal!$A:$I,9,FALSE)</f>
        <v>134.88</v>
      </c>
      <c r="K4" s="136">
        <f>VLOOKUP($A4,Det_Personal!$A:$F,6,FALSE)</f>
        <v>0</v>
      </c>
      <c r="L4" s="138">
        <f t="shared" si="0"/>
        <v>640</v>
      </c>
      <c r="M4" s="147">
        <f t="shared" si="3"/>
        <v>0</v>
      </c>
      <c r="N4" s="138"/>
      <c r="O4" s="90">
        <f t="shared" si="1"/>
        <v>19.2</v>
      </c>
      <c r="P4" s="139">
        <f t="shared" si="2"/>
        <v>620.79999999999995</v>
      </c>
    </row>
    <row r="5" spans="1:17" hidden="1">
      <c r="A5" s="125">
        <v>1132994676</v>
      </c>
      <c r="B5" s="132" t="s">
        <v>483</v>
      </c>
      <c r="C5" s="140" t="s">
        <v>64</v>
      </c>
      <c r="D5" s="125" t="str">
        <f>VLOOKUP(VLOOKUP(A5,Det_Personal!A:L,12,FALSE),Det_Personal!O$1:T$5,2,FALSE)</f>
        <v>Conexión Total Premium 2XL</v>
      </c>
      <c r="E5" s="136">
        <f>VLOOKUP($A5,Det_Personal!$A:$D,2,FALSE)</f>
        <v>640</v>
      </c>
      <c r="F5" s="136">
        <f>VLOOKUP($A5,Det_Personal!$A:$D,3,FALSE)+VLOOKUP($A5,Det_Personal!$A:$D,4,FALSE)</f>
        <v>0</v>
      </c>
      <c r="G5" s="136">
        <f>VLOOKUP($A5,Det_Personal!$A:$E,5,FALSE)</f>
        <v>0</v>
      </c>
      <c r="H5" s="136">
        <f>VLOOKUP($A5,Det_Personal!$A:$E,5,FALSE)</f>
        <v>0</v>
      </c>
      <c r="I5" s="136"/>
      <c r="J5" s="137">
        <f>VLOOKUP(A5,Det_Personal!$A:$I,9,FALSE)</f>
        <v>288.37</v>
      </c>
      <c r="K5" s="136">
        <f>VLOOKUP($A5,Det_Personal!$A:$F,6,FALSE)</f>
        <v>0</v>
      </c>
      <c r="L5" s="138">
        <f t="shared" si="0"/>
        <v>640</v>
      </c>
      <c r="M5" s="147">
        <f t="shared" si="3"/>
        <v>0</v>
      </c>
      <c r="N5" s="7"/>
      <c r="O5" s="90">
        <f t="shared" si="1"/>
        <v>19.2</v>
      </c>
      <c r="P5" s="139">
        <f t="shared" si="2"/>
        <v>620.79999999999995</v>
      </c>
    </row>
    <row r="6" spans="1:17" hidden="1">
      <c r="A6" s="7">
        <v>2615968885</v>
      </c>
      <c r="B6" s="133" t="s">
        <v>402</v>
      </c>
      <c r="C6" s="124" t="s">
        <v>64</v>
      </c>
      <c r="D6" s="125" t="str">
        <f>VLOOKUP(VLOOKUP(A6,Det_Personal!A:L,12,FALSE),Det_Personal!O$1:T$5,2,FALSE)</f>
        <v>TI Empresas Ilimitado</v>
      </c>
      <c r="E6" s="136">
        <f>VLOOKUP(A6,Det_Personal!A:D,2,FALSE)</f>
        <v>1610</v>
      </c>
      <c r="F6" s="136">
        <f>VLOOKUP($A6,Det_Personal!$A:$D,3,FALSE)+VLOOKUP($A6,Det_Personal!$A:$D,4,FALSE)</f>
        <v>0</v>
      </c>
      <c r="G6" s="136">
        <f>VLOOKUP($A6,Det_Personal!$A:$E,5,FALSE)</f>
        <v>0</v>
      </c>
      <c r="H6" s="136">
        <f>VLOOKUP($A6,Det_Personal!$A:$E,5,FALSE)</f>
        <v>0</v>
      </c>
      <c r="I6" s="136"/>
      <c r="J6" s="137">
        <f>VLOOKUP(A6,Det_Personal!$A:$I,9,FALSE)</f>
        <v>182.67</v>
      </c>
      <c r="K6" s="136">
        <f>VLOOKUP($A6,Det_Personal!$A:$F,6,FALSE)</f>
        <v>0</v>
      </c>
      <c r="L6" s="138">
        <f t="shared" si="0"/>
        <v>1610</v>
      </c>
      <c r="M6" s="147">
        <f t="shared" si="3"/>
        <v>0</v>
      </c>
      <c r="N6" s="138"/>
      <c r="O6" s="90">
        <f t="shared" si="1"/>
        <v>48.3</v>
      </c>
      <c r="P6" s="139">
        <f t="shared" si="2"/>
        <v>1561.7</v>
      </c>
    </row>
    <row r="7" spans="1:17" hidden="1">
      <c r="A7" s="124">
        <v>2613861796</v>
      </c>
      <c r="B7" s="146" t="s">
        <v>417</v>
      </c>
      <c r="C7" s="140" t="s">
        <v>104</v>
      </c>
      <c r="D7" s="125" t="str">
        <f>VLOOKUP(VLOOKUP(A7,Det_Personal!A:L,12,FALSE),Det_Personal!O$1:T$5,2,FALSE)</f>
        <v>Conexión Total Premium XL</v>
      </c>
      <c r="E7" s="136">
        <f>VLOOKUP(A7,Det_Personal!A:D,2,FALSE)</f>
        <v>1250</v>
      </c>
      <c r="F7" s="136">
        <f>VLOOKUP($A7,Det_Personal!$A:$D,3,FALSE)+VLOOKUP($A7,Det_Personal!$A:$D,4,FALSE)</f>
        <v>0</v>
      </c>
      <c r="G7" s="136">
        <f>VLOOKUP($A7,Det_Personal!$A:$E,5,FALSE)</f>
        <v>0</v>
      </c>
      <c r="H7" s="136">
        <f>VLOOKUP($A7,Det_Personal!$A:$E,5,FALSE)</f>
        <v>0</v>
      </c>
      <c r="I7" s="136"/>
      <c r="J7" s="137">
        <f>VLOOKUP(A7,Det_Personal!$A:$I,9,FALSE)</f>
        <v>183.33</v>
      </c>
      <c r="K7" s="136">
        <f>VLOOKUP($A7,Det_Personal!$A:$F,6,FALSE)</f>
        <v>0</v>
      </c>
      <c r="L7" s="138">
        <f t="shared" si="0"/>
        <v>1250</v>
      </c>
      <c r="M7" s="138">
        <f>SUM(E7:F7)*1.321667+G7+I7*1.21</f>
        <v>1652.08375</v>
      </c>
      <c r="N7" s="138"/>
      <c r="O7" s="90">
        <f t="shared" si="1"/>
        <v>37.5</v>
      </c>
      <c r="P7" s="139">
        <f t="shared" si="2"/>
        <v>1212.5</v>
      </c>
    </row>
    <row r="8" spans="1:17" hidden="1">
      <c r="A8" s="125">
        <v>2613861802</v>
      </c>
      <c r="B8" s="132" t="s">
        <v>125</v>
      </c>
      <c r="C8" s="124" t="s">
        <v>64</v>
      </c>
      <c r="D8" s="125" t="str">
        <f>VLOOKUP(VLOOKUP(A8,Det_Personal!A:L,12,FALSE),Det_Personal!O$1:T$5,2,FALSE)</f>
        <v>Conexión Total Premium XL</v>
      </c>
      <c r="E8" s="136">
        <f>VLOOKUP(A8,Det_Personal!A:D,2,FALSE)</f>
        <v>640</v>
      </c>
      <c r="F8" s="136">
        <f>VLOOKUP($A8,Det_Personal!$A:$D,3,FALSE)+VLOOKUP($A8,Det_Personal!$A:$D,4,FALSE)</f>
        <v>0</v>
      </c>
      <c r="G8" s="136">
        <f>VLOOKUP($A8,Det_Personal!$A:$E,5,FALSE)</f>
        <v>0</v>
      </c>
      <c r="H8" s="136">
        <f>VLOOKUP($A8,Det_Personal!$A:$E,5,FALSE)</f>
        <v>0</v>
      </c>
      <c r="I8" s="136"/>
      <c r="J8" s="137">
        <f>VLOOKUP(A8,Det_Personal!$A:$I,9,FALSE)</f>
        <v>262.25</v>
      </c>
      <c r="K8" s="136">
        <f>VLOOKUP($A8,Det_Personal!$A:$F,6,FALSE)</f>
        <v>0</v>
      </c>
      <c r="L8" s="138">
        <f t="shared" si="0"/>
        <v>640</v>
      </c>
      <c r="M8" s="138">
        <f t="shared" si="3"/>
        <v>0</v>
      </c>
      <c r="N8" s="138"/>
      <c r="O8" s="90">
        <f t="shared" si="1"/>
        <v>19.2</v>
      </c>
      <c r="P8" s="139">
        <f t="shared" si="2"/>
        <v>620.79999999999995</v>
      </c>
    </row>
    <row r="9" spans="1:17" hidden="1">
      <c r="A9" s="7">
        <v>2613861808</v>
      </c>
      <c r="B9" s="133" t="s">
        <v>210</v>
      </c>
      <c r="C9" s="124" t="s">
        <v>63</v>
      </c>
      <c r="D9" s="125" t="str">
        <f>VLOOKUP(VLOOKUP(A9,Det_Personal!A:L,12,FALSE),Det_Personal!O$1:T$5,2,FALSE)</f>
        <v>TI Black Empresas 2</v>
      </c>
      <c r="E9" s="136">
        <f>VLOOKUP(A9,Det_Personal!A:D,2,FALSE)</f>
        <v>640</v>
      </c>
      <c r="F9" s="136">
        <f>VLOOKUP($A9,Det_Personal!$A:$D,3,FALSE)+VLOOKUP($A9,Det_Personal!$A:$D,4,FALSE)</f>
        <v>0</v>
      </c>
      <c r="G9" s="136">
        <f>VLOOKUP($A9,Det_Personal!$A:$E,5,FALSE)</f>
        <v>0</v>
      </c>
      <c r="H9" s="136">
        <f>VLOOKUP($A9,Det_Personal!$A:$E,5,FALSE)</f>
        <v>0</v>
      </c>
      <c r="I9" s="136"/>
      <c r="J9" s="137">
        <f>VLOOKUP(A9,Det_Personal!$A:$I,9,FALSE)</f>
        <v>121.97</v>
      </c>
      <c r="K9" s="136">
        <f>VLOOKUP($A9,Det_Personal!$A:$F,6,FALSE)</f>
        <v>0</v>
      </c>
      <c r="L9" s="138">
        <f t="shared" si="0"/>
        <v>640</v>
      </c>
      <c r="M9" s="138">
        <f t="shared" si="3"/>
        <v>0</v>
      </c>
      <c r="N9" s="138"/>
      <c r="O9" s="90">
        <f t="shared" si="1"/>
        <v>19.2</v>
      </c>
      <c r="P9" s="139">
        <f t="shared" si="2"/>
        <v>620.79999999999995</v>
      </c>
    </row>
    <row r="10" spans="1:17" hidden="1">
      <c r="A10" s="7">
        <v>2613861810</v>
      </c>
      <c r="B10" s="133" t="s">
        <v>43</v>
      </c>
      <c r="C10" s="124" t="s">
        <v>64</v>
      </c>
      <c r="D10" s="125" t="str">
        <f>VLOOKUP(VLOOKUP(A10,Det_Personal!A:L,12,FALSE),Det_Personal!O$1:T$5,2,FALSE)</f>
        <v>TI Black Empresas 2</v>
      </c>
      <c r="E10" s="136">
        <f>VLOOKUP(A10,Det_Personal!A:D,2,FALSE)</f>
        <v>640</v>
      </c>
      <c r="F10" s="136">
        <f>VLOOKUP($A10,Det_Personal!$A:$D,3,FALSE)+VLOOKUP($A10,Det_Personal!$A:$D,4,FALSE)</f>
        <v>0</v>
      </c>
      <c r="G10" s="136">
        <f>VLOOKUP($A10,Det_Personal!$A:$E,5,FALSE)</f>
        <v>0</v>
      </c>
      <c r="H10" s="136">
        <f>VLOOKUP($A10,Det_Personal!$A:$E,5,FALSE)</f>
        <v>0</v>
      </c>
      <c r="I10" s="136"/>
      <c r="J10" s="137">
        <f>VLOOKUP(A10,Det_Personal!$A:$I,9,FALSE)</f>
        <v>190.92</v>
      </c>
      <c r="K10" s="136">
        <f>VLOOKUP($A10,Det_Personal!$A:$F,6,FALSE)</f>
        <v>0</v>
      </c>
      <c r="L10" s="138">
        <f t="shared" si="0"/>
        <v>640</v>
      </c>
      <c r="M10" s="138">
        <f t="shared" si="3"/>
        <v>0</v>
      </c>
      <c r="N10" s="138"/>
      <c r="O10" s="90">
        <f t="shared" si="1"/>
        <v>19.2</v>
      </c>
      <c r="P10" s="139">
        <f t="shared" si="2"/>
        <v>620.79999999999995</v>
      </c>
    </row>
    <row r="11" spans="1:17" hidden="1">
      <c r="A11" s="7">
        <v>2614701930</v>
      </c>
      <c r="B11" s="135" t="s">
        <v>103</v>
      </c>
      <c r="C11" s="124" t="s">
        <v>64</v>
      </c>
      <c r="D11" s="125" t="str">
        <f>VLOOKUP(VLOOKUP(A11,Det_Personal!A:L,12,FALSE),Det_Personal!O$1:T$5,2,FALSE)</f>
        <v>TI Black Empresas 2</v>
      </c>
      <c r="E11" s="136">
        <f>VLOOKUP(A11,Det_Personal!A:D,2,FALSE)</f>
        <v>640</v>
      </c>
      <c r="F11" s="136">
        <f>VLOOKUP($A11,Det_Personal!$A:$D,3,FALSE)+VLOOKUP($A11,Det_Personal!$A:$D,4,FALSE)</f>
        <v>0</v>
      </c>
      <c r="G11" s="136">
        <f>VLOOKUP($A11,Det_Personal!$A:$E,5,FALSE)</f>
        <v>0</v>
      </c>
      <c r="H11" s="136">
        <f>VLOOKUP($A11,Det_Personal!$A:$E,5,FALSE)</f>
        <v>0</v>
      </c>
      <c r="I11" s="136"/>
      <c r="J11" s="137">
        <f>VLOOKUP(A11,Det_Personal!$A:$I,9,FALSE)</f>
        <v>82.98</v>
      </c>
      <c r="K11" s="136">
        <f>VLOOKUP($A11,Det_Personal!$A:$F,6,FALSE)</f>
        <v>0</v>
      </c>
      <c r="L11" s="138">
        <f t="shared" si="0"/>
        <v>640</v>
      </c>
      <c r="M11" s="138">
        <f t="shared" si="3"/>
        <v>0</v>
      </c>
      <c r="N11" s="138"/>
      <c r="O11" s="90">
        <f t="shared" si="1"/>
        <v>19.2</v>
      </c>
      <c r="P11" s="139">
        <f t="shared" si="2"/>
        <v>620.79999999999995</v>
      </c>
    </row>
    <row r="12" spans="1:17" hidden="1">
      <c r="A12" s="7">
        <v>2616649334</v>
      </c>
      <c r="B12" s="133" t="s">
        <v>24</v>
      </c>
      <c r="C12" s="124" t="s">
        <v>64</v>
      </c>
      <c r="D12" s="125" t="str">
        <f>VLOOKUP(VLOOKUP(A12,Det_Personal!A:L,12,FALSE),Det_Personal!O$1:T$5,2,FALSE)</f>
        <v>TI Empresas Ilimitado</v>
      </c>
      <c r="E12" s="136">
        <f>VLOOKUP(A12,Det_Personal!A:D,2,FALSE)</f>
        <v>640</v>
      </c>
      <c r="F12" s="136">
        <f>VLOOKUP($A12,Det_Personal!$A:$D,3,FALSE)+VLOOKUP($A12,Det_Personal!$A:$D,4,FALSE)</f>
        <v>0</v>
      </c>
      <c r="G12" s="136">
        <f>VLOOKUP($A12,Det_Personal!$A:$E,5,FALSE)</f>
        <v>0</v>
      </c>
      <c r="H12" s="136">
        <f>VLOOKUP($A12,Det_Personal!$A:$E,5,FALSE)</f>
        <v>0</v>
      </c>
      <c r="I12" s="136"/>
      <c r="J12" s="137">
        <f>VLOOKUP(A12,Det_Personal!$A:$I,9,FALSE)</f>
        <v>45.88</v>
      </c>
      <c r="K12" s="136">
        <f>VLOOKUP($A12,Det_Personal!$A:$F,6,FALSE)</f>
        <v>0</v>
      </c>
      <c r="L12" s="138">
        <f t="shared" si="0"/>
        <v>640</v>
      </c>
      <c r="M12" s="138">
        <f t="shared" si="3"/>
        <v>0</v>
      </c>
      <c r="N12" s="138"/>
      <c r="O12" s="90">
        <f t="shared" si="1"/>
        <v>19.2</v>
      </c>
      <c r="P12" s="139">
        <f t="shared" si="2"/>
        <v>620.79999999999995</v>
      </c>
    </row>
    <row r="13" spans="1:17" hidden="1">
      <c r="A13" s="125">
        <v>2613861795</v>
      </c>
      <c r="B13" s="132" t="s">
        <v>202</v>
      </c>
      <c r="C13" s="124" t="s">
        <v>63</v>
      </c>
      <c r="D13" s="125" t="str">
        <f>VLOOKUP(VLOOKUP(A13,Det_Personal!A:L,12,FALSE),Det_Personal!O$1:T$5,2,FALSE)</f>
        <v>Conexión Total Premium XL</v>
      </c>
      <c r="E13" s="136">
        <f>VLOOKUP(A13,Det_Personal!A:D,2,FALSE)</f>
        <v>640</v>
      </c>
      <c r="F13" s="136">
        <f>VLOOKUP($A13,Det_Personal!$A:$D,3,FALSE)+VLOOKUP($A13,Det_Personal!$A:$D,4,FALSE)</f>
        <v>0</v>
      </c>
      <c r="G13" s="136">
        <f>VLOOKUP($A13,Det_Personal!$A:$E,5,FALSE)</f>
        <v>0</v>
      </c>
      <c r="H13" s="136">
        <f>VLOOKUP($A13,Det_Personal!$A:$E,5,FALSE)</f>
        <v>0</v>
      </c>
      <c r="I13" s="136"/>
      <c r="J13" s="137">
        <f>VLOOKUP(A13,Det_Personal!$A:$I,9,FALSE)</f>
        <v>10.33</v>
      </c>
      <c r="K13" s="136">
        <f>VLOOKUP($A13,Det_Personal!$A:$F,6,FALSE)</f>
        <v>0</v>
      </c>
      <c r="L13" s="138">
        <f t="shared" si="0"/>
        <v>640</v>
      </c>
      <c r="M13" s="138">
        <f t="shared" si="3"/>
        <v>0</v>
      </c>
      <c r="N13" s="138"/>
      <c r="O13" s="90">
        <f t="shared" si="1"/>
        <v>19.2</v>
      </c>
      <c r="P13" s="139">
        <f t="shared" si="2"/>
        <v>620.79999999999995</v>
      </c>
    </row>
    <row r="14" spans="1:17" hidden="1">
      <c r="A14" s="124">
        <v>2613861799</v>
      </c>
      <c r="B14" s="146" t="s">
        <v>376</v>
      </c>
      <c r="C14" s="124" t="s">
        <v>64</v>
      </c>
      <c r="D14" s="125" t="str">
        <f>VLOOKUP(VLOOKUP(A14,Det_Personal!A:L,12,FALSE),Det_Personal!O$1:T$5,2,FALSE)</f>
        <v>Conexión Total Premium XL</v>
      </c>
      <c r="E14" s="136">
        <f>VLOOKUP(A14,Det_Personal!A:D,2,FALSE)</f>
        <v>1250</v>
      </c>
      <c r="F14" s="136">
        <f>VLOOKUP($A14,Det_Personal!$A:$D,3,FALSE)+VLOOKUP($A14,Det_Personal!$A:$D,4,FALSE)</f>
        <v>0</v>
      </c>
      <c r="G14" s="136">
        <f>VLOOKUP($A14,Det_Personal!$A:$E,5,FALSE)</f>
        <v>0</v>
      </c>
      <c r="H14" s="136">
        <f>VLOOKUP($A14,Det_Personal!$A:$E,5,FALSE)</f>
        <v>0</v>
      </c>
      <c r="I14" s="136"/>
      <c r="J14" s="137">
        <f>VLOOKUP(A14,Det_Personal!$A:$I,9,FALSE)</f>
        <v>21.4</v>
      </c>
      <c r="K14" s="136">
        <f>VLOOKUP($A14,Det_Personal!$A:$F,6,FALSE)</f>
        <v>0</v>
      </c>
      <c r="L14" s="138">
        <f t="shared" si="0"/>
        <v>1250</v>
      </c>
      <c r="M14" s="138">
        <f t="shared" si="3"/>
        <v>0</v>
      </c>
      <c r="N14" s="138"/>
      <c r="O14" s="90">
        <f t="shared" si="1"/>
        <v>37.5</v>
      </c>
      <c r="P14" s="139">
        <f t="shared" si="2"/>
        <v>1212.5</v>
      </c>
    </row>
    <row r="15" spans="1:17" hidden="1">
      <c r="A15" s="125">
        <v>2613861804</v>
      </c>
      <c r="B15" s="132" t="s">
        <v>385</v>
      </c>
      <c r="C15" s="124" t="s">
        <v>64</v>
      </c>
      <c r="D15" s="125" t="str">
        <f>VLOOKUP(VLOOKUP(A15,Det_Personal!A:L,12,FALSE),Det_Personal!O$1:T$5,2,FALSE)</f>
        <v>Conexión Total Premium XL</v>
      </c>
      <c r="E15" s="136">
        <f>VLOOKUP(A15,Det_Personal!A:D,2,FALSE)</f>
        <v>640</v>
      </c>
      <c r="F15" s="136">
        <f>VLOOKUP($A15,Det_Personal!$A:$D,3,FALSE)+VLOOKUP($A15,Det_Personal!$A:$D,4,FALSE)</f>
        <v>0</v>
      </c>
      <c r="G15" s="136">
        <f>VLOOKUP($A15,Det_Personal!$A:$E,5,FALSE)</f>
        <v>0</v>
      </c>
      <c r="H15" s="136">
        <f>VLOOKUP($A15,Det_Personal!$A:$E,5,FALSE)</f>
        <v>0</v>
      </c>
      <c r="I15" s="136"/>
      <c r="J15" s="137">
        <f>VLOOKUP(A15,Det_Personal!$A:$I,9,FALSE)</f>
        <v>300.67</v>
      </c>
      <c r="K15" s="136">
        <f>VLOOKUP($A15,Det_Personal!$A:$F,6,FALSE)</f>
        <v>0</v>
      </c>
      <c r="L15" s="138">
        <f t="shared" si="0"/>
        <v>640</v>
      </c>
      <c r="M15" s="138">
        <f t="shared" si="3"/>
        <v>0</v>
      </c>
      <c r="N15" s="138"/>
      <c r="O15" s="90">
        <f t="shared" si="1"/>
        <v>19.2</v>
      </c>
      <c r="P15" s="139">
        <f t="shared" si="2"/>
        <v>620.79999999999995</v>
      </c>
    </row>
    <row r="16" spans="1:17" hidden="1">
      <c r="A16" s="7">
        <v>2614716174</v>
      </c>
      <c r="B16" s="133" t="s">
        <v>15</v>
      </c>
      <c r="C16" s="124" t="s">
        <v>64</v>
      </c>
      <c r="D16" s="125" t="str">
        <f>VLOOKUP(VLOOKUP(A16,Det_Personal!A:L,12,FALSE),Det_Personal!O$1:T$5,2,FALSE)</f>
        <v>TI Black Empresas 2</v>
      </c>
      <c r="E16" s="136">
        <f>VLOOKUP(A16,Det_Personal!A:D,2,FALSE)</f>
        <v>1610</v>
      </c>
      <c r="F16" s="136">
        <f>VLOOKUP($A16,Det_Personal!$A:$D,3,FALSE)+VLOOKUP($A16,Det_Personal!$A:$D,4,FALSE)</f>
        <v>94.21</v>
      </c>
      <c r="G16" s="136">
        <f>VLOOKUP($A16,Det_Personal!$A:$E,5,FALSE)</f>
        <v>94.21</v>
      </c>
      <c r="H16" s="136">
        <f>VLOOKUP($A16,Det_Personal!$A:$E,5,FALSE)</f>
        <v>94.21</v>
      </c>
      <c r="I16" s="136"/>
      <c r="J16" s="137">
        <f>VLOOKUP(A16,Det_Personal!$A:$I,9,FALSE)</f>
        <v>10.029999999999999</v>
      </c>
      <c r="K16" s="136">
        <f>VLOOKUP($A16,Det_Personal!$A:$F,6,FALSE)</f>
        <v>0</v>
      </c>
      <c r="L16" s="138">
        <f t="shared" si="0"/>
        <v>1798.42</v>
      </c>
      <c r="M16" s="138">
        <f t="shared" si="3"/>
        <v>218.72424806999999</v>
      </c>
      <c r="N16" s="138"/>
      <c r="O16" s="90">
        <f t="shared" si="1"/>
        <v>51.126300000000001</v>
      </c>
      <c r="P16" s="139">
        <f t="shared" si="2"/>
        <v>1747.2937000000002</v>
      </c>
      <c r="Q16" s="3"/>
    </row>
    <row r="17" spans="1:16">
      <c r="A17" s="7">
        <v>2615557273</v>
      </c>
      <c r="B17" s="133" t="s">
        <v>26</v>
      </c>
      <c r="C17" s="140" t="s">
        <v>48</v>
      </c>
      <c r="D17" s="125" t="str">
        <f>VLOOKUP(VLOOKUP(A17,Det_Personal!A:L,12,FALSE),Det_Personal!O$1:T$5,2,FALSE)</f>
        <v>TI Empresas Ilimitado</v>
      </c>
      <c r="E17" s="136">
        <f>VLOOKUP(A17,Det_Personal!A:D,2,FALSE)</f>
        <v>640</v>
      </c>
      <c r="F17" s="136">
        <f>VLOOKUP($A17,Det_Personal!$A:$D,3,FALSE)+VLOOKUP($A17,Det_Personal!$A:$D,4,FALSE)</f>
        <v>0</v>
      </c>
      <c r="G17" s="136">
        <f>VLOOKUP($A17,Det_Personal!$A:$E,5,FALSE)</f>
        <v>361</v>
      </c>
      <c r="H17" s="136">
        <f>VLOOKUP($A17,Det_Personal!$A:$E,5,FALSE)</f>
        <v>361</v>
      </c>
      <c r="I17" s="136"/>
      <c r="J17" s="137">
        <f>VLOOKUP(A17,Det_Personal!$A:$I,9,FALSE)</f>
        <v>79.650000000000006</v>
      </c>
      <c r="K17" s="136">
        <f>VLOOKUP($A17,Det_Personal!$A:$F,6,FALSE)</f>
        <v>0</v>
      </c>
      <c r="L17" s="138">
        <f t="shared" si="0"/>
        <v>1001</v>
      </c>
      <c r="M17" s="138">
        <f>SUM(E17:F17)*1.321667+G17+I17*1.21</f>
        <v>1206.86688</v>
      </c>
      <c r="N17" s="138"/>
      <c r="O17" s="90">
        <f t="shared" si="1"/>
        <v>19.2</v>
      </c>
      <c r="P17" s="139">
        <f t="shared" si="2"/>
        <v>981.8</v>
      </c>
    </row>
    <row r="18" spans="1:16" hidden="1">
      <c r="A18" s="7">
        <v>2615632654</v>
      </c>
      <c r="B18" s="133" t="s">
        <v>20</v>
      </c>
      <c r="C18" s="124" t="s">
        <v>64</v>
      </c>
      <c r="D18" s="125" t="str">
        <f>VLOOKUP(VLOOKUP(A18,Det_Personal!A:L,12,FALSE),Det_Personal!O$1:T$5,2,FALSE)</f>
        <v>TI Empresas Ilimitado</v>
      </c>
      <c r="E18" s="136">
        <f>VLOOKUP(A18,Det_Personal!A:D,2,FALSE)</f>
        <v>640</v>
      </c>
      <c r="F18" s="136">
        <f>VLOOKUP($A18,Det_Personal!$A:$D,3,FALSE)+VLOOKUP($A18,Det_Personal!$A:$D,4,FALSE)</f>
        <v>0</v>
      </c>
      <c r="G18" s="136">
        <f>VLOOKUP($A18,Det_Personal!$A:$E,5,FALSE)</f>
        <v>0</v>
      </c>
      <c r="H18" s="136">
        <f>VLOOKUP($A18,Det_Personal!$A:$E,5,FALSE)</f>
        <v>0</v>
      </c>
      <c r="I18" s="136"/>
      <c r="J18" s="137">
        <f>VLOOKUP(A18,Det_Personal!$A:$I,9,FALSE)</f>
        <v>24</v>
      </c>
      <c r="K18" s="136">
        <f>VLOOKUP($A18,Det_Personal!$A:$F,6,FALSE)</f>
        <v>0</v>
      </c>
      <c r="L18" s="138">
        <f t="shared" si="0"/>
        <v>640</v>
      </c>
      <c r="M18" s="138">
        <f>F18*1.321667+G18+I18*1.21</f>
        <v>0</v>
      </c>
      <c r="N18" s="138"/>
      <c r="O18" s="90">
        <f t="shared" si="1"/>
        <v>19.2</v>
      </c>
      <c r="P18" s="139">
        <f t="shared" si="2"/>
        <v>620.79999999999995</v>
      </c>
    </row>
    <row r="19" spans="1:16" hidden="1">
      <c r="A19" s="181">
        <v>2615699626</v>
      </c>
      <c r="B19" s="133" t="s">
        <v>21</v>
      </c>
      <c r="C19" s="142" t="s">
        <v>51</v>
      </c>
      <c r="D19" s="125" t="str">
        <f>VLOOKUP(VLOOKUP(A19,Det_Personal!A:L,12,FALSE),Det_Personal!O$1:T$5,2,FALSE)</f>
        <v>TI Empresas Ilimitado</v>
      </c>
      <c r="E19" s="136">
        <f>VLOOKUP(A19,Det_Personal!A:D,2,FALSE)</f>
        <v>640</v>
      </c>
      <c r="F19" s="136">
        <f>VLOOKUP($A19,Det_Personal!$A:$D,3,FALSE)+VLOOKUP($A19,Det_Personal!$A:$D,4,FALSE)</f>
        <v>0</v>
      </c>
      <c r="G19" s="136">
        <f>VLOOKUP($A19,Det_Personal!$A:$E,5,FALSE)</f>
        <v>0</v>
      </c>
      <c r="H19" s="136">
        <f>VLOOKUP($A19,Det_Personal!$A:$E,5,FALSE)</f>
        <v>0</v>
      </c>
      <c r="I19" s="136"/>
      <c r="J19" s="137">
        <f>VLOOKUP(A19,Det_Personal!$A:$I,9,FALSE)</f>
        <v>81.680000000000007</v>
      </c>
      <c r="K19" s="136">
        <f>VLOOKUP($A19,Det_Personal!$A:$F,6,FALSE)</f>
        <v>0</v>
      </c>
      <c r="L19" s="138">
        <f t="shared" si="0"/>
        <v>640</v>
      </c>
      <c r="M19" s="138">
        <f>SUM(E19:F19)*1.321667+G19+I19*1.21</f>
        <v>845.86687999999992</v>
      </c>
      <c r="N19" s="138"/>
      <c r="O19" s="90">
        <f t="shared" si="1"/>
        <v>19.2</v>
      </c>
      <c r="P19" s="139">
        <f t="shared" si="2"/>
        <v>620.79999999999995</v>
      </c>
    </row>
    <row r="20" spans="1:16" hidden="1">
      <c r="A20" s="7">
        <v>2616649074</v>
      </c>
      <c r="B20" s="133" t="s">
        <v>23</v>
      </c>
      <c r="C20" s="140" t="s">
        <v>47</v>
      </c>
      <c r="D20" s="125" t="str">
        <f>VLOOKUP(VLOOKUP(A20,Det_Personal!A:L,12,FALSE),Det_Personal!O$1:T$5,2,FALSE)</f>
        <v>TI Empresas Ilimitado</v>
      </c>
      <c r="E20" s="136">
        <f>VLOOKUP(A20,Det_Personal!A:D,2,FALSE)</f>
        <v>1610</v>
      </c>
      <c r="F20" s="136">
        <f>VLOOKUP($A20,Det_Personal!$A:$D,3,FALSE)+VLOOKUP($A20,Det_Personal!$A:$D,4,FALSE)</f>
        <v>0</v>
      </c>
      <c r="G20" s="136">
        <f>VLOOKUP($A20,Det_Personal!$A:$E,5,FALSE)</f>
        <v>0</v>
      </c>
      <c r="H20" s="136">
        <f>VLOOKUP($A20,Det_Personal!$A:$E,5,FALSE)</f>
        <v>0</v>
      </c>
      <c r="I20" s="136"/>
      <c r="J20" s="137">
        <f>VLOOKUP(A20,Det_Personal!$A:$I,9,FALSE)</f>
        <v>41.05</v>
      </c>
      <c r="K20" s="136">
        <f>VLOOKUP($A20,Det_Personal!$A:$F,6,FALSE)</f>
        <v>0</v>
      </c>
      <c r="L20" s="138">
        <f t="shared" si="0"/>
        <v>1610</v>
      </c>
      <c r="M20" s="138">
        <f>SUM(E20:F20)*1.321667+G20+I20*1.21</f>
        <v>2127.8838699999997</v>
      </c>
      <c r="N20" s="138"/>
      <c r="O20" s="90">
        <f t="shared" si="1"/>
        <v>48.3</v>
      </c>
      <c r="P20" s="139">
        <f t="shared" si="2"/>
        <v>1561.7</v>
      </c>
    </row>
    <row r="21" spans="1:16" hidden="1">
      <c r="A21" s="7">
        <v>2616655994</v>
      </c>
      <c r="B21" s="133" t="s">
        <v>57</v>
      </c>
      <c r="C21" s="124" t="s">
        <v>64</v>
      </c>
      <c r="D21" s="125" t="str">
        <f>VLOOKUP(VLOOKUP(A21,Det_Personal!A:L,12,FALSE),Det_Personal!O$1:T$5,2,FALSE)</f>
        <v>TI Empresas Ilimitado</v>
      </c>
      <c r="E21" s="136">
        <f>VLOOKUP(A21,Det_Personal!A:D,2,FALSE)</f>
        <v>640</v>
      </c>
      <c r="F21" s="136">
        <f>VLOOKUP($A21,Det_Personal!$A:$D,3,FALSE)+VLOOKUP($A21,Det_Personal!$A:$D,4,FALSE)</f>
        <v>0</v>
      </c>
      <c r="G21" s="136">
        <f>VLOOKUP($A21,Det_Personal!$A:$E,5,FALSE)</f>
        <v>0</v>
      </c>
      <c r="H21" s="136">
        <f>VLOOKUP($A21,Det_Personal!$A:$E,5,FALSE)</f>
        <v>0</v>
      </c>
      <c r="I21" s="136"/>
      <c r="J21" s="137">
        <f>VLOOKUP(A21,Det_Personal!$A:$I,9,FALSE)</f>
        <v>139.9</v>
      </c>
      <c r="K21" s="136">
        <f>VLOOKUP($A21,Det_Personal!$A:$F,6,FALSE)</f>
        <v>0</v>
      </c>
      <c r="L21" s="138">
        <f t="shared" si="0"/>
        <v>640</v>
      </c>
      <c r="M21" s="138">
        <f>F21*1.321667+G21+I21*1.21</f>
        <v>0</v>
      </c>
      <c r="N21" s="138"/>
      <c r="O21" s="90">
        <f t="shared" si="1"/>
        <v>19.2</v>
      </c>
      <c r="P21" s="139">
        <f t="shared" si="2"/>
        <v>620.79999999999995</v>
      </c>
    </row>
    <row r="22" spans="1:16" hidden="1">
      <c r="A22" s="7">
        <v>2616685899</v>
      </c>
      <c r="B22" s="133" t="s">
        <v>457</v>
      </c>
      <c r="C22" s="124" t="s">
        <v>63</v>
      </c>
      <c r="D22" s="125" t="str">
        <f>VLOOKUP(VLOOKUP(A22,Det_Personal!A:L,12,FALSE),Det_Personal!O$1:T$5,2,FALSE)</f>
        <v>TI Empresas Ilimitado</v>
      </c>
      <c r="E22" s="136">
        <f>VLOOKUP(A22,Det_Personal!A:D,2,FALSE)</f>
        <v>640</v>
      </c>
      <c r="F22" s="136">
        <f>VLOOKUP($A22,Det_Personal!$A:$D,3,FALSE)+VLOOKUP($A22,Det_Personal!$A:$D,4,FALSE)</f>
        <v>0</v>
      </c>
      <c r="G22" s="136">
        <f>VLOOKUP($A22,Det_Personal!$A:$E,5,FALSE)</f>
        <v>0</v>
      </c>
      <c r="H22" s="136">
        <f>VLOOKUP($A22,Det_Personal!$A:$E,5,FALSE)</f>
        <v>0</v>
      </c>
      <c r="I22" s="136"/>
      <c r="J22" s="137">
        <f>VLOOKUP(A22,Det_Personal!$A:$I,9,FALSE)</f>
        <v>0</v>
      </c>
      <c r="K22" s="136">
        <f>VLOOKUP($A22,Det_Personal!$A:$F,6,FALSE)</f>
        <v>0</v>
      </c>
      <c r="L22" s="138">
        <f t="shared" si="0"/>
        <v>640</v>
      </c>
      <c r="M22" s="138">
        <f>F22*1.321667+G22+I22*1.21</f>
        <v>0</v>
      </c>
      <c r="N22" s="138"/>
      <c r="O22" s="90">
        <f t="shared" si="1"/>
        <v>19.2</v>
      </c>
      <c r="P22" s="139">
        <f t="shared" si="2"/>
        <v>620.79999999999995</v>
      </c>
    </row>
    <row r="23" spans="1:16" hidden="1">
      <c r="A23" s="7">
        <v>2616912694</v>
      </c>
      <c r="B23" s="133" t="s">
        <v>423</v>
      </c>
      <c r="C23" s="124" t="s">
        <v>64</v>
      </c>
      <c r="D23" s="125" t="str">
        <f>VLOOKUP(VLOOKUP(A23,Det_Personal!A:L,12,FALSE),Det_Personal!O$1:T$5,2,FALSE)</f>
        <v>TI Empresas Ilimitado</v>
      </c>
      <c r="E23" s="136">
        <f>VLOOKUP(A23,Det_Personal!A:D,2,FALSE)</f>
        <v>640</v>
      </c>
      <c r="F23" s="136">
        <f>VLOOKUP($A23,Det_Personal!$A:$D,3,FALSE)+VLOOKUP($A23,Det_Personal!$A:$D,4,FALSE)</f>
        <v>0</v>
      </c>
      <c r="G23" s="136">
        <f>VLOOKUP($A23,Det_Personal!$A:$E,5,FALSE)</f>
        <v>0</v>
      </c>
      <c r="H23" s="136">
        <f>VLOOKUP($A23,Det_Personal!$A:$E,5,FALSE)</f>
        <v>0</v>
      </c>
      <c r="I23" s="136"/>
      <c r="J23" s="137">
        <f>VLOOKUP(A23,Det_Personal!$A:$I,9,FALSE)</f>
        <v>18.47</v>
      </c>
      <c r="K23" s="136">
        <f>VLOOKUP($A23,Det_Personal!$A:$F,6,FALSE)</f>
        <v>0</v>
      </c>
      <c r="L23" s="138">
        <f t="shared" si="0"/>
        <v>640</v>
      </c>
      <c r="M23" s="138">
        <f>SUM(E23:F23)*1.321667+G23+I23*1.21</f>
        <v>845.86687999999992</v>
      </c>
      <c r="N23" s="138"/>
      <c r="O23" s="90">
        <f t="shared" si="1"/>
        <v>19.2</v>
      </c>
      <c r="P23" s="139">
        <f t="shared" si="2"/>
        <v>620.79999999999995</v>
      </c>
    </row>
    <row r="24" spans="1:16" hidden="1">
      <c r="A24" s="7">
        <v>2616974784</v>
      </c>
      <c r="B24" s="133" t="s">
        <v>456</v>
      </c>
      <c r="C24" s="124" t="s">
        <v>63</v>
      </c>
      <c r="D24" s="125" t="str">
        <f>VLOOKUP(VLOOKUP(A24,Det_Personal!A:L,12,FALSE),Det_Personal!O$1:T$5,2,FALSE)</f>
        <v>TI Empresas Ilimitado</v>
      </c>
      <c r="E24" s="136">
        <f>VLOOKUP(A24,Det_Personal!A:D,2,FALSE)</f>
        <v>640</v>
      </c>
      <c r="F24" s="136">
        <f>VLOOKUP($A24,Det_Personal!$A:$D,3,FALSE)+VLOOKUP($A24,Det_Personal!$A:$D,4,FALSE)</f>
        <v>0</v>
      </c>
      <c r="G24" s="136">
        <f>VLOOKUP($A24,Det_Personal!$A:$E,5,FALSE)</f>
        <v>0</v>
      </c>
      <c r="H24" s="136">
        <f>VLOOKUP($A24,Det_Personal!$A:$E,5,FALSE)</f>
        <v>0</v>
      </c>
      <c r="I24" s="136"/>
      <c r="J24" s="137">
        <f>VLOOKUP(A24,Det_Personal!$A:$I,9,FALSE)</f>
        <v>72</v>
      </c>
      <c r="K24" s="136">
        <f>VLOOKUP($A24,Det_Personal!$A:$F,6,FALSE)</f>
        <v>0</v>
      </c>
      <c r="L24" s="138">
        <f t="shared" ref="L24" si="4">E24+F24+G24+K24</f>
        <v>640</v>
      </c>
      <c r="M24" s="138">
        <f>SUM(E24:F24)*1.321667+G24+I24*1.21</f>
        <v>845.86687999999992</v>
      </c>
      <c r="N24" s="138"/>
      <c r="O24" s="90">
        <f t="shared" ref="O24" si="5">SUM(E24:F24)*3%</f>
        <v>19.2</v>
      </c>
      <c r="P24" s="139">
        <f t="shared" ref="P24" si="6">L24-O24</f>
        <v>620.79999999999995</v>
      </c>
    </row>
    <row r="25" spans="1:16" hidden="1">
      <c r="A25" s="124">
        <v>2613074298</v>
      </c>
      <c r="B25" s="145" t="s">
        <v>466</v>
      </c>
      <c r="C25" s="124" t="s">
        <v>64</v>
      </c>
      <c r="D25" s="125" t="str">
        <f>VLOOKUP(VLOOKUP(A25,Det_Personal!A:L,12,FALSE),Det_Personal!O$1:T$5,2,FALSE)</f>
        <v>Conexión Total Premium 2XL</v>
      </c>
      <c r="E25" s="136">
        <f>VLOOKUP(A25,Det_Personal!A:D,2,FALSE)</f>
        <v>640</v>
      </c>
      <c r="F25" s="136">
        <f>VLOOKUP($A25,Det_Personal!$A:$D,3,FALSE)+VLOOKUP($A25,Det_Personal!$A:$D,4,FALSE)</f>
        <v>0</v>
      </c>
      <c r="G25" s="136">
        <f>VLOOKUP($A25,Det_Personal!$A:$E,5,FALSE)</f>
        <v>0</v>
      </c>
      <c r="H25" s="136">
        <f>VLOOKUP($A25,Det_Personal!$A:$E,5,FALSE)</f>
        <v>0</v>
      </c>
      <c r="I25" s="136"/>
      <c r="J25" s="137">
        <f>VLOOKUP(A25,Det_Personal!$A:$I,9,FALSE)</f>
        <v>204.32</v>
      </c>
      <c r="K25" s="136">
        <f>VLOOKUP($A25,Det_Personal!$A:$F,6,FALSE)</f>
        <v>0</v>
      </c>
      <c r="L25" s="138">
        <f t="shared" si="0"/>
        <v>640</v>
      </c>
      <c r="M25" s="138">
        <f t="shared" ref="M25:M31" si="7">F25*1.321667+G25+I25*1.21</f>
        <v>0</v>
      </c>
      <c r="N25" s="138"/>
      <c r="O25" s="90">
        <f t="shared" si="1"/>
        <v>19.2</v>
      </c>
      <c r="P25" s="139">
        <f t="shared" si="2"/>
        <v>620.79999999999995</v>
      </c>
    </row>
    <row r="26" spans="1:16" hidden="1">
      <c r="A26" s="125">
        <v>2613861797</v>
      </c>
      <c r="B26" s="132" t="s">
        <v>422</v>
      </c>
      <c r="C26" s="124" t="s">
        <v>64</v>
      </c>
      <c r="D26" s="125" t="str">
        <f>VLOOKUP(VLOOKUP(A26,Det_Personal!A:L,12,FALSE),Det_Personal!O$1:T$5,2,FALSE)</f>
        <v>Conexión Total Premium XL</v>
      </c>
      <c r="E26" s="136">
        <f>VLOOKUP(A26,Det_Personal!A:D,2,FALSE)</f>
        <v>640</v>
      </c>
      <c r="F26" s="136">
        <f>VLOOKUP($A26,Det_Personal!$A:$D,3,FALSE)+VLOOKUP($A26,Det_Personal!$A:$D,4,FALSE)</f>
        <v>0</v>
      </c>
      <c r="G26" s="136">
        <f>VLOOKUP($A26,Det_Personal!$A:$E,5,FALSE)</f>
        <v>0</v>
      </c>
      <c r="H26" s="136">
        <f>VLOOKUP($A26,Det_Personal!$A:$E,5,FALSE)</f>
        <v>0</v>
      </c>
      <c r="I26" s="136"/>
      <c r="J26" s="137">
        <f>VLOOKUP(A26,Det_Personal!$A:$I,9,FALSE)</f>
        <v>200.63</v>
      </c>
      <c r="K26" s="136">
        <f>VLOOKUP($A26,Det_Personal!$A:$F,6,FALSE)</f>
        <v>0</v>
      </c>
      <c r="L26" s="138">
        <f t="shared" si="0"/>
        <v>640</v>
      </c>
      <c r="M26" s="138">
        <f t="shared" si="7"/>
        <v>0</v>
      </c>
      <c r="N26" s="138"/>
      <c r="O26" s="90">
        <f t="shared" si="1"/>
        <v>19.2</v>
      </c>
      <c r="P26" s="139">
        <f t="shared" si="2"/>
        <v>620.79999999999995</v>
      </c>
    </row>
    <row r="27" spans="1:16" hidden="1">
      <c r="A27" s="124">
        <v>2613861801</v>
      </c>
      <c r="B27" s="146" t="s">
        <v>200</v>
      </c>
      <c r="C27" s="124" t="s">
        <v>63</v>
      </c>
      <c r="D27" s="125" t="str">
        <f>VLOOKUP(VLOOKUP(A27,Det_Personal!A:L,12,FALSE),Det_Personal!O$1:T$5,2,FALSE)</f>
        <v>Conexión Total Premium XL</v>
      </c>
      <c r="E27" s="136">
        <f>VLOOKUP(A27,Det_Personal!A:D,2,FALSE)</f>
        <v>640</v>
      </c>
      <c r="F27" s="136">
        <f>VLOOKUP($A27,Det_Personal!$A:$D,3,FALSE)+VLOOKUP($A27,Det_Personal!$A:$D,4,FALSE)</f>
        <v>16.489999999999998</v>
      </c>
      <c r="G27" s="136">
        <f>VLOOKUP($A27,Det_Personal!$A:$E,5,FALSE)</f>
        <v>16.489999999999998</v>
      </c>
      <c r="H27" s="136">
        <f>VLOOKUP($A27,Det_Personal!$A:$E,5,FALSE)</f>
        <v>16.489999999999998</v>
      </c>
      <c r="I27" s="136"/>
      <c r="J27" s="137">
        <f>VLOOKUP(A27,Det_Personal!$A:$I,9,FALSE)</f>
        <v>21.18</v>
      </c>
      <c r="K27" s="136">
        <f>VLOOKUP($A27,Det_Personal!$A:$F,6,FALSE)</f>
        <v>0</v>
      </c>
      <c r="L27" s="138">
        <f t="shared" si="0"/>
        <v>672.98</v>
      </c>
      <c r="M27" s="138">
        <f t="shared" si="7"/>
        <v>38.284288829999994</v>
      </c>
      <c r="N27" s="138"/>
      <c r="O27" s="90">
        <f t="shared" si="1"/>
        <v>19.694700000000001</v>
      </c>
      <c r="P27" s="139">
        <f t="shared" si="2"/>
        <v>653.28530000000001</v>
      </c>
    </row>
    <row r="28" spans="1:16" hidden="1">
      <c r="A28" s="124">
        <v>2613861803</v>
      </c>
      <c r="B28" s="146" t="s">
        <v>110</v>
      </c>
      <c r="C28" s="124" t="s">
        <v>64</v>
      </c>
      <c r="D28" s="125" t="str">
        <f>VLOOKUP(VLOOKUP(A28,Det_Personal!A:L,12,FALSE),Det_Personal!O$1:T$5,2,FALSE)</f>
        <v>Conexión Total Premium XL</v>
      </c>
      <c r="E28" s="136">
        <f>VLOOKUP(A28,Det_Personal!A:D,2,FALSE)</f>
        <v>640</v>
      </c>
      <c r="F28" s="136">
        <f>VLOOKUP($A28,Det_Personal!$A:$D,3,FALSE)+VLOOKUP($A28,Det_Personal!$A:$D,4,FALSE)</f>
        <v>448.72</v>
      </c>
      <c r="G28" s="136">
        <f>VLOOKUP($A28,Det_Personal!$A:$E,5,FALSE)</f>
        <v>642.72</v>
      </c>
      <c r="H28" s="136">
        <f>VLOOKUP($A28,Det_Personal!$A:$E,5,FALSE)</f>
        <v>642.72</v>
      </c>
      <c r="I28" s="136"/>
      <c r="J28" s="137">
        <f>VLOOKUP(A28,Det_Personal!$A:$I,9,FALSE)</f>
        <v>70.12</v>
      </c>
      <c r="K28" s="136">
        <f>VLOOKUP($A28,Det_Personal!$A:$F,6,FALSE)</f>
        <v>0</v>
      </c>
      <c r="L28" s="138">
        <f t="shared" si="0"/>
        <v>1731.44</v>
      </c>
      <c r="M28" s="138">
        <f t="shared" si="7"/>
        <v>1235.7784162400001</v>
      </c>
      <c r="N28" s="138"/>
      <c r="O28" s="90">
        <f t="shared" si="1"/>
        <v>32.6616</v>
      </c>
      <c r="P28" s="139">
        <f t="shared" si="2"/>
        <v>1698.7784000000001</v>
      </c>
    </row>
    <row r="29" spans="1:16" hidden="1">
      <c r="A29" s="7">
        <v>2614669416</v>
      </c>
      <c r="B29" s="133" t="s">
        <v>35</v>
      </c>
      <c r="C29" s="124" t="s">
        <v>64</v>
      </c>
      <c r="D29" s="125" t="str">
        <f>VLOOKUP(VLOOKUP(A29,Det_Personal!A:L,12,FALSE),Det_Personal!O$1:T$5,2,FALSE)</f>
        <v>TI Black Empresas 2</v>
      </c>
      <c r="E29" s="136">
        <f>VLOOKUP(A29,Det_Personal!A:D,2,FALSE)</f>
        <v>640</v>
      </c>
      <c r="F29" s="136">
        <f>VLOOKUP($A29,Det_Personal!$A:$D,3,FALSE)+VLOOKUP($A29,Det_Personal!$A:$D,4,FALSE)</f>
        <v>0</v>
      </c>
      <c r="G29" s="136">
        <f>VLOOKUP($A29,Det_Personal!$A:$E,5,FALSE)</f>
        <v>97</v>
      </c>
      <c r="H29" s="136">
        <f>VLOOKUP($A29,Det_Personal!$A:$E,5,FALSE)</f>
        <v>97</v>
      </c>
      <c r="I29" s="136"/>
      <c r="J29" s="137">
        <f>VLOOKUP(A29,Det_Personal!$A:$I,9,FALSE)</f>
        <v>24.38</v>
      </c>
      <c r="K29" s="136">
        <f>VLOOKUP($A29,Det_Personal!$A:$F,6,FALSE)</f>
        <v>0</v>
      </c>
      <c r="L29" s="138">
        <f t="shared" si="0"/>
        <v>737</v>
      </c>
      <c r="M29" s="138">
        <f t="shared" si="7"/>
        <v>97</v>
      </c>
      <c r="N29" s="138"/>
      <c r="O29" s="90">
        <f t="shared" si="1"/>
        <v>19.2</v>
      </c>
      <c r="P29" s="139">
        <f t="shared" si="2"/>
        <v>717.8</v>
      </c>
    </row>
    <row r="30" spans="1:16" hidden="1">
      <c r="A30" s="7">
        <v>2615181364</v>
      </c>
      <c r="B30" s="133" t="s">
        <v>30</v>
      </c>
      <c r="C30" s="124" t="s">
        <v>64</v>
      </c>
      <c r="D30" s="125" t="str">
        <f>VLOOKUP(VLOOKUP(A30,Det_Personal!A:L,12,FALSE),Det_Personal!O$1:T$5,2,FALSE)</f>
        <v>TI Empresas Ilimitado</v>
      </c>
      <c r="E30" s="136">
        <f>VLOOKUP(A30,Det_Personal!A:D,2,FALSE)</f>
        <v>640</v>
      </c>
      <c r="F30" s="136">
        <f>VLOOKUP($A30,Det_Personal!$A:$D,3,FALSE)+VLOOKUP($A30,Det_Personal!$A:$D,4,FALSE)</f>
        <v>0</v>
      </c>
      <c r="G30" s="136">
        <f>VLOOKUP($A30,Det_Personal!$A:$E,5,FALSE)</f>
        <v>38</v>
      </c>
      <c r="H30" s="136">
        <f>VLOOKUP($A30,Det_Personal!$A:$E,5,FALSE)</f>
        <v>38</v>
      </c>
      <c r="I30" s="136"/>
      <c r="J30" s="137">
        <f>VLOOKUP(A30,Det_Personal!$A:$I,9,FALSE)</f>
        <v>0</v>
      </c>
      <c r="K30" s="136">
        <f>VLOOKUP($A30,Det_Personal!$A:$F,6,FALSE)</f>
        <v>0</v>
      </c>
      <c r="L30" s="138">
        <f t="shared" si="0"/>
        <v>678</v>
      </c>
      <c r="M30" s="138">
        <f t="shared" si="7"/>
        <v>38</v>
      </c>
      <c r="N30" s="138"/>
      <c r="O30" s="90">
        <f t="shared" si="1"/>
        <v>19.2</v>
      </c>
      <c r="P30" s="139">
        <f t="shared" si="2"/>
        <v>658.8</v>
      </c>
    </row>
    <row r="31" spans="1:16" hidden="1">
      <c r="A31" s="7">
        <v>2615186052</v>
      </c>
      <c r="B31" s="133" t="s">
        <v>212</v>
      </c>
      <c r="C31" s="124" t="s">
        <v>64</v>
      </c>
      <c r="D31" s="125" t="str">
        <f>VLOOKUP(VLOOKUP(A31,Det_Personal!A:L,12,FALSE),Det_Personal!O$1:T$5,2,FALSE)</f>
        <v>TI Empresas Ilimitado</v>
      </c>
      <c r="E31" s="136">
        <f>VLOOKUP(A31,Det_Personal!A:D,2,FALSE)</f>
        <v>640</v>
      </c>
      <c r="F31" s="136">
        <f>VLOOKUP($A31,Det_Personal!$A:$D,3,FALSE)+VLOOKUP($A31,Det_Personal!$A:$D,4,FALSE)</f>
        <v>0</v>
      </c>
      <c r="G31" s="136">
        <f>VLOOKUP($A31,Det_Personal!$A:$E,5,FALSE)</f>
        <v>0</v>
      </c>
      <c r="H31" s="136">
        <f>VLOOKUP($A31,Det_Personal!$A:$E,5,FALSE)</f>
        <v>0</v>
      </c>
      <c r="I31" s="136"/>
      <c r="J31" s="137">
        <f>VLOOKUP(A31,Det_Personal!$A:$I,9,FALSE)</f>
        <v>276.35000000000002</v>
      </c>
      <c r="K31" s="136">
        <f>VLOOKUP($A31,Det_Personal!$A:$F,6,FALSE)</f>
        <v>0</v>
      </c>
      <c r="L31" s="138">
        <f t="shared" si="0"/>
        <v>640</v>
      </c>
      <c r="M31" s="138">
        <f t="shared" si="7"/>
        <v>0</v>
      </c>
      <c r="N31" s="138"/>
      <c r="O31" s="90">
        <f t="shared" si="1"/>
        <v>19.2</v>
      </c>
      <c r="P31" s="139">
        <f t="shared" si="2"/>
        <v>620.79999999999995</v>
      </c>
    </row>
    <row r="32" spans="1:16" hidden="1">
      <c r="A32" s="7">
        <v>2615186053</v>
      </c>
      <c r="B32" s="133" t="s">
        <v>19</v>
      </c>
      <c r="C32" s="140" t="s">
        <v>64</v>
      </c>
      <c r="D32" s="125" t="str">
        <f>VLOOKUP(VLOOKUP(A32,Det_Personal!A:L,12,FALSE),Det_Personal!O$1:T$5,2,FALSE)</f>
        <v>TI Empresas Ilimitado</v>
      </c>
      <c r="E32" s="136">
        <f>VLOOKUP(A32,Det_Personal!A:D,2,FALSE)</f>
        <v>1250</v>
      </c>
      <c r="F32" s="136">
        <f>VLOOKUP($A32,Det_Personal!$A:$D,3,FALSE)+VLOOKUP($A32,Det_Personal!$A:$D,4,FALSE)</f>
        <v>6.58</v>
      </c>
      <c r="G32" s="136">
        <f>VLOOKUP($A32,Det_Personal!$A:$E,5,FALSE)</f>
        <v>0</v>
      </c>
      <c r="H32" s="136">
        <f>VLOOKUP($A32,Det_Personal!$A:$E,5,FALSE)</f>
        <v>0</v>
      </c>
      <c r="I32" s="136"/>
      <c r="J32" s="137">
        <f>VLOOKUP(A32,Det_Personal!$A:$I,9,FALSE)</f>
        <v>1.32</v>
      </c>
      <c r="K32" s="136">
        <f>VLOOKUP($A32,Det_Personal!$A:$F,6,FALSE)</f>
        <v>0</v>
      </c>
      <c r="L32" s="138">
        <f t="shared" si="0"/>
        <v>1256.58</v>
      </c>
      <c r="M32" s="141">
        <f>G32+I32*1.21</f>
        <v>0</v>
      </c>
      <c r="N32" s="7"/>
      <c r="O32" s="90">
        <f t="shared" si="1"/>
        <v>37.697399999999995</v>
      </c>
      <c r="P32" s="7"/>
    </row>
    <row r="33" spans="1:16" hidden="1">
      <c r="A33" s="7">
        <v>2615194826</v>
      </c>
      <c r="B33" s="133" t="s">
        <v>17</v>
      </c>
      <c r="C33" s="142" t="s">
        <v>51</v>
      </c>
      <c r="D33" s="125" t="str">
        <f>VLOOKUP(VLOOKUP(A33,Det_Personal!A:L,12,FALSE),Det_Personal!O$1:T$5,2,FALSE)</f>
        <v>TI Empresas Ilimitado</v>
      </c>
      <c r="E33" s="136">
        <f>VLOOKUP(A33,Det_Personal!A:D,2,FALSE)</f>
        <v>640</v>
      </c>
      <c r="F33" s="136">
        <f>VLOOKUP($A33,Det_Personal!$A:$D,3,FALSE)+VLOOKUP($A33,Det_Personal!$A:$D,4,FALSE)</f>
        <v>0</v>
      </c>
      <c r="G33" s="136">
        <f>VLOOKUP($A33,Det_Personal!$A:$E,5,FALSE)</f>
        <v>0</v>
      </c>
      <c r="H33" s="136">
        <f>VLOOKUP($A33,Det_Personal!$A:$E,5,FALSE)</f>
        <v>0</v>
      </c>
      <c r="I33" s="136"/>
      <c r="J33" s="137">
        <f>VLOOKUP(A33,Det_Personal!$A:$I,9,FALSE)</f>
        <v>29.32</v>
      </c>
      <c r="K33" s="136">
        <f>VLOOKUP($A33,Det_Personal!$A:$F,6,FALSE)</f>
        <v>0</v>
      </c>
      <c r="L33" s="138">
        <f t="shared" si="0"/>
        <v>640</v>
      </c>
      <c r="M33" s="138">
        <f>SUM(E33:F33)*1.321667+G33+I33*1.21</f>
        <v>845.86687999999992</v>
      </c>
      <c r="N33" s="138"/>
      <c r="O33" s="90">
        <f t="shared" si="1"/>
        <v>19.2</v>
      </c>
      <c r="P33" s="139">
        <f t="shared" ref="P33:P38" si="8">L33-O33</f>
        <v>620.79999999999995</v>
      </c>
    </row>
    <row r="34" spans="1:16" hidden="1">
      <c r="A34" s="7">
        <v>2615976517</v>
      </c>
      <c r="B34" s="133" t="s">
        <v>32</v>
      </c>
      <c r="C34" s="124" t="s">
        <v>64</v>
      </c>
      <c r="D34" s="125" t="str">
        <f>VLOOKUP(VLOOKUP(A34,Det_Personal!A:L,12,FALSE),Det_Personal!O$1:T$5,2,FALSE)</f>
        <v>TI Empresas Ilimitado</v>
      </c>
      <c r="E34" s="136">
        <f>VLOOKUP(A34,Det_Personal!A:D,2,FALSE)</f>
        <v>640</v>
      </c>
      <c r="F34" s="136">
        <f>VLOOKUP($A34,Det_Personal!$A:$D,3,FALSE)+VLOOKUP($A34,Det_Personal!$A:$D,4,FALSE)</f>
        <v>0</v>
      </c>
      <c r="G34" s="136">
        <f>VLOOKUP($A34,Det_Personal!$A:$E,5,FALSE)</f>
        <v>0</v>
      </c>
      <c r="H34" s="136">
        <f>VLOOKUP($A34,Det_Personal!$A:$E,5,FALSE)</f>
        <v>0</v>
      </c>
      <c r="I34" s="136"/>
      <c r="J34" s="137">
        <f>VLOOKUP(A34,Det_Personal!$A:$I,9,FALSE)</f>
        <v>894.65</v>
      </c>
      <c r="K34" s="136">
        <f>VLOOKUP($A34,Det_Personal!$A:$F,6,FALSE)</f>
        <v>0</v>
      </c>
      <c r="L34" s="138">
        <f t="shared" ref="L34:L57" si="9">E34+F34+G34+K34</f>
        <v>640</v>
      </c>
      <c r="M34" s="138">
        <f>F34*1.321667+G34+I34*1.21</f>
        <v>0</v>
      </c>
      <c r="N34" s="138"/>
      <c r="O34" s="90">
        <f t="shared" ref="O34:O57" si="10">SUM(E34:F34)*3%</f>
        <v>19.2</v>
      </c>
      <c r="P34" s="139">
        <f t="shared" si="8"/>
        <v>620.79999999999995</v>
      </c>
    </row>
    <row r="35" spans="1:16" hidden="1">
      <c r="A35" s="7">
        <v>2615162884</v>
      </c>
      <c r="B35" s="133" t="s">
        <v>27</v>
      </c>
      <c r="C35" s="124" t="s">
        <v>64</v>
      </c>
      <c r="D35" s="125" t="str">
        <f>VLOOKUP(VLOOKUP(A35,Det_Personal!A:L,12,FALSE),Det_Personal!O$1:T$5,2,FALSE)</f>
        <v>TI Black Empresas 2</v>
      </c>
      <c r="E35" s="136">
        <f>VLOOKUP(A35,Det_Personal!A:D,2,FALSE)</f>
        <v>640</v>
      </c>
      <c r="F35" s="136">
        <f>VLOOKUP($A35,Det_Personal!$A:$D,3,FALSE)+VLOOKUP($A35,Det_Personal!$A:$D,4,FALSE)</f>
        <v>0</v>
      </c>
      <c r="G35" s="136">
        <f>VLOOKUP($A35,Det_Personal!$A:$E,5,FALSE)</f>
        <v>0</v>
      </c>
      <c r="H35" s="136">
        <f>VLOOKUP($A35,Det_Personal!$A:$E,5,FALSE)</f>
        <v>0</v>
      </c>
      <c r="I35" s="136"/>
      <c r="J35" s="137">
        <f>VLOOKUP(A35,Det_Personal!$A:$I,9,FALSE)</f>
        <v>178.22</v>
      </c>
      <c r="K35" s="136">
        <f>VLOOKUP($A35,Det_Personal!$A:$F,6,FALSE)</f>
        <v>0</v>
      </c>
      <c r="L35" s="138">
        <f t="shared" si="9"/>
        <v>640</v>
      </c>
      <c r="M35" s="138">
        <f>F35*1.321667+G35+I35*1.21</f>
        <v>0</v>
      </c>
      <c r="N35" s="138"/>
      <c r="O35" s="90">
        <f t="shared" si="10"/>
        <v>19.2</v>
      </c>
      <c r="P35" s="139">
        <f t="shared" si="8"/>
        <v>620.79999999999995</v>
      </c>
    </row>
    <row r="36" spans="1:16" hidden="1">
      <c r="A36" s="7">
        <v>2614669248</v>
      </c>
      <c r="B36" s="135" t="s">
        <v>392</v>
      </c>
      <c r="C36" s="124" t="s">
        <v>63</v>
      </c>
      <c r="D36" s="125" t="str">
        <f>VLOOKUP(VLOOKUP(A36,Det_Personal!A:L,12,FALSE),Det_Personal!O$1:T$5,2,FALSE)</f>
        <v>TI Black Empresas 2</v>
      </c>
      <c r="E36" s="136">
        <f>VLOOKUP(A36,Det_Personal!A:D,2,FALSE)</f>
        <v>640</v>
      </c>
      <c r="F36" s="136">
        <f>VLOOKUP($A36,Det_Personal!$A:$D,3,FALSE)+VLOOKUP($A36,Det_Personal!$A:$D,4,FALSE)</f>
        <v>0</v>
      </c>
      <c r="G36" s="136">
        <f>VLOOKUP($A36,Det_Personal!$A:$E,5,FALSE)</f>
        <v>0</v>
      </c>
      <c r="H36" s="136">
        <f>VLOOKUP($A36,Det_Personal!$A:$E,5,FALSE)</f>
        <v>0</v>
      </c>
      <c r="I36" s="136"/>
      <c r="J36" s="137">
        <f>VLOOKUP(A36,Det_Personal!$A:$I,9,FALSE)</f>
        <v>0</v>
      </c>
      <c r="K36" s="136">
        <f>VLOOKUP($A36,Det_Personal!$A:$F,6,FALSE)</f>
        <v>0</v>
      </c>
      <c r="L36" s="138">
        <f t="shared" si="9"/>
        <v>640</v>
      </c>
      <c r="M36" s="138">
        <f>F36*1.321667+G36+I36*1.21</f>
        <v>0</v>
      </c>
      <c r="N36" s="138"/>
      <c r="O36" s="90">
        <f t="shared" si="10"/>
        <v>19.2</v>
      </c>
      <c r="P36" s="139">
        <f t="shared" si="8"/>
        <v>620.79999999999995</v>
      </c>
    </row>
    <row r="37" spans="1:16" hidden="1">
      <c r="A37" s="7">
        <v>2615977221</v>
      </c>
      <c r="B37" s="133" t="s">
        <v>33</v>
      </c>
      <c r="C37" s="140" t="s">
        <v>52</v>
      </c>
      <c r="D37" s="125" t="str">
        <f>VLOOKUP(VLOOKUP(A37,Det_Personal!A:L,12,FALSE),Det_Personal!O$1:T$5,2,FALSE)</f>
        <v>TI Empresas Ilimitado</v>
      </c>
      <c r="E37" s="136">
        <f>VLOOKUP(A37,Det_Personal!A:D,2,FALSE)</f>
        <v>640</v>
      </c>
      <c r="F37" s="136">
        <f>VLOOKUP($A37,Det_Personal!$A:$D,3,FALSE)+VLOOKUP($A37,Det_Personal!$A:$D,4,FALSE)</f>
        <v>0</v>
      </c>
      <c r="G37" s="136">
        <f>VLOOKUP($A37,Det_Personal!$A:$E,5,FALSE)</f>
        <v>0</v>
      </c>
      <c r="H37" s="136">
        <f>VLOOKUP($A37,Det_Personal!$A:$E,5,FALSE)</f>
        <v>0</v>
      </c>
      <c r="I37" s="136"/>
      <c r="J37" s="137">
        <f>VLOOKUP(A37,Det_Personal!$A:$I,9,FALSE)</f>
        <v>253</v>
      </c>
      <c r="K37" s="136">
        <f>VLOOKUP($A37,Det_Personal!$A:$F,6,FALSE)</f>
        <v>0</v>
      </c>
      <c r="L37" s="138">
        <f t="shared" si="9"/>
        <v>640</v>
      </c>
      <c r="M37" s="138">
        <f>SUM(E37:F37)*1.321667+G37+I37*1.21</f>
        <v>845.86687999999992</v>
      </c>
      <c r="N37" s="138"/>
      <c r="O37" s="90">
        <f t="shared" si="10"/>
        <v>19.2</v>
      </c>
      <c r="P37" s="139">
        <f t="shared" si="8"/>
        <v>620.79999999999995</v>
      </c>
    </row>
    <row r="38" spans="1:16">
      <c r="A38" s="7">
        <v>2615462740</v>
      </c>
      <c r="B38" s="133" t="s">
        <v>71</v>
      </c>
      <c r="C38" s="140" t="s">
        <v>52</v>
      </c>
      <c r="D38" s="125" t="str">
        <f>VLOOKUP(VLOOKUP(A38,Det_Personal!A:L,12,FALSE),Det_Personal!O$1:T$5,2,FALSE)</f>
        <v>TI Empresas Ilimitado</v>
      </c>
      <c r="E38" s="136">
        <f>VLOOKUP(A38,Det_Personal!A:D,2,FALSE)</f>
        <v>1610</v>
      </c>
      <c r="F38" s="136">
        <f>VLOOKUP($A38,Det_Personal!$A:$D,3,FALSE)+VLOOKUP($A38,Det_Personal!$A:$D,4,FALSE)</f>
        <v>0</v>
      </c>
      <c r="G38" s="136">
        <f>VLOOKUP($A38,Det_Personal!$A:$E,5,FALSE)</f>
        <v>174.6</v>
      </c>
      <c r="H38" s="136">
        <f>VLOOKUP($A38,Det_Personal!$A:$E,5,FALSE)</f>
        <v>174.6</v>
      </c>
      <c r="I38" s="136"/>
      <c r="J38" s="137">
        <f>VLOOKUP(A38,Det_Personal!$A:$I,9,FALSE)</f>
        <v>70.23</v>
      </c>
      <c r="K38" s="136">
        <f>VLOOKUP($A38,Det_Personal!$A:$F,6,FALSE)</f>
        <v>0</v>
      </c>
      <c r="L38" s="138">
        <f t="shared" si="9"/>
        <v>1784.6</v>
      </c>
      <c r="M38" s="138">
        <f>SUM(E38:F38)*1.321667+G38+I38*1.21</f>
        <v>2302.4838699999996</v>
      </c>
      <c r="N38" s="138"/>
      <c r="O38" s="90">
        <f t="shared" si="10"/>
        <v>48.3</v>
      </c>
      <c r="P38" s="139">
        <f t="shared" si="8"/>
        <v>1736.3</v>
      </c>
    </row>
    <row r="39" spans="1:16" hidden="1">
      <c r="A39" s="7">
        <v>2613052256</v>
      </c>
      <c r="B39" s="133" t="s">
        <v>387</v>
      </c>
      <c r="C39" s="124" t="s">
        <v>64</v>
      </c>
      <c r="D39" s="125" t="str">
        <f>VLOOKUP(VLOOKUP(A39,Det_Personal!A:L,12,FALSE),Det_Personal!O$1:T$5,2,FALSE)</f>
        <v>Conexión Total Premium 2XL</v>
      </c>
      <c r="E39" s="136">
        <f>VLOOKUP(A39,Det_Personal!A:D,2,FALSE)</f>
        <v>1610</v>
      </c>
      <c r="F39" s="136">
        <f>VLOOKUP($A39,Det_Personal!$A:$D,3,FALSE)+VLOOKUP($A39,Det_Personal!$A:$D,4,FALSE)</f>
        <v>0</v>
      </c>
      <c r="G39" s="136">
        <f>VLOOKUP($A39,Det_Personal!$A:$E,5,FALSE)</f>
        <v>0</v>
      </c>
      <c r="H39" s="136">
        <f>VLOOKUP($A39,Det_Personal!$A:$E,5,FALSE)</f>
        <v>0</v>
      </c>
      <c r="I39" s="136"/>
      <c r="J39" s="137">
        <f>VLOOKUP(A39,Det_Personal!$A:$I,9,FALSE)</f>
        <v>288.37</v>
      </c>
      <c r="K39" s="136">
        <f>VLOOKUP($A39,Det_Personal!$A:$F,6,FALSE)</f>
        <v>0</v>
      </c>
      <c r="L39" s="138">
        <f t="shared" si="9"/>
        <v>1610</v>
      </c>
      <c r="M39" s="138">
        <f>F39*1.321667+G39+I39*1.21</f>
        <v>0</v>
      </c>
      <c r="N39" s="138"/>
      <c r="O39" s="90">
        <f t="shared" si="10"/>
        <v>48.3</v>
      </c>
      <c r="P39" s="139">
        <f t="shared" ref="P39:P43" si="11">L39-O39</f>
        <v>1561.7</v>
      </c>
    </row>
    <row r="40" spans="1:16" hidden="1">
      <c r="A40" s="125">
        <v>2614664835</v>
      </c>
      <c r="B40" s="132" t="s">
        <v>10</v>
      </c>
      <c r="C40" s="124" t="s">
        <v>64</v>
      </c>
      <c r="D40" s="125" t="str">
        <f>VLOOKUP(VLOOKUP(A40,Det_Personal!A:L,12,FALSE),Det_Personal!O$1:T$5,2,FALSE)</f>
        <v>TI Black Empresas 2</v>
      </c>
      <c r="E40" s="136">
        <f>VLOOKUP(A40,Det_Personal!A:D,2,FALSE)</f>
        <v>1610</v>
      </c>
      <c r="F40" s="136">
        <f>VLOOKUP($A40,Det_Personal!$A:$D,3,FALSE)+VLOOKUP($A40,Det_Personal!$A:$D,4,FALSE)</f>
        <v>0</v>
      </c>
      <c r="G40" s="136">
        <f>VLOOKUP($A40,Det_Personal!$A:$E,5,FALSE)</f>
        <v>0</v>
      </c>
      <c r="H40" s="136">
        <f>VLOOKUP($A40,Det_Personal!$A:$E,5,FALSE)</f>
        <v>0</v>
      </c>
      <c r="I40" s="136"/>
      <c r="J40" s="137">
        <f>VLOOKUP(A40,Det_Personal!$A:$I,9,FALSE)</f>
        <v>477.73</v>
      </c>
      <c r="K40" s="136">
        <f>VLOOKUP($A40,Det_Personal!$A:$F,6,FALSE)</f>
        <v>0</v>
      </c>
      <c r="L40" s="138">
        <f t="shared" si="9"/>
        <v>1610</v>
      </c>
      <c r="M40" s="138">
        <f>F40*1.321667+G40+I40*1.21</f>
        <v>0</v>
      </c>
      <c r="N40" s="138"/>
      <c r="O40" s="90">
        <f t="shared" si="10"/>
        <v>48.3</v>
      </c>
      <c r="P40" s="139">
        <f t="shared" si="11"/>
        <v>1561.7</v>
      </c>
    </row>
    <row r="41" spans="1:16">
      <c r="A41" s="124">
        <v>2614701360</v>
      </c>
      <c r="B41" s="132" t="s">
        <v>14</v>
      </c>
      <c r="C41" s="140" t="s">
        <v>48</v>
      </c>
      <c r="D41" s="125" t="str">
        <f>VLOOKUP(VLOOKUP(A41,Det_Personal!A:L,12,FALSE),Det_Personal!O$1:T$5,2,FALSE)</f>
        <v>TI Black Empresas 2</v>
      </c>
      <c r="E41" s="136">
        <f>VLOOKUP(A41,Det_Personal!A:D,2,FALSE)</f>
        <v>1610</v>
      </c>
      <c r="F41" s="136">
        <f>VLOOKUP($A41,Det_Personal!$A:$D,3,FALSE)+VLOOKUP($A41,Det_Personal!$A:$D,4,FALSE)</f>
        <v>0</v>
      </c>
      <c r="G41" s="136">
        <f>VLOOKUP($A41,Det_Personal!$A:$E,5,FALSE)</f>
        <v>0</v>
      </c>
      <c r="H41" s="136">
        <f>VLOOKUP($A41,Det_Personal!$A:$E,5,FALSE)</f>
        <v>0</v>
      </c>
      <c r="I41" s="136"/>
      <c r="J41" s="137">
        <f>VLOOKUP(A41,Det_Personal!$A:$I,9,FALSE)</f>
        <v>13.95</v>
      </c>
      <c r="K41" s="136">
        <f>VLOOKUP($A41,Det_Personal!$A:$F,6,FALSE)</f>
        <v>0</v>
      </c>
      <c r="L41" s="138">
        <f t="shared" si="9"/>
        <v>1610</v>
      </c>
      <c r="M41" s="138">
        <f>SUM(E41:F41)*1.321667+G41+I41*1.21</f>
        <v>2127.8838699999997</v>
      </c>
      <c r="N41" s="138"/>
      <c r="O41" s="90">
        <f t="shared" si="10"/>
        <v>48.3</v>
      </c>
      <c r="P41" s="139">
        <f t="shared" si="11"/>
        <v>1561.7</v>
      </c>
    </row>
    <row r="42" spans="1:16">
      <c r="A42" s="7">
        <v>2615192638</v>
      </c>
      <c r="B42" s="133" t="s">
        <v>18</v>
      </c>
      <c r="C42" s="143" t="s">
        <v>63</v>
      </c>
      <c r="D42" s="125" t="str">
        <f>VLOOKUP(VLOOKUP(A42,Det_Personal!A:L,12,FALSE),Det_Personal!O$1:T$5,2,FALSE)</f>
        <v>TI Empresas Ilimitado</v>
      </c>
      <c r="E42" s="136">
        <f>VLOOKUP(A42,Det_Personal!A:D,2,FALSE)</f>
        <v>1610</v>
      </c>
      <c r="F42" s="136">
        <f>VLOOKUP($A42,Det_Personal!$A:$D,3,FALSE)+VLOOKUP($A42,Det_Personal!$A:$D,4,FALSE)</f>
        <v>0</v>
      </c>
      <c r="G42" s="136">
        <f>VLOOKUP($A42,Det_Personal!$A:$E,5,FALSE)</f>
        <v>0</v>
      </c>
      <c r="H42" s="136">
        <f>VLOOKUP($A42,Det_Personal!$A:$E,5,FALSE)</f>
        <v>0</v>
      </c>
      <c r="I42" s="136"/>
      <c r="J42" s="137">
        <f>VLOOKUP(A42,Det_Personal!$A:$I,9,FALSE)</f>
        <v>39.119999999999997</v>
      </c>
      <c r="K42" s="136">
        <f>VLOOKUP($A42,Det_Personal!$A:$F,6,FALSE)</f>
        <v>0</v>
      </c>
      <c r="L42" s="138">
        <f t="shared" si="9"/>
        <v>1610</v>
      </c>
      <c r="M42" s="141">
        <f>F42*1.321667+G42+I42*1.21</f>
        <v>0</v>
      </c>
      <c r="N42" s="7"/>
      <c r="O42" s="90">
        <f t="shared" si="10"/>
        <v>48.3</v>
      </c>
      <c r="P42" s="139">
        <f t="shared" si="11"/>
        <v>1561.7</v>
      </c>
    </row>
    <row r="43" spans="1:16" hidden="1">
      <c r="A43" s="7">
        <v>2615557588</v>
      </c>
      <c r="B43" s="133" t="s">
        <v>137</v>
      </c>
      <c r="C43" s="140" t="s">
        <v>52</v>
      </c>
      <c r="D43" s="125" t="str">
        <f>VLOOKUP(VLOOKUP(A43,Det_Personal!A:L,12,FALSE),Det_Personal!O$1:T$5,2,FALSE)</f>
        <v>TI Empresas Ilimitado</v>
      </c>
      <c r="E43" s="136">
        <f>VLOOKUP(A43,Det_Personal!A:D,2,FALSE)</f>
        <v>1250</v>
      </c>
      <c r="F43" s="136">
        <f>VLOOKUP($A43,Det_Personal!$A:$D,3,FALSE)+VLOOKUP($A43,Det_Personal!$A:$D,4,FALSE)</f>
        <v>0</v>
      </c>
      <c r="G43" s="136">
        <f>VLOOKUP($A43,Det_Personal!$A:$E,5,FALSE)</f>
        <v>0</v>
      </c>
      <c r="H43" s="136">
        <f>VLOOKUP($A43,Det_Personal!$A:$E,5,FALSE)</f>
        <v>0</v>
      </c>
      <c r="I43" s="136"/>
      <c r="J43" s="137">
        <f>VLOOKUP(A43,Det_Personal!$A:$I,9,FALSE)</f>
        <v>58.92</v>
      </c>
      <c r="K43" s="136">
        <f>VLOOKUP($A43,Det_Personal!$A:$F,6,FALSE)</f>
        <v>0</v>
      </c>
      <c r="L43" s="138">
        <f t="shared" si="9"/>
        <v>1250</v>
      </c>
      <c r="M43" s="138">
        <f t="shared" ref="M43:M44" si="12">SUM(E43:F43)*1.321667+G43+I43*1.21</f>
        <v>1652.08375</v>
      </c>
      <c r="N43" s="138"/>
      <c r="O43" s="90">
        <f t="shared" si="10"/>
        <v>37.5</v>
      </c>
      <c r="P43" s="139">
        <f t="shared" si="11"/>
        <v>1212.5</v>
      </c>
    </row>
    <row r="44" spans="1:16" hidden="1">
      <c r="A44" s="7">
        <v>2615756516</v>
      </c>
      <c r="B44" s="133" t="s">
        <v>39</v>
      </c>
      <c r="C44" s="140" t="s">
        <v>53</v>
      </c>
      <c r="D44" s="125" t="str">
        <f>VLOOKUP(VLOOKUP(A44,Det_Personal!A:L,12,FALSE),Det_Personal!O$1:T$5,2,FALSE)</f>
        <v>TI Empresas Ilimitado</v>
      </c>
      <c r="E44" s="136">
        <f>VLOOKUP(A44,Det_Personal!A:D,2,FALSE)</f>
        <v>1610</v>
      </c>
      <c r="F44" s="136">
        <f>VLOOKUP($A44,Det_Personal!$A:$D,3,FALSE)+VLOOKUP($A44,Det_Personal!$A:$D,4,FALSE)</f>
        <v>0</v>
      </c>
      <c r="G44" s="136">
        <f>VLOOKUP($A44,Det_Personal!$A:$E,5,FALSE)</f>
        <v>0</v>
      </c>
      <c r="H44" s="136">
        <f>VLOOKUP($A44,Det_Personal!$A:$E,5,FALSE)</f>
        <v>0</v>
      </c>
      <c r="I44" s="136"/>
      <c r="J44" s="137">
        <f>VLOOKUP(A44,Det_Personal!$A:$I,9,FALSE)</f>
        <v>315.68</v>
      </c>
      <c r="K44" s="136">
        <f>VLOOKUP($A44,Det_Personal!$A:$F,6,FALSE)</f>
        <v>0</v>
      </c>
      <c r="L44" s="138">
        <f t="shared" si="9"/>
        <v>1610</v>
      </c>
      <c r="M44" s="138">
        <f t="shared" si="12"/>
        <v>2127.8838699999997</v>
      </c>
      <c r="N44" s="138"/>
      <c r="O44" s="90">
        <f t="shared" si="10"/>
        <v>48.3</v>
      </c>
      <c r="P44" s="144">
        <f>SUM(P21:P43)</f>
        <v>20373.863699999998</v>
      </c>
    </row>
    <row r="45" spans="1:16" hidden="1">
      <c r="A45" s="125">
        <v>2614708391</v>
      </c>
      <c r="B45" s="132" t="s">
        <v>13</v>
      </c>
      <c r="C45" s="124" t="s">
        <v>64</v>
      </c>
      <c r="D45" s="125" t="str">
        <f>VLOOKUP(VLOOKUP(A45,Det_Personal!A:L,12,FALSE),Det_Personal!O$1:T$5,2,FALSE)</f>
        <v>TI Black Empresas 2</v>
      </c>
      <c r="E45" s="136">
        <f>VLOOKUP(A45,Det_Personal!A:D,2,FALSE)</f>
        <v>1610</v>
      </c>
      <c r="F45" s="136">
        <f>VLOOKUP($A45,Det_Personal!$A:$D,3,FALSE)+VLOOKUP($A45,Det_Personal!$A:$D,4,FALSE)</f>
        <v>0</v>
      </c>
      <c r="G45" s="136">
        <f>VLOOKUP($A45,Det_Personal!$A:$E,5,FALSE)</f>
        <v>0</v>
      </c>
      <c r="H45" s="136">
        <f>VLOOKUP($A45,Det_Personal!$A:$E,5,FALSE)</f>
        <v>0</v>
      </c>
      <c r="I45" s="136"/>
      <c r="J45" s="137">
        <f>VLOOKUP(A45,Det_Personal!$A:$I,9,FALSE)</f>
        <v>75.8</v>
      </c>
      <c r="K45" s="136">
        <f>VLOOKUP($A45,Det_Personal!$A:$F,6,FALSE)</f>
        <v>0</v>
      </c>
      <c r="L45" s="138">
        <f t="shared" si="9"/>
        <v>1610</v>
      </c>
      <c r="M45" s="138">
        <f>F45*1.321667+G45+I45*1.21</f>
        <v>0</v>
      </c>
      <c r="N45" s="138"/>
      <c r="O45" s="90">
        <f t="shared" si="10"/>
        <v>48.3</v>
      </c>
      <c r="P45" s="139">
        <f t="shared" ref="P45:P48" si="13">L45-O45</f>
        <v>1561.7</v>
      </c>
    </row>
    <row r="46" spans="1:16" hidden="1">
      <c r="A46" s="125">
        <v>2613626179</v>
      </c>
      <c r="B46" s="132" t="s">
        <v>145</v>
      </c>
      <c r="C46" s="124" t="s">
        <v>64</v>
      </c>
      <c r="D46" s="125" t="str">
        <f>VLOOKUP(VLOOKUP(A46,Det_Personal!A:L,12,FALSE),Det_Personal!O$1:T$5,2,FALSE)</f>
        <v>Conexión Total Premium 2XL</v>
      </c>
      <c r="E46" s="136">
        <f>VLOOKUP(A46,Det_Personal!A:D,2,FALSE)</f>
        <v>1610</v>
      </c>
      <c r="F46" s="136">
        <f>VLOOKUP($A46,Det_Personal!$A:$D,3,FALSE)+VLOOKUP($A46,Det_Personal!$A:$D,4,FALSE)</f>
        <v>0</v>
      </c>
      <c r="G46" s="136">
        <f>VLOOKUP($A46,Det_Personal!$A:$E,5,FALSE)</f>
        <v>0</v>
      </c>
      <c r="H46" s="136">
        <f>VLOOKUP($A46,Det_Personal!$A:$E,5,FALSE)</f>
        <v>0</v>
      </c>
      <c r="I46" s="136"/>
      <c r="J46" s="137">
        <f>VLOOKUP(A46,Det_Personal!$A:$I,9,FALSE)</f>
        <v>66.5</v>
      </c>
      <c r="K46" s="136">
        <f>VLOOKUP($A46,Det_Personal!$A:$F,6,FALSE)</f>
        <v>0</v>
      </c>
      <c r="L46" s="138">
        <f t="shared" si="9"/>
        <v>1610</v>
      </c>
      <c r="M46" s="138">
        <f>F46*1.321667+G46+I46*1.21</f>
        <v>0</v>
      </c>
      <c r="N46" s="138"/>
      <c r="O46" s="90">
        <f t="shared" si="10"/>
        <v>48.3</v>
      </c>
      <c r="P46" s="139">
        <f t="shared" si="13"/>
        <v>1561.7</v>
      </c>
    </row>
    <row r="47" spans="1:16" hidden="1">
      <c r="A47" s="124">
        <v>2613861806</v>
      </c>
      <c r="B47" s="146" t="s">
        <v>386</v>
      </c>
      <c r="C47" s="124" t="s">
        <v>64</v>
      </c>
      <c r="D47" s="125" t="str">
        <f>VLOOKUP(VLOOKUP(A47,Det_Personal!A:L,12,FALSE),Det_Personal!O$1:T$5,2,FALSE)</f>
        <v>Conexión Total Premium XL</v>
      </c>
      <c r="E47" s="136">
        <f>VLOOKUP(A47,Det_Personal!A:D,2,FALSE)</f>
        <v>1610</v>
      </c>
      <c r="F47" s="136">
        <f>VLOOKUP($A47,Det_Personal!$A:$D,3,FALSE)+VLOOKUP($A47,Det_Personal!$A:$D,4,FALSE)</f>
        <v>0</v>
      </c>
      <c r="G47" s="136">
        <f>VLOOKUP($A47,Det_Personal!$A:$E,5,FALSE)</f>
        <v>0</v>
      </c>
      <c r="H47" s="136">
        <f>VLOOKUP($A47,Det_Personal!$A:$E,5,FALSE)</f>
        <v>0</v>
      </c>
      <c r="I47" s="136"/>
      <c r="J47" s="137">
        <f>VLOOKUP(A47,Det_Personal!$A:$I,9,FALSE)</f>
        <v>78.819999999999993</v>
      </c>
      <c r="K47" s="136">
        <f>VLOOKUP($A47,Det_Personal!$A:$F,6,FALSE)</f>
        <v>0</v>
      </c>
      <c r="L47" s="138">
        <f t="shared" si="9"/>
        <v>1610</v>
      </c>
      <c r="M47" s="138">
        <f>F47*1.321667+G47+I47*1.21</f>
        <v>0</v>
      </c>
      <c r="N47" s="138"/>
      <c r="O47" s="90">
        <f t="shared" si="10"/>
        <v>48.3</v>
      </c>
      <c r="P47" s="139">
        <f t="shared" si="13"/>
        <v>1561.7</v>
      </c>
    </row>
    <row r="48" spans="1:16" hidden="1">
      <c r="A48" s="124">
        <v>2614669247</v>
      </c>
      <c r="B48" s="146" t="s">
        <v>134</v>
      </c>
      <c r="C48" s="124" t="s">
        <v>64</v>
      </c>
      <c r="D48" s="125" t="str">
        <f>VLOOKUP(VLOOKUP(A48,Det_Personal!A:L,12,FALSE),Det_Personal!O$1:T$5,2,FALSE)</f>
        <v>TI Black Empresas 2</v>
      </c>
      <c r="E48" s="136">
        <f>VLOOKUP(A48,Det_Personal!A:D,2,FALSE)</f>
        <v>1610</v>
      </c>
      <c r="F48" s="136">
        <f>VLOOKUP($A48,Det_Personal!$A:$D,3,FALSE)+VLOOKUP($A48,Det_Personal!$A:$D,4,FALSE)</f>
        <v>13.45</v>
      </c>
      <c r="G48" s="136">
        <f>VLOOKUP($A48,Det_Personal!$A:$E,5,FALSE)</f>
        <v>13.45</v>
      </c>
      <c r="H48" s="136">
        <f>VLOOKUP($A48,Det_Personal!$A:$E,5,FALSE)</f>
        <v>13.45</v>
      </c>
      <c r="I48" s="136"/>
      <c r="J48" s="137">
        <f>VLOOKUP(A48,Det_Personal!$A:$I,9,FALSE)</f>
        <v>172.7</v>
      </c>
      <c r="K48" s="136">
        <f>VLOOKUP($A48,Det_Personal!$A:$F,6,FALSE)</f>
        <v>0</v>
      </c>
      <c r="L48" s="138">
        <f t="shared" si="9"/>
        <v>1636.9</v>
      </c>
      <c r="M48" s="138">
        <f>F48*1.321667+G48+I48*1.21</f>
        <v>31.226421149999997</v>
      </c>
      <c r="N48" s="138"/>
      <c r="O48" s="90">
        <f t="shared" si="10"/>
        <v>48.703499999999998</v>
      </c>
      <c r="P48" s="139">
        <f t="shared" si="13"/>
        <v>1588.1965</v>
      </c>
    </row>
    <row r="49" spans="1:16" hidden="1">
      <c r="A49" s="7">
        <v>2615574150</v>
      </c>
      <c r="B49" s="133" t="s">
        <v>36</v>
      </c>
      <c r="C49" s="143" t="s">
        <v>63</v>
      </c>
      <c r="D49" s="125" t="str">
        <f>VLOOKUP(VLOOKUP(A49,Det_Personal!A:L,12,FALSE),Det_Personal!O$1:T$5,2,FALSE)</f>
        <v>TI Empresas Ilimitado</v>
      </c>
      <c r="E49" s="136">
        <f>VLOOKUP(A49,Det_Personal!A:D,2,FALSE)</f>
        <v>1250</v>
      </c>
      <c r="F49" s="136">
        <f>VLOOKUP($A49,Det_Personal!$A:$D,3,FALSE)+VLOOKUP($A49,Det_Personal!$A:$D,4,FALSE)</f>
        <v>0</v>
      </c>
      <c r="G49" s="136">
        <f>VLOOKUP($A49,Det_Personal!$A:$E,5,FALSE)</f>
        <v>168.28</v>
      </c>
      <c r="H49" s="136">
        <f>VLOOKUP($A49,Det_Personal!$A:$E,5,FALSE)</f>
        <v>168.28</v>
      </c>
      <c r="I49" s="136"/>
      <c r="J49" s="137">
        <f>VLOOKUP(A49,Det_Personal!$A:$I,9,FALSE)</f>
        <v>182.25</v>
      </c>
      <c r="K49" s="136">
        <f>VLOOKUP($A49,Det_Personal!$A:$F,6,FALSE)</f>
        <v>0</v>
      </c>
      <c r="L49" s="138">
        <f t="shared" si="9"/>
        <v>1418.28</v>
      </c>
      <c r="M49" s="138">
        <f>SUM(E49:F49)*1.321667+G49+I49*1.21</f>
        <v>1820.36375</v>
      </c>
      <c r="N49" s="90"/>
      <c r="O49" s="90">
        <f t="shared" si="10"/>
        <v>37.5</v>
      </c>
      <c r="P49" s="7"/>
    </row>
    <row r="50" spans="1:16" hidden="1">
      <c r="A50" s="124">
        <v>2613072362</v>
      </c>
      <c r="B50" s="145" t="s">
        <v>151</v>
      </c>
      <c r="C50" s="124" t="s">
        <v>64</v>
      </c>
      <c r="D50" s="125" t="str">
        <f>VLOOKUP(VLOOKUP(A50,Det_Personal!A:L,12,FALSE),Det_Personal!O$1:T$5,2,FALSE)</f>
        <v>Conexión Total Premium 2XL</v>
      </c>
      <c r="E50" s="136">
        <f>VLOOKUP(A50,Det_Personal!A:D,2,FALSE)</f>
        <v>1610</v>
      </c>
      <c r="F50" s="136">
        <f>VLOOKUP($A50,Det_Personal!$A:$D,3,FALSE)+VLOOKUP($A50,Det_Personal!$A:$D,4,FALSE)</f>
        <v>0</v>
      </c>
      <c r="G50" s="136">
        <f>VLOOKUP($A50,Det_Personal!$A:$E,5,FALSE)</f>
        <v>0</v>
      </c>
      <c r="H50" s="136">
        <f>VLOOKUP($A50,Det_Personal!$A:$E,5,FALSE)</f>
        <v>0</v>
      </c>
      <c r="I50" s="136"/>
      <c r="J50" s="137">
        <f>VLOOKUP(A50,Det_Personal!$A:$I,9,FALSE)</f>
        <v>19.420000000000002</v>
      </c>
      <c r="K50" s="136">
        <f>VLOOKUP($A50,Det_Personal!$A:$F,6,FALSE)</f>
        <v>0</v>
      </c>
      <c r="L50" s="138">
        <f t="shared" si="9"/>
        <v>1610</v>
      </c>
      <c r="M50" s="138">
        <f>F50*1.321667+G50+I50*1.21</f>
        <v>0</v>
      </c>
      <c r="N50" s="138"/>
      <c r="O50" s="90">
        <f t="shared" si="10"/>
        <v>48.3</v>
      </c>
      <c r="P50" s="139">
        <f>L50-O50</f>
        <v>1561.7</v>
      </c>
    </row>
    <row r="51" spans="1:16" hidden="1">
      <c r="A51" s="124">
        <v>2613861807</v>
      </c>
      <c r="B51" s="132" t="s">
        <v>70</v>
      </c>
      <c r="C51" s="140" t="s">
        <v>104</v>
      </c>
      <c r="D51" s="125" t="str">
        <f>VLOOKUP(VLOOKUP(A51,Det_Personal!A:L,12,FALSE),Det_Personal!O$1:T$5,2,FALSE)</f>
        <v>TI Black Empresas 2</v>
      </c>
      <c r="E51" s="136">
        <f>VLOOKUP(A51,Det_Personal!A:D,2,FALSE)</f>
        <v>1610</v>
      </c>
      <c r="F51" s="136">
        <f>VLOOKUP($A51,Det_Personal!$A:$D,3,FALSE)+VLOOKUP($A51,Det_Personal!$A:$D,4,FALSE)</f>
        <v>0</v>
      </c>
      <c r="G51" s="136">
        <f>VLOOKUP($A51,Det_Personal!$A:$E,5,FALSE)</f>
        <v>0</v>
      </c>
      <c r="H51" s="136">
        <f>VLOOKUP($A51,Det_Personal!$A:$E,5,FALSE)</f>
        <v>0</v>
      </c>
      <c r="I51" s="136"/>
      <c r="J51" s="137">
        <f>VLOOKUP(A51,Det_Personal!$A:$I,9,FALSE)</f>
        <v>18.93</v>
      </c>
      <c r="K51" s="136">
        <f>VLOOKUP($A51,Det_Personal!$A:$F,6,FALSE)</f>
        <v>0</v>
      </c>
      <c r="L51" s="138">
        <f t="shared" si="9"/>
        <v>1610</v>
      </c>
      <c r="M51" s="138">
        <f>SUM(E51:F51)*1.321667+G51+I51*1.21</f>
        <v>2127.8838699999997</v>
      </c>
      <c r="N51" s="138"/>
      <c r="O51" s="90">
        <f t="shared" si="10"/>
        <v>48.3</v>
      </c>
      <c r="P51" s="139">
        <f>L51-O51</f>
        <v>1561.7</v>
      </c>
    </row>
    <row r="52" spans="1:16" hidden="1">
      <c r="A52" s="7">
        <v>2616401259</v>
      </c>
      <c r="B52" s="133" t="s">
        <v>361</v>
      </c>
      <c r="C52" s="143" t="s">
        <v>63</v>
      </c>
      <c r="D52" s="125" t="str">
        <f>VLOOKUP(VLOOKUP(A52,Det_Personal!A:L,12,FALSE),Det_Personal!O$1:T$5,2,FALSE)</f>
        <v>TI Empresas Ilimitado</v>
      </c>
      <c r="E52" s="136">
        <f>VLOOKUP(A52,Det_Personal!A:D,2,FALSE)</f>
        <v>1610</v>
      </c>
      <c r="F52" s="136">
        <f>VLOOKUP($A52,Det_Personal!$A:$D,3,FALSE)+VLOOKUP($A52,Det_Personal!$A:$D,4,FALSE)</f>
        <v>0</v>
      </c>
      <c r="G52" s="136">
        <f>VLOOKUP($A52,Det_Personal!$A:$E,5,FALSE)</f>
        <v>0</v>
      </c>
      <c r="H52" s="136">
        <f>VLOOKUP($A52,Det_Personal!$A:$E,5,FALSE)</f>
        <v>0</v>
      </c>
      <c r="I52" s="136"/>
      <c r="J52" s="137">
        <f>VLOOKUP(A52,Det_Personal!$A:$I,9,FALSE)</f>
        <v>0</v>
      </c>
      <c r="K52" s="136">
        <f>VLOOKUP($A52,Det_Personal!$A:$F,6,FALSE)</f>
        <v>0</v>
      </c>
      <c r="L52" s="138">
        <f t="shared" si="9"/>
        <v>1610</v>
      </c>
      <c r="M52" s="141">
        <f t="shared" ref="M52:M56" si="14">F52*1.321667+G52+I52*1.21</f>
        <v>0</v>
      </c>
      <c r="N52" s="7"/>
      <c r="O52" s="90">
        <f t="shared" si="10"/>
        <v>48.3</v>
      </c>
      <c r="P52" s="7"/>
    </row>
    <row r="53" spans="1:16" hidden="1">
      <c r="A53" s="124">
        <v>2614704140</v>
      </c>
      <c r="B53" s="146" t="s">
        <v>11</v>
      </c>
      <c r="C53" s="124" t="s">
        <v>64</v>
      </c>
      <c r="D53" s="125" t="str">
        <f>VLOOKUP(VLOOKUP(A53,Det_Personal!A:L,12,FALSE),Det_Personal!O$1:T$5,2,FALSE)</f>
        <v>TI Black Empresas 2</v>
      </c>
      <c r="E53" s="136">
        <f>VLOOKUP(A53,Det_Personal!A:D,2,FALSE)</f>
        <v>1610</v>
      </c>
      <c r="F53" s="136">
        <f>VLOOKUP($A53,Det_Personal!$A:$D,3,FALSE)+VLOOKUP($A53,Det_Personal!$A:$D,4,FALSE)</f>
        <v>0</v>
      </c>
      <c r="G53" s="136">
        <f>VLOOKUP($A53,Det_Personal!$A:$E,5,FALSE)</f>
        <v>0</v>
      </c>
      <c r="H53" s="136">
        <f>VLOOKUP($A53,Det_Personal!$A:$E,5,FALSE)</f>
        <v>0</v>
      </c>
      <c r="I53" s="136"/>
      <c r="J53" s="137">
        <f>VLOOKUP(A53,Det_Personal!$A:$I,9,FALSE)</f>
        <v>251.52</v>
      </c>
      <c r="K53" s="136">
        <f>VLOOKUP($A53,Det_Personal!$A:$F,6,FALSE)</f>
        <v>0</v>
      </c>
      <c r="L53" s="138">
        <f t="shared" si="9"/>
        <v>1610</v>
      </c>
      <c r="M53" s="138">
        <f t="shared" si="14"/>
        <v>0</v>
      </c>
      <c r="N53" s="138"/>
      <c r="O53" s="90">
        <f t="shared" si="10"/>
        <v>48.3</v>
      </c>
      <c r="P53" s="139">
        <f>L53-O53</f>
        <v>1561.7</v>
      </c>
    </row>
    <row r="54" spans="1:16" hidden="1">
      <c r="A54" s="7">
        <v>2615968889</v>
      </c>
      <c r="B54" s="133" t="s">
        <v>31</v>
      </c>
      <c r="C54" s="140" t="s">
        <v>64</v>
      </c>
      <c r="D54" s="125" t="str">
        <f>VLOOKUP(VLOOKUP(A54,Det_Personal!A:L,12,FALSE),Det_Personal!O$1:T$5,2,FALSE)</f>
        <v>TI Empresas Ilimitado</v>
      </c>
      <c r="E54" s="136">
        <f>VLOOKUP(A54,Det_Personal!A:D,2,FALSE)</f>
        <v>1610</v>
      </c>
      <c r="F54" s="136">
        <f>VLOOKUP($A54,Det_Personal!$A:$D,3,FALSE)+VLOOKUP($A54,Det_Personal!$A:$D,4,FALSE)</f>
        <v>0</v>
      </c>
      <c r="G54" s="136">
        <f>VLOOKUP($A54,Det_Personal!$A:$E,5,FALSE)</f>
        <v>0</v>
      </c>
      <c r="H54" s="136">
        <f>VLOOKUP($A54,Det_Personal!$A:$E,5,FALSE)</f>
        <v>0</v>
      </c>
      <c r="I54" s="136"/>
      <c r="J54" s="137">
        <f>VLOOKUP(A54,Det_Personal!$A:$I,9,FALSE)</f>
        <v>28.93</v>
      </c>
      <c r="K54" s="136">
        <f>VLOOKUP($A54,Det_Personal!$A:$F,6,FALSE)</f>
        <v>0</v>
      </c>
      <c r="L54" s="138">
        <f t="shared" si="9"/>
        <v>1610</v>
      </c>
      <c r="M54" s="141">
        <f t="shared" si="14"/>
        <v>0</v>
      </c>
      <c r="N54" s="7"/>
      <c r="O54" s="90">
        <f t="shared" si="10"/>
        <v>48.3</v>
      </c>
      <c r="P54" s="139">
        <f>L54-O54</f>
        <v>1561.7</v>
      </c>
    </row>
    <row r="55" spans="1:16">
      <c r="A55" s="125">
        <v>2614715937</v>
      </c>
      <c r="B55" s="132" t="s">
        <v>9</v>
      </c>
      <c r="C55" s="124" t="s">
        <v>64</v>
      </c>
      <c r="D55" s="125" t="str">
        <f>VLOOKUP(VLOOKUP(A55,Det_Personal!A:L,12,FALSE),Det_Personal!O$1:T$5,2,FALSE)</f>
        <v>TI Black Empresas 2</v>
      </c>
      <c r="E55" s="136">
        <f>VLOOKUP(A55,Det_Personal!A:D,2,FALSE)</f>
        <v>1610</v>
      </c>
      <c r="F55" s="136">
        <f>VLOOKUP($A55,Det_Personal!$A:$D,3,FALSE)+VLOOKUP($A55,Det_Personal!$A:$D,4,FALSE)</f>
        <v>0</v>
      </c>
      <c r="G55" s="136">
        <f>VLOOKUP($A55,Det_Personal!$A:$E,5,FALSE)</f>
        <v>261.82</v>
      </c>
      <c r="H55" s="136">
        <f>VLOOKUP($A55,Det_Personal!$A:$E,5,FALSE)</f>
        <v>261.82</v>
      </c>
      <c r="I55" s="136"/>
      <c r="J55" s="137">
        <f>VLOOKUP(A55,Det_Personal!$A:$I,9,FALSE)</f>
        <v>234.92</v>
      </c>
      <c r="K55" s="136">
        <f>VLOOKUP($A55,Det_Personal!$A:$F,6,FALSE)</f>
        <v>0</v>
      </c>
      <c r="L55" s="138">
        <f t="shared" si="9"/>
        <v>1871.82</v>
      </c>
      <c r="M55" s="138">
        <f t="shared" si="14"/>
        <v>261.82</v>
      </c>
      <c r="N55" s="138"/>
      <c r="O55" s="90">
        <f t="shared" si="10"/>
        <v>48.3</v>
      </c>
      <c r="P55" s="139">
        <f>L55-O55</f>
        <v>1823.52</v>
      </c>
    </row>
    <row r="56" spans="1:16" hidden="1">
      <c r="A56" s="124">
        <v>2614715910</v>
      </c>
      <c r="B56" s="146" t="s">
        <v>12</v>
      </c>
      <c r="C56" s="124" t="s">
        <v>64</v>
      </c>
      <c r="D56" s="125" t="str">
        <f>VLOOKUP(VLOOKUP(A56,Det_Personal!A:L,12,FALSE),Det_Personal!O$1:T$5,2,FALSE)</f>
        <v>TI Black Empresas 2</v>
      </c>
      <c r="E56" s="136">
        <f>VLOOKUP(A56,Det_Personal!A:D,2,FALSE)</f>
        <v>1610</v>
      </c>
      <c r="F56" s="136">
        <f>VLOOKUP($A56,Det_Personal!$A:$D,3,FALSE)+VLOOKUP($A56,Det_Personal!$A:$D,4,FALSE)</f>
        <v>0</v>
      </c>
      <c r="G56" s="136">
        <f>VLOOKUP($A56,Det_Personal!$A:$E,5,FALSE)</f>
        <v>0</v>
      </c>
      <c r="H56" s="136">
        <f>VLOOKUP($A56,Det_Personal!$A:$E,5,FALSE)</f>
        <v>0</v>
      </c>
      <c r="I56" s="136"/>
      <c r="J56" s="137">
        <f>VLOOKUP(A56,Det_Personal!$A:$I,9,FALSE)</f>
        <v>62.4</v>
      </c>
      <c r="K56" s="136">
        <f>VLOOKUP($A56,Det_Personal!$A:$F,6,FALSE)</f>
        <v>0</v>
      </c>
      <c r="L56" s="138">
        <f t="shared" si="9"/>
        <v>1610</v>
      </c>
      <c r="M56" s="138">
        <f t="shared" si="14"/>
        <v>0</v>
      </c>
      <c r="N56" s="7"/>
      <c r="O56" s="90">
        <f t="shared" si="10"/>
        <v>48.3</v>
      </c>
      <c r="P56" s="139">
        <f>L56-O56</f>
        <v>1561.7</v>
      </c>
    </row>
    <row r="57" spans="1:16" hidden="1">
      <c r="A57" s="7">
        <v>2615940527</v>
      </c>
      <c r="B57" s="133" t="s">
        <v>208</v>
      </c>
      <c r="C57" s="124" t="s">
        <v>64</v>
      </c>
      <c r="D57" s="125" t="str">
        <f>VLOOKUP(VLOOKUP(A57,Det_Personal!A:L,12,FALSE),Det_Personal!O$1:T$5,2,FALSE)</f>
        <v>TI Empresas Ilimitado</v>
      </c>
      <c r="E57" s="136">
        <f>VLOOKUP(A57,Det_Personal!A:D,2,FALSE)</f>
        <v>1610</v>
      </c>
      <c r="F57" s="136">
        <f>VLOOKUP($A57,Det_Personal!$A:$D,3,FALSE)+VLOOKUP($A57,Det_Personal!$A:$D,4,FALSE)</f>
        <v>0</v>
      </c>
      <c r="G57" s="136">
        <f>VLOOKUP($A57,Det_Personal!$A:$E,5,FALSE)</f>
        <v>0</v>
      </c>
      <c r="H57" s="136">
        <f>VLOOKUP($A57,Det_Personal!$A:$E,5,FALSE)</f>
        <v>0</v>
      </c>
      <c r="I57" s="136"/>
      <c r="J57" s="137">
        <f>VLOOKUP(A57,Det_Personal!$A:$I,9,FALSE)</f>
        <v>6.87</v>
      </c>
      <c r="K57" s="136">
        <f>VLOOKUP($A57,Det_Personal!$A:$F,6,FALSE)</f>
        <v>0</v>
      </c>
      <c r="L57" s="138">
        <f t="shared" si="9"/>
        <v>1610</v>
      </c>
      <c r="M57" s="138">
        <f>G57+I57*1.21</f>
        <v>0</v>
      </c>
      <c r="N57" s="138"/>
      <c r="O57" s="90">
        <f t="shared" si="10"/>
        <v>48.3</v>
      </c>
      <c r="P57" s="139">
        <f>L57-O57</f>
        <v>1561.7</v>
      </c>
    </row>
    <row r="58" spans="1:16">
      <c r="F58" s="3"/>
      <c r="G58" s="6"/>
      <c r="H58" s="6"/>
      <c r="I58" s="6"/>
      <c r="J58" s="6"/>
      <c r="K58" s="3"/>
    </row>
    <row r="59" spans="1:16" ht="15" thickBot="1">
      <c r="E59" s="3">
        <f>SUM(E2:E57)</f>
        <v>60230</v>
      </c>
      <c r="F59" s="3">
        <f>SUM(F2:F57)</f>
        <v>579.45000000000016</v>
      </c>
      <c r="G59" s="3">
        <f>SUM(G2:G57)</f>
        <v>1867.57</v>
      </c>
      <c r="H59" s="3"/>
      <c r="I59" s="3">
        <f>SUM(I2:I57)</f>
        <v>0</v>
      </c>
      <c r="J59" s="3"/>
      <c r="K59" s="3">
        <v>0</v>
      </c>
      <c r="L59" s="3">
        <f>SUM(L2:L57)</f>
        <v>62677.02</v>
      </c>
      <c r="M59" t="s">
        <v>381</v>
      </c>
      <c r="N59" s="2">
        <f>+Brunela!F21+Brunela!F47+Brunela!F73+Brunela!F99</f>
        <v>1820.36375</v>
      </c>
    </row>
    <row r="60" spans="1:16">
      <c r="D60" t="s">
        <v>280</v>
      </c>
      <c r="E60" s="3">
        <f>E59*27%</f>
        <v>16262.1</v>
      </c>
      <c r="F60" s="3">
        <f>F59*27%</f>
        <v>156.45150000000007</v>
      </c>
      <c r="G60" s="3">
        <f>G59*27%</f>
        <v>504.2439</v>
      </c>
      <c r="H60" s="3"/>
      <c r="I60" s="3"/>
      <c r="J60" s="3"/>
      <c r="K60" s="6" t="s">
        <v>234</v>
      </c>
      <c r="L60" s="242">
        <v>3395.58</v>
      </c>
      <c r="M60" t="s">
        <v>382</v>
      </c>
      <c r="N60" s="2">
        <f>+'Marcelo C'!F464+'Rodrigo M'!F47+'Rodrigo M'!F73</f>
        <v>1691.7337599999998</v>
      </c>
    </row>
    <row r="61" spans="1:16">
      <c r="D61" t="s">
        <v>281</v>
      </c>
      <c r="E61" s="3">
        <f>E59*4.1667%</f>
        <v>2509.6034099999997</v>
      </c>
      <c r="F61" s="3">
        <f>F59*4.1667%</f>
        <v>24.143943150000005</v>
      </c>
      <c r="G61" s="3">
        <f>G59*4.1667%</f>
        <v>77.816039189999984</v>
      </c>
      <c r="H61" s="3"/>
      <c r="I61" s="3"/>
      <c r="J61" s="3"/>
      <c r="K61" t="s">
        <v>324</v>
      </c>
      <c r="L61" s="2">
        <v>0</v>
      </c>
      <c r="M61" t="s">
        <v>383</v>
      </c>
      <c r="N61" s="2">
        <f>'Marcelo C'!F21+'Marcelo C'!F47+'Marcelo C'!F73+'Marcelo C'!F99+'Marcelo C'!F125+'Marcelo C'!F151+'Marcelo C'!F177+'Marcelo C'!F203+'Marcelo C'!F255+'Marcelo C'!F281+'Marcelo C'!F307+'Marcelo C'!F359+'Marcelo C'!F385+'Marcelo C'!F411+'Marcelo C'!F229</f>
        <v>16179.617178859999</v>
      </c>
    </row>
    <row r="62" spans="1:16">
      <c r="B62" s="22" t="s">
        <v>79</v>
      </c>
      <c r="D62" t="s">
        <v>282</v>
      </c>
      <c r="E62" s="3">
        <f>E59*3%</f>
        <v>1806.8999999999999</v>
      </c>
      <c r="F62" s="3">
        <f t="shared" ref="F62:G62" si="15">F59*3%</f>
        <v>17.383500000000005</v>
      </c>
      <c r="G62" s="3">
        <f t="shared" si="15"/>
        <v>56.027099999999997</v>
      </c>
      <c r="H62" s="3"/>
      <c r="I62" s="3"/>
      <c r="J62" s="3"/>
      <c r="L62" s="3"/>
    </row>
    <row r="63" spans="1:16">
      <c r="B63" s="21" t="s">
        <v>80</v>
      </c>
      <c r="D63" t="s">
        <v>283</v>
      </c>
      <c r="E63" s="3">
        <f>E59*1%</f>
        <v>602.30000000000007</v>
      </c>
      <c r="F63" s="3">
        <f>F59*1%</f>
        <v>5.794500000000002</v>
      </c>
      <c r="G63" s="3">
        <f>G59*1%</f>
        <v>18.675699999999999</v>
      </c>
      <c r="H63" s="3"/>
      <c r="I63" s="3"/>
      <c r="J63" s="3"/>
    </row>
    <row r="64" spans="1:16">
      <c r="B64" s="23" t="s">
        <v>81</v>
      </c>
      <c r="K64" s="3"/>
      <c r="L64" s="3">
        <f>E59+F59+L60</f>
        <v>64205.03</v>
      </c>
    </row>
    <row r="65" spans="1:14">
      <c r="K65" t="s">
        <v>280</v>
      </c>
      <c r="L65" s="3">
        <f>L64*27%</f>
        <v>17335.358100000001</v>
      </c>
    </row>
    <row r="66" spans="1:14">
      <c r="B66" s="76" t="s">
        <v>207</v>
      </c>
      <c r="K66" t="s">
        <v>281</v>
      </c>
      <c r="L66" s="3">
        <f>L64*4.1667%</f>
        <v>2675.2309850099996</v>
      </c>
      <c r="N66" s="6"/>
    </row>
    <row r="67" spans="1:14">
      <c r="B67" s="1" t="s">
        <v>118</v>
      </c>
      <c r="C67" t="s">
        <v>112</v>
      </c>
      <c r="D67" t="s">
        <v>114</v>
      </c>
      <c r="E67" t="s">
        <v>113</v>
      </c>
      <c r="K67" t="s">
        <v>282</v>
      </c>
      <c r="L67" s="3">
        <f>L64*3%</f>
        <v>1926.1508999999999</v>
      </c>
      <c r="N67" s="5"/>
    </row>
    <row r="68" spans="1:14">
      <c r="A68">
        <v>1</v>
      </c>
      <c r="B68" s="1" t="s">
        <v>111</v>
      </c>
      <c r="C68">
        <f>COUNTA(A2:A57)</f>
        <v>56</v>
      </c>
      <c r="D68">
        <v>57</v>
      </c>
      <c r="E68">
        <v>57</v>
      </c>
      <c r="F68" s="65" t="s">
        <v>226</v>
      </c>
      <c r="K68" t="s">
        <v>283</v>
      </c>
      <c r="L68" s="3">
        <f>L64*1%</f>
        <v>642.05029999999999</v>
      </c>
      <c r="M68" s="3"/>
    </row>
    <row r="69" spans="1:14">
      <c r="A69">
        <v>2</v>
      </c>
      <c r="B69" s="1" t="s">
        <v>147</v>
      </c>
      <c r="C69" s="3">
        <f>+E59+F59+G59+L60</f>
        <v>66072.599999999991</v>
      </c>
      <c r="D69" s="2">
        <f>Det_Personal!B65</f>
        <v>60230</v>
      </c>
      <c r="E69" s="2">
        <f>movistar!B74</f>
        <v>65499.73</v>
      </c>
      <c r="F69" s="65" t="s">
        <v>226</v>
      </c>
      <c r="L69">
        <v>22.32</v>
      </c>
    </row>
    <row r="70" spans="1:14">
      <c r="A70">
        <v>3</v>
      </c>
      <c r="B70" s="1" t="s">
        <v>115</v>
      </c>
      <c r="C70" s="2">
        <f>I59</f>
        <v>0</v>
      </c>
      <c r="E70" s="70">
        <f>G72</f>
        <v>0</v>
      </c>
      <c r="F70" s="65" t="s">
        <v>226</v>
      </c>
    </row>
    <row r="71" spans="1:14">
      <c r="A71">
        <v>4</v>
      </c>
      <c r="B71" s="1" t="s">
        <v>204</v>
      </c>
      <c r="F71" s="65" t="s">
        <v>226</v>
      </c>
    </row>
    <row r="72" spans="1:14">
      <c r="A72">
        <v>5</v>
      </c>
      <c r="B72" s="1" t="s">
        <v>119</v>
      </c>
      <c r="C72" s="51">
        <f>movistar!A1</f>
        <v>43922</v>
      </c>
      <c r="F72" s="65" t="s">
        <v>226</v>
      </c>
      <c r="G72" s="68"/>
    </row>
    <row r="73" spans="1:14">
      <c r="A73">
        <v>6</v>
      </c>
      <c r="B73" s="1" t="s">
        <v>117</v>
      </c>
      <c r="F73" s="65" t="s">
        <v>226</v>
      </c>
    </row>
    <row r="74" spans="1:14">
      <c r="A74">
        <v>7</v>
      </c>
      <c r="B74" s="1" t="s">
        <v>122</v>
      </c>
      <c r="C74" s="3">
        <f>SUM(E59:G63)+K59+L60+L61</f>
        <v>88114.039592340006</v>
      </c>
      <c r="D74" s="72"/>
      <c r="E74" s="72">
        <f>movistar!E74+Hoja1!F5</f>
        <v>89667.21</v>
      </c>
      <c r="F74" s="65" t="s">
        <v>226</v>
      </c>
      <c r="G74" s="81">
        <f>E74-C74</f>
        <v>1553.1704076599999</v>
      </c>
    </row>
    <row r="77" spans="1:14">
      <c r="B77" s="65" t="s">
        <v>356</v>
      </c>
    </row>
    <row r="78" spans="1:14">
      <c r="B78" s="65" t="s">
        <v>357</v>
      </c>
    </row>
    <row r="79" spans="1:14">
      <c r="B79" s="65" t="s">
        <v>374</v>
      </c>
    </row>
    <row r="80" spans="1:14">
      <c r="B80" s="65" t="s">
        <v>363</v>
      </c>
    </row>
    <row r="81" spans="2:2">
      <c r="B81" s="64" t="s">
        <v>375</v>
      </c>
    </row>
  </sheetData>
  <autoFilter ref="A1:P57" xr:uid="{00000000-0009-0000-0000-000000000000}">
    <filterColumn colId="1">
      <filters>
        <filter val="Erica Godoy"/>
        <filter val="Laura Godoy"/>
        <filter val="Mariano Godoy"/>
        <filter val="Mayra Godoy"/>
        <filter val="Rodrigo Godoy"/>
      </filters>
    </filterColumn>
  </autoFilter>
  <hyperlinks>
    <hyperlink ref="B66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88"/>
  <sheetViews>
    <sheetView topLeftCell="A61" workbookViewId="0">
      <selection activeCell="A2" sqref="A2"/>
    </sheetView>
  </sheetViews>
  <sheetFormatPr baseColWidth="10" defaultRowHeight="14.4"/>
  <cols>
    <col min="1" max="1" width="14.44140625" bestFit="1" customWidth="1"/>
  </cols>
  <sheetData>
    <row r="1" spans="1:17" ht="16.8">
      <c r="A1" s="234">
        <v>43922</v>
      </c>
    </row>
    <row r="3" spans="1:17" ht="19.8">
      <c r="A3" s="220" t="s">
        <v>507</v>
      </c>
    </row>
    <row r="4" spans="1:17" ht="15" thickBot="1"/>
    <row r="5" spans="1:17" ht="15" customHeight="1" thickBot="1">
      <c r="A5" s="227"/>
      <c r="B5" s="280" t="s">
        <v>488</v>
      </c>
      <c r="C5" s="281"/>
      <c r="D5" s="281"/>
      <c r="E5" s="281"/>
      <c r="F5" s="281"/>
      <c r="G5" s="282"/>
      <c r="H5" s="283" t="s">
        <v>489</v>
      </c>
      <c r="I5" s="285" t="s">
        <v>490</v>
      </c>
      <c r="J5" s="286"/>
      <c r="K5" s="286"/>
      <c r="L5" s="286"/>
      <c r="M5" s="286"/>
      <c r="N5" s="287"/>
      <c r="O5" s="288" t="s">
        <v>491</v>
      </c>
      <c r="P5" s="290" t="s">
        <v>492</v>
      </c>
      <c r="Q5" s="278" t="s">
        <v>493</v>
      </c>
    </row>
    <row r="6" spans="1:17" ht="16.2" thickBot="1">
      <c r="A6" s="228" t="s">
        <v>494</v>
      </c>
      <c r="B6" s="229" t="s">
        <v>495</v>
      </c>
      <c r="C6" s="230" t="s">
        <v>496</v>
      </c>
      <c r="D6" s="227" t="s">
        <v>497</v>
      </c>
      <c r="E6" s="229" t="s">
        <v>498</v>
      </c>
      <c r="F6" s="227" t="s">
        <v>499</v>
      </c>
      <c r="G6" s="231" t="s">
        <v>500</v>
      </c>
      <c r="H6" s="284"/>
      <c r="I6" s="228" t="s">
        <v>501</v>
      </c>
      <c r="J6" s="231" t="s">
        <v>502</v>
      </c>
      <c r="K6" s="232" t="s">
        <v>503</v>
      </c>
      <c r="L6" s="228" t="s">
        <v>504</v>
      </c>
      <c r="M6" s="227" t="s">
        <v>505</v>
      </c>
      <c r="N6" s="229" t="s">
        <v>506</v>
      </c>
      <c r="O6" s="289"/>
      <c r="P6" s="291"/>
      <c r="Q6" s="279"/>
    </row>
    <row r="7" spans="1:17">
      <c r="A7" s="261">
        <v>1132994676</v>
      </c>
      <c r="B7" s="262">
        <v>640</v>
      </c>
      <c r="C7" s="263">
        <v>0</v>
      </c>
      <c r="D7" s="263">
        <v>0</v>
      </c>
      <c r="E7" s="263">
        <v>0</v>
      </c>
      <c r="F7" s="263">
        <v>0</v>
      </c>
      <c r="G7" s="263">
        <v>0</v>
      </c>
      <c r="H7" s="262">
        <v>640</v>
      </c>
      <c r="I7" s="263">
        <v>0</v>
      </c>
      <c r="J7" s="263">
        <v>0</v>
      </c>
      <c r="K7" s="263">
        <v>0</v>
      </c>
      <c r="L7" s="263">
        <v>0</v>
      </c>
      <c r="M7" s="263">
        <v>0</v>
      </c>
      <c r="N7" s="263">
        <v>0</v>
      </c>
      <c r="O7" s="263">
        <v>0</v>
      </c>
      <c r="P7" s="263">
        <v>0</v>
      </c>
      <c r="Q7" s="262">
        <v>640</v>
      </c>
    </row>
    <row r="8" spans="1:17">
      <c r="A8" s="264">
        <v>2613052256</v>
      </c>
      <c r="B8" s="265">
        <v>1610</v>
      </c>
      <c r="C8" s="266">
        <v>0</v>
      </c>
      <c r="D8" s="266">
        <v>0</v>
      </c>
      <c r="E8" s="266">
        <v>0</v>
      </c>
      <c r="F8" s="266">
        <v>0</v>
      </c>
      <c r="G8" s="266">
        <v>0</v>
      </c>
      <c r="H8" s="265">
        <v>1610</v>
      </c>
      <c r="I8" s="266">
        <v>0</v>
      </c>
      <c r="J8" s="266">
        <v>0</v>
      </c>
      <c r="K8" s="266">
        <v>0</v>
      </c>
      <c r="L8" s="266">
        <v>0</v>
      </c>
      <c r="M8" s="266">
        <v>0</v>
      </c>
      <c r="N8" s="266">
        <v>0</v>
      </c>
      <c r="O8" s="266">
        <v>0</v>
      </c>
      <c r="P8" s="266">
        <v>0</v>
      </c>
      <c r="Q8" s="265">
        <v>1610</v>
      </c>
    </row>
    <row r="9" spans="1:17">
      <c r="A9" s="264">
        <v>2613072362</v>
      </c>
      <c r="B9" s="265">
        <v>1610</v>
      </c>
      <c r="C9" s="266">
        <v>0</v>
      </c>
      <c r="D9" s="266">
        <v>0</v>
      </c>
      <c r="E9" s="266">
        <v>0</v>
      </c>
      <c r="F9" s="266">
        <v>0</v>
      </c>
      <c r="G9" s="266">
        <v>0</v>
      </c>
      <c r="H9" s="265">
        <v>1610</v>
      </c>
      <c r="I9" s="266">
        <v>0</v>
      </c>
      <c r="J9" s="266">
        <v>0</v>
      </c>
      <c r="K9" s="266">
        <v>0</v>
      </c>
      <c r="L9" s="266">
        <v>0</v>
      </c>
      <c r="M9" s="266">
        <v>0</v>
      </c>
      <c r="N9" s="266">
        <v>0</v>
      </c>
      <c r="O9" s="266">
        <v>0</v>
      </c>
      <c r="P9" s="266">
        <v>0</v>
      </c>
      <c r="Q9" s="265">
        <v>1610</v>
      </c>
    </row>
    <row r="10" spans="1:17">
      <c r="A10" s="264">
        <v>2613074298</v>
      </c>
      <c r="B10" s="267">
        <v>640</v>
      </c>
      <c r="C10" s="266">
        <v>0</v>
      </c>
      <c r="D10" s="266">
        <v>0</v>
      </c>
      <c r="E10" s="266">
        <v>0</v>
      </c>
      <c r="F10" s="266">
        <v>0</v>
      </c>
      <c r="G10" s="266">
        <v>0</v>
      </c>
      <c r="H10" s="267">
        <v>640</v>
      </c>
      <c r="I10" s="266">
        <v>0</v>
      </c>
      <c r="J10" s="266">
        <v>0</v>
      </c>
      <c r="K10" s="266">
        <v>0</v>
      </c>
      <c r="L10" s="266">
        <v>0</v>
      </c>
      <c r="M10" s="266">
        <v>0</v>
      </c>
      <c r="N10" s="266">
        <v>0</v>
      </c>
      <c r="O10" s="266">
        <v>0</v>
      </c>
      <c r="P10" s="266">
        <v>0</v>
      </c>
      <c r="Q10" s="267">
        <v>640</v>
      </c>
    </row>
    <row r="11" spans="1:17">
      <c r="A11" s="264">
        <v>2613626179</v>
      </c>
      <c r="B11" s="265">
        <v>1610</v>
      </c>
      <c r="C11" s="266">
        <v>0</v>
      </c>
      <c r="D11" s="266">
        <v>0</v>
      </c>
      <c r="E11" s="266">
        <v>0</v>
      </c>
      <c r="F11" s="266">
        <v>0</v>
      </c>
      <c r="G11" s="266">
        <v>0</v>
      </c>
      <c r="H11" s="265">
        <v>1610</v>
      </c>
      <c r="I11" s="266">
        <v>0</v>
      </c>
      <c r="J11" s="266">
        <v>0</v>
      </c>
      <c r="K11" s="266">
        <v>0</v>
      </c>
      <c r="L11" s="266">
        <v>0</v>
      </c>
      <c r="M11" s="266">
        <v>0</v>
      </c>
      <c r="N11" s="266">
        <v>0</v>
      </c>
      <c r="O11" s="266">
        <v>0</v>
      </c>
      <c r="P11" s="266">
        <v>0</v>
      </c>
      <c r="Q11" s="265">
        <v>1610</v>
      </c>
    </row>
    <row r="12" spans="1:17">
      <c r="A12" s="264">
        <v>2613861795</v>
      </c>
      <c r="B12" s="267">
        <v>640</v>
      </c>
      <c r="C12" s="266">
        <v>0</v>
      </c>
      <c r="D12" s="266">
        <v>0</v>
      </c>
      <c r="E12" s="266">
        <v>0</v>
      </c>
      <c r="F12" s="266">
        <v>0</v>
      </c>
      <c r="G12" s="266">
        <v>0</v>
      </c>
      <c r="H12" s="267">
        <v>640</v>
      </c>
      <c r="I12" s="266">
        <v>0</v>
      </c>
      <c r="J12" s="266">
        <v>0</v>
      </c>
      <c r="K12" s="266">
        <v>0</v>
      </c>
      <c r="L12" s="266">
        <v>0</v>
      </c>
      <c r="M12" s="266">
        <v>0</v>
      </c>
      <c r="N12" s="266">
        <v>0</v>
      </c>
      <c r="O12" s="266">
        <v>0</v>
      </c>
      <c r="P12" s="266">
        <v>0</v>
      </c>
      <c r="Q12" s="267">
        <v>640</v>
      </c>
    </row>
    <row r="13" spans="1:17">
      <c r="A13" s="264">
        <v>2613861796</v>
      </c>
      <c r="B13" s="241">
        <v>1250</v>
      </c>
      <c r="C13" s="266">
        <v>0</v>
      </c>
      <c r="D13" s="266">
        <v>0</v>
      </c>
      <c r="E13" s="266">
        <v>0</v>
      </c>
      <c r="F13" s="266">
        <v>0</v>
      </c>
      <c r="G13" s="266">
        <v>0</v>
      </c>
      <c r="H13" s="241">
        <v>1250</v>
      </c>
      <c r="I13" s="266">
        <v>0</v>
      </c>
      <c r="J13" s="266">
        <v>0</v>
      </c>
      <c r="K13" s="266">
        <v>0</v>
      </c>
      <c r="L13" s="266">
        <v>0</v>
      </c>
      <c r="M13" s="266">
        <v>0</v>
      </c>
      <c r="N13" s="266">
        <v>0</v>
      </c>
      <c r="O13" s="266">
        <v>0</v>
      </c>
      <c r="P13" s="266">
        <v>0</v>
      </c>
      <c r="Q13" s="241">
        <v>1250</v>
      </c>
    </row>
    <row r="14" spans="1:17">
      <c r="A14" s="264">
        <v>2613861797</v>
      </c>
      <c r="B14" s="267">
        <v>640</v>
      </c>
      <c r="C14" s="266">
        <v>0</v>
      </c>
      <c r="D14" s="266">
        <v>0</v>
      </c>
      <c r="E14" s="266">
        <v>0</v>
      </c>
      <c r="F14" s="266">
        <v>0</v>
      </c>
      <c r="G14" s="266">
        <v>0</v>
      </c>
      <c r="H14" s="267">
        <v>640</v>
      </c>
      <c r="I14" s="266">
        <v>0</v>
      </c>
      <c r="J14" s="266">
        <v>0</v>
      </c>
      <c r="K14" s="266">
        <v>0</v>
      </c>
      <c r="L14" s="266">
        <v>0</v>
      </c>
      <c r="M14" s="266">
        <v>0</v>
      </c>
      <c r="N14" s="266">
        <v>0</v>
      </c>
      <c r="O14" s="266">
        <v>0</v>
      </c>
      <c r="P14" s="266">
        <v>0</v>
      </c>
      <c r="Q14" s="267">
        <v>640</v>
      </c>
    </row>
    <row r="15" spans="1:17">
      <c r="A15" s="264">
        <v>2613861799</v>
      </c>
      <c r="B15" s="241">
        <v>1250</v>
      </c>
      <c r="C15" s="266">
        <v>0</v>
      </c>
      <c r="D15" s="266">
        <v>0</v>
      </c>
      <c r="E15" s="266">
        <v>0</v>
      </c>
      <c r="F15" s="266">
        <v>0</v>
      </c>
      <c r="G15" s="266">
        <v>0</v>
      </c>
      <c r="H15" s="241">
        <v>1250</v>
      </c>
      <c r="I15" s="266">
        <v>0</v>
      </c>
      <c r="J15" s="266">
        <v>0</v>
      </c>
      <c r="K15" s="266">
        <v>0</v>
      </c>
      <c r="L15" s="266">
        <v>0</v>
      </c>
      <c r="M15" s="266">
        <v>0</v>
      </c>
      <c r="N15" s="266">
        <v>0</v>
      </c>
      <c r="O15" s="266">
        <v>0</v>
      </c>
      <c r="P15" s="266">
        <v>0</v>
      </c>
      <c r="Q15" s="241">
        <v>1250</v>
      </c>
    </row>
    <row r="16" spans="1:17">
      <c r="A16" s="264">
        <v>2613861800</v>
      </c>
      <c r="B16" s="267">
        <v>640</v>
      </c>
      <c r="C16" s="266">
        <v>0</v>
      </c>
      <c r="D16" s="266">
        <v>0</v>
      </c>
      <c r="E16" s="266">
        <v>0</v>
      </c>
      <c r="F16" s="266">
        <v>0</v>
      </c>
      <c r="G16" s="266">
        <v>0</v>
      </c>
      <c r="H16" s="267">
        <v>640</v>
      </c>
      <c r="I16" s="266">
        <v>0</v>
      </c>
      <c r="J16" s="266">
        <v>0</v>
      </c>
      <c r="K16" s="266">
        <v>0</v>
      </c>
      <c r="L16" s="266">
        <v>0</v>
      </c>
      <c r="M16" s="266">
        <v>0</v>
      </c>
      <c r="N16" s="266">
        <v>0</v>
      </c>
      <c r="O16" s="266">
        <v>0</v>
      </c>
      <c r="P16" s="266">
        <v>0</v>
      </c>
      <c r="Q16" s="267">
        <v>640</v>
      </c>
    </row>
    <row r="17" spans="1:17">
      <c r="A17" s="264">
        <v>2613861801</v>
      </c>
      <c r="B17" s="267">
        <v>640</v>
      </c>
      <c r="C17" s="266">
        <v>0</v>
      </c>
      <c r="D17" s="266">
        <v>0</v>
      </c>
      <c r="E17" s="266">
        <v>0</v>
      </c>
      <c r="F17" s="266">
        <v>0</v>
      </c>
      <c r="G17" s="266">
        <v>0</v>
      </c>
      <c r="H17" s="267">
        <v>640</v>
      </c>
      <c r="I17" s="266">
        <v>16.489999999999998</v>
      </c>
      <c r="J17" s="266">
        <v>0</v>
      </c>
      <c r="K17" s="266">
        <v>0</v>
      </c>
      <c r="L17" s="266">
        <v>0</v>
      </c>
      <c r="M17" s="266">
        <v>0</v>
      </c>
      <c r="N17" s="266">
        <v>0</v>
      </c>
      <c r="O17" s="266">
        <v>16.489999999999998</v>
      </c>
      <c r="P17" s="266">
        <v>0</v>
      </c>
      <c r="Q17" s="267">
        <v>656.49</v>
      </c>
    </row>
    <row r="18" spans="1:17">
      <c r="A18" s="264">
        <v>2613861802</v>
      </c>
      <c r="B18" s="267">
        <v>640</v>
      </c>
      <c r="C18" s="266">
        <v>0</v>
      </c>
      <c r="D18" s="266">
        <v>0</v>
      </c>
      <c r="E18" s="266">
        <v>0</v>
      </c>
      <c r="F18" s="266">
        <v>0</v>
      </c>
      <c r="G18" s="266">
        <v>0</v>
      </c>
      <c r="H18" s="267">
        <v>640</v>
      </c>
      <c r="I18" s="266">
        <v>0</v>
      </c>
      <c r="J18" s="266">
        <v>0</v>
      </c>
      <c r="K18" s="266">
        <v>0</v>
      </c>
      <c r="L18" s="266">
        <v>0</v>
      </c>
      <c r="M18" s="266">
        <v>0</v>
      </c>
      <c r="N18" s="266">
        <v>0</v>
      </c>
      <c r="O18" s="266">
        <v>0</v>
      </c>
      <c r="P18" s="266">
        <v>0</v>
      </c>
      <c r="Q18" s="267">
        <v>640</v>
      </c>
    </row>
    <row r="19" spans="1:17">
      <c r="A19" s="264">
        <v>2613861803</v>
      </c>
      <c r="B19" s="267">
        <v>640</v>
      </c>
      <c r="C19" s="266">
        <v>0</v>
      </c>
      <c r="D19" s="266">
        <v>0</v>
      </c>
      <c r="E19" s="266">
        <v>0</v>
      </c>
      <c r="F19" s="266">
        <v>0</v>
      </c>
      <c r="G19" s="266">
        <v>0</v>
      </c>
      <c r="H19" s="267">
        <v>640</v>
      </c>
      <c r="I19" s="267">
        <v>448.72</v>
      </c>
      <c r="J19" s="266">
        <v>0</v>
      </c>
      <c r="K19" s="267">
        <v>194</v>
      </c>
      <c r="L19" s="266">
        <v>0</v>
      </c>
      <c r="M19" s="266">
        <v>0</v>
      </c>
      <c r="N19" s="266">
        <v>0</v>
      </c>
      <c r="O19" s="267">
        <v>642.72</v>
      </c>
      <c r="P19" s="266">
        <v>0</v>
      </c>
      <c r="Q19" s="267">
        <v>1282.72</v>
      </c>
    </row>
    <row r="20" spans="1:17">
      <c r="A20" s="264">
        <v>2613861804</v>
      </c>
      <c r="B20" s="267">
        <v>640</v>
      </c>
      <c r="C20" s="266">
        <v>0</v>
      </c>
      <c r="D20" s="266">
        <v>0</v>
      </c>
      <c r="E20" s="266">
        <v>0</v>
      </c>
      <c r="F20" s="266">
        <v>0</v>
      </c>
      <c r="G20" s="266">
        <v>0</v>
      </c>
      <c r="H20" s="267">
        <v>640</v>
      </c>
      <c r="I20" s="266">
        <v>0</v>
      </c>
      <c r="J20" s="266">
        <v>0</v>
      </c>
      <c r="K20" s="266">
        <v>0</v>
      </c>
      <c r="L20" s="266">
        <v>0</v>
      </c>
      <c r="M20" s="266">
        <v>0</v>
      </c>
      <c r="N20" s="266">
        <v>0</v>
      </c>
      <c r="O20" s="266">
        <v>0</v>
      </c>
      <c r="P20" s="266">
        <v>0</v>
      </c>
      <c r="Q20" s="267">
        <v>640</v>
      </c>
    </row>
    <row r="21" spans="1:17">
      <c r="A21" s="264">
        <v>2613861806</v>
      </c>
      <c r="B21" s="265">
        <v>1610</v>
      </c>
      <c r="C21" s="266">
        <v>0</v>
      </c>
      <c r="D21" s="266">
        <v>0</v>
      </c>
      <c r="E21" s="266">
        <v>0</v>
      </c>
      <c r="F21" s="266">
        <v>0</v>
      </c>
      <c r="G21" s="266">
        <v>0</v>
      </c>
      <c r="H21" s="265">
        <v>1610</v>
      </c>
      <c r="I21" s="266">
        <v>0</v>
      </c>
      <c r="J21" s="266">
        <v>0</v>
      </c>
      <c r="K21" s="266">
        <v>0</v>
      </c>
      <c r="L21" s="266">
        <v>0</v>
      </c>
      <c r="M21" s="266">
        <v>0</v>
      </c>
      <c r="N21" s="266">
        <v>0</v>
      </c>
      <c r="O21" s="266">
        <v>0</v>
      </c>
      <c r="P21" s="266">
        <v>0</v>
      </c>
      <c r="Q21" s="265">
        <v>1610</v>
      </c>
    </row>
    <row r="22" spans="1:17">
      <c r="A22" s="264">
        <v>2613861807</v>
      </c>
      <c r="B22" s="265">
        <v>1610</v>
      </c>
      <c r="C22" s="266">
        <v>0</v>
      </c>
      <c r="D22" s="266">
        <v>0</v>
      </c>
      <c r="E22" s="266">
        <v>0</v>
      </c>
      <c r="F22" s="266">
        <v>0</v>
      </c>
      <c r="G22" s="266">
        <v>0</v>
      </c>
      <c r="H22" s="265">
        <v>1610</v>
      </c>
      <c r="I22" s="266">
        <v>0</v>
      </c>
      <c r="J22" s="266">
        <v>0</v>
      </c>
      <c r="K22" s="266">
        <v>0</v>
      </c>
      <c r="L22" s="266">
        <v>0</v>
      </c>
      <c r="M22" s="266">
        <v>0</v>
      </c>
      <c r="N22" s="266">
        <v>0</v>
      </c>
      <c r="O22" s="266">
        <v>0</v>
      </c>
      <c r="P22" s="266">
        <v>0</v>
      </c>
      <c r="Q22" s="265">
        <v>1610</v>
      </c>
    </row>
    <row r="23" spans="1:17">
      <c r="A23" s="264">
        <v>2613861808</v>
      </c>
      <c r="B23" s="267">
        <v>640</v>
      </c>
      <c r="C23" s="266">
        <v>0</v>
      </c>
      <c r="D23" s="266">
        <v>0</v>
      </c>
      <c r="E23" s="266">
        <v>0</v>
      </c>
      <c r="F23" s="266">
        <v>0</v>
      </c>
      <c r="G23" s="266">
        <v>0</v>
      </c>
      <c r="H23" s="267">
        <v>640</v>
      </c>
      <c r="I23" s="266">
        <v>0</v>
      </c>
      <c r="J23" s="266">
        <v>0</v>
      </c>
      <c r="K23" s="266">
        <v>0</v>
      </c>
      <c r="L23" s="266">
        <v>0</v>
      </c>
      <c r="M23" s="266">
        <v>0</v>
      </c>
      <c r="N23" s="266">
        <v>0</v>
      </c>
      <c r="O23" s="266">
        <v>0</v>
      </c>
      <c r="P23" s="266">
        <v>0</v>
      </c>
      <c r="Q23" s="267">
        <v>640</v>
      </c>
    </row>
    <row r="24" spans="1:17">
      <c r="A24" s="264">
        <v>2613861810</v>
      </c>
      <c r="B24" s="267">
        <v>640</v>
      </c>
      <c r="C24" s="266">
        <v>0</v>
      </c>
      <c r="D24" s="266">
        <v>0</v>
      </c>
      <c r="E24" s="266">
        <v>0</v>
      </c>
      <c r="F24" s="266">
        <v>0</v>
      </c>
      <c r="G24" s="266">
        <v>0</v>
      </c>
      <c r="H24" s="267">
        <v>640</v>
      </c>
      <c r="I24" s="266">
        <v>0</v>
      </c>
      <c r="J24" s="266">
        <v>0</v>
      </c>
      <c r="K24" s="266">
        <v>0</v>
      </c>
      <c r="L24" s="266">
        <v>0</v>
      </c>
      <c r="M24" s="266">
        <v>0</v>
      </c>
      <c r="N24" s="266">
        <v>0</v>
      </c>
      <c r="O24" s="266">
        <v>0</v>
      </c>
      <c r="P24" s="266">
        <v>0</v>
      </c>
      <c r="Q24" s="267">
        <v>640</v>
      </c>
    </row>
    <row r="25" spans="1:17">
      <c r="A25" s="264">
        <v>2614664835</v>
      </c>
      <c r="B25" s="265">
        <v>1610</v>
      </c>
      <c r="C25" s="266">
        <v>0</v>
      </c>
      <c r="D25" s="266">
        <v>0</v>
      </c>
      <c r="E25" s="266">
        <v>0</v>
      </c>
      <c r="F25" s="266">
        <v>0</v>
      </c>
      <c r="G25" s="266">
        <v>0</v>
      </c>
      <c r="H25" s="265">
        <v>1610</v>
      </c>
      <c r="I25" s="266">
        <v>0</v>
      </c>
      <c r="J25" s="266">
        <v>0</v>
      </c>
      <c r="K25" s="266">
        <v>0</v>
      </c>
      <c r="L25" s="266">
        <v>0</v>
      </c>
      <c r="M25" s="266">
        <v>0</v>
      </c>
      <c r="N25" s="266">
        <v>0</v>
      </c>
      <c r="O25" s="266">
        <v>0</v>
      </c>
      <c r="P25" s="266">
        <v>0</v>
      </c>
      <c r="Q25" s="265">
        <v>1610</v>
      </c>
    </row>
    <row r="26" spans="1:17">
      <c r="A26" s="264">
        <v>2614669247</v>
      </c>
      <c r="B26" s="265">
        <v>1610</v>
      </c>
      <c r="C26" s="266">
        <v>0</v>
      </c>
      <c r="D26" s="266">
        <v>0</v>
      </c>
      <c r="E26" s="266">
        <v>0</v>
      </c>
      <c r="F26" s="266">
        <v>0</v>
      </c>
      <c r="G26" s="266">
        <v>0</v>
      </c>
      <c r="H26" s="265">
        <v>1610</v>
      </c>
      <c r="I26" s="267">
        <v>13.45</v>
      </c>
      <c r="J26" s="266">
        <v>0</v>
      </c>
      <c r="K26" s="266">
        <v>0</v>
      </c>
      <c r="L26" s="266">
        <v>0</v>
      </c>
      <c r="M26" s="266">
        <v>0</v>
      </c>
      <c r="N26" s="266">
        <v>0</v>
      </c>
      <c r="O26" s="267">
        <v>13.45</v>
      </c>
      <c r="P26" s="266">
        <v>0</v>
      </c>
      <c r="Q26" s="241">
        <v>1623.45</v>
      </c>
    </row>
    <row r="27" spans="1:17">
      <c r="A27" s="264">
        <v>2614669248</v>
      </c>
      <c r="B27" s="267">
        <v>640</v>
      </c>
      <c r="C27" s="266">
        <v>0</v>
      </c>
      <c r="D27" s="266">
        <v>0</v>
      </c>
      <c r="E27" s="266">
        <v>0</v>
      </c>
      <c r="F27" s="266">
        <v>0</v>
      </c>
      <c r="G27" s="266">
        <v>0</v>
      </c>
      <c r="H27" s="267">
        <v>640</v>
      </c>
      <c r="I27" s="266">
        <v>0</v>
      </c>
      <c r="J27" s="266">
        <v>0</v>
      </c>
      <c r="K27" s="266">
        <v>0</v>
      </c>
      <c r="L27" s="266">
        <v>0</v>
      </c>
      <c r="M27" s="266">
        <v>0</v>
      </c>
      <c r="N27" s="266">
        <v>0</v>
      </c>
      <c r="O27" s="266">
        <v>0</v>
      </c>
      <c r="P27" s="266">
        <v>0</v>
      </c>
      <c r="Q27" s="267">
        <v>640</v>
      </c>
    </row>
    <row r="28" spans="1:17">
      <c r="A28" s="264">
        <v>2614669416</v>
      </c>
      <c r="B28" s="267">
        <v>640</v>
      </c>
      <c r="C28" s="266">
        <v>0</v>
      </c>
      <c r="D28" s="266">
        <v>0</v>
      </c>
      <c r="E28" s="266">
        <v>0</v>
      </c>
      <c r="F28" s="266">
        <v>0</v>
      </c>
      <c r="G28" s="266">
        <v>0</v>
      </c>
      <c r="H28" s="267">
        <v>640</v>
      </c>
      <c r="I28" s="266">
        <v>0</v>
      </c>
      <c r="J28" s="266">
        <v>0</v>
      </c>
      <c r="K28" s="267">
        <v>97</v>
      </c>
      <c r="L28" s="266">
        <v>0</v>
      </c>
      <c r="M28" s="266">
        <v>0</v>
      </c>
      <c r="N28" s="266">
        <v>0</v>
      </c>
      <c r="O28" s="267">
        <v>97</v>
      </c>
      <c r="P28" s="266">
        <v>0</v>
      </c>
      <c r="Q28" s="267">
        <v>737</v>
      </c>
    </row>
    <row r="29" spans="1:17">
      <c r="A29" s="264">
        <v>2614701360</v>
      </c>
      <c r="B29" s="265">
        <v>1610</v>
      </c>
      <c r="C29" s="266">
        <v>0</v>
      </c>
      <c r="D29" s="266">
        <v>0</v>
      </c>
      <c r="E29" s="266">
        <v>0</v>
      </c>
      <c r="F29" s="266">
        <v>0</v>
      </c>
      <c r="G29" s="266">
        <v>0</v>
      </c>
      <c r="H29" s="265">
        <v>1610</v>
      </c>
      <c r="I29" s="266">
        <v>0</v>
      </c>
      <c r="J29" s="266">
        <v>0</v>
      </c>
      <c r="K29" s="266">
        <v>0</v>
      </c>
      <c r="L29" s="266">
        <v>0</v>
      </c>
      <c r="M29" s="266">
        <v>0</v>
      </c>
      <c r="N29" s="266">
        <v>0</v>
      </c>
      <c r="O29" s="266">
        <v>0</v>
      </c>
      <c r="P29" s="266">
        <v>0</v>
      </c>
      <c r="Q29" s="265">
        <v>1610</v>
      </c>
    </row>
    <row r="30" spans="1:17">
      <c r="A30" s="264">
        <v>2614701930</v>
      </c>
      <c r="B30" s="267">
        <v>640</v>
      </c>
      <c r="C30" s="266">
        <v>0</v>
      </c>
      <c r="D30" s="266">
        <v>0</v>
      </c>
      <c r="E30" s="266">
        <v>0</v>
      </c>
      <c r="F30" s="266">
        <v>0</v>
      </c>
      <c r="G30" s="266">
        <v>0</v>
      </c>
      <c r="H30" s="267">
        <v>640</v>
      </c>
      <c r="I30" s="266">
        <v>0</v>
      </c>
      <c r="J30" s="266">
        <v>0</v>
      </c>
      <c r="K30" s="266">
        <v>0</v>
      </c>
      <c r="L30" s="266">
        <v>0</v>
      </c>
      <c r="M30" s="266">
        <v>0</v>
      </c>
      <c r="N30" s="266">
        <v>0</v>
      </c>
      <c r="O30" s="266">
        <v>0</v>
      </c>
      <c r="P30" s="266">
        <v>0</v>
      </c>
      <c r="Q30" s="267">
        <v>640</v>
      </c>
    </row>
    <row r="31" spans="1:17">
      <c r="A31" s="264">
        <v>2614704140</v>
      </c>
      <c r="B31" s="265">
        <v>1610</v>
      </c>
      <c r="C31" s="266">
        <v>0</v>
      </c>
      <c r="D31" s="266">
        <v>0</v>
      </c>
      <c r="E31" s="266">
        <v>0</v>
      </c>
      <c r="F31" s="266">
        <v>0</v>
      </c>
      <c r="G31" s="266">
        <v>0</v>
      </c>
      <c r="H31" s="265">
        <v>1610</v>
      </c>
      <c r="I31" s="266">
        <v>0</v>
      </c>
      <c r="J31" s="266">
        <v>0</v>
      </c>
      <c r="K31" s="266">
        <v>0</v>
      </c>
      <c r="L31" s="266">
        <v>0</v>
      </c>
      <c r="M31" s="266">
        <v>0</v>
      </c>
      <c r="N31" s="266">
        <v>0</v>
      </c>
      <c r="O31" s="266">
        <v>0</v>
      </c>
      <c r="P31" s="266">
        <v>0</v>
      </c>
      <c r="Q31" s="265">
        <v>1610</v>
      </c>
    </row>
    <row r="32" spans="1:17">
      <c r="A32" s="264">
        <v>2614708391</v>
      </c>
      <c r="B32" s="265">
        <v>1610</v>
      </c>
      <c r="C32" s="266">
        <v>0</v>
      </c>
      <c r="D32" s="266">
        <v>0</v>
      </c>
      <c r="E32" s="266">
        <v>0</v>
      </c>
      <c r="F32" s="266">
        <v>0</v>
      </c>
      <c r="G32" s="266">
        <v>0</v>
      </c>
      <c r="H32" s="265">
        <v>1610</v>
      </c>
      <c r="I32" s="266">
        <v>0</v>
      </c>
      <c r="J32" s="266">
        <v>0</v>
      </c>
      <c r="K32" s="266">
        <v>0</v>
      </c>
      <c r="L32" s="266">
        <v>0</v>
      </c>
      <c r="M32" s="266">
        <v>0</v>
      </c>
      <c r="N32" s="266">
        <v>0</v>
      </c>
      <c r="O32" s="266">
        <v>0</v>
      </c>
      <c r="P32" s="266">
        <v>0</v>
      </c>
      <c r="Q32" s="265">
        <v>1610</v>
      </c>
    </row>
    <row r="33" spans="1:17" ht="15" thickBot="1">
      <c r="A33" s="268">
        <v>2614715910</v>
      </c>
      <c r="B33" s="269">
        <v>1610</v>
      </c>
      <c r="C33" s="270">
        <v>0</v>
      </c>
      <c r="D33" s="270">
        <v>0</v>
      </c>
      <c r="E33" s="270">
        <v>0</v>
      </c>
      <c r="F33" s="270">
        <v>0</v>
      </c>
      <c r="G33" s="270">
        <v>0</v>
      </c>
      <c r="H33" s="269">
        <v>1610</v>
      </c>
      <c r="I33" s="270">
        <v>0</v>
      </c>
      <c r="J33" s="270">
        <v>0</v>
      </c>
      <c r="K33" s="270">
        <v>0</v>
      </c>
      <c r="L33" s="270">
        <v>0</v>
      </c>
      <c r="M33" s="270">
        <v>0</v>
      </c>
      <c r="N33" s="270">
        <v>0</v>
      </c>
      <c r="O33" s="270">
        <v>0</v>
      </c>
      <c r="P33" s="270">
        <v>0</v>
      </c>
      <c r="Q33" s="269">
        <v>1610</v>
      </c>
    </row>
    <row r="34" spans="1:17">
      <c r="A34" s="261">
        <v>2614715937</v>
      </c>
      <c r="B34" s="271">
        <v>1610</v>
      </c>
      <c r="C34" s="263">
        <v>0</v>
      </c>
      <c r="D34" s="263">
        <v>0</v>
      </c>
      <c r="E34" s="263">
        <v>0</v>
      </c>
      <c r="F34" s="263">
        <v>0</v>
      </c>
      <c r="G34" s="263">
        <v>0</v>
      </c>
      <c r="H34" s="271">
        <v>1610</v>
      </c>
      <c r="I34" s="262">
        <v>0</v>
      </c>
      <c r="J34" s="263">
        <v>0</v>
      </c>
      <c r="K34" s="262">
        <v>261.82</v>
      </c>
      <c r="L34" s="263">
        <v>0</v>
      </c>
      <c r="M34" s="263">
        <v>0</v>
      </c>
      <c r="N34" s="263">
        <v>0</v>
      </c>
      <c r="O34" s="262">
        <v>261.82</v>
      </c>
      <c r="P34" s="263">
        <v>0</v>
      </c>
      <c r="Q34" s="242">
        <v>1871.82</v>
      </c>
    </row>
    <row r="35" spans="1:17">
      <c r="A35" s="264">
        <v>2614716174</v>
      </c>
      <c r="B35" s="265">
        <v>1610</v>
      </c>
      <c r="C35" s="266">
        <v>0</v>
      </c>
      <c r="D35" s="266">
        <v>0</v>
      </c>
      <c r="E35" s="266">
        <v>0</v>
      </c>
      <c r="F35" s="266">
        <v>0</v>
      </c>
      <c r="G35" s="266">
        <v>0</v>
      </c>
      <c r="H35" s="265">
        <v>1610</v>
      </c>
      <c r="I35" s="267">
        <v>94.21</v>
      </c>
      <c r="J35" s="266">
        <v>0</v>
      </c>
      <c r="K35" s="266">
        <v>0</v>
      </c>
      <c r="L35" s="266">
        <v>0</v>
      </c>
      <c r="M35" s="266">
        <v>0</v>
      </c>
      <c r="N35" s="266">
        <v>0</v>
      </c>
      <c r="O35" s="267">
        <v>94.21</v>
      </c>
      <c r="P35" s="266">
        <v>0</v>
      </c>
      <c r="Q35" s="241">
        <v>1704.21</v>
      </c>
    </row>
    <row r="36" spans="1:17">
      <c r="A36" s="264">
        <v>2615123926</v>
      </c>
      <c r="B36" s="265">
        <v>1610</v>
      </c>
      <c r="C36" s="266">
        <v>0</v>
      </c>
      <c r="D36" s="266">
        <v>0</v>
      </c>
      <c r="E36" s="266">
        <v>0</v>
      </c>
      <c r="F36" s="266">
        <v>0</v>
      </c>
      <c r="G36" s="266">
        <v>0</v>
      </c>
      <c r="H36" s="265">
        <v>1610</v>
      </c>
      <c r="I36" s="266">
        <v>0</v>
      </c>
      <c r="J36" s="266">
        <v>0</v>
      </c>
      <c r="K36" s="266">
        <v>0</v>
      </c>
      <c r="L36" s="266">
        <v>0</v>
      </c>
      <c r="M36" s="266">
        <v>0</v>
      </c>
      <c r="N36" s="266">
        <v>0</v>
      </c>
      <c r="O36" s="266">
        <v>0</v>
      </c>
      <c r="P36" s="266">
        <v>0</v>
      </c>
      <c r="Q36" s="265">
        <v>1610</v>
      </c>
    </row>
    <row r="37" spans="1:17">
      <c r="A37" s="264">
        <v>2615162884</v>
      </c>
      <c r="B37" s="267">
        <v>640</v>
      </c>
      <c r="C37" s="266">
        <v>0</v>
      </c>
      <c r="D37" s="266">
        <v>0</v>
      </c>
      <c r="E37" s="266">
        <v>0</v>
      </c>
      <c r="F37" s="266">
        <v>0</v>
      </c>
      <c r="G37" s="266">
        <v>0</v>
      </c>
      <c r="H37" s="267">
        <v>640</v>
      </c>
      <c r="I37" s="266">
        <v>0</v>
      </c>
      <c r="J37" s="266">
        <v>0</v>
      </c>
      <c r="K37" s="266">
        <v>0</v>
      </c>
      <c r="L37" s="266">
        <v>0</v>
      </c>
      <c r="M37" s="266">
        <v>0</v>
      </c>
      <c r="N37" s="266">
        <v>0</v>
      </c>
      <c r="O37" s="266">
        <v>0</v>
      </c>
      <c r="P37" s="266">
        <v>0</v>
      </c>
      <c r="Q37" s="267">
        <v>640</v>
      </c>
    </row>
    <row r="38" spans="1:17">
      <c r="A38" s="264">
        <v>2615181364</v>
      </c>
      <c r="B38" s="267">
        <v>640</v>
      </c>
      <c r="C38" s="266">
        <v>0</v>
      </c>
      <c r="D38" s="266">
        <v>0</v>
      </c>
      <c r="E38" s="266">
        <v>0</v>
      </c>
      <c r="F38" s="266">
        <v>0</v>
      </c>
      <c r="G38" s="266">
        <v>0</v>
      </c>
      <c r="H38" s="267">
        <v>640</v>
      </c>
      <c r="I38" s="266">
        <v>0</v>
      </c>
      <c r="J38" s="266">
        <v>0</v>
      </c>
      <c r="K38" s="266">
        <v>38</v>
      </c>
      <c r="L38" s="266">
        <v>0</v>
      </c>
      <c r="M38" s="266">
        <v>0</v>
      </c>
      <c r="N38" s="266">
        <v>0</v>
      </c>
      <c r="O38" s="266">
        <v>38</v>
      </c>
      <c r="P38" s="266">
        <v>0</v>
      </c>
      <c r="Q38" s="267">
        <v>678</v>
      </c>
    </row>
    <row r="39" spans="1:17">
      <c r="A39" s="264">
        <v>2615186052</v>
      </c>
      <c r="B39" s="267">
        <v>640</v>
      </c>
      <c r="C39" s="266">
        <v>0</v>
      </c>
      <c r="D39" s="266">
        <v>0</v>
      </c>
      <c r="E39" s="266">
        <v>0</v>
      </c>
      <c r="F39" s="266">
        <v>0</v>
      </c>
      <c r="G39" s="266">
        <v>0</v>
      </c>
      <c r="H39" s="267">
        <v>640</v>
      </c>
      <c r="I39" s="266">
        <v>0</v>
      </c>
      <c r="J39" s="266">
        <v>0</v>
      </c>
      <c r="K39" s="266">
        <v>0</v>
      </c>
      <c r="L39" s="266">
        <v>0</v>
      </c>
      <c r="M39" s="266">
        <v>0</v>
      </c>
      <c r="N39" s="266">
        <v>0</v>
      </c>
      <c r="O39" s="266">
        <v>0</v>
      </c>
      <c r="P39" s="266">
        <v>0</v>
      </c>
      <c r="Q39" s="267">
        <v>640</v>
      </c>
    </row>
    <row r="40" spans="1:17">
      <c r="A40" s="264">
        <v>2615186053</v>
      </c>
      <c r="B40" s="241">
        <v>1250</v>
      </c>
      <c r="C40" s="266">
        <v>0</v>
      </c>
      <c r="D40" s="266">
        <v>0</v>
      </c>
      <c r="E40" s="266">
        <v>0</v>
      </c>
      <c r="F40" s="266">
        <v>0</v>
      </c>
      <c r="G40" s="266">
        <v>0</v>
      </c>
      <c r="H40" s="241">
        <v>1250</v>
      </c>
      <c r="I40" s="266">
        <v>0</v>
      </c>
      <c r="J40" s="266">
        <v>6.58</v>
      </c>
      <c r="K40" s="266">
        <v>0</v>
      </c>
      <c r="L40" s="266">
        <v>0</v>
      </c>
      <c r="M40" s="266">
        <v>0</v>
      </c>
      <c r="N40" s="266">
        <v>0</v>
      </c>
      <c r="O40" s="266">
        <v>6.58</v>
      </c>
      <c r="P40" s="266">
        <v>0</v>
      </c>
      <c r="Q40" s="241">
        <v>1256.58</v>
      </c>
    </row>
    <row r="41" spans="1:17">
      <c r="A41" s="264">
        <v>2615192638</v>
      </c>
      <c r="B41" s="265">
        <v>1610</v>
      </c>
      <c r="C41" s="266">
        <v>0</v>
      </c>
      <c r="D41" s="266">
        <v>0</v>
      </c>
      <c r="E41" s="266">
        <v>0</v>
      </c>
      <c r="F41" s="266">
        <v>0</v>
      </c>
      <c r="G41" s="266">
        <v>0</v>
      </c>
      <c r="H41" s="265">
        <v>1610</v>
      </c>
      <c r="I41" s="266">
        <v>0</v>
      </c>
      <c r="J41" s="266">
        <v>0</v>
      </c>
      <c r="K41" s="266">
        <v>0</v>
      </c>
      <c r="L41" s="266">
        <v>0</v>
      </c>
      <c r="M41" s="266">
        <v>0</v>
      </c>
      <c r="N41" s="266">
        <v>0</v>
      </c>
      <c r="O41" s="266">
        <v>0</v>
      </c>
      <c r="P41" s="266">
        <v>0</v>
      </c>
      <c r="Q41" s="241">
        <v>1610</v>
      </c>
    </row>
    <row r="42" spans="1:17">
      <c r="A42" s="264">
        <v>2615194826</v>
      </c>
      <c r="B42" s="267">
        <v>640</v>
      </c>
      <c r="C42" s="266">
        <v>0</v>
      </c>
      <c r="D42" s="266">
        <v>0</v>
      </c>
      <c r="E42" s="266">
        <v>0</v>
      </c>
      <c r="F42" s="266">
        <v>0</v>
      </c>
      <c r="G42" s="266">
        <v>0</v>
      </c>
      <c r="H42" s="267">
        <v>640</v>
      </c>
      <c r="I42" s="266">
        <v>0</v>
      </c>
      <c r="J42" s="266">
        <v>0</v>
      </c>
      <c r="K42" s="266">
        <v>0</v>
      </c>
      <c r="L42" s="266">
        <v>0</v>
      </c>
      <c r="M42" s="266">
        <v>0</v>
      </c>
      <c r="N42" s="266">
        <v>0</v>
      </c>
      <c r="O42" s="266">
        <v>0</v>
      </c>
      <c r="P42" s="266">
        <v>0</v>
      </c>
      <c r="Q42" s="267">
        <v>640</v>
      </c>
    </row>
    <row r="43" spans="1:17">
      <c r="A43" s="264">
        <v>2615462740</v>
      </c>
      <c r="B43" s="265">
        <v>1610</v>
      </c>
      <c r="C43" s="266">
        <v>0</v>
      </c>
      <c r="D43" s="266">
        <v>0</v>
      </c>
      <c r="E43" s="266">
        <v>0</v>
      </c>
      <c r="F43" s="266">
        <v>0</v>
      </c>
      <c r="G43" s="266">
        <v>0</v>
      </c>
      <c r="H43" s="265">
        <v>1610</v>
      </c>
      <c r="I43" s="266">
        <v>0</v>
      </c>
      <c r="J43" s="266">
        <v>0</v>
      </c>
      <c r="K43" s="267">
        <v>174.6</v>
      </c>
      <c r="L43" s="266">
        <v>0</v>
      </c>
      <c r="M43" s="266">
        <v>0</v>
      </c>
      <c r="N43" s="266">
        <v>0</v>
      </c>
      <c r="O43" s="267">
        <v>174.6</v>
      </c>
      <c r="P43" s="266">
        <v>0</v>
      </c>
      <c r="Q43" s="241">
        <v>1784.6</v>
      </c>
    </row>
    <row r="44" spans="1:17">
      <c r="A44" s="264">
        <v>2615557273</v>
      </c>
      <c r="B44" s="267">
        <v>640</v>
      </c>
      <c r="C44" s="266">
        <v>0</v>
      </c>
      <c r="D44" s="266">
        <v>0</v>
      </c>
      <c r="E44" s="266">
        <v>0</v>
      </c>
      <c r="F44" s="266">
        <v>0</v>
      </c>
      <c r="G44" s="266">
        <v>0</v>
      </c>
      <c r="H44" s="267">
        <v>640</v>
      </c>
      <c r="I44" s="266">
        <v>0</v>
      </c>
      <c r="J44" s="266">
        <v>0</v>
      </c>
      <c r="K44" s="267">
        <v>361</v>
      </c>
      <c r="L44" s="266">
        <v>0</v>
      </c>
      <c r="M44" s="266">
        <v>0</v>
      </c>
      <c r="N44" s="266">
        <v>0</v>
      </c>
      <c r="O44" s="267">
        <v>361</v>
      </c>
      <c r="P44" s="266">
        <v>0</v>
      </c>
      <c r="Q44" s="267">
        <v>1001</v>
      </c>
    </row>
    <row r="45" spans="1:17">
      <c r="A45" s="264">
        <v>2615557588</v>
      </c>
      <c r="B45" s="241">
        <v>1250</v>
      </c>
      <c r="C45" s="266">
        <v>0</v>
      </c>
      <c r="D45" s="266">
        <v>0</v>
      </c>
      <c r="E45" s="266">
        <v>0</v>
      </c>
      <c r="F45" s="266">
        <v>0</v>
      </c>
      <c r="G45" s="266">
        <v>0</v>
      </c>
      <c r="H45" s="241">
        <v>1250</v>
      </c>
      <c r="I45" s="266">
        <v>0</v>
      </c>
      <c r="J45" s="266">
        <v>0</v>
      </c>
      <c r="K45" s="267">
        <v>0</v>
      </c>
      <c r="L45" s="266">
        <v>0</v>
      </c>
      <c r="M45" s="266">
        <v>0</v>
      </c>
      <c r="N45" s="266">
        <v>0</v>
      </c>
      <c r="O45" s="267">
        <v>0</v>
      </c>
      <c r="P45" s="266">
        <v>0</v>
      </c>
      <c r="Q45" s="241">
        <v>1250</v>
      </c>
    </row>
    <row r="46" spans="1:17">
      <c r="A46" s="264">
        <v>2615574150</v>
      </c>
      <c r="B46" s="241">
        <v>1250</v>
      </c>
      <c r="C46" s="266">
        <v>0</v>
      </c>
      <c r="D46" s="266">
        <v>0</v>
      </c>
      <c r="E46" s="266">
        <v>0</v>
      </c>
      <c r="F46" s="266">
        <v>0</v>
      </c>
      <c r="G46" s="266">
        <v>0</v>
      </c>
      <c r="H46" s="241">
        <v>1250</v>
      </c>
      <c r="I46" s="266">
        <v>0</v>
      </c>
      <c r="J46" s="266">
        <v>0</v>
      </c>
      <c r="K46" s="267">
        <v>168.28</v>
      </c>
      <c r="L46" s="266">
        <v>0</v>
      </c>
      <c r="M46" s="266">
        <v>0</v>
      </c>
      <c r="N46" s="266">
        <v>0</v>
      </c>
      <c r="O46" s="267">
        <v>168.28</v>
      </c>
      <c r="P46" s="266">
        <v>0</v>
      </c>
      <c r="Q46" s="241">
        <v>1418.28</v>
      </c>
    </row>
    <row r="47" spans="1:17">
      <c r="A47" s="264">
        <v>2615632654</v>
      </c>
      <c r="B47" s="267">
        <v>640</v>
      </c>
      <c r="C47" s="266">
        <v>0</v>
      </c>
      <c r="D47" s="266">
        <v>0</v>
      </c>
      <c r="E47" s="266">
        <v>0</v>
      </c>
      <c r="F47" s="266">
        <v>0</v>
      </c>
      <c r="G47" s="266">
        <v>0</v>
      </c>
      <c r="H47" s="267">
        <v>640</v>
      </c>
      <c r="I47" s="266">
        <v>0</v>
      </c>
      <c r="J47" s="266">
        <v>0</v>
      </c>
      <c r="K47" s="266">
        <v>0</v>
      </c>
      <c r="L47" s="266">
        <v>0</v>
      </c>
      <c r="M47" s="266">
        <v>0</v>
      </c>
      <c r="N47" s="266">
        <v>0</v>
      </c>
      <c r="O47" s="266">
        <v>0</v>
      </c>
      <c r="P47" s="266">
        <v>0</v>
      </c>
      <c r="Q47" s="267">
        <v>640</v>
      </c>
    </row>
    <row r="48" spans="1:17">
      <c r="A48" s="264">
        <v>2615699626</v>
      </c>
      <c r="B48" s="267">
        <v>640</v>
      </c>
      <c r="C48" s="266">
        <v>0</v>
      </c>
      <c r="D48" s="266">
        <v>0</v>
      </c>
      <c r="E48" s="266">
        <v>0</v>
      </c>
      <c r="F48" s="266">
        <v>0</v>
      </c>
      <c r="G48" s="266">
        <v>0</v>
      </c>
      <c r="H48" s="267">
        <v>640</v>
      </c>
      <c r="I48" s="266">
        <v>0</v>
      </c>
      <c r="J48" s="266">
        <v>0</v>
      </c>
      <c r="K48" s="266">
        <v>0</v>
      </c>
      <c r="L48" s="266">
        <v>0</v>
      </c>
      <c r="M48" s="266">
        <v>0</v>
      </c>
      <c r="N48" s="266">
        <v>0</v>
      </c>
      <c r="O48" s="266">
        <v>0</v>
      </c>
      <c r="P48" s="266">
        <v>0</v>
      </c>
      <c r="Q48" s="267">
        <v>640</v>
      </c>
    </row>
    <row r="49" spans="1:17">
      <c r="A49" s="264">
        <v>2615756516</v>
      </c>
      <c r="B49" s="265">
        <v>1610</v>
      </c>
      <c r="C49" s="266">
        <v>0</v>
      </c>
      <c r="D49" s="266">
        <v>0</v>
      </c>
      <c r="E49" s="266">
        <v>0</v>
      </c>
      <c r="F49" s="266">
        <v>0</v>
      </c>
      <c r="G49" s="266">
        <v>0</v>
      </c>
      <c r="H49" s="265">
        <v>1610</v>
      </c>
      <c r="I49" s="266">
        <v>0</v>
      </c>
      <c r="J49" s="266">
        <v>0</v>
      </c>
      <c r="K49" s="266">
        <v>0</v>
      </c>
      <c r="L49" s="266">
        <v>0</v>
      </c>
      <c r="M49" s="266">
        <v>0</v>
      </c>
      <c r="N49" s="266">
        <v>0</v>
      </c>
      <c r="O49" s="266">
        <v>0</v>
      </c>
      <c r="P49" s="266">
        <v>0</v>
      </c>
      <c r="Q49" s="265">
        <v>1610</v>
      </c>
    </row>
    <row r="50" spans="1:17">
      <c r="A50" s="264">
        <v>2615940527</v>
      </c>
      <c r="B50" s="265">
        <v>1610</v>
      </c>
      <c r="C50" s="266">
        <v>0</v>
      </c>
      <c r="D50" s="266">
        <v>0</v>
      </c>
      <c r="E50" s="266">
        <v>0</v>
      </c>
      <c r="F50" s="266">
        <v>0</v>
      </c>
      <c r="G50" s="266">
        <v>0</v>
      </c>
      <c r="H50" s="265">
        <v>1610</v>
      </c>
      <c r="I50" s="266">
        <v>0</v>
      </c>
      <c r="J50" s="266">
        <v>0</v>
      </c>
      <c r="K50" s="266">
        <v>0</v>
      </c>
      <c r="L50" s="266">
        <v>0</v>
      </c>
      <c r="M50" s="266">
        <v>0</v>
      </c>
      <c r="N50" s="266">
        <v>0</v>
      </c>
      <c r="O50" s="266">
        <v>0</v>
      </c>
      <c r="P50" s="266">
        <v>0</v>
      </c>
      <c r="Q50" s="265">
        <v>1610</v>
      </c>
    </row>
    <row r="51" spans="1:17">
      <c r="A51" s="264">
        <v>2615968885</v>
      </c>
      <c r="B51" s="265">
        <v>1610</v>
      </c>
      <c r="C51" s="266">
        <v>0</v>
      </c>
      <c r="D51" s="266">
        <v>0</v>
      </c>
      <c r="E51" s="266">
        <v>0</v>
      </c>
      <c r="F51" s="266">
        <v>0</v>
      </c>
      <c r="G51" s="266">
        <v>0</v>
      </c>
      <c r="H51" s="265">
        <v>1610</v>
      </c>
      <c r="I51" s="266">
        <v>0</v>
      </c>
      <c r="J51" s="266">
        <v>0</v>
      </c>
      <c r="K51" s="266">
        <v>0</v>
      </c>
      <c r="L51" s="266">
        <v>0</v>
      </c>
      <c r="M51" s="266">
        <v>0</v>
      </c>
      <c r="N51" s="266">
        <v>0</v>
      </c>
      <c r="O51" s="266">
        <v>0</v>
      </c>
      <c r="P51" s="266">
        <v>0</v>
      </c>
      <c r="Q51" s="265">
        <v>1610</v>
      </c>
    </row>
    <row r="52" spans="1:17">
      <c r="A52" s="264">
        <v>2615968889</v>
      </c>
      <c r="B52" s="265">
        <v>1610</v>
      </c>
      <c r="C52" s="266">
        <v>0</v>
      </c>
      <c r="D52" s="266">
        <v>0</v>
      </c>
      <c r="E52" s="266">
        <v>0</v>
      </c>
      <c r="F52" s="266">
        <v>0</v>
      </c>
      <c r="G52" s="266">
        <v>0</v>
      </c>
      <c r="H52" s="265">
        <v>1610</v>
      </c>
      <c r="I52" s="266">
        <v>0</v>
      </c>
      <c r="J52" s="266">
        <v>0</v>
      </c>
      <c r="K52" s="266">
        <v>0</v>
      </c>
      <c r="L52" s="266">
        <v>0</v>
      </c>
      <c r="M52" s="266">
        <v>0</v>
      </c>
      <c r="N52" s="266">
        <v>0</v>
      </c>
      <c r="O52" s="266">
        <v>0</v>
      </c>
      <c r="P52" s="266">
        <v>0</v>
      </c>
      <c r="Q52" s="265">
        <v>1610</v>
      </c>
    </row>
    <row r="53" spans="1:17">
      <c r="A53" s="264">
        <v>2615976517</v>
      </c>
      <c r="B53" s="267">
        <v>640</v>
      </c>
      <c r="C53" s="266">
        <v>0</v>
      </c>
      <c r="D53" s="266">
        <v>0</v>
      </c>
      <c r="E53" s="266">
        <v>0</v>
      </c>
      <c r="F53" s="266">
        <v>0</v>
      </c>
      <c r="G53" s="266">
        <v>0</v>
      </c>
      <c r="H53" s="267">
        <v>640</v>
      </c>
      <c r="I53" s="266">
        <v>0</v>
      </c>
      <c r="J53" s="266">
        <v>0</v>
      </c>
      <c r="K53" s="266">
        <v>0</v>
      </c>
      <c r="L53" s="266">
        <v>0</v>
      </c>
      <c r="M53" s="266">
        <v>0</v>
      </c>
      <c r="N53" s="266">
        <v>0</v>
      </c>
      <c r="O53" s="266">
        <v>0</v>
      </c>
      <c r="P53" s="266">
        <v>0</v>
      </c>
      <c r="Q53" s="267">
        <v>640</v>
      </c>
    </row>
    <row r="54" spans="1:17">
      <c r="A54" s="264">
        <v>2615977221</v>
      </c>
      <c r="B54" s="267">
        <v>640</v>
      </c>
      <c r="C54" s="266">
        <v>0</v>
      </c>
      <c r="D54" s="266">
        <v>0</v>
      </c>
      <c r="E54" s="266">
        <v>0</v>
      </c>
      <c r="F54" s="266">
        <v>0</v>
      </c>
      <c r="G54" s="266">
        <v>0</v>
      </c>
      <c r="H54" s="267">
        <v>640</v>
      </c>
      <c r="I54" s="266">
        <v>0</v>
      </c>
      <c r="J54" s="266">
        <v>0</v>
      </c>
      <c r="K54" s="267">
        <v>0</v>
      </c>
      <c r="L54" s="266">
        <v>0</v>
      </c>
      <c r="M54" s="266">
        <v>0</v>
      </c>
      <c r="N54" s="266">
        <v>0</v>
      </c>
      <c r="O54" s="267">
        <v>0</v>
      </c>
      <c r="P54" s="266">
        <v>0</v>
      </c>
      <c r="Q54" s="267">
        <v>640</v>
      </c>
    </row>
    <row r="55" spans="1:17">
      <c r="A55" s="264">
        <v>2616401259</v>
      </c>
      <c r="B55" s="265">
        <v>1610</v>
      </c>
      <c r="C55" s="266">
        <v>0</v>
      </c>
      <c r="D55" s="266">
        <v>0</v>
      </c>
      <c r="E55" s="266">
        <v>0</v>
      </c>
      <c r="F55" s="266">
        <v>0</v>
      </c>
      <c r="G55" s="266">
        <v>0</v>
      </c>
      <c r="H55" s="265">
        <v>1610</v>
      </c>
      <c r="I55" s="266">
        <v>0</v>
      </c>
      <c r="J55" s="266">
        <v>0</v>
      </c>
      <c r="K55" s="266">
        <v>0</v>
      </c>
      <c r="L55" s="266">
        <v>0</v>
      </c>
      <c r="M55" s="266">
        <v>0</v>
      </c>
      <c r="N55" s="266">
        <v>0</v>
      </c>
      <c r="O55" s="266">
        <v>0</v>
      </c>
      <c r="P55" s="266">
        <v>0</v>
      </c>
      <c r="Q55" s="265">
        <v>1610</v>
      </c>
    </row>
    <row r="56" spans="1:17">
      <c r="A56" s="264">
        <v>2616611035</v>
      </c>
      <c r="B56" s="267">
        <v>640</v>
      </c>
      <c r="C56" s="266">
        <v>0</v>
      </c>
      <c r="D56" s="266">
        <v>0</v>
      </c>
      <c r="E56" s="266">
        <v>0</v>
      </c>
      <c r="F56" s="266">
        <v>0</v>
      </c>
      <c r="G56" s="266">
        <v>0</v>
      </c>
      <c r="H56" s="267">
        <v>640</v>
      </c>
      <c r="I56" s="266">
        <v>0</v>
      </c>
      <c r="J56" s="266">
        <v>0</v>
      </c>
      <c r="K56" s="266">
        <v>0</v>
      </c>
      <c r="L56" s="266">
        <v>0</v>
      </c>
      <c r="M56" s="266">
        <v>0</v>
      </c>
      <c r="N56" s="266">
        <v>0</v>
      </c>
      <c r="O56" s="266">
        <v>0</v>
      </c>
      <c r="P56" s="266">
        <v>0</v>
      </c>
      <c r="Q56" s="267">
        <v>640</v>
      </c>
    </row>
    <row r="57" spans="1:17">
      <c r="A57" s="264">
        <v>2616649074</v>
      </c>
      <c r="B57" s="265">
        <v>1610</v>
      </c>
      <c r="C57" s="266">
        <v>0</v>
      </c>
      <c r="D57" s="266">
        <v>0</v>
      </c>
      <c r="E57" s="266">
        <v>0</v>
      </c>
      <c r="F57" s="266">
        <v>0</v>
      </c>
      <c r="G57" s="266">
        <v>0</v>
      </c>
      <c r="H57" s="265">
        <v>1610</v>
      </c>
      <c r="I57" s="266">
        <v>0</v>
      </c>
      <c r="J57" s="266">
        <v>0</v>
      </c>
      <c r="K57" s="266">
        <v>0</v>
      </c>
      <c r="L57" s="266">
        <v>0</v>
      </c>
      <c r="M57" s="266">
        <v>0</v>
      </c>
      <c r="N57" s="266">
        <v>0</v>
      </c>
      <c r="O57" s="266">
        <v>0</v>
      </c>
      <c r="P57" s="266">
        <v>0</v>
      </c>
      <c r="Q57" s="265">
        <v>1610</v>
      </c>
    </row>
    <row r="58" spans="1:17">
      <c r="A58" s="264">
        <v>2616649334</v>
      </c>
      <c r="B58" s="267">
        <v>640</v>
      </c>
      <c r="C58" s="266">
        <v>0</v>
      </c>
      <c r="D58" s="266">
        <v>0</v>
      </c>
      <c r="E58" s="266">
        <v>0</v>
      </c>
      <c r="F58" s="266">
        <v>0</v>
      </c>
      <c r="G58" s="266">
        <v>0</v>
      </c>
      <c r="H58" s="267">
        <v>640</v>
      </c>
      <c r="I58" s="266">
        <v>0</v>
      </c>
      <c r="J58" s="266">
        <v>0</v>
      </c>
      <c r="K58" s="266">
        <v>0</v>
      </c>
      <c r="L58" s="266">
        <v>0</v>
      </c>
      <c r="M58" s="266">
        <v>0</v>
      </c>
      <c r="N58" s="266">
        <v>0</v>
      </c>
      <c r="O58" s="266">
        <v>0</v>
      </c>
      <c r="P58" s="266">
        <v>0</v>
      </c>
      <c r="Q58" s="267">
        <v>640</v>
      </c>
    </row>
    <row r="59" spans="1:17">
      <c r="A59" s="264">
        <v>2616655994</v>
      </c>
      <c r="B59" s="267">
        <v>640</v>
      </c>
      <c r="C59" s="266">
        <v>0</v>
      </c>
      <c r="D59" s="266">
        <v>0</v>
      </c>
      <c r="E59" s="266">
        <v>0</v>
      </c>
      <c r="F59" s="266">
        <v>0</v>
      </c>
      <c r="G59" s="266">
        <v>0</v>
      </c>
      <c r="H59" s="267">
        <v>640</v>
      </c>
      <c r="I59" s="266">
        <v>0</v>
      </c>
      <c r="J59" s="266">
        <v>0</v>
      </c>
      <c r="K59" s="266">
        <v>0</v>
      </c>
      <c r="L59" s="266">
        <v>0</v>
      </c>
      <c r="M59" s="266">
        <v>0</v>
      </c>
      <c r="N59" s="266">
        <v>0</v>
      </c>
      <c r="O59" s="266">
        <v>0</v>
      </c>
      <c r="P59" s="266">
        <v>0</v>
      </c>
      <c r="Q59" s="267">
        <v>640</v>
      </c>
    </row>
    <row r="60" spans="1:17" ht="15" thickBot="1">
      <c r="A60" s="268">
        <v>2616685899</v>
      </c>
      <c r="B60" s="272">
        <v>640</v>
      </c>
      <c r="C60" s="270">
        <v>0</v>
      </c>
      <c r="D60" s="270">
        <v>0</v>
      </c>
      <c r="E60" s="270">
        <v>0</v>
      </c>
      <c r="F60" s="270">
        <v>0</v>
      </c>
      <c r="G60" s="270">
        <v>0</v>
      </c>
      <c r="H60" s="272">
        <v>640</v>
      </c>
      <c r="I60" s="270">
        <v>0</v>
      </c>
      <c r="J60" s="270">
        <v>0</v>
      </c>
      <c r="K60" s="270">
        <v>0</v>
      </c>
      <c r="L60" s="270">
        <v>0</v>
      </c>
      <c r="M60" s="270">
        <v>0</v>
      </c>
      <c r="N60" s="270">
        <v>0</v>
      </c>
      <c r="O60" s="270">
        <v>0</v>
      </c>
      <c r="P60" s="270">
        <v>0</v>
      </c>
      <c r="Q60" s="272">
        <v>640</v>
      </c>
    </row>
    <row r="61" spans="1:17">
      <c r="A61" s="261">
        <v>2616912694</v>
      </c>
      <c r="B61" s="262">
        <v>640</v>
      </c>
      <c r="C61" s="263">
        <v>0</v>
      </c>
      <c r="D61" s="263">
        <v>0</v>
      </c>
      <c r="E61" s="263">
        <v>0</v>
      </c>
      <c r="F61" s="263">
        <v>0</v>
      </c>
      <c r="G61" s="263">
        <v>0</v>
      </c>
      <c r="H61" s="262">
        <v>640</v>
      </c>
      <c r="I61" s="263">
        <v>0</v>
      </c>
      <c r="J61" s="263">
        <v>0</v>
      </c>
      <c r="K61" s="263">
        <v>0</v>
      </c>
      <c r="L61" s="263">
        <v>0</v>
      </c>
      <c r="M61" s="263">
        <v>0</v>
      </c>
      <c r="N61" s="263">
        <v>0</v>
      </c>
      <c r="O61" s="263">
        <v>0</v>
      </c>
      <c r="P61" s="263">
        <v>0</v>
      </c>
      <c r="Q61" s="262">
        <v>640</v>
      </c>
    </row>
    <row r="62" spans="1:17" ht="15" thickBot="1">
      <c r="A62" s="268">
        <v>2616974784</v>
      </c>
      <c r="B62" s="272">
        <v>640</v>
      </c>
      <c r="C62" s="270">
        <v>0</v>
      </c>
      <c r="D62" s="270">
        <v>0</v>
      </c>
      <c r="E62" s="270">
        <v>0</v>
      </c>
      <c r="F62" s="270">
        <v>0</v>
      </c>
      <c r="G62" s="270">
        <v>0</v>
      </c>
      <c r="H62" s="272">
        <v>640</v>
      </c>
      <c r="I62" s="270">
        <v>0</v>
      </c>
      <c r="J62" s="270">
        <v>0</v>
      </c>
      <c r="K62" s="270">
        <v>0</v>
      </c>
      <c r="L62" s="270">
        <v>0</v>
      </c>
      <c r="M62" s="270">
        <v>0</v>
      </c>
      <c r="N62" s="270">
        <v>0</v>
      </c>
      <c r="O62" s="270">
        <v>0</v>
      </c>
      <c r="P62" s="270">
        <v>0</v>
      </c>
      <c r="Q62" s="272">
        <v>640</v>
      </c>
    </row>
    <row r="63" spans="1:17" ht="15" thickBot="1">
      <c r="A63" s="243" t="s">
        <v>519</v>
      </c>
      <c r="B63" s="244">
        <v>60230</v>
      </c>
      <c r="C63" s="273">
        <v>0</v>
      </c>
      <c r="D63" s="273">
        <v>0</v>
      </c>
      <c r="E63" s="273">
        <v>0</v>
      </c>
      <c r="F63" s="273">
        <v>0</v>
      </c>
      <c r="G63" s="273">
        <v>0</v>
      </c>
      <c r="H63" s="244">
        <v>60230</v>
      </c>
      <c r="I63" s="274">
        <v>572.87</v>
      </c>
      <c r="J63" s="273">
        <v>6.58</v>
      </c>
      <c r="K63" s="244">
        <v>1294.7</v>
      </c>
      <c r="L63" s="273">
        <v>0</v>
      </c>
      <c r="M63" s="273">
        <v>0</v>
      </c>
      <c r="N63" s="273">
        <v>0</v>
      </c>
      <c r="O63" s="244">
        <v>1874.15</v>
      </c>
      <c r="P63" s="273">
        <v>3395.58</v>
      </c>
      <c r="Q63" s="244">
        <v>65499.73</v>
      </c>
    </row>
    <row r="65" spans="1:5">
      <c r="A65" s="220" t="s">
        <v>508</v>
      </c>
    </row>
    <row r="66" spans="1:5" ht="15" thickBot="1"/>
    <row r="67" spans="1:5" ht="15" thickBot="1">
      <c r="A67" s="237" t="s">
        <v>511</v>
      </c>
      <c r="B67" s="238" t="s">
        <v>520</v>
      </c>
      <c r="C67" s="236" t="s">
        <v>65</v>
      </c>
      <c r="D67" s="236" t="s">
        <v>521</v>
      </c>
      <c r="E67" s="239" t="s">
        <v>90</v>
      </c>
    </row>
    <row r="68" spans="1:5">
      <c r="A68" s="245" t="s">
        <v>512</v>
      </c>
      <c r="B68" s="246"/>
      <c r="C68" s="247"/>
      <c r="D68" s="260">
        <v>1295.83</v>
      </c>
      <c r="E68" s="248"/>
    </row>
    <row r="69" spans="1:5">
      <c r="A69" s="249" t="s">
        <v>513</v>
      </c>
      <c r="B69" s="250"/>
      <c r="C69" s="251"/>
      <c r="D69" s="257">
        <v>3245.66</v>
      </c>
      <c r="E69" s="252"/>
    </row>
    <row r="70" spans="1:5">
      <c r="A70" s="253" t="s">
        <v>514</v>
      </c>
      <c r="B70" s="250"/>
      <c r="C70" s="251"/>
      <c r="D70" s="254"/>
      <c r="E70" s="252"/>
    </row>
    <row r="71" spans="1:5">
      <c r="A71" s="249" t="s">
        <v>515</v>
      </c>
      <c r="B71" s="250"/>
      <c r="C71" s="251"/>
      <c r="D71" s="257">
        <v>1965</v>
      </c>
      <c r="E71" s="252"/>
    </row>
    <row r="72" spans="1:5">
      <c r="A72" s="249" t="s">
        <v>516</v>
      </c>
      <c r="B72" s="256">
        <v>399</v>
      </c>
      <c r="C72" s="256">
        <v>83.79</v>
      </c>
      <c r="D72" s="254"/>
      <c r="E72" s="252"/>
    </row>
    <row r="73" spans="1:5">
      <c r="A73" s="249" t="s">
        <v>517</v>
      </c>
      <c r="B73" s="257">
        <v>65100.73</v>
      </c>
      <c r="C73" s="257">
        <v>17577.2</v>
      </c>
      <c r="D73" s="254"/>
      <c r="E73" s="252"/>
    </row>
    <row r="74" spans="1:5" ht="15" thickBot="1">
      <c r="A74" s="255" t="s">
        <v>518</v>
      </c>
      <c r="B74" s="258">
        <v>65499.73</v>
      </c>
      <c r="C74" s="258">
        <v>17660.990000000002</v>
      </c>
      <c r="D74" s="258">
        <v>6506.49</v>
      </c>
      <c r="E74" s="259">
        <v>89667.21</v>
      </c>
    </row>
    <row r="76" spans="1:5">
      <c r="A76" s="220" t="s">
        <v>509</v>
      </c>
    </row>
    <row r="78" spans="1:5">
      <c r="A78" s="220" t="s">
        <v>7</v>
      </c>
    </row>
    <row r="80" spans="1:5">
      <c r="A80" s="240">
        <f>E74</f>
        <v>89667.21</v>
      </c>
    </row>
    <row r="82" spans="1:1">
      <c r="A82" s="220"/>
    </row>
    <row r="84" spans="1:1">
      <c r="A84" s="220"/>
    </row>
    <row r="86" spans="1:1">
      <c r="A86" s="220"/>
    </row>
    <row r="88" spans="1:1">
      <c r="A88" s="220"/>
    </row>
  </sheetData>
  <autoFilter ref="A5:Q63" xr:uid="{1870CBDD-1C29-4F3D-B3CF-3A74E708A388}">
    <filterColumn colId="1" showButton="0"/>
    <filterColumn colId="2" showButton="0"/>
    <filterColumn colId="3" showButton="0"/>
    <filterColumn colId="4" showButton="0"/>
    <filterColumn colId="5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6">
    <mergeCell ref="Q5:Q6"/>
    <mergeCell ref="B5:G5"/>
    <mergeCell ref="H5:H6"/>
    <mergeCell ref="I5:N5"/>
    <mergeCell ref="O5:O6"/>
    <mergeCell ref="P5:P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0"/>
  <sheetViews>
    <sheetView topLeftCell="A31" zoomScaleNormal="100" workbookViewId="0">
      <selection activeCell="G68" sqref="G68"/>
    </sheetView>
  </sheetViews>
  <sheetFormatPr baseColWidth="10" defaultColWidth="8.88671875" defaultRowHeight="14.4"/>
  <cols>
    <col min="1" max="1" width="11.109375" style="113" bestFit="1" customWidth="1"/>
    <col min="2" max="2" width="11.6640625" style="113" bestFit="1" customWidth="1"/>
    <col min="3" max="3" width="11.33203125" style="113" bestFit="1" customWidth="1"/>
    <col min="4" max="4" width="24.6640625" style="113" bestFit="1" customWidth="1"/>
    <col min="5" max="5" width="26.44140625" style="113" bestFit="1" customWidth="1"/>
    <col min="6" max="7" width="11.44140625" style="113" bestFit="1" customWidth="1"/>
    <col min="8" max="8" width="14" style="113" bestFit="1" customWidth="1"/>
    <col min="9" max="10" width="11.44140625" style="113" bestFit="1" customWidth="1"/>
    <col min="11" max="14" width="8.88671875" style="113"/>
    <col min="15" max="15" width="7.6640625" bestFit="1" customWidth="1"/>
    <col min="16" max="16" width="23.5546875" bestFit="1" customWidth="1"/>
    <col min="17" max="17" width="8.33203125" bestFit="1" customWidth="1"/>
    <col min="18" max="18" width="7.6640625" bestFit="1" customWidth="1"/>
    <col min="19" max="19" width="11.44140625" bestFit="1" customWidth="1"/>
    <col min="20" max="20" width="11.109375" bestFit="1" customWidth="1"/>
    <col min="21" max="16384" width="8.88671875" style="113"/>
  </cols>
  <sheetData>
    <row r="1" spans="1:20" ht="57.6">
      <c r="A1" t="s">
        <v>311</v>
      </c>
      <c r="B1" t="s">
        <v>314</v>
      </c>
      <c r="C1" t="s">
        <v>315</v>
      </c>
      <c r="D1" t="s">
        <v>316</v>
      </c>
      <c r="E1" t="s">
        <v>317</v>
      </c>
      <c r="F1" t="s">
        <v>348</v>
      </c>
      <c r="G1" t="s">
        <v>349</v>
      </c>
      <c r="H1" t="s">
        <v>350</v>
      </c>
      <c r="I1" s="118" t="s">
        <v>336</v>
      </c>
      <c r="J1" s="119" t="s">
        <v>337</v>
      </c>
      <c r="K1" t="s">
        <v>351</v>
      </c>
      <c r="L1" t="s">
        <v>352</v>
      </c>
      <c r="M1" s="113" t="s">
        <v>362</v>
      </c>
      <c r="N1" s="113" t="s">
        <v>424</v>
      </c>
      <c r="O1" s="104" t="s">
        <v>60</v>
      </c>
      <c r="P1" s="104" t="s">
        <v>278</v>
      </c>
      <c r="Q1" s="104" t="s">
        <v>279</v>
      </c>
      <c r="R1" s="104" t="s">
        <v>235</v>
      </c>
      <c r="S1" s="104" t="s">
        <v>323</v>
      </c>
      <c r="T1" s="104" t="s">
        <v>353</v>
      </c>
    </row>
    <row r="2" spans="1:20" ht="31.2" thickBot="1">
      <c r="A2" s="120" t="s">
        <v>338</v>
      </c>
      <c r="B2" s="120" t="s">
        <v>237</v>
      </c>
      <c r="C2" s="121" t="s">
        <v>393</v>
      </c>
      <c r="D2" s="120" t="s">
        <v>482</v>
      </c>
      <c r="E2" s="120" t="s">
        <v>394</v>
      </c>
      <c r="F2" s="120" t="s">
        <v>233</v>
      </c>
      <c r="G2" s="120" t="s">
        <v>287</v>
      </c>
      <c r="H2" s="120" t="s">
        <v>339</v>
      </c>
      <c r="I2" s="122" t="s">
        <v>340</v>
      </c>
      <c r="J2" s="120" t="s">
        <v>341</v>
      </c>
      <c r="K2" s="120" t="s">
        <v>342</v>
      </c>
      <c r="L2" s="120" t="s">
        <v>343</v>
      </c>
      <c r="O2" s="154" t="s">
        <v>396</v>
      </c>
      <c r="P2" s="124" t="s">
        <v>320</v>
      </c>
      <c r="Q2" s="154">
        <v>300</v>
      </c>
      <c r="R2" s="154" t="s">
        <v>399</v>
      </c>
      <c r="S2" s="154">
        <v>300</v>
      </c>
      <c r="T2" s="155">
        <f>0.02*60</f>
        <v>1.2</v>
      </c>
    </row>
    <row r="3" spans="1:20">
      <c r="A3" s="233">
        <f>movistar!A7</f>
        <v>1132994676</v>
      </c>
      <c r="B3" s="187">
        <f>SUM(movistar!B7:G7)</f>
        <v>640</v>
      </c>
      <c r="C3" s="187">
        <f>movistar!I7</f>
        <v>0</v>
      </c>
      <c r="D3" s="188">
        <f>SUM(movistar!J7,movistar!M7)</f>
        <v>0</v>
      </c>
      <c r="E3" s="183">
        <f>SUM(movistar!I7,movistar!K7,movistar!L7,movistar!N7)</f>
        <v>0</v>
      </c>
      <c r="F3" s="215"/>
      <c r="G3" s="225">
        <f>movistar!Q7</f>
        <v>640</v>
      </c>
      <c r="H3" s="163">
        <v>300</v>
      </c>
      <c r="I3" s="167">
        <v>288.37</v>
      </c>
      <c r="J3" s="170">
        <v>306.72000000000003</v>
      </c>
      <c r="K3" s="158"/>
      <c r="L3" s="156" t="s">
        <v>395</v>
      </c>
      <c r="O3" s="7" t="s">
        <v>345</v>
      </c>
      <c r="P3" s="124" t="s">
        <v>321</v>
      </c>
      <c r="Q3" s="7" t="s">
        <v>165</v>
      </c>
      <c r="R3" s="7" t="s">
        <v>400</v>
      </c>
      <c r="S3" s="7">
        <v>5000</v>
      </c>
      <c r="T3" s="90">
        <v>0</v>
      </c>
    </row>
    <row r="4" spans="1:20">
      <c r="A4" s="233">
        <f>movistar!A8</f>
        <v>2613052256</v>
      </c>
      <c r="B4" s="187">
        <f>SUM(movistar!B8:G8)</f>
        <v>1610</v>
      </c>
      <c r="C4" s="187">
        <f>movistar!I8</f>
        <v>0</v>
      </c>
      <c r="D4" s="188">
        <f>SUM(movistar!J8,movistar!M8)</f>
        <v>0</v>
      </c>
      <c r="E4" s="183">
        <f>SUM(movistar!I8,movistar!K8,movistar!L8,movistar!N8)</f>
        <v>0</v>
      </c>
      <c r="F4" s="215"/>
      <c r="G4" s="225">
        <f>movistar!Q8</f>
        <v>1610</v>
      </c>
      <c r="H4" s="163">
        <v>300</v>
      </c>
      <c r="I4" s="167">
        <v>288.37</v>
      </c>
      <c r="J4" s="170">
        <v>306.72000000000003</v>
      </c>
      <c r="K4" s="158"/>
      <c r="L4" s="156" t="s">
        <v>395</v>
      </c>
      <c r="O4" s="7" t="s">
        <v>344</v>
      </c>
      <c r="P4" s="124" t="s">
        <v>322</v>
      </c>
      <c r="Q4" s="7">
        <v>700</v>
      </c>
      <c r="R4" s="7" t="s">
        <v>401</v>
      </c>
      <c r="S4" s="7">
        <v>2000</v>
      </c>
      <c r="T4" s="155">
        <v>1.2</v>
      </c>
    </row>
    <row r="5" spans="1:20">
      <c r="A5" s="233">
        <f>movistar!A9</f>
        <v>2613072362</v>
      </c>
      <c r="B5" s="187">
        <f>SUM(movistar!B9:G9)</f>
        <v>1610</v>
      </c>
      <c r="C5" s="187">
        <f>movistar!I9</f>
        <v>0</v>
      </c>
      <c r="D5" s="188">
        <f>SUM(movistar!J9,movistar!M9)</f>
        <v>0</v>
      </c>
      <c r="E5" s="183">
        <f>SUM(movistar!I9,movistar!K9,movistar!L9,movistar!N9)</f>
        <v>0</v>
      </c>
      <c r="F5" s="215"/>
      <c r="G5" s="225">
        <f>movistar!Q9</f>
        <v>1610</v>
      </c>
      <c r="H5" s="163">
        <v>300</v>
      </c>
      <c r="I5" s="167">
        <v>19.420000000000002</v>
      </c>
      <c r="J5" s="170">
        <v>30.93</v>
      </c>
      <c r="K5" s="158"/>
      <c r="L5" s="156" t="s">
        <v>395</v>
      </c>
      <c r="O5" s="7" t="s">
        <v>395</v>
      </c>
      <c r="P5" s="124" t="s">
        <v>397</v>
      </c>
      <c r="Q5" s="7" t="s">
        <v>165</v>
      </c>
      <c r="R5" s="7" t="s">
        <v>398</v>
      </c>
      <c r="S5" s="7">
        <v>5000</v>
      </c>
      <c r="T5" s="90">
        <v>0</v>
      </c>
    </row>
    <row r="6" spans="1:20">
      <c r="A6" s="233">
        <f>movistar!A10</f>
        <v>2613074298</v>
      </c>
      <c r="B6" s="187">
        <f>SUM(movistar!B10:G10)</f>
        <v>640</v>
      </c>
      <c r="C6" s="187">
        <f>movistar!I10</f>
        <v>0</v>
      </c>
      <c r="D6" s="188">
        <f>SUM(movistar!J10,movistar!M10)</f>
        <v>0</v>
      </c>
      <c r="E6" s="183">
        <f>SUM(movistar!I10,movistar!K10,movistar!L10,movistar!N10)</f>
        <v>0</v>
      </c>
      <c r="F6" s="215"/>
      <c r="G6" s="225">
        <f>movistar!Q10</f>
        <v>640</v>
      </c>
      <c r="H6" s="163">
        <v>300</v>
      </c>
      <c r="I6" s="167">
        <v>204.32</v>
      </c>
      <c r="J6" s="170">
        <v>201.77</v>
      </c>
      <c r="K6" s="158"/>
      <c r="L6" s="156" t="s">
        <v>395</v>
      </c>
      <c r="O6" s="7"/>
      <c r="P6" s="7"/>
      <c r="Q6" s="7"/>
      <c r="R6" s="7"/>
      <c r="S6" s="7"/>
      <c r="T6" s="7"/>
    </row>
    <row r="7" spans="1:20">
      <c r="A7" s="233">
        <f>movistar!A11</f>
        <v>2613626179</v>
      </c>
      <c r="B7" s="187">
        <f>SUM(movistar!B11:G11)</f>
        <v>1610</v>
      </c>
      <c r="C7" s="187">
        <f>movistar!I11</f>
        <v>0</v>
      </c>
      <c r="D7" s="188">
        <f>SUM(movistar!J11,movistar!M11)</f>
        <v>0</v>
      </c>
      <c r="E7" s="183">
        <f>SUM(movistar!I11,movistar!K11,movistar!L11,movistar!N11)</f>
        <v>0</v>
      </c>
      <c r="F7" s="215"/>
      <c r="G7" s="225">
        <f>movistar!Q11</f>
        <v>1610</v>
      </c>
      <c r="H7" s="163">
        <v>300</v>
      </c>
      <c r="I7" s="167">
        <v>66.5</v>
      </c>
      <c r="J7" s="170">
        <v>89.92</v>
      </c>
      <c r="K7" s="158"/>
      <c r="L7" s="156" t="s">
        <v>395</v>
      </c>
      <c r="O7" s="7"/>
      <c r="P7" s="7"/>
      <c r="Q7" s="7"/>
      <c r="R7" s="7"/>
      <c r="S7" s="7"/>
      <c r="T7" s="7"/>
    </row>
    <row r="8" spans="1:20">
      <c r="A8" s="233">
        <f>movistar!A12</f>
        <v>2613861795</v>
      </c>
      <c r="B8" s="187">
        <f>SUM(movistar!B12:G12)</f>
        <v>640</v>
      </c>
      <c r="C8" s="187">
        <f>movistar!I12</f>
        <v>0</v>
      </c>
      <c r="D8" s="188">
        <f>SUM(movistar!J12,movistar!M12)</f>
        <v>0</v>
      </c>
      <c r="E8" s="183">
        <f>SUM(movistar!I12,movistar!K12,movistar!L12,movistar!N12)</f>
        <v>0</v>
      </c>
      <c r="F8" s="215"/>
      <c r="G8" s="225">
        <f>movistar!Q12</f>
        <v>640</v>
      </c>
      <c r="H8" s="163">
        <v>300</v>
      </c>
      <c r="I8" s="168">
        <v>10.33</v>
      </c>
      <c r="J8" s="170">
        <v>32.729999999999997</v>
      </c>
      <c r="K8" s="158"/>
      <c r="L8" s="156" t="s">
        <v>345</v>
      </c>
      <c r="O8" s="7"/>
      <c r="P8" s="7"/>
      <c r="Q8" s="7"/>
      <c r="R8" s="7"/>
      <c r="S8" s="7"/>
      <c r="T8" s="7"/>
    </row>
    <row r="9" spans="1:20">
      <c r="A9" s="233">
        <f>movistar!A13</f>
        <v>2613861796</v>
      </c>
      <c r="B9" s="187">
        <f>SUM(movistar!B13:G13)</f>
        <v>1250</v>
      </c>
      <c r="C9" s="187">
        <f>movistar!I13</f>
        <v>0</v>
      </c>
      <c r="D9" s="188">
        <f>SUM(movistar!J13,movistar!M13)</f>
        <v>0</v>
      </c>
      <c r="E9" s="183">
        <f>SUM(movistar!I13,movistar!K13,movistar!L13,movistar!N13)</f>
        <v>0</v>
      </c>
      <c r="F9" s="215"/>
      <c r="G9" s="225">
        <f>movistar!Q13</f>
        <v>1250</v>
      </c>
      <c r="H9" s="163">
        <v>300</v>
      </c>
      <c r="I9" s="169">
        <v>183.33</v>
      </c>
      <c r="J9" s="170">
        <v>70.8</v>
      </c>
      <c r="K9" s="158"/>
      <c r="L9" s="156" t="s">
        <v>345</v>
      </c>
    </row>
    <row r="10" spans="1:20">
      <c r="A10" s="233">
        <f>movistar!A14</f>
        <v>2613861797</v>
      </c>
      <c r="B10" s="187">
        <f>SUM(movistar!B14:G14)</f>
        <v>640</v>
      </c>
      <c r="C10" s="187">
        <f>movistar!I14</f>
        <v>0</v>
      </c>
      <c r="D10" s="188">
        <f>SUM(movistar!J14,movistar!M14)</f>
        <v>0</v>
      </c>
      <c r="E10" s="183">
        <f>SUM(movistar!I14,movistar!K14,movistar!L14,movistar!N14)</f>
        <v>0</v>
      </c>
      <c r="F10" s="215"/>
      <c r="G10" s="225">
        <f>movistar!Q14</f>
        <v>640</v>
      </c>
      <c r="H10" s="163">
        <v>300</v>
      </c>
      <c r="I10" s="169">
        <v>200.63</v>
      </c>
      <c r="J10" s="170">
        <v>155.63</v>
      </c>
      <c r="K10" s="158"/>
      <c r="L10" s="156" t="s">
        <v>345</v>
      </c>
    </row>
    <row r="11" spans="1:20">
      <c r="A11" s="233">
        <f>movistar!A15</f>
        <v>2613861799</v>
      </c>
      <c r="B11" s="187">
        <f>SUM(movistar!B15:G15)</f>
        <v>1250</v>
      </c>
      <c r="C11" s="187">
        <f>movistar!I15</f>
        <v>0</v>
      </c>
      <c r="D11" s="188">
        <f>SUM(movistar!J15,movistar!M15)</f>
        <v>0</v>
      </c>
      <c r="E11" s="183">
        <f>SUM(movistar!I15,movistar!K15,movistar!L15,movistar!N15)</f>
        <v>0</v>
      </c>
      <c r="F11" s="215"/>
      <c r="G11" s="225">
        <f>movistar!Q15</f>
        <v>1250</v>
      </c>
      <c r="H11" s="163">
        <v>300</v>
      </c>
      <c r="I11" s="166">
        <v>21.4</v>
      </c>
      <c r="J11" s="170">
        <v>24.85</v>
      </c>
      <c r="K11" s="158"/>
      <c r="L11" s="156" t="s">
        <v>345</v>
      </c>
    </row>
    <row r="12" spans="1:20">
      <c r="A12" s="233">
        <f>movistar!A16</f>
        <v>2613861800</v>
      </c>
      <c r="B12" s="187">
        <f>SUM(movistar!B16:G16)</f>
        <v>640</v>
      </c>
      <c r="C12" s="187">
        <f>movistar!I16</f>
        <v>0</v>
      </c>
      <c r="D12" s="188">
        <f>SUM(movistar!J16,movistar!M16)</f>
        <v>0</v>
      </c>
      <c r="E12" s="183">
        <f>SUM(movistar!I16,movistar!K16,movistar!L16,movistar!N16)</f>
        <v>0</v>
      </c>
      <c r="F12" s="215"/>
      <c r="G12" s="225">
        <f>movistar!Q16</f>
        <v>640</v>
      </c>
      <c r="H12" s="163">
        <v>300</v>
      </c>
      <c r="I12" s="167">
        <v>91.97</v>
      </c>
      <c r="J12" s="170">
        <v>111.08</v>
      </c>
      <c r="K12" s="158"/>
      <c r="L12" s="156" t="s">
        <v>345</v>
      </c>
    </row>
    <row r="13" spans="1:20">
      <c r="A13" s="233">
        <f>movistar!A17</f>
        <v>2613861801</v>
      </c>
      <c r="B13" s="187">
        <f>SUM(movistar!B17:G17)</f>
        <v>640</v>
      </c>
      <c r="C13" s="187">
        <f>movistar!I17</f>
        <v>16.489999999999998</v>
      </c>
      <c r="D13" s="188">
        <f>SUM(movistar!J17,movistar!M17)</f>
        <v>0</v>
      </c>
      <c r="E13" s="183">
        <f>SUM(movistar!I17,movistar!K17,movistar!L17,movistar!N17)</f>
        <v>16.489999999999998</v>
      </c>
      <c r="F13" s="215"/>
      <c r="G13" s="225">
        <f>movistar!Q17</f>
        <v>656.49</v>
      </c>
      <c r="H13" s="163">
        <v>300</v>
      </c>
      <c r="I13" s="168">
        <v>21.18</v>
      </c>
      <c r="J13" s="170">
        <v>60</v>
      </c>
      <c r="K13" s="158"/>
      <c r="L13" s="156" t="s">
        <v>345</v>
      </c>
    </row>
    <row r="14" spans="1:20">
      <c r="A14" s="233">
        <f>movistar!A18</f>
        <v>2613861802</v>
      </c>
      <c r="B14" s="187">
        <f>SUM(movistar!B18:G18)</f>
        <v>640</v>
      </c>
      <c r="C14" s="187">
        <f>movistar!I18</f>
        <v>0</v>
      </c>
      <c r="D14" s="188">
        <f>SUM(movistar!J18,movistar!M18)</f>
        <v>0</v>
      </c>
      <c r="E14" s="183">
        <f>SUM(movistar!I18,movistar!K18,movistar!L18,movistar!N18)</f>
        <v>0</v>
      </c>
      <c r="F14" s="215"/>
      <c r="G14" s="225">
        <f>movistar!Q18</f>
        <v>640</v>
      </c>
      <c r="H14" s="163">
        <v>300</v>
      </c>
      <c r="I14" s="169">
        <v>262.25</v>
      </c>
      <c r="J14" s="170">
        <v>215.6</v>
      </c>
      <c r="K14" s="158"/>
      <c r="L14" s="156" t="s">
        <v>345</v>
      </c>
    </row>
    <row r="15" spans="1:20">
      <c r="A15" s="233">
        <f>movistar!A19</f>
        <v>2613861803</v>
      </c>
      <c r="B15" s="187">
        <f>SUM(movistar!B19:G19)</f>
        <v>640</v>
      </c>
      <c r="C15" s="187">
        <f>movistar!I19</f>
        <v>448.72</v>
      </c>
      <c r="D15" s="188">
        <f>SUM(movistar!J19,movistar!M19)</f>
        <v>0</v>
      </c>
      <c r="E15" s="183">
        <f>SUM(movistar!I19,movistar!K19,movistar!L19,movistar!N19)</f>
        <v>642.72</v>
      </c>
      <c r="F15" s="215"/>
      <c r="G15" s="225">
        <f>movistar!Q19</f>
        <v>1282.72</v>
      </c>
      <c r="H15" s="163">
        <v>300</v>
      </c>
      <c r="I15" s="169">
        <v>70.12</v>
      </c>
      <c r="J15" s="170">
        <v>38.1</v>
      </c>
      <c r="K15" s="158"/>
      <c r="L15" s="156" t="s">
        <v>345</v>
      </c>
    </row>
    <row r="16" spans="1:20">
      <c r="A16" s="233">
        <f>movistar!A20</f>
        <v>2613861804</v>
      </c>
      <c r="B16" s="187">
        <f>SUM(movistar!B20:G20)</f>
        <v>640</v>
      </c>
      <c r="C16" s="187">
        <f>movistar!I20</f>
        <v>0</v>
      </c>
      <c r="D16" s="188">
        <f>SUM(movistar!J20,movistar!M20)</f>
        <v>0</v>
      </c>
      <c r="E16" s="183">
        <f>SUM(movistar!I20,movistar!K20,movistar!L20,movistar!N20)</f>
        <v>0</v>
      </c>
      <c r="F16" s="215"/>
      <c r="G16" s="225">
        <f>movistar!Q20</f>
        <v>640</v>
      </c>
      <c r="H16" s="163">
        <v>300</v>
      </c>
      <c r="I16" s="169">
        <v>300.67</v>
      </c>
      <c r="J16" s="170">
        <v>339.15</v>
      </c>
      <c r="K16" s="158"/>
      <c r="L16" s="156" t="s">
        <v>345</v>
      </c>
    </row>
    <row r="17" spans="1:12">
      <c r="A17" s="233">
        <f>movistar!A21</f>
        <v>2613861806</v>
      </c>
      <c r="B17" s="187">
        <f>SUM(movistar!B21:G21)</f>
        <v>1610</v>
      </c>
      <c r="C17" s="187">
        <f>movistar!I21</f>
        <v>0</v>
      </c>
      <c r="D17" s="188">
        <f>SUM(movistar!J21,movistar!M21)</f>
        <v>0</v>
      </c>
      <c r="E17" s="183">
        <f>SUM(movistar!I21,movistar!K21,movistar!L21,movistar!N21)</f>
        <v>0</v>
      </c>
      <c r="F17" s="215"/>
      <c r="G17" s="225">
        <f>movistar!Q21</f>
        <v>1610</v>
      </c>
      <c r="H17" s="163">
        <v>300</v>
      </c>
      <c r="I17" s="166">
        <v>78.819999999999993</v>
      </c>
      <c r="J17" s="170">
        <v>112.7</v>
      </c>
      <c r="K17" s="158"/>
      <c r="L17" s="156" t="s">
        <v>345</v>
      </c>
    </row>
    <row r="18" spans="1:12">
      <c r="A18" s="233">
        <f>movistar!A22</f>
        <v>2613861807</v>
      </c>
      <c r="B18" s="187">
        <f>SUM(movistar!B22:G22)</f>
        <v>1610</v>
      </c>
      <c r="C18" s="187">
        <f>movistar!I22</f>
        <v>0</v>
      </c>
      <c r="D18" s="188">
        <f>SUM(movistar!J22,movistar!M22)</f>
        <v>0</v>
      </c>
      <c r="E18" s="183">
        <f>SUM(movistar!I22,movistar!K22,movistar!L22,movistar!N22)</f>
        <v>0</v>
      </c>
      <c r="F18" s="215"/>
      <c r="G18" s="225">
        <f>movistar!Q22</f>
        <v>1610</v>
      </c>
      <c r="H18" s="163">
        <v>700</v>
      </c>
      <c r="I18" s="168">
        <v>18.93</v>
      </c>
      <c r="J18" s="170">
        <v>12.83</v>
      </c>
      <c r="K18" s="158"/>
      <c r="L18" s="156" t="s">
        <v>344</v>
      </c>
    </row>
    <row r="19" spans="1:12">
      <c r="A19" s="233">
        <f>movistar!A23</f>
        <v>2613861808</v>
      </c>
      <c r="B19" s="187">
        <f>SUM(movistar!B23:G23)</f>
        <v>640</v>
      </c>
      <c r="C19" s="187">
        <f>movistar!I23</f>
        <v>0</v>
      </c>
      <c r="D19" s="188">
        <f>SUM(movistar!J23,movistar!M23)</f>
        <v>0</v>
      </c>
      <c r="E19" s="183">
        <f>SUM(movistar!I23,movistar!K23,movistar!L23,movistar!N23)</f>
        <v>0</v>
      </c>
      <c r="F19" s="215"/>
      <c r="G19" s="225">
        <f>movistar!Q23</f>
        <v>640</v>
      </c>
      <c r="H19" s="163">
        <v>700</v>
      </c>
      <c r="I19" s="169">
        <v>121.97</v>
      </c>
      <c r="J19" s="170">
        <v>115.55</v>
      </c>
      <c r="K19" s="158"/>
      <c r="L19" s="156" t="s">
        <v>344</v>
      </c>
    </row>
    <row r="20" spans="1:12">
      <c r="A20" s="233">
        <f>movistar!A24</f>
        <v>2613861810</v>
      </c>
      <c r="B20" s="187">
        <f>SUM(movistar!B24:G24)</f>
        <v>640</v>
      </c>
      <c r="C20" s="187">
        <f>movistar!I24</f>
        <v>0</v>
      </c>
      <c r="D20" s="188">
        <f>SUM(movistar!J24,movistar!M24)</f>
        <v>0</v>
      </c>
      <c r="E20" s="183">
        <f>SUM(movistar!I24,movistar!K24,movistar!L24,movistar!N24)</f>
        <v>0</v>
      </c>
      <c r="F20" s="215"/>
      <c r="G20" s="225">
        <f>movistar!Q24</f>
        <v>640</v>
      </c>
      <c r="H20" s="163">
        <v>700</v>
      </c>
      <c r="I20" s="169">
        <v>190.92</v>
      </c>
      <c r="J20" s="170">
        <v>235.63</v>
      </c>
      <c r="K20" s="158"/>
      <c r="L20" s="156" t="s">
        <v>344</v>
      </c>
    </row>
    <row r="21" spans="1:12">
      <c r="A21" s="233">
        <f>movistar!A25</f>
        <v>2614664835</v>
      </c>
      <c r="B21" s="187">
        <f>SUM(movistar!B25:G25)</f>
        <v>1610</v>
      </c>
      <c r="C21" s="187">
        <f>movistar!I25</f>
        <v>0</v>
      </c>
      <c r="D21" s="188">
        <f>SUM(movistar!J25,movistar!M25)</f>
        <v>0</v>
      </c>
      <c r="E21" s="183">
        <f>SUM(movistar!I25,movistar!K25,movistar!L25,movistar!N25)</f>
        <v>0</v>
      </c>
      <c r="F21" s="215"/>
      <c r="G21" s="225">
        <f>movistar!Q25</f>
        <v>1610</v>
      </c>
      <c r="H21" s="163">
        <v>700</v>
      </c>
      <c r="I21" s="169">
        <v>477.73</v>
      </c>
      <c r="J21" s="170">
        <v>284.22000000000003</v>
      </c>
      <c r="K21" s="158"/>
      <c r="L21" s="156" t="s">
        <v>344</v>
      </c>
    </row>
    <row r="22" spans="1:12">
      <c r="A22" s="233">
        <f>movistar!A26</f>
        <v>2614669247</v>
      </c>
      <c r="B22" s="187">
        <f>SUM(movistar!B26:G26)</f>
        <v>1610</v>
      </c>
      <c r="C22" s="187">
        <f>movistar!I26</f>
        <v>13.45</v>
      </c>
      <c r="D22" s="188">
        <f>SUM(movistar!J26,movistar!M26)</f>
        <v>0</v>
      </c>
      <c r="E22" s="183">
        <f>SUM(movistar!I26,movistar!K26,movistar!L26,movistar!N26)</f>
        <v>13.45</v>
      </c>
      <c r="F22" s="215"/>
      <c r="G22" s="225">
        <f>movistar!Q26</f>
        <v>1623.45</v>
      </c>
      <c r="H22" s="163">
        <v>700</v>
      </c>
      <c r="I22" s="169">
        <v>172.7</v>
      </c>
      <c r="J22" s="170">
        <v>233.1</v>
      </c>
      <c r="K22" s="158"/>
      <c r="L22" s="156" t="s">
        <v>344</v>
      </c>
    </row>
    <row r="23" spans="1:12">
      <c r="A23" s="233">
        <f>movistar!A27</f>
        <v>2614669248</v>
      </c>
      <c r="B23" s="187">
        <f>SUM(movistar!B27:G27)</f>
        <v>640</v>
      </c>
      <c r="C23" s="187">
        <f>movistar!I27</f>
        <v>0</v>
      </c>
      <c r="D23" s="188">
        <f>SUM(movistar!J27,movistar!M27)</f>
        <v>0</v>
      </c>
      <c r="E23" s="183">
        <f>SUM(movistar!I27,movistar!K27,movistar!L27,movistar!N27)</f>
        <v>0</v>
      </c>
      <c r="F23" s="215"/>
      <c r="G23" s="225">
        <f>movistar!Q27</f>
        <v>640</v>
      </c>
      <c r="H23" s="163">
        <v>700</v>
      </c>
      <c r="I23" s="165"/>
      <c r="J23" s="165"/>
      <c r="K23" s="158"/>
      <c r="L23" s="156" t="s">
        <v>344</v>
      </c>
    </row>
    <row r="24" spans="1:12">
      <c r="A24" s="233">
        <f>movistar!A28</f>
        <v>2614669416</v>
      </c>
      <c r="B24" s="187">
        <f>SUM(movistar!B28:G28)</f>
        <v>640</v>
      </c>
      <c r="C24" s="187">
        <f>movistar!I28</f>
        <v>0</v>
      </c>
      <c r="D24" s="188">
        <f>SUM(movistar!J28,movistar!M28)</f>
        <v>0</v>
      </c>
      <c r="E24" s="183">
        <f>SUM(movistar!I28,movistar!K28,movistar!L28,movistar!N28)</f>
        <v>97</v>
      </c>
      <c r="F24" s="215"/>
      <c r="G24" s="225">
        <f>movistar!Q28</f>
        <v>737</v>
      </c>
      <c r="H24" s="163">
        <v>700</v>
      </c>
      <c r="I24" s="169">
        <v>24.38</v>
      </c>
      <c r="J24" s="170">
        <v>32.520000000000003</v>
      </c>
      <c r="K24" s="158"/>
      <c r="L24" s="156" t="s">
        <v>344</v>
      </c>
    </row>
    <row r="25" spans="1:12">
      <c r="A25" s="233">
        <f>movistar!A29</f>
        <v>2614701360</v>
      </c>
      <c r="B25" s="187">
        <f>SUM(movistar!B29:G29)</f>
        <v>1610</v>
      </c>
      <c r="C25" s="187">
        <f>movistar!I29</f>
        <v>0</v>
      </c>
      <c r="D25" s="188">
        <f>SUM(movistar!J29,movistar!M29)</f>
        <v>0</v>
      </c>
      <c r="E25" s="183">
        <f>SUM(movistar!I29,movistar!K29,movistar!L29,movistar!N29)</f>
        <v>0</v>
      </c>
      <c r="F25" s="215"/>
      <c r="G25" s="225">
        <f>movistar!Q29</f>
        <v>1610</v>
      </c>
      <c r="H25" s="163">
        <v>700</v>
      </c>
      <c r="I25" s="169">
        <v>13.95</v>
      </c>
      <c r="J25" s="170">
        <v>12.97</v>
      </c>
      <c r="K25" s="158"/>
      <c r="L25" s="156" t="s">
        <v>344</v>
      </c>
    </row>
    <row r="26" spans="1:12">
      <c r="A26" s="233">
        <f>movistar!A30</f>
        <v>2614701930</v>
      </c>
      <c r="B26" s="187">
        <f>SUM(movistar!B30:G30)</f>
        <v>640</v>
      </c>
      <c r="C26" s="187">
        <f>movistar!I30</f>
        <v>0</v>
      </c>
      <c r="D26" s="188">
        <f>SUM(movistar!J30,movistar!M30)</f>
        <v>0</v>
      </c>
      <c r="E26" s="183">
        <f>SUM(movistar!I30,movistar!K30,movistar!L30,movistar!N30)</f>
        <v>0</v>
      </c>
      <c r="F26" s="215"/>
      <c r="G26" s="225">
        <f>movistar!Q30</f>
        <v>640</v>
      </c>
      <c r="H26" s="163">
        <v>700</v>
      </c>
      <c r="I26" s="169">
        <v>82.98</v>
      </c>
      <c r="J26" s="170">
        <v>87.33</v>
      </c>
      <c r="K26" s="158"/>
      <c r="L26" s="156" t="s">
        <v>344</v>
      </c>
    </row>
    <row r="27" spans="1:12">
      <c r="A27" s="233">
        <f>movistar!A31</f>
        <v>2614704140</v>
      </c>
      <c r="B27" s="187">
        <f>SUM(movistar!B31:G31)</f>
        <v>1610</v>
      </c>
      <c r="C27" s="187">
        <f>movistar!I31</f>
        <v>0</v>
      </c>
      <c r="D27" s="188">
        <f>SUM(movistar!J31,movistar!M31)</f>
        <v>0</v>
      </c>
      <c r="E27" s="183">
        <f>SUM(movistar!I31,movistar!K31,movistar!L31,movistar!N31)</f>
        <v>0</v>
      </c>
      <c r="F27" s="215"/>
      <c r="G27" s="225">
        <f>movistar!Q31</f>
        <v>1610</v>
      </c>
      <c r="H27" s="163">
        <v>700</v>
      </c>
      <c r="I27" s="169">
        <v>251.52</v>
      </c>
      <c r="J27" s="170">
        <v>173.6</v>
      </c>
      <c r="K27" s="158"/>
      <c r="L27" s="156" t="s">
        <v>344</v>
      </c>
    </row>
    <row r="28" spans="1:12">
      <c r="A28" s="233">
        <f>movistar!A32</f>
        <v>2614708391</v>
      </c>
      <c r="B28" s="187">
        <f>SUM(movistar!B32:G32)</f>
        <v>1610</v>
      </c>
      <c r="C28" s="187">
        <f>movistar!I32</f>
        <v>0</v>
      </c>
      <c r="D28" s="188">
        <f>SUM(movistar!J32,movistar!M32)</f>
        <v>0</v>
      </c>
      <c r="E28" s="183">
        <f>SUM(movistar!I32,movistar!K32,movistar!L32,movistar!N32)</f>
        <v>0</v>
      </c>
      <c r="F28" s="215"/>
      <c r="G28" s="225">
        <f>movistar!Q32</f>
        <v>1610</v>
      </c>
      <c r="H28" s="163">
        <v>700</v>
      </c>
      <c r="I28" s="169">
        <v>75.8</v>
      </c>
      <c r="J28" s="170">
        <v>137.66999999999999</v>
      </c>
      <c r="K28" s="158"/>
      <c r="L28" s="156" t="s">
        <v>344</v>
      </c>
    </row>
    <row r="29" spans="1:12">
      <c r="A29" s="233">
        <f>movistar!A33</f>
        <v>2614715910</v>
      </c>
      <c r="B29" s="187">
        <f>SUM(movistar!B33:G33)</f>
        <v>1610</v>
      </c>
      <c r="C29" s="187">
        <f>movistar!I33</f>
        <v>0</v>
      </c>
      <c r="D29" s="188">
        <f>SUM(movistar!J33,movistar!M33)</f>
        <v>0</v>
      </c>
      <c r="E29" s="183">
        <f>SUM(movistar!I33,movistar!K33,movistar!L33,movistar!N33)</f>
        <v>0</v>
      </c>
      <c r="F29" s="215"/>
      <c r="G29" s="225">
        <f>movistar!Q33</f>
        <v>1610</v>
      </c>
      <c r="H29" s="163">
        <v>700</v>
      </c>
      <c r="I29" s="169">
        <v>62.4</v>
      </c>
      <c r="J29" s="170">
        <v>71.52</v>
      </c>
      <c r="K29" s="158"/>
      <c r="L29" s="156" t="s">
        <v>344</v>
      </c>
    </row>
    <row r="30" spans="1:12">
      <c r="A30" s="233">
        <f>movistar!A34</f>
        <v>2614715937</v>
      </c>
      <c r="B30" s="187">
        <f>SUM(movistar!B34:G34)</f>
        <v>1610</v>
      </c>
      <c r="C30" s="187">
        <f>movistar!I34</f>
        <v>0</v>
      </c>
      <c r="D30" s="188">
        <f>SUM(movistar!J34,movistar!M34)</f>
        <v>0</v>
      </c>
      <c r="E30" s="183">
        <f>SUM(movistar!I34,movistar!K34,movistar!L34,movistar!N34)</f>
        <v>261.82</v>
      </c>
      <c r="F30" s="215"/>
      <c r="G30" s="225">
        <f>movistar!Q34</f>
        <v>1871.82</v>
      </c>
      <c r="H30" s="163">
        <v>700</v>
      </c>
      <c r="I30" s="169">
        <v>234.92</v>
      </c>
      <c r="J30" s="170">
        <v>121.1</v>
      </c>
      <c r="K30" s="158"/>
      <c r="L30" s="156" t="s">
        <v>344</v>
      </c>
    </row>
    <row r="31" spans="1:12">
      <c r="A31" s="233">
        <f>movistar!A35</f>
        <v>2614716174</v>
      </c>
      <c r="B31" s="187">
        <f>SUM(movistar!B35:G35)</f>
        <v>1610</v>
      </c>
      <c r="C31" s="187">
        <f>movistar!I35</f>
        <v>94.21</v>
      </c>
      <c r="D31" s="188">
        <f>SUM(movistar!J35,movistar!M35)</f>
        <v>0</v>
      </c>
      <c r="E31" s="183">
        <f>SUM(movistar!I35,movistar!K35,movistar!L35,movistar!N35)</f>
        <v>94.21</v>
      </c>
      <c r="F31" s="215"/>
      <c r="G31" s="225">
        <f>movistar!Q35</f>
        <v>1704.21</v>
      </c>
      <c r="H31" s="163">
        <v>700</v>
      </c>
      <c r="I31" s="169">
        <v>10.029999999999999</v>
      </c>
      <c r="J31" s="170">
        <v>16.2</v>
      </c>
      <c r="K31" s="158"/>
      <c r="L31" s="156" t="s">
        <v>344</v>
      </c>
    </row>
    <row r="32" spans="1:12">
      <c r="A32" s="233">
        <f>movistar!A36</f>
        <v>2615123926</v>
      </c>
      <c r="B32" s="187">
        <f>SUM(movistar!B36:G36)</f>
        <v>1610</v>
      </c>
      <c r="C32" s="187">
        <f>movistar!I36</f>
        <v>0</v>
      </c>
      <c r="D32" s="188">
        <f>SUM(movistar!J36,movistar!M36)</f>
        <v>0</v>
      </c>
      <c r="E32" s="183">
        <f>SUM(movistar!I36,movistar!K36,movistar!L36,movistar!N36)</f>
        <v>0</v>
      </c>
      <c r="F32" s="215"/>
      <c r="G32" s="225">
        <f>movistar!Q36</f>
        <v>1610</v>
      </c>
      <c r="H32" s="163">
        <v>700</v>
      </c>
      <c r="I32" s="166">
        <v>109.67</v>
      </c>
      <c r="J32" s="170">
        <v>140.03</v>
      </c>
      <c r="K32" s="158"/>
      <c r="L32" s="156" t="s">
        <v>344</v>
      </c>
    </row>
    <row r="33" spans="1:12">
      <c r="A33" s="233">
        <f>movistar!A37</f>
        <v>2615162884</v>
      </c>
      <c r="B33" s="187">
        <f>SUM(movistar!B37:G37)</f>
        <v>640</v>
      </c>
      <c r="C33" s="187">
        <f>movistar!I37</f>
        <v>0</v>
      </c>
      <c r="D33" s="188">
        <f>SUM(movistar!J37,movistar!M37)</f>
        <v>0</v>
      </c>
      <c r="E33" s="183">
        <f>SUM(movistar!I37,movistar!K37,movistar!L37,movistar!N37)</f>
        <v>0</v>
      </c>
      <c r="F33" s="215"/>
      <c r="G33" s="225">
        <f>movistar!Q37</f>
        <v>640</v>
      </c>
      <c r="H33" s="163">
        <v>700</v>
      </c>
      <c r="I33" s="167">
        <v>178.22</v>
      </c>
      <c r="J33" s="171">
        <v>315.17</v>
      </c>
      <c r="K33" s="158"/>
      <c r="L33" s="156" t="s">
        <v>344</v>
      </c>
    </row>
    <row r="34" spans="1:12">
      <c r="A34" s="233">
        <f>movistar!A38</f>
        <v>2615181364</v>
      </c>
      <c r="B34" s="187">
        <f>SUM(movistar!B38:G38)</f>
        <v>640</v>
      </c>
      <c r="C34" s="187">
        <f>movistar!I38</f>
        <v>0</v>
      </c>
      <c r="D34" s="188">
        <f>SUM(movistar!J38,movistar!M38)</f>
        <v>0</v>
      </c>
      <c r="E34" s="183">
        <f>SUM(movistar!I38,movistar!K38,movistar!L38,movistar!N38)</f>
        <v>38</v>
      </c>
      <c r="F34" s="215"/>
      <c r="G34" s="225">
        <f>movistar!Q38</f>
        <v>678</v>
      </c>
      <c r="H34" s="163">
        <v>300</v>
      </c>
      <c r="I34" s="164"/>
      <c r="J34" s="165"/>
      <c r="K34" s="158"/>
      <c r="L34" s="156" t="s">
        <v>396</v>
      </c>
    </row>
    <row r="35" spans="1:12">
      <c r="A35" s="233">
        <f>movistar!A39</f>
        <v>2615186052</v>
      </c>
      <c r="B35" s="187">
        <f>SUM(movistar!B39:G39)</f>
        <v>640</v>
      </c>
      <c r="C35" s="187">
        <f>movistar!I39</f>
        <v>0</v>
      </c>
      <c r="D35" s="188">
        <f>SUM(movistar!J39,movistar!M39)</f>
        <v>0</v>
      </c>
      <c r="E35" s="183">
        <f>SUM(movistar!I39,movistar!K39,movistar!L39,movistar!N39)</f>
        <v>0</v>
      </c>
      <c r="F35" s="215"/>
      <c r="G35" s="225">
        <f>movistar!Q39</f>
        <v>640</v>
      </c>
      <c r="H35" s="163">
        <v>300</v>
      </c>
      <c r="I35" s="169">
        <v>276.35000000000002</v>
      </c>
      <c r="J35" s="170">
        <v>286.07</v>
      </c>
      <c r="K35" s="158"/>
      <c r="L35" s="156" t="s">
        <v>396</v>
      </c>
    </row>
    <row r="36" spans="1:12">
      <c r="A36" s="233">
        <f>movistar!A40</f>
        <v>2615186053</v>
      </c>
      <c r="B36" s="187">
        <f>SUM(movistar!B40:G40)</f>
        <v>1250</v>
      </c>
      <c r="C36" s="187">
        <f>movistar!I40</f>
        <v>0</v>
      </c>
      <c r="D36" s="188">
        <f>SUM(movistar!J40,movistar!M40)</f>
        <v>6.58</v>
      </c>
      <c r="E36" s="183">
        <f>SUM(movistar!I40,movistar!K40,movistar!L40,movistar!N40)</f>
        <v>0</v>
      </c>
      <c r="F36" s="215"/>
      <c r="G36" s="225">
        <f>movistar!Q40</f>
        <v>1256.58</v>
      </c>
      <c r="H36" s="163">
        <v>300</v>
      </c>
      <c r="I36" s="169">
        <v>1.32</v>
      </c>
      <c r="J36" s="170">
        <v>10.35</v>
      </c>
      <c r="K36" s="158"/>
      <c r="L36" s="156" t="s">
        <v>396</v>
      </c>
    </row>
    <row r="37" spans="1:12">
      <c r="A37" s="233">
        <f>movistar!A41</f>
        <v>2615192638</v>
      </c>
      <c r="B37" s="187">
        <f>SUM(movistar!B41:G41)</f>
        <v>1610</v>
      </c>
      <c r="C37" s="187">
        <f>movistar!I41</f>
        <v>0</v>
      </c>
      <c r="D37" s="188">
        <f>SUM(movistar!J41,movistar!M41)</f>
        <v>0</v>
      </c>
      <c r="E37" s="183">
        <f>SUM(movistar!I41,movistar!K41,movistar!L41,movistar!N41)</f>
        <v>0</v>
      </c>
      <c r="F37" s="215"/>
      <c r="G37" s="225">
        <f>movistar!Q41</f>
        <v>1610</v>
      </c>
      <c r="H37" s="163">
        <v>300</v>
      </c>
      <c r="I37" s="169">
        <v>39.119999999999997</v>
      </c>
      <c r="J37" s="170">
        <v>12.05</v>
      </c>
      <c r="K37" s="158"/>
      <c r="L37" s="156" t="s">
        <v>396</v>
      </c>
    </row>
    <row r="38" spans="1:12">
      <c r="A38" s="233">
        <f>movistar!A42</f>
        <v>2615194826</v>
      </c>
      <c r="B38" s="187">
        <f>SUM(movistar!B42:G42)</f>
        <v>640</v>
      </c>
      <c r="C38" s="187">
        <f>movistar!I42</f>
        <v>0</v>
      </c>
      <c r="D38" s="188">
        <f>SUM(movistar!J42,movistar!M42)</f>
        <v>0</v>
      </c>
      <c r="E38" s="183">
        <f>SUM(movistar!I42,movistar!K42,movistar!L42,movistar!N42)</f>
        <v>0</v>
      </c>
      <c r="F38" s="215"/>
      <c r="G38" s="225">
        <f>movistar!Q42</f>
        <v>640</v>
      </c>
      <c r="H38" s="163">
        <v>300</v>
      </c>
      <c r="I38" s="166">
        <v>29.32</v>
      </c>
      <c r="J38" s="170">
        <v>13.68</v>
      </c>
      <c r="K38" s="158"/>
      <c r="L38" s="156" t="s">
        <v>396</v>
      </c>
    </row>
    <row r="39" spans="1:12">
      <c r="A39" s="233">
        <f>movistar!A43</f>
        <v>2615462740</v>
      </c>
      <c r="B39" s="187">
        <f>SUM(movistar!B43:G43)</f>
        <v>1610</v>
      </c>
      <c r="C39" s="187">
        <f>movistar!I43</f>
        <v>0</v>
      </c>
      <c r="D39" s="188">
        <f>SUM(movistar!J43,movistar!M43)</f>
        <v>0</v>
      </c>
      <c r="E39" s="183">
        <f>SUM(movistar!I43,movistar!K43,movistar!L43,movistar!N43)</f>
        <v>174.6</v>
      </c>
      <c r="F39" s="215"/>
      <c r="G39" s="225">
        <f>movistar!Q43</f>
        <v>1784.6</v>
      </c>
      <c r="H39" s="163">
        <v>300</v>
      </c>
      <c r="I39" s="167">
        <v>70.23</v>
      </c>
      <c r="J39" s="170">
        <v>137.12</v>
      </c>
      <c r="K39" s="158"/>
      <c r="L39" s="156" t="s">
        <v>396</v>
      </c>
    </row>
    <row r="40" spans="1:12">
      <c r="A40" s="233">
        <f>movistar!A44</f>
        <v>2615557273</v>
      </c>
      <c r="B40" s="187">
        <f>SUM(movistar!B44:G44)</f>
        <v>640</v>
      </c>
      <c r="C40" s="187">
        <f>movistar!I44</f>
        <v>0</v>
      </c>
      <c r="D40" s="188">
        <f>SUM(movistar!J44,movistar!M44)</f>
        <v>0</v>
      </c>
      <c r="E40" s="183">
        <f>SUM(movistar!I44,movistar!K44,movistar!L44,movistar!N44)</f>
        <v>361</v>
      </c>
      <c r="F40" s="215"/>
      <c r="G40" s="225">
        <f>movistar!Q44</f>
        <v>1001</v>
      </c>
      <c r="H40" s="163">
        <v>300</v>
      </c>
      <c r="I40" s="168">
        <v>79.650000000000006</v>
      </c>
      <c r="J40" s="170">
        <v>46.03</v>
      </c>
      <c r="K40" s="158"/>
      <c r="L40" s="156" t="s">
        <v>396</v>
      </c>
    </row>
    <row r="41" spans="1:12">
      <c r="A41" s="233">
        <f>movistar!A45</f>
        <v>2615557588</v>
      </c>
      <c r="B41" s="187">
        <f>SUM(movistar!B45:G45)</f>
        <v>1250</v>
      </c>
      <c r="C41" s="187">
        <f>movistar!I45</f>
        <v>0</v>
      </c>
      <c r="D41" s="188">
        <f>SUM(movistar!J45,movistar!M45)</f>
        <v>0</v>
      </c>
      <c r="E41" s="183">
        <f>SUM(movistar!I45,movistar!K45,movistar!L45,movistar!N45)</f>
        <v>0</v>
      </c>
      <c r="F41" s="215"/>
      <c r="G41" s="225">
        <f>movistar!Q45</f>
        <v>1250</v>
      </c>
      <c r="H41" s="163">
        <v>300</v>
      </c>
      <c r="I41" s="169">
        <v>58.92</v>
      </c>
      <c r="J41" s="170">
        <v>57.23</v>
      </c>
      <c r="K41" s="158"/>
      <c r="L41" s="156" t="s">
        <v>396</v>
      </c>
    </row>
    <row r="42" spans="1:12">
      <c r="A42" s="233">
        <f>movistar!A46</f>
        <v>2615574150</v>
      </c>
      <c r="B42" s="187">
        <f>SUM(movistar!B46:G46)</f>
        <v>1250</v>
      </c>
      <c r="C42" s="187">
        <f>movistar!I46</f>
        <v>0</v>
      </c>
      <c r="D42" s="188">
        <f>SUM(movistar!J46,movistar!M46)</f>
        <v>0</v>
      </c>
      <c r="E42" s="183">
        <f>SUM(movistar!I46,movistar!K46,movistar!L46,movistar!N46)</f>
        <v>168.28</v>
      </c>
      <c r="F42" s="215"/>
      <c r="G42" s="225">
        <f>movistar!Q46</f>
        <v>1418.28</v>
      </c>
      <c r="H42" s="163">
        <v>300</v>
      </c>
      <c r="I42" s="169">
        <v>182.25</v>
      </c>
      <c r="J42" s="170">
        <v>100.58</v>
      </c>
      <c r="K42" s="158"/>
      <c r="L42" s="156" t="s">
        <v>396</v>
      </c>
    </row>
    <row r="43" spans="1:12">
      <c r="A43" s="233">
        <f>movistar!A47</f>
        <v>2615632654</v>
      </c>
      <c r="B43" s="187">
        <f>SUM(movistar!B47:G47)</f>
        <v>640</v>
      </c>
      <c r="C43" s="187">
        <f>movistar!I47</f>
        <v>0</v>
      </c>
      <c r="D43" s="188">
        <f>SUM(movistar!J47,movistar!M47)</f>
        <v>0</v>
      </c>
      <c r="E43" s="183">
        <f>SUM(movistar!I47,movistar!K47,movistar!L47,movistar!N47)</f>
        <v>0</v>
      </c>
      <c r="F43" s="215"/>
      <c r="G43" s="225">
        <f>movistar!Q47</f>
        <v>640</v>
      </c>
      <c r="H43" s="163">
        <v>300</v>
      </c>
      <c r="I43" s="169">
        <v>24</v>
      </c>
      <c r="J43" s="170">
        <v>26.02</v>
      </c>
      <c r="K43" s="158"/>
      <c r="L43" s="156" t="s">
        <v>396</v>
      </c>
    </row>
    <row r="44" spans="1:12">
      <c r="A44" s="233">
        <f>movistar!A48</f>
        <v>2615699626</v>
      </c>
      <c r="B44" s="187">
        <f>SUM(movistar!B48:G48)</f>
        <v>640</v>
      </c>
      <c r="C44" s="187">
        <f>movistar!I48</f>
        <v>0</v>
      </c>
      <c r="D44" s="188">
        <f>SUM(movistar!J48,movistar!M48)</f>
        <v>0</v>
      </c>
      <c r="E44" s="183">
        <f>SUM(movistar!I48,movistar!K48,movistar!L48,movistar!N48)</f>
        <v>0</v>
      </c>
      <c r="F44" s="215"/>
      <c r="G44" s="225">
        <f>movistar!Q48</f>
        <v>640</v>
      </c>
      <c r="H44" s="163">
        <v>300</v>
      </c>
      <c r="I44" s="169">
        <v>81.680000000000007</v>
      </c>
      <c r="J44" s="170">
        <v>58.02</v>
      </c>
      <c r="K44" s="158"/>
      <c r="L44" s="156" t="s">
        <v>396</v>
      </c>
    </row>
    <row r="45" spans="1:12">
      <c r="A45" s="233">
        <f>movistar!A49</f>
        <v>2615756516</v>
      </c>
      <c r="B45" s="187">
        <f>SUM(movistar!B49:G49)</f>
        <v>1610</v>
      </c>
      <c r="C45" s="187">
        <f>movistar!I49</f>
        <v>0</v>
      </c>
      <c r="D45" s="188">
        <f>SUM(movistar!J49,movistar!M49)</f>
        <v>0</v>
      </c>
      <c r="E45" s="183">
        <f>SUM(movistar!I49,movistar!K49,movistar!L49,movistar!N49)</f>
        <v>0</v>
      </c>
      <c r="F45" s="215"/>
      <c r="G45" s="225">
        <f>movistar!Q49</f>
        <v>1610</v>
      </c>
      <c r="H45" s="163">
        <v>300</v>
      </c>
      <c r="I45" s="166">
        <v>315.68</v>
      </c>
      <c r="J45" s="170">
        <v>160.08000000000001</v>
      </c>
      <c r="K45" s="158"/>
      <c r="L45" s="156" t="s">
        <v>396</v>
      </c>
    </row>
    <row r="46" spans="1:12">
      <c r="A46" s="233">
        <f>movistar!A50</f>
        <v>2615940527</v>
      </c>
      <c r="B46" s="187">
        <f>SUM(movistar!B50:G50)</f>
        <v>1610</v>
      </c>
      <c r="C46" s="187">
        <f>movistar!I50</f>
        <v>0</v>
      </c>
      <c r="D46" s="188">
        <f>SUM(movistar!J50,movistar!M50)</f>
        <v>0</v>
      </c>
      <c r="E46" s="183">
        <f>SUM(movistar!I50,movistar!K50,movistar!L50,movistar!N50)</f>
        <v>0</v>
      </c>
      <c r="F46" s="215"/>
      <c r="G46" s="225">
        <f>movistar!Q50</f>
        <v>1610</v>
      </c>
      <c r="H46" s="163">
        <v>300</v>
      </c>
      <c r="I46" s="167">
        <v>6.87</v>
      </c>
      <c r="J46" s="170">
        <v>23.88</v>
      </c>
      <c r="K46" s="158"/>
      <c r="L46" s="156" t="s">
        <v>396</v>
      </c>
    </row>
    <row r="47" spans="1:12">
      <c r="A47" s="233">
        <f>movistar!A51</f>
        <v>2615968885</v>
      </c>
      <c r="B47" s="187">
        <f>SUM(movistar!B51:G51)</f>
        <v>1610</v>
      </c>
      <c r="C47" s="187">
        <f>movistar!I51</f>
        <v>0</v>
      </c>
      <c r="D47" s="188">
        <f>SUM(movistar!J51,movistar!M51)</f>
        <v>0</v>
      </c>
      <c r="E47" s="183">
        <f>SUM(movistar!I51,movistar!K51,movistar!L51,movistar!N51)</f>
        <v>0</v>
      </c>
      <c r="F47" s="215"/>
      <c r="G47" s="225">
        <f>movistar!Q51</f>
        <v>1610</v>
      </c>
      <c r="H47" s="163">
        <v>300</v>
      </c>
      <c r="I47" s="168">
        <v>182.67</v>
      </c>
      <c r="J47" s="170">
        <v>115.15</v>
      </c>
      <c r="K47" s="158"/>
      <c r="L47" s="156" t="s">
        <v>396</v>
      </c>
    </row>
    <row r="48" spans="1:12">
      <c r="A48" s="233">
        <f>movistar!A52</f>
        <v>2615968889</v>
      </c>
      <c r="B48" s="187">
        <f>SUM(movistar!B52:G52)</f>
        <v>1610</v>
      </c>
      <c r="C48" s="187">
        <f>movistar!I52</f>
        <v>0</v>
      </c>
      <c r="D48" s="188">
        <f>SUM(movistar!J52,movistar!M52)</f>
        <v>0</v>
      </c>
      <c r="E48" s="183">
        <f>SUM(movistar!I52,movistar!K52,movistar!L52,movistar!N52)</f>
        <v>0</v>
      </c>
      <c r="F48" s="215"/>
      <c r="G48" s="225">
        <f>movistar!Q52</f>
        <v>1610</v>
      </c>
      <c r="H48" s="163">
        <v>300</v>
      </c>
      <c r="I48" s="169">
        <v>28.93</v>
      </c>
      <c r="J48" s="170">
        <v>24.6</v>
      </c>
      <c r="K48" s="158"/>
      <c r="L48" s="156" t="s">
        <v>396</v>
      </c>
    </row>
    <row r="49" spans="1:12">
      <c r="A49" s="233">
        <f>movistar!A53</f>
        <v>2615976517</v>
      </c>
      <c r="B49" s="187">
        <f>SUM(movistar!B53:G53)</f>
        <v>640</v>
      </c>
      <c r="C49" s="187">
        <f>movistar!I53</f>
        <v>0</v>
      </c>
      <c r="D49" s="188">
        <f>SUM(movistar!J53,movistar!M53)</f>
        <v>0</v>
      </c>
      <c r="E49" s="183">
        <f>SUM(movistar!I53,movistar!K53,movistar!L53,movistar!N53)</f>
        <v>0</v>
      </c>
      <c r="F49" s="215"/>
      <c r="G49" s="225">
        <f>movistar!Q53</f>
        <v>640</v>
      </c>
      <c r="H49" s="163">
        <v>300</v>
      </c>
      <c r="I49" s="169">
        <v>894.65</v>
      </c>
      <c r="J49" s="170">
        <v>480.9</v>
      </c>
      <c r="K49" s="158"/>
      <c r="L49" s="156" t="s">
        <v>396</v>
      </c>
    </row>
    <row r="50" spans="1:12">
      <c r="A50" s="233">
        <f>movistar!A54</f>
        <v>2615977221</v>
      </c>
      <c r="B50" s="187">
        <f>SUM(movistar!B54:G54)</f>
        <v>640</v>
      </c>
      <c r="C50" s="187">
        <f>movistar!I54</f>
        <v>0</v>
      </c>
      <c r="D50" s="188">
        <f>SUM(movistar!J54,movistar!M54)</f>
        <v>0</v>
      </c>
      <c r="E50" s="183">
        <f>SUM(movistar!I54,movistar!K54,movistar!L54,movistar!N54)</f>
        <v>0</v>
      </c>
      <c r="F50" s="215"/>
      <c r="G50" s="225">
        <f>movistar!Q54</f>
        <v>640</v>
      </c>
      <c r="H50" s="163">
        <v>300</v>
      </c>
      <c r="I50" s="169">
        <v>253</v>
      </c>
      <c r="J50" s="170">
        <v>181.58</v>
      </c>
      <c r="K50" s="158"/>
      <c r="L50" s="156" t="s">
        <v>396</v>
      </c>
    </row>
    <row r="51" spans="1:12">
      <c r="A51" s="233">
        <f>movistar!A55</f>
        <v>2616401259</v>
      </c>
      <c r="B51" s="187">
        <f>SUM(movistar!B55:G55)</f>
        <v>1610</v>
      </c>
      <c r="C51" s="187">
        <f>movistar!I55</f>
        <v>0</v>
      </c>
      <c r="D51" s="188">
        <f>SUM(movistar!J55,movistar!M55)</f>
        <v>0</v>
      </c>
      <c r="E51" s="183">
        <f>SUM(movistar!I55,movistar!K55,movistar!L55,movistar!N55)</f>
        <v>0</v>
      </c>
      <c r="F51" s="215"/>
      <c r="G51" s="225">
        <f>movistar!Q55</f>
        <v>1610</v>
      </c>
      <c r="H51" s="163">
        <v>300</v>
      </c>
      <c r="I51" s="165"/>
      <c r="J51" s="165"/>
      <c r="K51" s="158"/>
      <c r="L51" s="156" t="s">
        <v>396</v>
      </c>
    </row>
    <row r="52" spans="1:12">
      <c r="A52" s="233">
        <f>movistar!A56</f>
        <v>2616611035</v>
      </c>
      <c r="B52" s="187">
        <f>SUM(movistar!B56:G56)</f>
        <v>640</v>
      </c>
      <c r="C52" s="187">
        <f>movistar!I56</f>
        <v>0</v>
      </c>
      <c r="D52" s="188">
        <f>SUM(movistar!J56,movistar!M56)</f>
        <v>0</v>
      </c>
      <c r="E52" s="183">
        <f>SUM(movistar!I56,movistar!K56,movistar!L56,movistar!N56)</f>
        <v>0</v>
      </c>
      <c r="F52" s="215"/>
      <c r="G52" s="225">
        <f>movistar!Q56</f>
        <v>640</v>
      </c>
      <c r="H52" s="163">
        <v>300</v>
      </c>
      <c r="I52" s="169">
        <v>134.88</v>
      </c>
      <c r="J52" s="170">
        <v>66.23</v>
      </c>
      <c r="K52" s="158"/>
      <c r="L52" s="156" t="s">
        <v>396</v>
      </c>
    </row>
    <row r="53" spans="1:12">
      <c r="A53" s="233">
        <f>movistar!A57</f>
        <v>2616649074</v>
      </c>
      <c r="B53" s="187">
        <f>SUM(movistar!B57:G57)</f>
        <v>1610</v>
      </c>
      <c r="C53" s="187">
        <f>movistar!I57</f>
        <v>0</v>
      </c>
      <c r="D53" s="188">
        <f>SUM(movistar!J57,movistar!M57)</f>
        <v>0</v>
      </c>
      <c r="E53" s="183">
        <f>SUM(movistar!I57,movistar!K57,movistar!L57,movistar!N57)</f>
        <v>0</v>
      </c>
      <c r="F53" s="215"/>
      <c r="G53" s="225">
        <f>movistar!Q57</f>
        <v>1610</v>
      </c>
      <c r="H53" s="163">
        <v>300</v>
      </c>
      <c r="I53" s="169">
        <v>41.05</v>
      </c>
      <c r="J53" s="170">
        <v>41.5</v>
      </c>
      <c r="K53" s="158"/>
      <c r="L53" s="156" t="s">
        <v>396</v>
      </c>
    </row>
    <row r="54" spans="1:12">
      <c r="A54" s="233">
        <f>movistar!A58</f>
        <v>2616649334</v>
      </c>
      <c r="B54" s="187">
        <f>SUM(movistar!B58:G58)</f>
        <v>640</v>
      </c>
      <c r="C54" s="187">
        <f>movistar!I58</f>
        <v>0</v>
      </c>
      <c r="D54" s="188">
        <f>SUM(movistar!J58,movistar!M58)</f>
        <v>0</v>
      </c>
      <c r="E54" s="183">
        <f>SUM(movistar!I58,movistar!K58,movistar!L58,movistar!N58)</f>
        <v>0</v>
      </c>
      <c r="F54" s="215"/>
      <c r="G54" s="225">
        <f>movistar!Q58</f>
        <v>640</v>
      </c>
      <c r="H54" s="163">
        <v>300</v>
      </c>
      <c r="I54" s="169">
        <v>45.88</v>
      </c>
      <c r="J54" s="170">
        <v>111.62</v>
      </c>
      <c r="K54" s="158"/>
      <c r="L54" s="156" t="s">
        <v>396</v>
      </c>
    </row>
    <row r="55" spans="1:12">
      <c r="A55" s="233">
        <f>movistar!A59</f>
        <v>2616655994</v>
      </c>
      <c r="B55" s="187">
        <f>SUM(movistar!B59:G59)</f>
        <v>640</v>
      </c>
      <c r="C55" s="187">
        <f>movistar!I59</f>
        <v>0</v>
      </c>
      <c r="D55" s="188">
        <f>SUM(movistar!J59,movistar!M59)</f>
        <v>0</v>
      </c>
      <c r="E55" s="183">
        <f>SUM(movistar!I59,movistar!K59,movistar!L59,movistar!N59)</f>
        <v>0</v>
      </c>
      <c r="F55" s="215"/>
      <c r="G55" s="225">
        <f>movistar!Q59</f>
        <v>640</v>
      </c>
      <c r="H55" s="163">
        <v>300</v>
      </c>
      <c r="I55" s="169">
        <v>139.9</v>
      </c>
      <c r="J55" s="170">
        <v>189.63</v>
      </c>
      <c r="K55" s="158"/>
      <c r="L55" s="156" t="s">
        <v>396</v>
      </c>
    </row>
    <row r="56" spans="1:12">
      <c r="A56" s="233">
        <f>movistar!A60</f>
        <v>2616685899</v>
      </c>
      <c r="B56" s="187">
        <f>SUM(movistar!B60:G60)</f>
        <v>640</v>
      </c>
      <c r="C56" s="187">
        <f>movistar!I60</f>
        <v>0</v>
      </c>
      <c r="D56" s="188">
        <f>SUM(movistar!J60,movistar!M60)</f>
        <v>0</v>
      </c>
      <c r="E56" s="183">
        <f>SUM(movistar!I60,movistar!K60,movistar!L60,movistar!N60)</f>
        <v>0</v>
      </c>
      <c r="F56" s="215"/>
      <c r="G56" s="225">
        <f>movistar!Q60</f>
        <v>640</v>
      </c>
      <c r="H56" s="163">
        <v>300</v>
      </c>
      <c r="I56" s="165"/>
      <c r="J56" s="165"/>
      <c r="K56" s="158"/>
      <c r="L56" s="156" t="s">
        <v>396</v>
      </c>
    </row>
    <row r="57" spans="1:12">
      <c r="A57" s="233">
        <f>movistar!A61</f>
        <v>2616912694</v>
      </c>
      <c r="B57" s="187">
        <f>SUM(movistar!B61:G61)</f>
        <v>640</v>
      </c>
      <c r="C57" s="187">
        <f>movistar!I61</f>
        <v>0</v>
      </c>
      <c r="D57" s="188">
        <f>SUM(movistar!J61,movistar!M61)</f>
        <v>0</v>
      </c>
      <c r="E57" s="183">
        <f>SUM(movistar!I61,movistar!K61,movistar!L61,movistar!N61)</f>
        <v>0</v>
      </c>
      <c r="F57" s="215"/>
      <c r="G57" s="225">
        <f>movistar!Q61</f>
        <v>640</v>
      </c>
      <c r="H57" s="163">
        <v>300</v>
      </c>
      <c r="I57" s="166">
        <v>18.47</v>
      </c>
      <c r="J57" s="170">
        <v>34.549999999999997</v>
      </c>
      <c r="K57" s="158"/>
      <c r="L57" s="156" t="s">
        <v>396</v>
      </c>
    </row>
    <row r="58" spans="1:12">
      <c r="A58" s="233">
        <f>movistar!A62</f>
        <v>2616974784</v>
      </c>
      <c r="B58" s="187">
        <f>SUM(movistar!B62:G62)</f>
        <v>640</v>
      </c>
      <c r="C58" s="187">
        <f>movistar!I62</f>
        <v>0</v>
      </c>
      <c r="D58" s="188">
        <f>SUM(movistar!J62,movistar!M62)</f>
        <v>0</v>
      </c>
      <c r="E58" s="183">
        <f>SUM(movistar!I62,movistar!K62,movistar!L62,movistar!N62)</f>
        <v>0</v>
      </c>
      <c r="F58" s="215"/>
      <c r="G58" s="225">
        <f>movistar!Q62</f>
        <v>640</v>
      </c>
      <c r="H58" s="163">
        <v>300</v>
      </c>
      <c r="I58" s="167">
        <v>72</v>
      </c>
      <c r="J58" s="170">
        <v>129.37</v>
      </c>
      <c r="K58" s="158"/>
      <c r="L58" s="156" t="s">
        <v>396</v>
      </c>
    </row>
    <row r="59" spans="1:12">
      <c r="A59" s="233"/>
      <c r="B59" s="187"/>
      <c r="C59" s="187"/>
      <c r="D59" s="188"/>
      <c r="E59" s="183"/>
      <c r="F59" s="215"/>
      <c r="G59" s="225"/>
      <c r="H59" s="163">
        <v>300</v>
      </c>
      <c r="I59" s="167">
        <v>44.12</v>
      </c>
      <c r="J59" s="170">
        <v>41.97</v>
      </c>
      <c r="K59" s="158"/>
      <c r="L59" s="156" t="s">
        <v>396</v>
      </c>
    </row>
    <row r="60" spans="1:12">
      <c r="A60" s="186"/>
      <c r="B60" s="187"/>
      <c r="C60" s="183"/>
      <c r="D60" s="188"/>
      <c r="E60" s="183"/>
      <c r="F60" s="187"/>
      <c r="G60" s="187"/>
      <c r="H60" s="163">
        <v>300</v>
      </c>
      <c r="I60" s="169">
        <v>4.37</v>
      </c>
      <c r="J60" s="170">
        <v>3.77</v>
      </c>
      <c r="K60" s="158"/>
      <c r="L60" s="156" t="s">
        <v>396</v>
      </c>
    </row>
    <row r="61" spans="1:12">
      <c r="A61" s="186"/>
      <c r="B61" s="187"/>
      <c r="C61" s="183"/>
      <c r="D61" s="188"/>
      <c r="E61" s="183"/>
      <c r="F61" s="187"/>
      <c r="G61" s="187"/>
      <c r="H61" s="163"/>
      <c r="I61" s="165"/>
      <c r="J61" s="170"/>
      <c r="K61" s="158"/>
      <c r="L61" s="156" t="s">
        <v>396</v>
      </c>
    </row>
    <row r="62" spans="1:12">
      <c r="A62" s="186"/>
      <c r="B62" s="187"/>
      <c r="C62" s="183"/>
      <c r="D62" s="188"/>
      <c r="E62" s="183"/>
      <c r="F62" s="187"/>
      <c r="G62" s="187"/>
      <c r="H62" s="163"/>
      <c r="I62" s="169"/>
      <c r="J62" s="170"/>
      <c r="K62" s="158"/>
      <c r="L62" s="156" t="s">
        <v>396</v>
      </c>
    </row>
    <row r="63" spans="1:12">
      <c r="A63" s="186"/>
      <c r="B63" s="186"/>
      <c r="C63" s="186"/>
      <c r="D63" s="186"/>
      <c r="E63" s="186"/>
      <c r="F63" s="186"/>
      <c r="G63" s="186"/>
      <c r="H63" s="163"/>
      <c r="I63" s="166"/>
      <c r="J63" s="172"/>
      <c r="K63" s="158"/>
      <c r="L63" s="156" t="s">
        <v>396</v>
      </c>
    </row>
    <row r="64" spans="1:12">
      <c r="A64"/>
      <c r="B64"/>
      <c r="C64"/>
      <c r="D64"/>
      <c r="E64"/>
      <c r="F64"/>
      <c r="G64"/>
      <c r="H64" s="156"/>
      <c r="I64" s="158"/>
      <c r="J64" s="158"/>
      <c r="K64" s="158"/>
      <c r="L64" s="156"/>
    </row>
    <row r="65" spans="1:12" ht="15" thickBot="1">
      <c r="A65" s="189" t="s">
        <v>429</v>
      </c>
      <c r="B65" s="190">
        <f t="shared" ref="B65:G65" si="0">SUM(B3:B63)</f>
        <v>60230</v>
      </c>
      <c r="C65" s="190"/>
      <c r="D65" s="190"/>
      <c r="E65" s="190"/>
      <c r="F65" s="190"/>
      <c r="G65" s="190">
        <f t="shared" si="0"/>
        <v>62104.15</v>
      </c>
      <c r="H65"/>
      <c r="I65"/>
      <c r="J65"/>
      <c r="K65"/>
      <c r="L65"/>
    </row>
    <row r="66" spans="1:12" ht="72.599999999999994" thickBot="1">
      <c r="A66" s="189"/>
      <c r="B66" s="190"/>
      <c r="C66" s="190"/>
      <c r="D66" s="190"/>
      <c r="E66" s="190"/>
      <c r="F66" s="190"/>
      <c r="G66" s="190"/>
      <c r="H66"/>
      <c r="I66"/>
      <c r="J66" s="160" t="s">
        <v>346</v>
      </c>
      <c r="K66" s="161" t="s">
        <v>347</v>
      </c>
      <c r="L66"/>
    </row>
    <row r="67" spans="1:12" ht="15" thickBot="1">
      <c r="A67" s="191" t="s">
        <v>428</v>
      </c>
      <c r="B67" s="192">
        <v>70440</v>
      </c>
      <c r="C67" s="191"/>
      <c r="D67" s="192"/>
      <c r="E67" s="192"/>
      <c r="F67" s="192"/>
      <c r="G67" s="192">
        <v>70912.91</v>
      </c>
      <c r="H67"/>
      <c r="I67"/>
      <c r="J67" s="159">
        <v>2026.1200000000001</v>
      </c>
      <c r="K67" s="162">
        <v>22173.88</v>
      </c>
      <c r="L67"/>
    </row>
    <row r="68" spans="1:12" ht="15" thickBot="1">
      <c r="A68" s="184"/>
      <c r="B68" s="150"/>
      <c r="C68" s="151"/>
      <c r="D68" s="221">
        <f>SUM(movistar!J73,movistar!M73)</f>
        <v>0</v>
      </c>
      <c r="E68" s="152"/>
      <c r="F68" s="152"/>
      <c r="G68" s="150"/>
      <c r="H68"/>
      <c r="I68" s="72"/>
      <c r="J68"/>
      <c r="K68"/>
      <c r="L68"/>
    </row>
    <row r="69" spans="1:12" ht="15" thickBot="1">
      <c r="A69" s="185"/>
      <c r="B69" s="150"/>
      <c r="C69" s="151"/>
      <c r="D69" s="221">
        <f>SUM(movistar!J74,movistar!M74)</f>
        <v>0</v>
      </c>
      <c r="E69" s="152"/>
      <c r="F69" s="152"/>
      <c r="G69" s="150"/>
      <c r="H69" s="153"/>
      <c r="I69" s="123"/>
      <c r="J69" s="123"/>
      <c r="K69"/>
      <c r="L69"/>
    </row>
    <row r="70" spans="1:12" ht="15" thickBot="1">
      <c r="A70" s="149"/>
      <c r="B70" s="150"/>
      <c r="C70" s="151"/>
      <c r="D70" s="221">
        <f>SUM(movistar!J75,movistar!M75)</f>
        <v>0</v>
      </c>
      <c r="E70" s="152"/>
      <c r="F70" s="152"/>
      <c r="G70" s="150"/>
      <c r="H70" s="153"/>
      <c r="I70" s="123"/>
      <c r="J70" s="123"/>
      <c r="K70"/>
      <c r="L70"/>
    </row>
  </sheetData>
  <pageMargins left="0.70000000000000007" right="0.70000000000000007" top="0.75" bottom="0.75" header="0.30000000000000004" footer="0.3000000000000000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9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3" sqref="B103"/>
    </sheetView>
  </sheetViews>
  <sheetFormatPr baseColWidth="10" defaultRowHeight="14.4"/>
  <cols>
    <col min="1" max="1" width="8.6640625" customWidth="1"/>
    <col min="2" max="2" width="56.88671875" style="1" bestFit="1" customWidth="1"/>
    <col min="3" max="4" width="11.44140625" bestFit="1" customWidth="1"/>
    <col min="5" max="5" width="11.5546875" bestFit="1" customWidth="1"/>
    <col min="6" max="6" width="7.6640625" bestFit="1" customWidth="1"/>
    <col min="7" max="7" width="14" style="2" customWidth="1"/>
    <col min="8" max="8" width="13.44140625" customWidth="1"/>
    <col min="9" max="9" width="11.6640625" style="2" customWidth="1"/>
    <col min="10" max="10" width="12.6640625" customWidth="1"/>
    <col min="11" max="11" width="11.88671875" customWidth="1"/>
    <col min="13" max="13" width="12.88671875" style="8" customWidth="1"/>
    <col min="15" max="15" width="13.109375" customWidth="1"/>
    <col min="16" max="16" width="11.88671875" customWidth="1"/>
    <col min="17" max="17" width="12.6640625" style="8" customWidth="1"/>
    <col min="19" max="19" width="11.44140625" style="8"/>
    <col min="23" max="23" width="11.44140625"/>
    <col min="24" max="25" width="16.6640625" customWidth="1"/>
    <col min="26" max="26" width="16.6640625" style="65" customWidth="1"/>
    <col min="27" max="27" width="16.6640625" customWidth="1"/>
  </cols>
  <sheetData>
    <row r="1" spans="1:27" hidden="1">
      <c r="A1" s="7" t="s">
        <v>0</v>
      </c>
      <c r="B1" s="7" t="s">
        <v>45</v>
      </c>
      <c r="C1" s="67" t="s">
        <v>8</v>
      </c>
      <c r="D1" s="7" t="s">
        <v>7</v>
      </c>
      <c r="E1" s="7" t="s">
        <v>46</v>
      </c>
      <c r="F1" s="7" t="s">
        <v>162</v>
      </c>
      <c r="G1" s="7" t="s">
        <v>58</v>
      </c>
      <c r="H1" s="7" t="s">
        <v>59</v>
      </c>
      <c r="I1" s="7" t="s">
        <v>82</v>
      </c>
      <c r="J1" s="7" t="s">
        <v>172</v>
      </c>
      <c r="K1" s="7" t="s">
        <v>94</v>
      </c>
      <c r="L1" s="7" t="s">
        <v>61</v>
      </c>
      <c r="M1" s="8" t="s">
        <v>95</v>
      </c>
      <c r="N1" s="7" t="s">
        <v>96</v>
      </c>
      <c r="O1" s="7" t="s">
        <v>174</v>
      </c>
      <c r="P1" s="7" t="s">
        <v>97</v>
      </c>
      <c r="Q1" s="8" t="s">
        <v>98</v>
      </c>
      <c r="R1" s="7" t="s">
        <v>99</v>
      </c>
      <c r="S1" s="8" t="s">
        <v>101</v>
      </c>
      <c r="T1" s="7" t="s">
        <v>100</v>
      </c>
      <c r="U1" s="7" t="s">
        <v>62</v>
      </c>
      <c r="V1" s="7" t="s">
        <v>173</v>
      </c>
      <c r="W1" s="7" t="s">
        <v>67</v>
      </c>
      <c r="X1" s="7" t="s">
        <v>180</v>
      </c>
      <c r="Y1" s="7" t="s">
        <v>188</v>
      </c>
      <c r="Z1" s="7" t="s">
        <v>183</v>
      </c>
      <c r="AA1" s="7" t="s">
        <v>68</v>
      </c>
    </row>
    <row r="2" spans="1:27" hidden="1">
      <c r="A2">
        <v>2613861813</v>
      </c>
      <c r="B2" s="99" t="s">
        <v>216</v>
      </c>
      <c r="C2" s="68" t="e">
        <f>SUMIF(#REF!,A2,#REF!)</f>
        <v>#REF!</v>
      </c>
      <c r="D2" t="e">
        <f>SUMIF(#REF!,A2,#REF!)</f>
        <v>#REF!</v>
      </c>
      <c r="E2" s="1" t="s">
        <v>64</v>
      </c>
      <c r="F2" s="1" t="s">
        <v>227</v>
      </c>
      <c r="G2" s="2">
        <f>VLOOKUP(F2,B$86:D$92,2,FALSE)</f>
        <v>0</v>
      </c>
      <c r="H2">
        <f t="shared" ref="H2:H33" si="0">VLOOKUP(F2,B$86:D$92,3,FALSE)</f>
        <v>0</v>
      </c>
      <c r="I2">
        <f>VLOOKUP(F2,B$86:G$92,6,FALSE)</f>
        <v>0</v>
      </c>
      <c r="J2" t="e">
        <f>IF((SUMIF(#REF!,A2&amp;"Minutos*",#REF!)+SUMIF(#REF!,A2&amp;"A *",#REF!))&lt;=H2,0,(SUMIF(#REF!,A2&amp;"Minutos*",#REF!)+SUMIF(#REF!,A2&amp;"A *",#REF!))-H2)</f>
        <v>#REF!</v>
      </c>
      <c r="K2" t="e">
        <f>SUMIF(#REF!,A2&amp;"Mensajes Persona a Persona",#REF!)</f>
        <v>#REF!</v>
      </c>
      <c r="L2" s="3" t="e">
        <f>SUMIF(#REF!,A2&amp;"Mensajes Persona a Persona",#REF!)+SUMIF(#REF!,A2&amp;"PACK *00 SMS",#REF!)</f>
        <v>#REF!</v>
      </c>
      <c r="M2" s="8" t="e">
        <f>SUMIF(#REF!,A2&amp;"Mensajes Mul*",#REF!)</f>
        <v>#REF!</v>
      </c>
      <c r="N2" s="3" t="e">
        <f>SUMIF(#REF!,A2&amp;"Mensajes Mul*",#REF!)</f>
        <v>#REF!</v>
      </c>
      <c r="O2" s="3"/>
      <c r="P2" s="3" t="e">
        <f>SUMIF(#REF!,A2&amp;"Pack Mult*",#REF!)+SUMIF(#REF!,A2&amp;"Pack Blacberry BIS",#REF!)+SUMIF(#REF!,A2&amp;"Pack de datos*",#REF!)+SUMIF(#REF!,A2&amp;"Paquetes datos*",#REF!)+SUMIF(#REF!,A2&amp;"Paquete de datos*",#REF!)+SUMIF(#REF!,A2&amp;"Servicio BIS BLACKBERRY*",#REF!)+SUMIF(#REF!,A2&amp;"Pack Internet*",#REF!)+SUMIF(#REF!,A2&amp;"Pack de*",#REF!)+SUMIF(#REF!,A2&amp;"Pack 100M*",#REF!)++SUMIF(#REF!,A2&amp;"Paquete Internet*",#REF!)</f>
        <v>#REF!</v>
      </c>
      <c r="Q2" s="8" t="e">
        <f>SUMIF(#REF!,A2&amp;"Llamadas Roam*",#REF!)+SUMIF(#REF!,A2&amp;"Llamadas Internacionales",#REF!)</f>
        <v>#REF!</v>
      </c>
      <c r="R2" s="3" t="e">
        <f>SUMIF(#REF!,A2&amp;"Llamadas Roam*",#REF!)+SUMIF(#REF!,A2&amp;"Llamadas Internacionales",#REF!)+SUMIF(#REF!,A2&amp;"Llamadas y SMS Roaming",#REF!)+SUMIF(#REF!,A2&amp;"SMS Roaming",#REF!)</f>
        <v>#REF!</v>
      </c>
      <c r="S2" s="8" t="e">
        <f>SUMIF(#REF!,A2&amp;"Roaming*",#REF!)</f>
        <v>#REF!</v>
      </c>
      <c r="T2" s="3" t="e">
        <f>SUMIF(#REF!,A2&amp;"Roaming*",#REF!)+SUMIF(#REF!,A2&amp;"Internet Roaming*",#REF!)</f>
        <v>#REF!</v>
      </c>
      <c r="U2" s="3" t="e">
        <f>C2-L2-N2-P2-R2-T2-SUMIF(#REF!,A2&amp;"Minutos*",#REF!)-SUMIF(#REF!,A2&amp;"A *",#REF!)</f>
        <v>#REF!</v>
      </c>
      <c r="V2" s="4" t="e">
        <f t="shared" ref="V2:V33" si="1">(G2+J2*I2+L2+N2+P2+R2+T2+U2)*(1+$C$74+$C$75+$C$76)+O2*1.21</f>
        <v>#REF!</v>
      </c>
      <c r="W2" s="2" t="e">
        <f>(G2+J2*I2+L2+N2+R2-R2+T2+U2)*(1+$C$74+$C$75+$C$76)+O2</f>
        <v>#REF!</v>
      </c>
      <c r="X2" t="s">
        <v>176</v>
      </c>
      <c r="Z2" s="65" t="s">
        <v>185</v>
      </c>
    </row>
    <row r="3" spans="1:27" hidden="1">
      <c r="A3">
        <v>2613861795</v>
      </c>
      <c r="B3" s="99" t="s">
        <v>202</v>
      </c>
      <c r="C3" s="68" t="e">
        <f>SUMIF(#REF!,A3,#REF!)</f>
        <v>#REF!</v>
      </c>
      <c r="D3" t="e">
        <f>SUMIF(#REF!,A3,#REF!)</f>
        <v>#REF!</v>
      </c>
      <c r="E3" s="1" t="s">
        <v>63</v>
      </c>
      <c r="F3" s="1" t="s">
        <v>227</v>
      </c>
      <c r="G3" s="2">
        <f t="shared" ref="G3:G65" si="2">VLOOKUP(F3,B$86:D$92,2,FALSE)</f>
        <v>0</v>
      </c>
      <c r="H3">
        <f t="shared" si="0"/>
        <v>0</v>
      </c>
      <c r="I3">
        <f>VLOOKUP(F3,B$86:G$92,6,FALSE)</f>
        <v>0</v>
      </c>
      <c r="J3" t="e">
        <f>IF((SUMIF(#REF!,A3&amp;"Minutos*",#REF!)+SUMIF(#REF!,A3&amp;"A *",#REF!))&lt;=H3,0,(SUMIF(#REF!,A3&amp;"Minutos*",#REF!)+SUMIF(#REF!,A3&amp;"A *",#REF!))-H3)</f>
        <v>#REF!</v>
      </c>
      <c r="K3" t="e">
        <f>SUMIF(#REF!,A3&amp;"Mensajes Persona a Persona",#REF!)</f>
        <v>#REF!</v>
      </c>
      <c r="L3" s="3" t="e">
        <f>SUMIF(#REF!,A3&amp;"Mensajes Persona a Persona",#REF!)+SUMIF(#REF!,A3&amp;"PACK *00 SMS",#REF!)</f>
        <v>#REF!</v>
      </c>
      <c r="M3" s="8" t="e">
        <f>SUMIF(#REF!,A3&amp;"Mensajes Mul*",#REF!)</f>
        <v>#REF!</v>
      </c>
      <c r="N3" s="3" t="e">
        <f>SUMIF(#REF!,A3&amp;"Mensajes Mul*",#REF!)</f>
        <v>#REF!</v>
      </c>
      <c r="O3" s="3"/>
      <c r="P3" s="3" t="e">
        <f>SUMIF(#REF!,A3&amp;"Pack Mult*",#REF!)+SUMIF(#REF!,A3&amp;"Pack Blacberry BIS",#REF!)+SUMIF(#REF!,A3&amp;"Pack de datos*",#REF!)+SUMIF(#REF!,A3&amp;"Paquetes datos*",#REF!)+SUMIF(#REF!,A3&amp;"Paquete de datos*",#REF!)+SUMIF(#REF!,A3&amp;"Servicio BIS BLACKBERRY*",#REF!)+SUMIF(#REF!,A3&amp;"Pack Internet*",#REF!)+SUMIF(#REF!,A3&amp;"Pack de*",#REF!)+SUMIF(#REF!,A3&amp;"Pack 100M*",#REF!)++SUMIF(#REF!,A3&amp;"Paquete Internet*",#REF!)</f>
        <v>#REF!</v>
      </c>
      <c r="Q3" s="8" t="e">
        <f>SUMIF(#REF!,A3&amp;"Llamadas Roam*",#REF!)+SUMIF(#REF!,A3&amp;"Llamadas Internacionales",#REF!)</f>
        <v>#REF!</v>
      </c>
      <c r="R3" s="3" t="e">
        <f>SUMIF(#REF!,A3&amp;"Llamadas Roam*",#REF!)+SUMIF(#REF!,A3&amp;"Llamadas Internacionales",#REF!)+SUMIF(#REF!,A3&amp;"Llamadas y SMS Roaming",#REF!)+SUMIF(#REF!,A3&amp;"SMS Roaming",#REF!)</f>
        <v>#REF!</v>
      </c>
      <c r="S3" s="8" t="e">
        <f>SUMIF(#REF!,A3&amp;"Roaming*",#REF!)</f>
        <v>#REF!</v>
      </c>
      <c r="T3" s="3" t="e">
        <f>SUMIF(#REF!,A3&amp;"Roaming*",#REF!)+SUMIF(#REF!,A3&amp;"Internet Roaming*",#REF!)</f>
        <v>#REF!</v>
      </c>
      <c r="U3" s="3" t="e">
        <f>C3-L3-N3-P3-R3-T3-SUMIF(#REF!,A3&amp;"Minutos*",#REF!)-SUMIF(#REF!,A3&amp;"A *",#REF!)</f>
        <v>#REF!</v>
      </c>
      <c r="V3" s="2" t="e">
        <f t="shared" si="1"/>
        <v>#REF!</v>
      </c>
      <c r="W3" s="2"/>
      <c r="X3" s="64" t="s">
        <v>218</v>
      </c>
      <c r="Y3" t="s">
        <v>217</v>
      </c>
      <c r="Z3" s="65" t="s">
        <v>185</v>
      </c>
    </row>
    <row r="4" spans="1:27" hidden="1">
      <c r="A4">
        <v>2613861799</v>
      </c>
      <c r="B4" s="99" t="s">
        <v>44</v>
      </c>
      <c r="C4" s="68" t="e">
        <f>SUMIF(#REF!,A4,#REF!)</f>
        <v>#REF!</v>
      </c>
      <c r="D4" t="e">
        <f>SUMIF(#REF!,A4,#REF!)</f>
        <v>#REF!</v>
      </c>
      <c r="E4" s="1" t="s">
        <v>63</v>
      </c>
      <c r="F4" s="1" t="s">
        <v>227</v>
      </c>
      <c r="G4" s="2">
        <f t="shared" si="2"/>
        <v>0</v>
      </c>
      <c r="H4">
        <f t="shared" si="0"/>
        <v>0</v>
      </c>
      <c r="I4">
        <f t="shared" ref="I4:I67" si="3">VLOOKUP(F4,B$86:G$92,6,FALSE)</f>
        <v>0</v>
      </c>
      <c r="J4" t="e">
        <f>IF((SUMIF(#REF!,A4&amp;"Minutos*",#REF!)+SUMIF(#REF!,A4&amp;"A *",#REF!))&lt;=H4,0,(SUMIF(#REF!,A4&amp;"Minutos*",#REF!)+SUMIF(#REF!,A4&amp;"A *",#REF!))-H4)</f>
        <v>#REF!</v>
      </c>
      <c r="K4" t="e">
        <f>SUMIF(#REF!,A4&amp;"Mensajes Persona a Persona",#REF!)</f>
        <v>#REF!</v>
      </c>
      <c r="L4" s="3" t="e">
        <f>SUMIF(#REF!,A4&amp;"Mensajes Persona a Persona",#REF!)+SUMIF(#REF!,A4&amp;"PACK *00 SMS",#REF!)</f>
        <v>#REF!</v>
      </c>
      <c r="M4" s="8" t="e">
        <f>SUMIF(#REF!,A4&amp;"Mensajes Mul*",#REF!)</f>
        <v>#REF!</v>
      </c>
      <c r="N4" s="3" t="e">
        <f>SUMIF(#REF!,A4&amp;"Mensajes Mul*",#REF!)</f>
        <v>#REF!</v>
      </c>
      <c r="O4" s="3"/>
      <c r="P4" s="3" t="e">
        <f>SUMIF(#REF!,A4&amp;"Pack Mult*",#REF!)+SUMIF(#REF!,A4&amp;"Pack Blacberry BIS",#REF!)+SUMIF(#REF!,A4&amp;"Pack de datos*",#REF!)+SUMIF(#REF!,A4&amp;"Paquetes datos*",#REF!)+SUMIF(#REF!,A4&amp;"Paquete de datos*",#REF!)+SUMIF(#REF!,A4&amp;"Servicio BIS BLACKBERRY*",#REF!)+SUMIF(#REF!,A4&amp;"Pack Internet*",#REF!)+SUMIF(#REF!,A4&amp;"Pack de*",#REF!)+SUMIF(#REF!,A4&amp;"Pack 100M*",#REF!)++SUMIF(#REF!,A4&amp;"Paquete Internet*",#REF!)</f>
        <v>#REF!</v>
      </c>
      <c r="Q4" s="8" t="e">
        <f>SUMIF(#REF!,A4&amp;"Llamadas Roam*",#REF!)+SUMIF(#REF!,A4&amp;"Llamadas Internacionales",#REF!)</f>
        <v>#REF!</v>
      </c>
      <c r="R4" s="3" t="e">
        <f>SUMIF(#REF!,A4&amp;"Llamadas Roam*",#REF!)+SUMIF(#REF!,A4&amp;"Llamadas Internacionales",#REF!)+SUMIF(#REF!,A4&amp;"Llamadas y SMS Roaming",#REF!)+SUMIF(#REF!,A4&amp;"SMS Roaming",#REF!)</f>
        <v>#REF!</v>
      </c>
      <c r="S4" s="8" t="e">
        <f>SUMIF(#REF!,A4&amp;"Roaming*",#REF!)</f>
        <v>#REF!</v>
      </c>
      <c r="T4" s="3" t="e">
        <f>SUMIF(#REF!,A4&amp;"Roaming*",#REF!)+SUMIF(#REF!,A4&amp;"Internet Roaming*",#REF!)</f>
        <v>#REF!</v>
      </c>
      <c r="U4" s="3" t="e">
        <f>C4-L4-N4-P4-R4-T4-SUMIF(#REF!,A4&amp;"Minutos*",#REF!)-SUMIF(#REF!,A4&amp;"A *",#REF!)</f>
        <v>#REF!</v>
      </c>
      <c r="V4" s="2" t="e">
        <f>(G4+J4*I4+L4+N4+P4+R4+T4+U4)*(1+$C$74+$C$75+$C$76)+O4*1.21</f>
        <v>#REF!</v>
      </c>
      <c r="W4" s="2"/>
      <c r="X4" s="64" t="s">
        <v>218</v>
      </c>
      <c r="Z4" s="65" t="s">
        <v>190</v>
      </c>
    </row>
    <row r="5" spans="1:27" hidden="1">
      <c r="A5">
        <v>2613861802</v>
      </c>
      <c r="B5" s="99" t="s">
        <v>125</v>
      </c>
      <c r="C5" s="68" t="e">
        <f>SUMIF(#REF!,A5,#REF!)</f>
        <v>#REF!</v>
      </c>
      <c r="D5" t="e">
        <f>SUMIF(#REF!,A5,#REF!)</f>
        <v>#REF!</v>
      </c>
      <c r="E5" s="1" t="s">
        <v>64</v>
      </c>
      <c r="F5" s="1" t="s">
        <v>227</v>
      </c>
      <c r="G5" s="2">
        <f t="shared" si="2"/>
        <v>0</v>
      </c>
      <c r="H5">
        <f t="shared" si="0"/>
        <v>0</v>
      </c>
      <c r="I5">
        <f t="shared" si="3"/>
        <v>0</v>
      </c>
      <c r="J5" t="e">
        <f>IF((SUMIF(#REF!,A5&amp;"Minutos*",#REF!)+SUMIF(#REF!,A5&amp;"A *",#REF!))&lt;=H5,0,(SUMIF(#REF!,A5&amp;"Minutos*",#REF!)+SUMIF(#REF!,A5&amp;"A *",#REF!))-H5)</f>
        <v>#REF!</v>
      </c>
      <c r="K5" t="e">
        <f>SUMIF(#REF!,A5&amp;"Mensajes Persona a Persona",#REF!)</f>
        <v>#REF!</v>
      </c>
      <c r="L5" s="3" t="e">
        <f>SUMIF(#REF!,A5&amp;"Mensajes Persona a Persona",#REF!)+SUMIF(#REF!,A5&amp;"PACK *00 SMS",#REF!)</f>
        <v>#REF!</v>
      </c>
      <c r="M5" s="8" t="e">
        <f>SUMIF(#REF!,A5&amp;"Mensajes Mul*",#REF!)</f>
        <v>#REF!</v>
      </c>
      <c r="N5" s="3" t="e">
        <f>SUMIF(#REF!,A5&amp;"Mensajes Mul*",#REF!)</f>
        <v>#REF!</v>
      </c>
      <c r="O5" s="3"/>
      <c r="P5" s="3" t="e">
        <f>SUMIF(#REF!,A5&amp;"Pack Mult*",#REF!)+SUMIF(#REF!,A5&amp;"Pack Blacberry BIS",#REF!)+SUMIF(#REF!,A5&amp;"Pack de datos*",#REF!)+SUMIF(#REF!,A5&amp;"Paquetes datos*",#REF!)+SUMIF(#REF!,A5&amp;"Paquete de datos*",#REF!)+SUMIF(#REF!,A5&amp;"Servicio BIS BLACKBERRY*",#REF!)+SUMIF(#REF!,A5&amp;"Pack Internet*",#REF!)+SUMIF(#REF!,A5&amp;"Pack de*",#REF!)+SUMIF(#REF!,A5&amp;"Pack 100M*",#REF!)++SUMIF(#REF!,A5&amp;"Paquete Internet*",#REF!)</f>
        <v>#REF!</v>
      </c>
      <c r="Q5" s="8" t="e">
        <f>SUMIF(#REF!,A5&amp;"Llamadas Roam*",#REF!)+SUMIF(#REF!,A5&amp;"Llamadas Internacionales",#REF!)</f>
        <v>#REF!</v>
      </c>
      <c r="R5" s="3" t="e">
        <f>SUMIF(#REF!,A5&amp;"Llamadas Roam*",#REF!)+SUMIF(#REF!,A5&amp;"Llamadas Internacionales",#REF!)+SUMIF(#REF!,A5&amp;"Llamadas y SMS Roaming",#REF!)+SUMIF(#REF!,A5&amp;"SMS Roaming",#REF!)</f>
        <v>#REF!</v>
      </c>
      <c r="S5" s="8" t="e">
        <f>SUMIF(#REF!,A5&amp;"Roaming*",#REF!)</f>
        <v>#REF!</v>
      </c>
      <c r="T5" s="3" t="e">
        <f>SUMIF(#REF!,A5&amp;"Roaming*",#REF!)+SUMIF(#REF!,A5&amp;"Internet Roaming*",#REF!)</f>
        <v>#REF!</v>
      </c>
      <c r="U5" s="3" t="e">
        <f>C5-L5-N5-P5-R5-T5-SUMIF(#REF!,A5&amp;"Minutos*",#REF!)-SUMIF(#REF!,A5&amp;"A *",#REF!)</f>
        <v>#REF!</v>
      </c>
      <c r="V5" s="2" t="e">
        <f t="shared" si="1"/>
        <v>#REF!</v>
      </c>
      <c r="W5" s="2"/>
      <c r="X5" s="64" t="s">
        <v>218</v>
      </c>
      <c r="Z5" s="65" t="s">
        <v>191</v>
      </c>
    </row>
    <row r="6" spans="1:27" hidden="1">
      <c r="A6">
        <v>2613074298</v>
      </c>
      <c r="B6" s="99" t="s">
        <v>211</v>
      </c>
      <c r="C6" s="68" t="e">
        <f>SUMIF(#REF!,A6,#REF!)</f>
        <v>#REF!</v>
      </c>
      <c r="D6" t="e">
        <f>SUMIF(#REF!,A6,#REF!)</f>
        <v>#REF!</v>
      </c>
      <c r="E6" s="1" t="s">
        <v>64</v>
      </c>
      <c r="F6" s="1" t="s">
        <v>227</v>
      </c>
      <c r="G6" s="2">
        <f t="shared" si="2"/>
        <v>0</v>
      </c>
      <c r="H6">
        <f t="shared" si="0"/>
        <v>0</v>
      </c>
      <c r="I6">
        <f t="shared" si="3"/>
        <v>0</v>
      </c>
      <c r="J6" t="e">
        <f>IF((SUMIF(#REF!,A6&amp;"Minutos*",#REF!)+SUMIF(#REF!,A6&amp;"A *",#REF!))&lt;=H6,0,(SUMIF(#REF!,A6&amp;"Minutos*",#REF!)+SUMIF(#REF!,A6&amp;"A *",#REF!))-H6)</f>
        <v>#REF!</v>
      </c>
      <c r="K6" t="e">
        <f>SUMIF(#REF!,A6&amp;"Mensajes Persona a Persona",#REF!)</f>
        <v>#REF!</v>
      </c>
      <c r="L6" s="3" t="e">
        <f>SUMIF(#REF!,A6&amp;"Mensajes Persona a Persona",#REF!)+SUMIF(#REF!,A6&amp;"PACK *00 SMS",#REF!)</f>
        <v>#REF!</v>
      </c>
      <c r="M6" s="8" t="e">
        <f>SUMIF(#REF!,A6&amp;"Mensajes Mul*",#REF!)</f>
        <v>#REF!</v>
      </c>
      <c r="N6" s="3" t="e">
        <f>SUMIF(#REF!,A6&amp;"Mensajes Mul*",#REF!)</f>
        <v>#REF!</v>
      </c>
      <c r="O6" s="3"/>
      <c r="P6" s="3" t="e">
        <f>SUMIF(#REF!,A6&amp;"Pack Mult*",#REF!)+SUMIF(#REF!,A6&amp;"Pack Blacberry BIS",#REF!)+SUMIF(#REF!,A6&amp;"Pack de datos*",#REF!)+SUMIF(#REF!,A6&amp;"Paquetes datos*",#REF!)+SUMIF(#REF!,A6&amp;"Paquete de datos*",#REF!)+SUMIF(#REF!,A6&amp;"Servicio BIS BLACKBERRY*",#REF!)+SUMIF(#REF!,A6&amp;"Pack Internet*",#REF!)+SUMIF(#REF!,A6&amp;"Pack de*",#REF!)+SUMIF(#REF!,A6&amp;"Pack 100M*",#REF!)++SUMIF(#REF!,A6&amp;"Paquete Internet*",#REF!)</f>
        <v>#REF!</v>
      </c>
      <c r="Q6" s="8" t="e">
        <f>SUMIF(#REF!,A6&amp;"Llamadas Roam*",#REF!)+SUMIF(#REF!,A6&amp;"Llamadas Internacionales",#REF!)</f>
        <v>#REF!</v>
      </c>
      <c r="R6" s="3" t="e">
        <f>SUMIF(#REF!,A6&amp;"Llamadas Roam*",#REF!)+SUMIF(#REF!,A6&amp;"Llamadas Internacionales",#REF!)+SUMIF(#REF!,A6&amp;"Llamadas y SMS Roaming",#REF!)+SUMIF(#REF!,A6&amp;"SMS Roaming",#REF!)</f>
        <v>#REF!</v>
      </c>
      <c r="S6" s="8" t="e">
        <f>SUMIF(#REF!,A6&amp;"Roaming*",#REF!)</f>
        <v>#REF!</v>
      </c>
      <c r="T6" s="3" t="e">
        <f>SUMIF(#REF!,A6&amp;"Roaming*",#REF!)+SUMIF(#REF!,A6&amp;"Internet Roaming*",#REF!)</f>
        <v>#REF!</v>
      </c>
      <c r="U6" s="3" t="e">
        <f>C6-L6-N6-P6-R6-T6-SUMIF(#REF!,A6&amp;"Minutos*",#REF!)-SUMIF(#REF!,A6&amp;"A *",#REF!)</f>
        <v>#REF!</v>
      </c>
      <c r="V6" s="2" t="e">
        <f t="shared" si="1"/>
        <v>#REF!</v>
      </c>
      <c r="W6" s="2"/>
      <c r="X6" s="64" t="s">
        <v>218</v>
      </c>
      <c r="Y6" s="64"/>
      <c r="Z6" s="65" t="s">
        <v>185</v>
      </c>
    </row>
    <row r="7" spans="1:27" hidden="1">
      <c r="A7">
        <v>2614708391</v>
      </c>
      <c r="B7" s="99" t="s">
        <v>13</v>
      </c>
      <c r="C7" s="68" t="e">
        <f>SUMIF(#REF!,A7,#REF!)</f>
        <v>#REF!</v>
      </c>
      <c r="D7" t="e">
        <f>SUMIF(#REF!,A7,#REF!)</f>
        <v>#REF!</v>
      </c>
      <c r="E7" s="1" t="s">
        <v>64</v>
      </c>
      <c r="F7" s="1" t="s">
        <v>227</v>
      </c>
      <c r="G7" s="2">
        <f t="shared" si="2"/>
        <v>0</v>
      </c>
      <c r="H7">
        <f t="shared" si="0"/>
        <v>0</v>
      </c>
      <c r="I7">
        <f t="shared" si="3"/>
        <v>0</v>
      </c>
      <c r="J7" t="e">
        <f>IF((SUMIF(#REF!,A7&amp;"Minutos*",#REF!)+SUMIF(#REF!,A7&amp;"A *",#REF!))&lt;=H7,0,(SUMIF(#REF!,A7&amp;"Minutos*",#REF!)+SUMIF(#REF!,A7&amp;"A *",#REF!))-H7)</f>
        <v>#REF!</v>
      </c>
      <c r="K7" s="57" t="e">
        <f>SUMIF(#REF!,A7&amp;"Mensajes Persona a Persona",#REF!)</f>
        <v>#REF!</v>
      </c>
      <c r="L7" s="3" t="e">
        <f>SUMIF(#REF!,A7&amp;"Mensajes Persona a Persona",#REF!)+SUMIF(#REF!,A7&amp;"PACK *00 SMS",#REF!)</f>
        <v>#REF!</v>
      </c>
      <c r="M7" s="8" t="e">
        <f>SUMIF(#REF!,A7&amp;"Mensajes Mul*",#REF!)</f>
        <v>#REF!</v>
      </c>
      <c r="N7" s="3" t="e">
        <f>SUMIF(#REF!,A7&amp;"Mensajes Mul*",#REF!)</f>
        <v>#REF!</v>
      </c>
      <c r="O7" s="3"/>
      <c r="P7" s="3" t="e">
        <f>SUMIF(#REF!,A7&amp;"Pack Mult*",#REF!)+SUMIF(#REF!,A7&amp;"Pack Blacberry BIS",#REF!)+SUMIF(#REF!,A7&amp;"Pack de datos*",#REF!)+SUMIF(#REF!,A7&amp;"Paquetes datos*",#REF!)+SUMIF(#REF!,A7&amp;"Paquete de datos*",#REF!)+SUMIF(#REF!,A7&amp;"Servicio BIS BLACKBERRY*",#REF!)+SUMIF(#REF!,A7&amp;"Pack Internet*",#REF!)+SUMIF(#REF!,A7&amp;"Pack de*",#REF!)+SUMIF(#REF!,A7&amp;"Pack 100M*",#REF!)++SUMIF(#REF!,A7&amp;"Paquete Internet*",#REF!)</f>
        <v>#REF!</v>
      </c>
      <c r="Q7" s="8" t="e">
        <f>SUMIF(#REF!,A7&amp;"Llamadas Roam*",#REF!)+SUMIF(#REF!,A7&amp;"Llamadas Internacionales",#REF!)</f>
        <v>#REF!</v>
      </c>
      <c r="R7" s="3" t="e">
        <f>SUMIF(#REF!,A7&amp;"Llamadas Roam*",#REF!)+SUMIF(#REF!,A7&amp;"Llamadas Internacionales",#REF!)+SUMIF(#REF!,A7&amp;"Llamadas y SMS Roaming",#REF!)+SUMIF(#REF!,A7&amp;"SMS Roaming",#REF!)</f>
        <v>#REF!</v>
      </c>
      <c r="S7" s="8" t="e">
        <f>SUMIF(#REF!,A7&amp;"Roaming*",#REF!)</f>
        <v>#REF!</v>
      </c>
      <c r="T7" s="3" t="e">
        <f>SUMIF(#REF!,A7&amp;"Roaming*",#REF!)+SUMIF(#REF!,A7&amp;"Internet Roaming*",#REF!)</f>
        <v>#REF!</v>
      </c>
      <c r="U7" s="3" t="e">
        <f>C7-L7-N7-P7-R7-T7-SUMIF(#REF!,A7&amp;"Minutos*",#REF!)-SUMIF(#REF!,A7&amp;"A *",#REF!)</f>
        <v>#REF!</v>
      </c>
      <c r="V7" s="2" t="e">
        <f t="shared" si="1"/>
        <v>#REF!</v>
      </c>
      <c r="W7" s="66"/>
      <c r="X7" s="64" t="s">
        <v>218</v>
      </c>
      <c r="Y7" s="69"/>
      <c r="Z7" s="78" t="s">
        <v>184</v>
      </c>
    </row>
    <row r="8" spans="1:27" hidden="1">
      <c r="A8">
        <v>2614715937</v>
      </c>
      <c r="B8" s="99" t="s">
        <v>9</v>
      </c>
      <c r="C8" s="68" t="e">
        <f>SUMIF(#REF!,A8,#REF!)</f>
        <v>#REF!</v>
      </c>
      <c r="D8" t="e">
        <f>SUMIF(#REF!,A8,#REF!)</f>
        <v>#REF!</v>
      </c>
      <c r="E8" s="1" t="s">
        <v>64</v>
      </c>
      <c r="F8" s="1" t="s">
        <v>227</v>
      </c>
      <c r="G8" s="2">
        <f t="shared" si="2"/>
        <v>0</v>
      </c>
      <c r="H8">
        <f t="shared" si="0"/>
        <v>0</v>
      </c>
      <c r="I8">
        <f t="shared" si="3"/>
        <v>0</v>
      </c>
      <c r="J8" t="e">
        <f>IF((SUMIF(#REF!,A8&amp;"Minutos*",#REF!)+SUMIF(#REF!,A8&amp;"A *",#REF!))&lt;=H8,0,(SUMIF(#REF!,A8&amp;"Minutos*",#REF!)+SUMIF(#REF!,A8&amp;"A *",#REF!))-H8)</f>
        <v>#REF!</v>
      </c>
      <c r="K8" s="57" t="e">
        <f>SUMIF(#REF!,A8&amp;"Mensajes Persona a Persona",#REF!)</f>
        <v>#REF!</v>
      </c>
      <c r="L8" s="3" t="e">
        <f>SUMIF(#REF!,A8&amp;"Mensajes Persona a Persona",#REF!)+SUMIF(#REF!,A8&amp;"PACK *00 SMS",#REF!)</f>
        <v>#REF!</v>
      </c>
      <c r="M8" s="8" t="e">
        <f>SUMIF(#REF!,A8&amp;"Mensajes Mul*",#REF!)</f>
        <v>#REF!</v>
      </c>
      <c r="N8" s="3" t="e">
        <f>SUMIF(#REF!,A8&amp;"Mensajes Mul*",#REF!)</f>
        <v>#REF!</v>
      </c>
      <c r="O8" s="3"/>
      <c r="P8" s="3" t="e">
        <f>SUMIF(#REF!,A8&amp;"Pack Mult*",#REF!)+SUMIF(#REF!,A8&amp;"Pack Blacberry BIS",#REF!)+SUMIF(#REF!,A8&amp;"Pack de datos*",#REF!)+SUMIF(#REF!,A8&amp;"Paquetes datos*",#REF!)+SUMIF(#REF!,A8&amp;"Paquete de datos*",#REF!)+SUMIF(#REF!,A8&amp;"Servicio BIS BLACKBERRY*",#REF!)+SUMIF(#REF!,A8&amp;"Pack Internet*",#REF!)+SUMIF(#REF!,A8&amp;"Pack de*",#REF!)+SUMIF(#REF!,A8&amp;"Pack 100M*",#REF!)++SUMIF(#REF!,A8&amp;"Paquete Internet*",#REF!)</f>
        <v>#REF!</v>
      </c>
      <c r="Q8" s="8" t="e">
        <f>SUMIF(#REF!,A8&amp;"Llamadas Roam*",#REF!)+SUMIF(#REF!,A8&amp;"Llamadas Internacionales",#REF!)</f>
        <v>#REF!</v>
      </c>
      <c r="R8" s="3" t="e">
        <f>SUMIF(#REF!,A8&amp;"Llamadas Roam*",#REF!)+SUMIF(#REF!,A8&amp;"Llamadas Internacionales",#REF!)+SUMIF(#REF!,A8&amp;"Llamadas y SMS Roaming",#REF!)+SUMIF(#REF!,A8&amp;"SMS Roaming",#REF!)</f>
        <v>#REF!</v>
      </c>
      <c r="S8" s="8" t="e">
        <f>SUMIF(#REF!,A8&amp;"Roaming*",#REF!)</f>
        <v>#REF!</v>
      </c>
      <c r="T8" s="3" t="e">
        <f>SUMIF(#REF!,A8&amp;"Roaming*",#REF!)+SUMIF(#REF!,A8&amp;"Internet Roaming*",#REF!)</f>
        <v>#REF!</v>
      </c>
      <c r="U8" s="3" t="e">
        <f>C8-L8-N8-P8-R8-T8-SUMIF(#REF!,A8&amp;"Minutos*",#REF!)-SUMIF(#REF!,A8&amp;"A *",#REF!)</f>
        <v>#REF!</v>
      </c>
      <c r="V8" s="2" t="e">
        <f t="shared" si="1"/>
        <v>#REF!</v>
      </c>
      <c r="W8" s="2"/>
      <c r="X8" s="64" t="s">
        <v>218</v>
      </c>
      <c r="Y8" s="64"/>
      <c r="Z8" s="65" t="s">
        <v>184</v>
      </c>
      <c r="AA8" t="s">
        <v>5</v>
      </c>
    </row>
    <row r="9" spans="1:27" hidden="1">
      <c r="A9">
        <v>2613861801</v>
      </c>
      <c r="B9" s="99" t="s">
        <v>200</v>
      </c>
      <c r="C9" s="68" t="e">
        <f>SUMIF(#REF!,A9,#REF!)</f>
        <v>#REF!</v>
      </c>
      <c r="D9" t="e">
        <f>SUMIF(#REF!,A9,#REF!)</f>
        <v>#REF!</v>
      </c>
      <c r="E9" s="1" t="s">
        <v>63</v>
      </c>
      <c r="F9" s="1" t="s">
        <v>227</v>
      </c>
      <c r="G9" s="2">
        <f t="shared" si="2"/>
        <v>0</v>
      </c>
      <c r="H9">
        <f t="shared" si="0"/>
        <v>0</v>
      </c>
      <c r="I9">
        <f t="shared" si="3"/>
        <v>0</v>
      </c>
      <c r="J9" t="e">
        <f>IF((SUMIF(#REF!,A9&amp;"Minutos*",#REF!)+SUMIF(#REF!,A9&amp;"A *",#REF!))&lt;=H9,0,(SUMIF(#REF!,A9&amp;"Minutos*",#REF!)+SUMIF(#REF!,A9&amp;"A *",#REF!))-H9)</f>
        <v>#REF!</v>
      </c>
      <c r="K9" t="e">
        <f>SUMIF(#REF!,A9&amp;"Mensajes Persona a Persona",#REF!)</f>
        <v>#REF!</v>
      </c>
      <c r="L9" s="3" t="e">
        <f>SUMIF(#REF!,A9&amp;"Mensajes Persona a Persona",#REF!)+SUMIF(#REF!,A9&amp;"PACK *00 SMS",#REF!)</f>
        <v>#REF!</v>
      </c>
      <c r="M9" s="8" t="e">
        <f>SUMIF(#REF!,A9&amp;"Mensajes Mul*",#REF!)</f>
        <v>#REF!</v>
      </c>
      <c r="N9" s="3" t="e">
        <f>SUMIF(#REF!,A9&amp;"Mensajes Mul*",#REF!)</f>
        <v>#REF!</v>
      </c>
      <c r="O9" s="3"/>
      <c r="P9" s="3" t="e">
        <f>SUMIF(#REF!,A9&amp;"Pack Mult*",#REF!)+SUMIF(#REF!,A9&amp;"Pack Blacberry BIS",#REF!)+SUMIF(#REF!,A9&amp;"Pack de datos*",#REF!)+SUMIF(#REF!,A9&amp;"Paquetes datos*",#REF!)+SUMIF(#REF!,A9&amp;"Paquete de datos*",#REF!)+SUMIF(#REF!,A9&amp;"Servicio BIS BLACKBERRY*",#REF!)+SUMIF(#REF!,A9&amp;"Pack Internet*",#REF!)+SUMIF(#REF!,A9&amp;"Pack de*",#REF!)+SUMIF(#REF!,A9&amp;"Pack 100M*",#REF!)++SUMIF(#REF!,A9&amp;"Paquete Internet*",#REF!)</f>
        <v>#REF!</v>
      </c>
      <c r="Q9" s="8" t="e">
        <f>SUMIF(#REF!,A9&amp;"Llamadas Roam*",#REF!)+SUMIF(#REF!,A9&amp;"Llamadas Internacionales",#REF!)</f>
        <v>#REF!</v>
      </c>
      <c r="R9" s="3" t="e">
        <f>SUMIF(#REF!,A9&amp;"Llamadas Roam*",#REF!)+SUMIF(#REF!,A9&amp;"Llamadas Internacionales",#REF!)+SUMIF(#REF!,A9&amp;"Llamadas y SMS Roaming",#REF!)+SUMIF(#REF!,A9&amp;"SMS Roaming",#REF!)</f>
        <v>#REF!</v>
      </c>
      <c r="S9" s="8" t="e">
        <f>SUMIF(#REF!,A9&amp;"Roaming*",#REF!)</f>
        <v>#REF!</v>
      </c>
      <c r="T9" s="3" t="e">
        <f>SUMIF(#REF!,A9&amp;"Roaming*",#REF!)+SUMIF(#REF!,A9&amp;"Internet Roaming*",#REF!)</f>
        <v>#REF!</v>
      </c>
      <c r="U9" s="3" t="e">
        <f>C9-L9-N9-P9-R9-T9-SUMIF(#REF!,A9&amp;"Minutos*",#REF!)-SUMIF(#REF!,A9&amp;"A *",#REF!)</f>
        <v>#REF!</v>
      </c>
      <c r="V9" s="2" t="e">
        <f t="shared" si="1"/>
        <v>#REF!</v>
      </c>
      <c r="W9" s="2"/>
      <c r="X9" s="64" t="s">
        <v>218</v>
      </c>
      <c r="Y9" t="s">
        <v>156</v>
      </c>
      <c r="Z9" s="65" t="s">
        <v>190</v>
      </c>
    </row>
    <row r="10" spans="1:27" hidden="1">
      <c r="A10">
        <v>2613861796</v>
      </c>
      <c r="B10" s="99" t="s">
        <v>198</v>
      </c>
      <c r="C10" s="68" t="e">
        <f>SUMIF(#REF!,A10,#REF!)</f>
        <v>#REF!</v>
      </c>
      <c r="D10" t="e">
        <f>SUMIF(#REF!,A10,#REF!)</f>
        <v>#REF!</v>
      </c>
      <c r="E10" s="1" t="s">
        <v>63</v>
      </c>
      <c r="F10" s="1" t="s">
        <v>227</v>
      </c>
      <c r="G10" s="2">
        <f t="shared" si="2"/>
        <v>0</v>
      </c>
      <c r="H10">
        <f t="shared" si="0"/>
        <v>0</v>
      </c>
      <c r="I10">
        <f t="shared" si="3"/>
        <v>0</v>
      </c>
      <c r="J10" t="e">
        <f>IF((SUMIF(#REF!,A10&amp;"Minutos*",#REF!)+SUMIF(#REF!,A10&amp;"A *",#REF!))&lt;=H10,0,(SUMIF(#REF!,A10&amp;"Minutos*",#REF!)+SUMIF(#REF!,A10&amp;"A *",#REF!))-H10)</f>
        <v>#REF!</v>
      </c>
      <c r="K10" t="e">
        <f>SUMIF(#REF!,A10&amp;"Mensajes Persona a Persona",#REF!)</f>
        <v>#REF!</v>
      </c>
      <c r="L10" s="3" t="e">
        <f>SUMIF(#REF!,A10&amp;"Mensajes Persona a Persona",#REF!)+SUMIF(#REF!,A10&amp;"PACK *00 SMS",#REF!)</f>
        <v>#REF!</v>
      </c>
      <c r="M10" s="8" t="e">
        <f>SUMIF(#REF!,A10&amp;"Mensajes Mul*",#REF!)</f>
        <v>#REF!</v>
      </c>
      <c r="N10" s="3" t="e">
        <f>SUMIF(#REF!,A10&amp;"Mensajes Mul*",#REF!)</f>
        <v>#REF!</v>
      </c>
      <c r="O10" s="3"/>
      <c r="P10" s="3" t="e">
        <f>SUMIF(#REF!,A10&amp;"Pack Mult*",#REF!)+SUMIF(#REF!,A10&amp;"Pack Blacberry BIS",#REF!)+SUMIF(#REF!,A10&amp;"Pack de datos*",#REF!)+SUMIF(#REF!,A10&amp;"Paquetes datos*",#REF!)+SUMIF(#REF!,A10&amp;"Paquete de datos*",#REF!)+SUMIF(#REF!,A10&amp;"Servicio BIS BLACKBERRY*",#REF!)+SUMIF(#REF!,A10&amp;"Pack Internet*",#REF!)+SUMIF(#REF!,A10&amp;"Pack de*",#REF!)+SUMIF(#REF!,A10&amp;"Pack 100M*",#REF!)++SUMIF(#REF!,A10&amp;"Paquete Internet*",#REF!)</f>
        <v>#REF!</v>
      </c>
      <c r="Q10" s="8" t="e">
        <f>SUMIF(#REF!,A10&amp;"Llamadas Roam*",#REF!)+SUMIF(#REF!,A10&amp;"Llamadas Internacionales",#REF!)</f>
        <v>#REF!</v>
      </c>
      <c r="R10" s="3" t="e">
        <f>SUMIF(#REF!,A10&amp;"Llamadas Roam*",#REF!)+SUMIF(#REF!,A10&amp;"Llamadas Internacionales",#REF!)+SUMIF(#REF!,A10&amp;"Llamadas y SMS Roaming",#REF!)+SUMIF(#REF!,A10&amp;"SMS Roaming",#REF!)</f>
        <v>#REF!</v>
      </c>
      <c r="S10" s="8" t="e">
        <f>SUMIF(#REF!,A10&amp;"Roaming*",#REF!)</f>
        <v>#REF!</v>
      </c>
      <c r="T10" s="3" t="e">
        <f>SUMIF(#REF!,A10&amp;"Roaming*",#REF!)+SUMIF(#REF!,A10&amp;"Internet Roaming*",#REF!)</f>
        <v>#REF!</v>
      </c>
      <c r="U10" s="3" t="e">
        <f>C10-L10-N10-P10-R10-T10-SUMIF(#REF!,A10&amp;"Minutos*",#REF!)-SUMIF(#REF!,A10&amp;"A *",#REF!)</f>
        <v>#REF!</v>
      </c>
      <c r="V10" s="2" t="e">
        <f t="shared" si="1"/>
        <v>#REF!</v>
      </c>
      <c r="X10" s="64" t="s">
        <v>218</v>
      </c>
      <c r="Y10" t="s">
        <v>155</v>
      </c>
      <c r="Z10" s="65" t="s">
        <v>190</v>
      </c>
    </row>
    <row r="11" spans="1:27" hidden="1">
      <c r="A11">
        <v>2613861797</v>
      </c>
      <c r="B11" s="99" t="s">
        <v>199</v>
      </c>
      <c r="C11" s="68" t="e">
        <f>SUMIF(#REF!,A11,#REF!)</f>
        <v>#REF!</v>
      </c>
      <c r="D11" t="e">
        <f>SUMIF(#REF!,A11,#REF!)</f>
        <v>#REF!</v>
      </c>
      <c r="E11" s="1" t="s">
        <v>63</v>
      </c>
      <c r="F11" s="1" t="s">
        <v>227</v>
      </c>
      <c r="G11" s="2">
        <f t="shared" si="2"/>
        <v>0</v>
      </c>
      <c r="H11">
        <f t="shared" si="0"/>
        <v>0</v>
      </c>
      <c r="I11">
        <f t="shared" si="3"/>
        <v>0</v>
      </c>
      <c r="J11" t="e">
        <f>IF((SUMIF(#REF!,A11&amp;"Minutos*",#REF!)+SUMIF(#REF!,A11&amp;"A *",#REF!))&lt;=H11,0,(SUMIF(#REF!,A11&amp;"Minutos*",#REF!)+SUMIF(#REF!,A11&amp;"A *",#REF!))-H11)</f>
        <v>#REF!</v>
      </c>
      <c r="K11" t="e">
        <f>SUMIF(#REF!,A11&amp;"Mensajes Persona a Persona",#REF!)</f>
        <v>#REF!</v>
      </c>
      <c r="L11" s="3" t="e">
        <f>SUMIF(#REF!,A11&amp;"Mensajes Persona a Persona",#REF!)+SUMIF(#REF!,A11&amp;"PACK *00 SMS",#REF!)</f>
        <v>#REF!</v>
      </c>
      <c r="M11" s="8" t="e">
        <f>SUMIF(#REF!,A11&amp;"Mensajes Mul*",#REF!)</f>
        <v>#REF!</v>
      </c>
      <c r="N11" s="3" t="e">
        <f>SUMIF(#REF!,A11&amp;"Mensajes Mul*",#REF!)</f>
        <v>#REF!</v>
      </c>
      <c r="O11" s="3"/>
      <c r="P11" s="3" t="e">
        <f>SUMIF(#REF!,A11&amp;"Pack Mult*",#REF!)+SUMIF(#REF!,A11&amp;"Pack Blacberry BIS",#REF!)+SUMIF(#REF!,A11&amp;"Pack de datos*",#REF!)+SUMIF(#REF!,A11&amp;"Paquetes datos*",#REF!)+SUMIF(#REF!,A11&amp;"Paquete de datos*",#REF!)+SUMIF(#REF!,A11&amp;"Servicio BIS BLACKBERRY*",#REF!)+SUMIF(#REF!,A11&amp;"Pack Internet*",#REF!)+SUMIF(#REF!,A11&amp;"Pack de*",#REF!)+SUMIF(#REF!,A11&amp;"Pack 100M*",#REF!)++SUMIF(#REF!,A11&amp;"Paquete Internet*",#REF!)</f>
        <v>#REF!</v>
      </c>
      <c r="Q11" s="8" t="e">
        <f>SUMIF(#REF!,A11&amp;"Llamadas Roam*",#REF!)+SUMIF(#REF!,A11&amp;"Llamadas Internacionales",#REF!)</f>
        <v>#REF!</v>
      </c>
      <c r="R11" s="3" t="e">
        <f>SUMIF(#REF!,A11&amp;"Llamadas Roam*",#REF!)+SUMIF(#REF!,A11&amp;"Llamadas Internacionales",#REF!)+SUMIF(#REF!,A11&amp;"Llamadas y SMS Roaming",#REF!)+SUMIF(#REF!,A11&amp;"SMS Roaming",#REF!)</f>
        <v>#REF!</v>
      </c>
      <c r="S11" s="8" t="e">
        <f>SUMIF(#REF!,A11&amp;"Roaming*",#REF!)</f>
        <v>#REF!</v>
      </c>
      <c r="T11" s="3" t="e">
        <f>SUMIF(#REF!,A11&amp;"Roaming*",#REF!)+SUMIF(#REF!,A11&amp;"Internet Roaming*",#REF!)</f>
        <v>#REF!</v>
      </c>
      <c r="U11" s="3" t="e">
        <f>C11-L11-N11-P11-R11-T11-SUMIF(#REF!,A11&amp;"Minutos*",#REF!)-SUMIF(#REF!,A11&amp;"A *",#REF!)</f>
        <v>#REF!</v>
      </c>
      <c r="V11" s="2" t="e">
        <f t="shared" si="1"/>
        <v>#REF!</v>
      </c>
      <c r="W11" s="2"/>
      <c r="X11" s="64" t="s">
        <v>218</v>
      </c>
      <c r="Y11" t="s">
        <v>155</v>
      </c>
      <c r="Z11" s="65" t="s">
        <v>190</v>
      </c>
    </row>
    <row r="12" spans="1:27" hidden="1">
      <c r="A12">
        <v>2614715910</v>
      </c>
      <c r="B12" s="99" t="s">
        <v>12</v>
      </c>
      <c r="C12" s="68" t="e">
        <f>SUMIF(#REF!,A12,#REF!)</f>
        <v>#REF!</v>
      </c>
      <c r="D12" t="e">
        <f>SUMIF(#REF!,A12,#REF!)</f>
        <v>#REF!</v>
      </c>
      <c r="E12" s="1" t="s">
        <v>64</v>
      </c>
      <c r="F12" s="1" t="s">
        <v>227</v>
      </c>
      <c r="G12" s="2">
        <f t="shared" si="2"/>
        <v>0</v>
      </c>
      <c r="H12">
        <f t="shared" si="0"/>
        <v>0</v>
      </c>
      <c r="I12">
        <f t="shared" si="3"/>
        <v>0</v>
      </c>
      <c r="J12" t="e">
        <f>IF((SUMIF(#REF!,A12&amp;"Minutos*",#REF!)+SUMIF(#REF!,A12&amp;"A *",#REF!))&lt;=H12,0,(SUMIF(#REF!,A12&amp;"Minutos*",#REF!)+SUMIF(#REF!,A12&amp;"A *",#REF!))-H12)</f>
        <v>#REF!</v>
      </c>
      <c r="K12" t="e">
        <f>SUMIF(#REF!,A12&amp;"Mensajes Persona a Persona",#REF!)</f>
        <v>#REF!</v>
      </c>
      <c r="L12" s="3" t="e">
        <f>SUMIF(#REF!,A12&amp;"Mensajes Persona a Persona",#REF!)+SUMIF(#REF!,A12&amp;"PACK *00 SMS",#REF!)</f>
        <v>#REF!</v>
      </c>
      <c r="M12" s="8" t="e">
        <f>SUMIF(#REF!,A12&amp;"Mensajes Mul*",#REF!)</f>
        <v>#REF!</v>
      </c>
      <c r="N12" s="3" t="e">
        <f>SUMIF(#REF!,A12&amp;"Mensajes Mul*",#REF!)</f>
        <v>#REF!</v>
      </c>
      <c r="O12" s="3"/>
      <c r="P12" s="3" t="e">
        <f>SUMIF(#REF!,A12&amp;"Pack Mult*",#REF!)+SUMIF(#REF!,A12&amp;"Pack Blacberry BIS",#REF!)+SUMIF(#REF!,A12&amp;"Pack de datos*",#REF!)+SUMIF(#REF!,A12&amp;"Paquetes datos*",#REF!)+SUMIF(#REF!,A12&amp;"Paquete de datos*",#REF!)+SUMIF(#REF!,A12&amp;"Servicio BIS BLACKBERRY*",#REF!)+SUMIF(#REF!,A12&amp;"Pack Internet*",#REF!)+SUMIF(#REF!,A12&amp;"Pack de*",#REF!)+SUMIF(#REF!,A12&amp;"Pack 100M*",#REF!)++SUMIF(#REF!,A12&amp;"Paquete Internet*",#REF!)</f>
        <v>#REF!</v>
      </c>
      <c r="Q12" s="8" t="e">
        <f>SUMIF(#REF!,A12&amp;"Llamadas Roam*",#REF!)+SUMIF(#REF!,A12&amp;"Llamadas Internacionales",#REF!)</f>
        <v>#REF!</v>
      </c>
      <c r="R12" s="3" t="e">
        <f>SUMIF(#REF!,A12&amp;"Llamadas Roam*",#REF!)+SUMIF(#REF!,A12&amp;"Llamadas Internacionales",#REF!)+SUMIF(#REF!,A12&amp;"Llamadas y SMS Roaming",#REF!)+SUMIF(#REF!,A12&amp;"SMS Roaming",#REF!)</f>
        <v>#REF!</v>
      </c>
      <c r="S12" s="8" t="e">
        <f>SUMIF(#REF!,A12&amp;"Roaming*",#REF!)</f>
        <v>#REF!</v>
      </c>
      <c r="T12" s="3" t="e">
        <f>SUMIF(#REF!,A12&amp;"Roaming*",#REF!)+SUMIF(#REF!,A12&amp;"Internet Roaming*",#REF!)</f>
        <v>#REF!</v>
      </c>
      <c r="U12" s="3" t="e">
        <f>C12-L12-N12-P12-R12-T12-SUMIF(#REF!,A12&amp;"Minutos*",#REF!)-SUMIF(#REF!,A12&amp;"A *",#REF!)</f>
        <v>#REF!</v>
      </c>
      <c r="V12" s="2" t="e">
        <f t="shared" si="1"/>
        <v>#REF!</v>
      </c>
      <c r="W12" s="2"/>
      <c r="X12" s="64" t="s">
        <v>218</v>
      </c>
      <c r="Z12" s="65" t="s">
        <v>184</v>
      </c>
      <c r="AA12" t="s">
        <v>3</v>
      </c>
    </row>
    <row r="13" spans="1:27" hidden="1">
      <c r="A13">
        <v>2613861800</v>
      </c>
      <c r="B13" s="99" t="s">
        <v>179</v>
      </c>
      <c r="C13" s="68" t="e">
        <f>SUMIF(#REF!,A13,#REF!)</f>
        <v>#REF!</v>
      </c>
      <c r="D13" t="e">
        <f>SUMIF(#REF!,A13,#REF!)</f>
        <v>#REF!</v>
      </c>
      <c r="E13" s="1" t="s">
        <v>64</v>
      </c>
      <c r="F13" s="1" t="s">
        <v>227</v>
      </c>
      <c r="G13" s="2">
        <f t="shared" si="2"/>
        <v>0</v>
      </c>
      <c r="H13">
        <f t="shared" si="0"/>
        <v>0</v>
      </c>
      <c r="I13">
        <f t="shared" si="3"/>
        <v>0</v>
      </c>
      <c r="J13" t="e">
        <f>IF((SUMIF(#REF!,A13&amp;"Minutos*",#REF!)+SUMIF(#REF!,A13&amp;"A *",#REF!))&lt;=H13,0,(SUMIF(#REF!,A13&amp;"Minutos*",#REF!)+SUMIF(#REF!,A13&amp;"A *",#REF!))-H13)</f>
        <v>#REF!</v>
      </c>
      <c r="K13" t="e">
        <f>SUMIF(#REF!,A13&amp;"Mensajes Persona a Persona",#REF!)</f>
        <v>#REF!</v>
      </c>
      <c r="L13" s="3" t="e">
        <f>SUMIF(#REF!,A13&amp;"Mensajes Persona a Persona",#REF!)+SUMIF(#REF!,A13&amp;"PACK *00 SMS",#REF!)</f>
        <v>#REF!</v>
      </c>
      <c r="M13" s="8" t="e">
        <f>SUMIF(#REF!,A13&amp;"Mensajes Mul*",#REF!)</f>
        <v>#REF!</v>
      </c>
      <c r="N13" s="3" t="e">
        <f>SUMIF(#REF!,A13&amp;"Mensajes Mul*",#REF!)</f>
        <v>#REF!</v>
      </c>
      <c r="O13" s="3"/>
      <c r="P13" s="3" t="e">
        <f>SUMIF(#REF!,A13&amp;"Pack Mult*",#REF!)+SUMIF(#REF!,A13&amp;"Pack Blacberry BIS",#REF!)+SUMIF(#REF!,A13&amp;"Pack de datos*",#REF!)+SUMIF(#REF!,A13&amp;"Paquetes datos*",#REF!)+SUMIF(#REF!,A13&amp;"Paquete de datos*",#REF!)+SUMIF(#REF!,A13&amp;"Servicio BIS BLACKBERRY*",#REF!)+SUMIF(#REF!,A13&amp;"Pack Internet*",#REF!)+SUMIF(#REF!,A13&amp;"Pack de*",#REF!)+SUMIF(#REF!,A13&amp;"Pack 100M*",#REF!)++SUMIF(#REF!,A13&amp;"Paquete Internet*",#REF!)</f>
        <v>#REF!</v>
      </c>
      <c r="Q13" s="8" t="e">
        <f>SUMIF(#REF!,A13&amp;"Llamadas Roam*",#REF!)+SUMIF(#REF!,A13&amp;"Llamadas Internacionales",#REF!)</f>
        <v>#REF!</v>
      </c>
      <c r="R13" s="3" t="e">
        <f>SUMIF(#REF!,A13&amp;"Llamadas Roam*",#REF!)+SUMIF(#REF!,A13&amp;"Llamadas Internacionales",#REF!)+SUMIF(#REF!,A13&amp;"Llamadas y SMS Roaming",#REF!)+SUMIF(#REF!,A13&amp;"SMS Roaming",#REF!)</f>
        <v>#REF!</v>
      </c>
      <c r="S13" s="8" t="e">
        <f>SUMIF(#REF!,A13&amp;"Roaming*",#REF!)</f>
        <v>#REF!</v>
      </c>
      <c r="T13" s="3" t="e">
        <f>SUMIF(#REF!,A13&amp;"Roaming*",#REF!)+SUMIF(#REF!,A13&amp;"Internet Roaming*",#REF!)</f>
        <v>#REF!</v>
      </c>
      <c r="U13" s="3" t="e">
        <f>C13-L13-N13-P13-R13-T13-SUMIF(#REF!,A13&amp;"Minutos*",#REF!)-SUMIF(#REF!,A13&amp;"A *",#REF!)</f>
        <v>#REF!</v>
      </c>
      <c r="V13" s="2" t="e">
        <f t="shared" si="1"/>
        <v>#REF!</v>
      </c>
      <c r="W13" s="66"/>
      <c r="X13" s="64" t="s">
        <v>218</v>
      </c>
      <c r="Z13" s="65" t="s">
        <v>191</v>
      </c>
    </row>
    <row r="14" spans="1:27" hidden="1">
      <c r="A14">
        <v>2614704140</v>
      </c>
      <c r="B14" s="99" t="s">
        <v>11</v>
      </c>
      <c r="C14" s="68" t="e">
        <f>SUMIF(#REF!,A14,#REF!)</f>
        <v>#REF!</v>
      </c>
      <c r="D14" t="e">
        <f>SUMIF(#REF!,A14,#REF!)</f>
        <v>#REF!</v>
      </c>
      <c r="E14" s="1" t="s">
        <v>64</v>
      </c>
      <c r="F14" s="1" t="s">
        <v>227</v>
      </c>
      <c r="G14" s="2">
        <f t="shared" si="2"/>
        <v>0</v>
      </c>
      <c r="H14">
        <f t="shared" si="0"/>
        <v>0</v>
      </c>
      <c r="I14">
        <f t="shared" si="3"/>
        <v>0</v>
      </c>
      <c r="J14" t="e">
        <f>IF((SUMIF(#REF!,A14&amp;"Minutos*",#REF!)+SUMIF(#REF!,A14&amp;"A *",#REF!))&lt;=H14,0,(SUMIF(#REF!,A14&amp;"Minutos*",#REF!)+SUMIF(#REF!,A14&amp;"A *",#REF!))-H14)</f>
        <v>#REF!</v>
      </c>
      <c r="K14" t="e">
        <f>SUMIF(#REF!,A14&amp;"Mensajes Persona a Persona",#REF!)</f>
        <v>#REF!</v>
      </c>
      <c r="L14" s="3" t="e">
        <f>SUMIF(#REF!,A14&amp;"Mensajes Persona a Persona",#REF!)+SUMIF(#REF!,A14&amp;"PACK *00 SMS",#REF!)</f>
        <v>#REF!</v>
      </c>
      <c r="M14" s="8" t="e">
        <f>SUMIF(#REF!,A14&amp;"Mensajes Mul*",#REF!)</f>
        <v>#REF!</v>
      </c>
      <c r="N14" s="3" t="e">
        <f>SUMIF(#REF!,A14&amp;"Mensajes Mul*",#REF!)</f>
        <v>#REF!</v>
      </c>
      <c r="O14" s="3"/>
      <c r="P14" s="3" t="e">
        <f>SUMIF(#REF!,A14&amp;"Pack Mult*",#REF!)+SUMIF(#REF!,A14&amp;"Pack Blacberry BIS",#REF!)+SUMIF(#REF!,A14&amp;"Pack de datos*",#REF!)+SUMIF(#REF!,A14&amp;"Paquetes datos*",#REF!)+SUMIF(#REF!,A14&amp;"Paquete de datos*",#REF!)+SUMIF(#REF!,A14&amp;"Servicio BIS BLACKBERRY*",#REF!)+SUMIF(#REF!,A14&amp;"Pack Internet*",#REF!)+SUMIF(#REF!,A14&amp;"Pack de*",#REF!)+SUMIF(#REF!,A14&amp;"Pack 100M*",#REF!)++SUMIF(#REF!,A14&amp;"Paquete Internet*",#REF!)</f>
        <v>#REF!</v>
      </c>
      <c r="Q14" s="8" t="e">
        <f>SUMIF(#REF!,A14&amp;"Llamadas Roam*",#REF!)+SUMIF(#REF!,A14&amp;"Llamadas Internacionales",#REF!)</f>
        <v>#REF!</v>
      </c>
      <c r="R14" s="3" t="e">
        <f>SUMIF(#REF!,A14&amp;"Llamadas Roam*",#REF!)+SUMIF(#REF!,A14&amp;"Llamadas Internacionales",#REF!)+SUMIF(#REF!,A14&amp;"Llamadas y SMS Roaming",#REF!)+SUMIF(#REF!,A14&amp;"SMS Roaming",#REF!)</f>
        <v>#REF!</v>
      </c>
      <c r="S14" s="8" t="e">
        <f>SUMIF(#REF!,A14&amp;"Roaming*",#REF!)</f>
        <v>#REF!</v>
      </c>
      <c r="T14" s="3" t="e">
        <f>SUMIF(#REF!,A14&amp;"Roaming*",#REF!)+SUMIF(#REF!,A14&amp;"Internet Roaming*",#REF!)</f>
        <v>#REF!</v>
      </c>
      <c r="U14" s="3" t="e">
        <f>C14-L14-N14-P14-R14-T14-SUMIF(#REF!,A14&amp;"Minutos*",#REF!)-SUMIF(#REF!,A14&amp;"A *",#REF!)</f>
        <v>#REF!</v>
      </c>
      <c r="V14" s="2" t="e">
        <f t="shared" si="1"/>
        <v>#REF!</v>
      </c>
      <c r="W14" s="66"/>
      <c r="X14" s="64" t="s">
        <v>218</v>
      </c>
      <c r="Y14" s="69"/>
      <c r="Z14" s="78" t="s">
        <v>184</v>
      </c>
      <c r="AA14" t="s">
        <v>3</v>
      </c>
    </row>
    <row r="15" spans="1:27" hidden="1">
      <c r="A15">
        <v>2613861804</v>
      </c>
      <c r="B15" s="99" t="s">
        <v>72</v>
      </c>
      <c r="C15" s="68" t="e">
        <f>SUMIF(#REF!,A15,#REF!)</f>
        <v>#REF!</v>
      </c>
      <c r="D15" t="e">
        <f>SUMIF(#REF!,A15,#REF!)</f>
        <v>#REF!</v>
      </c>
      <c r="E15" s="1" t="s">
        <v>64</v>
      </c>
      <c r="F15" s="1" t="s">
        <v>227</v>
      </c>
      <c r="G15" s="2">
        <f t="shared" si="2"/>
        <v>0</v>
      </c>
      <c r="H15">
        <f t="shared" si="0"/>
        <v>0</v>
      </c>
      <c r="I15">
        <f t="shared" si="3"/>
        <v>0</v>
      </c>
      <c r="J15" t="e">
        <f>IF((SUMIF(#REF!,A15&amp;"Minutos*",#REF!)+SUMIF(#REF!,A15&amp;"A *",#REF!))&lt;=H15,0,(SUMIF(#REF!,A15&amp;"Minutos*",#REF!)+SUMIF(#REF!,A15&amp;"A *",#REF!))-H15)</f>
        <v>#REF!</v>
      </c>
      <c r="K15" t="e">
        <f>SUMIF(#REF!,A15&amp;"Mensajes Persona a Persona",#REF!)</f>
        <v>#REF!</v>
      </c>
      <c r="L15" s="3" t="e">
        <f>SUMIF(#REF!,A15&amp;"Mensajes Persona a Persona",#REF!)+SUMIF(#REF!,A15&amp;"PACK *00 SMS",#REF!)</f>
        <v>#REF!</v>
      </c>
      <c r="M15" s="8" t="e">
        <f>SUMIF(#REF!,A15&amp;"Mensajes Mul*",#REF!)</f>
        <v>#REF!</v>
      </c>
      <c r="N15" s="3" t="e">
        <f>SUMIF(#REF!,A15&amp;"Mensajes Mul*",#REF!)</f>
        <v>#REF!</v>
      </c>
      <c r="O15" s="3"/>
      <c r="P15" s="3" t="e">
        <f>SUMIF(#REF!,A15&amp;"Pack Mult*",#REF!)+SUMIF(#REF!,A15&amp;"Pack Blacberry BIS",#REF!)+SUMIF(#REF!,A15&amp;"Pack de datos*",#REF!)+SUMIF(#REF!,A15&amp;"Paquetes datos*",#REF!)+SUMIF(#REF!,A15&amp;"Paquete de datos*",#REF!)+SUMIF(#REF!,A15&amp;"Servicio BIS BLACKBERRY*",#REF!)+SUMIF(#REF!,A15&amp;"Pack Internet*",#REF!)+SUMIF(#REF!,A15&amp;"Pack de*",#REF!)+SUMIF(#REF!,A15&amp;"Pack 100M*",#REF!)++SUMIF(#REF!,A15&amp;"Paquete Internet*",#REF!)</f>
        <v>#REF!</v>
      </c>
      <c r="Q15" s="8" t="e">
        <f>SUMIF(#REF!,A15&amp;"Llamadas Roam*",#REF!)+SUMIF(#REF!,A15&amp;"Llamadas Internacionales",#REF!)</f>
        <v>#REF!</v>
      </c>
      <c r="R15" s="3" t="e">
        <f>SUMIF(#REF!,A15&amp;"Llamadas Roam*",#REF!)+SUMIF(#REF!,A15&amp;"Llamadas Internacionales",#REF!)+SUMIF(#REF!,A15&amp;"Llamadas y SMS Roaming",#REF!)+SUMIF(#REF!,A15&amp;"SMS Roaming",#REF!)</f>
        <v>#REF!</v>
      </c>
      <c r="S15" s="8" t="e">
        <f>SUMIF(#REF!,A15&amp;"Roaming*",#REF!)</f>
        <v>#REF!</v>
      </c>
      <c r="T15" s="3" t="e">
        <f>SUMIF(#REF!,A15&amp;"Roaming*",#REF!)+SUMIF(#REF!,A15&amp;"Internet Roaming*",#REF!)</f>
        <v>#REF!</v>
      </c>
      <c r="U15" s="3" t="e">
        <f>C15-L15-N15-P15-R15-T15-SUMIF(#REF!,A15&amp;"Minutos*",#REF!)-SUMIF(#REF!,A15&amp;"A *",#REF!)</f>
        <v>#REF!</v>
      </c>
      <c r="V15" s="2" t="e">
        <f t="shared" si="1"/>
        <v>#REF!</v>
      </c>
      <c r="W15" s="2"/>
      <c r="Z15" s="65" t="s">
        <v>191</v>
      </c>
    </row>
    <row r="16" spans="1:27" hidden="1">
      <c r="A16">
        <v>2613626179</v>
      </c>
      <c r="B16" s="99" t="s">
        <v>145</v>
      </c>
      <c r="C16" s="68" t="e">
        <f>SUMIF(#REF!,A16,#REF!)</f>
        <v>#REF!</v>
      </c>
      <c r="D16" t="e">
        <f>SUMIF(#REF!,A16,#REF!)</f>
        <v>#REF!</v>
      </c>
      <c r="E16" s="1" t="s">
        <v>64</v>
      </c>
      <c r="F16" s="1" t="s">
        <v>227</v>
      </c>
      <c r="G16" s="2">
        <f t="shared" si="2"/>
        <v>0</v>
      </c>
      <c r="H16">
        <f t="shared" si="0"/>
        <v>0</v>
      </c>
      <c r="I16">
        <f t="shared" si="3"/>
        <v>0</v>
      </c>
      <c r="J16" t="e">
        <f>IF((SUMIF(#REF!,A16&amp;"Minutos*",#REF!)+SUMIF(#REF!,A16&amp;"A *",#REF!))&lt;=H16,0,(SUMIF(#REF!,A16&amp;"Minutos*",#REF!)+SUMIF(#REF!,A16&amp;"A *",#REF!))-H16)</f>
        <v>#REF!</v>
      </c>
      <c r="K16" t="e">
        <f>SUMIF(#REF!,A16&amp;"Mensajes Persona a Persona",#REF!)</f>
        <v>#REF!</v>
      </c>
      <c r="L16" s="3" t="e">
        <f>SUMIF(#REF!,A16&amp;"Mensajes Persona a Persona",#REF!)+SUMIF(#REF!,A16&amp;"PACK *00 SMS",#REF!)</f>
        <v>#REF!</v>
      </c>
      <c r="M16" s="8" t="e">
        <f>SUMIF(#REF!,A16&amp;"Mensajes Mul*",#REF!)</f>
        <v>#REF!</v>
      </c>
      <c r="N16" s="3" t="e">
        <f>SUMIF(#REF!,A16&amp;"Mensajes Mul*",#REF!)</f>
        <v>#REF!</v>
      </c>
      <c r="O16" s="3"/>
      <c r="P16" s="3" t="e">
        <f>SUMIF(#REF!,A16&amp;"Pack Mult*",#REF!)+SUMIF(#REF!,A16&amp;"Pack Blacberry BIS",#REF!)+SUMIF(#REF!,A16&amp;"Pack de datos*",#REF!)+SUMIF(#REF!,A16&amp;"Paquetes datos*",#REF!)+SUMIF(#REF!,A16&amp;"Paquete de datos*",#REF!)+SUMIF(#REF!,A16&amp;"Servicio BIS BLACKBERRY*",#REF!)+SUMIF(#REF!,A16&amp;"Pack Internet*",#REF!)+SUMIF(#REF!,A16&amp;"Pack de*",#REF!)+SUMIF(#REF!,A16&amp;"Pack 100M*",#REF!)++SUMIF(#REF!,A16&amp;"Paquete Internet*",#REF!)</f>
        <v>#REF!</v>
      </c>
      <c r="Q16" s="8" t="e">
        <f>SUMIF(#REF!,A16&amp;"Llamadas Roam*",#REF!)+SUMIF(#REF!,A16&amp;"Llamadas Internacionales",#REF!)</f>
        <v>#REF!</v>
      </c>
      <c r="R16" s="3" t="e">
        <f>SUMIF(#REF!,A16&amp;"Llamadas Roam*",#REF!)+SUMIF(#REF!,A16&amp;"Llamadas Internacionales",#REF!)+SUMIF(#REF!,A16&amp;"Llamadas y SMS Roaming",#REF!)+SUMIF(#REF!,A16&amp;"SMS Roaming",#REF!)</f>
        <v>#REF!</v>
      </c>
      <c r="S16" s="8" t="e">
        <f>SUMIF(#REF!,A16&amp;"Roaming*",#REF!)</f>
        <v>#REF!</v>
      </c>
      <c r="T16" s="3" t="e">
        <f>SUMIF(#REF!,A16&amp;"Roaming*",#REF!)+SUMIF(#REF!,A16&amp;"Internet Roaming*",#REF!)</f>
        <v>#REF!</v>
      </c>
      <c r="U16" s="3" t="e">
        <f>C16-L16-N16-P16-R16-T16-SUMIF(#REF!,A16&amp;"Minutos*",#REF!)-SUMIF(#REF!,A16&amp;"A *",#REF!)</f>
        <v>#REF!</v>
      </c>
      <c r="V16" s="2" t="e">
        <f t="shared" si="1"/>
        <v>#REF!</v>
      </c>
      <c r="W16" s="2"/>
      <c r="X16" s="64"/>
      <c r="Y16" t="s">
        <v>187</v>
      </c>
      <c r="Z16" s="65" t="s">
        <v>186</v>
      </c>
    </row>
    <row r="17" spans="1:27" hidden="1">
      <c r="A17">
        <v>2613072362</v>
      </c>
      <c r="B17" s="99" t="s">
        <v>151</v>
      </c>
      <c r="C17" s="68" t="e">
        <f>SUMIF(#REF!,A17,#REF!)</f>
        <v>#REF!</v>
      </c>
      <c r="D17" t="e">
        <f>SUMIF(#REF!,A17,#REF!)</f>
        <v>#REF!</v>
      </c>
      <c r="E17" s="1" t="s">
        <v>64</v>
      </c>
      <c r="F17" s="1" t="s">
        <v>227</v>
      </c>
      <c r="G17" s="2">
        <f t="shared" si="2"/>
        <v>0</v>
      </c>
      <c r="H17">
        <f t="shared" si="0"/>
        <v>0</v>
      </c>
      <c r="I17">
        <f t="shared" si="3"/>
        <v>0</v>
      </c>
      <c r="J17" t="e">
        <f>IF((SUMIF(#REF!,A17&amp;"Minutos*",#REF!)+SUMIF(#REF!,A17&amp;"A *",#REF!))&lt;=H17,0,(SUMIF(#REF!,A17&amp;"Minutos*",#REF!)+SUMIF(#REF!,A17&amp;"A *",#REF!))-H17)</f>
        <v>#REF!</v>
      </c>
      <c r="K17" t="e">
        <f>SUMIF(#REF!,A17&amp;"Mensajes Persona a Persona",#REF!)</f>
        <v>#REF!</v>
      </c>
      <c r="L17" s="3" t="e">
        <f>SUMIF(#REF!,A17&amp;"Mensajes Persona a Persona",#REF!)+SUMIF(#REF!,A17&amp;"PACK *00 SMS",#REF!)</f>
        <v>#REF!</v>
      </c>
      <c r="M17" s="8" t="e">
        <f>SUMIF(#REF!,A17&amp;"Mensajes Mul*",#REF!)</f>
        <v>#REF!</v>
      </c>
      <c r="N17" s="3" t="e">
        <f>SUMIF(#REF!,A17&amp;"Mensajes Mul*",#REF!)</f>
        <v>#REF!</v>
      </c>
      <c r="O17" s="3"/>
      <c r="P17" s="3" t="e">
        <f>SUMIF(#REF!,A17&amp;"Pack Mult*",#REF!)+SUMIF(#REF!,A17&amp;"Pack Blacberry BIS",#REF!)+SUMIF(#REF!,A17&amp;"Pack de datos*",#REF!)+SUMIF(#REF!,A17&amp;"Paquetes datos*",#REF!)+SUMIF(#REF!,A17&amp;"Paquete de datos*",#REF!)+SUMIF(#REF!,A17&amp;"Servicio BIS BLACKBERRY*",#REF!)+SUMIF(#REF!,A17&amp;"Pack Internet*",#REF!)+SUMIF(#REF!,A17&amp;"Pack de*",#REF!)+SUMIF(#REF!,A17&amp;"Pack 100M*",#REF!)++SUMIF(#REF!,A17&amp;"Paquete Internet*",#REF!)</f>
        <v>#REF!</v>
      </c>
      <c r="Q17" s="8" t="e">
        <f>SUMIF(#REF!,A17&amp;"Llamadas Roam*",#REF!)+SUMIF(#REF!,A17&amp;"Llamadas Internacionales",#REF!)</f>
        <v>#REF!</v>
      </c>
      <c r="R17" s="3" t="e">
        <f>SUMIF(#REF!,A17&amp;"Llamadas Roam*",#REF!)+SUMIF(#REF!,A17&amp;"Llamadas Internacionales",#REF!)+SUMIF(#REF!,A17&amp;"Llamadas y SMS Roaming",#REF!)+SUMIF(#REF!,A17&amp;"SMS Roaming",#REF!)</f>
        <v>#REF!</v>
      </c>
      <c r="S17" s="8" t="e">
        <f>SUMIF(#REF!,A17&amp;"Roaming*",#REF!)</f>
        <v>#REF!</v>
      </c>
      <c r="T17" s="3" t="e">
        <f>SUMIF(#REF!,A17&amp;"Roaming*",#REF!)+SUMIF(#REF!,A17&amp;"Internet Roaming*",#REF!)</f>
        <v>#REF!</v>
      </c>
      <c r="U17" s="3" t="e">
        <f>C17-L17-N17-P17-R17-T17-SUMIF(#REF!,A17&amp;"Minutos*",#REF!)-SUMIF(#REF!,A17&amp;"A *",#REF!)</f>
        <v>#REF!</v>
      </c>
      <c r="V17" s="2" t="e">
        <f t="shared" si="1"/>
        <v>#REF!</v>
      </c>
      <c r="W17" s="2"/>
      <c r="Y17" s="64"/>
      <c r="Z17" s="65" t="s">
        <v>191</v>
      </c>
    </row>
    <row r="18" spans="1:27" hidden="1">
      <c r="A18">
        <v>2614669247</v>
      </c>
      <c r="B18" s="99" t="s">
        <v>134</v>
      </c>
      <c r="C18" s="68" t="e">
        <f>SUMIF(#REF!,A18,#REF!)</f>
        <v>#REF!</v>
      </c>
      <c r="D18" t="e">
        <f>SUMIF(#REF!,A18,#REF!)</f>
        <v>#REF!</v>
      </c>
      <c r="E18" s="1" t="s">
        <v>64</v>
      </c>
      <c r="F18" s="1" t="s">
        <v>227</v>
      </c>
      <c r="G18" s="2">
        <f t="shared" si="2"/>
        <v>0</v>
      </c>
      <c r="H18">
        <f t="shared" si="0"/>
        <v>0</v>
      </c>
      <c r="I18">
        <f t="shared" si="3"/>
        <v>0</v>
      </c>
      <c r="J18" t="e">
        <f>IF((SUMIF(#REF!,A18&amp;"Minutos*",#REF!)+SUMIF(#REF!,A18&amp;"A *",#REF!))&lt;=H18,0,(SUMIF(#REF!,A18&amp;"Minutos*",#REF!)+SUMIF(#REF!,A18&amp;"A *",#REF!))-H18)</f>
        <v>#REF!</v>
      </c>
      <c r="K18" t="e">
        <f>SUMIF(#REF!,A18&amp;"Mensajes Persona a Persona",#REF!)</f>
        <v>#REF!</v>
      </c>
      <c r="L18" s="3" t="e">
        <f>SUMIF(#REF!,A18&amp;"Mensajes Persona a Persona",#REF!)+SUMIF(#REF!,A18&amp;"PACK *00 SMS",#REF!)</f>
        <v>#REF!</v>
      </c>
      <c r="M18" s="8" t="e">
        <f>SUMIF(#REF!,A18&amp;"Mensajes Mul*",#REF!)</f>
        <v>#REF!</v>
      </c>
      <c r="N18" s="3" t="e">
        <f>SUMIF(#REF!,A18&amp;"Mensajes Mul*",#REF!)</f>
        <v>#REF!</v>
      </c>
      <c r="O18" s="3"/>
      <c r="P18" s="3" t="e">
        <f>SUMIF(#REF!,A18&amp;"Pack Mult*",#REF!)+SUMIF(#REF!,A18&amp;"Pack Blacberry BIS",#REF!)+SUMIF(#REF!,A18&amp;"Pack de datos*",#REF!)+SUMIF(#REF!,A18&amp;"Paquetes datos*",#REF!)+SUMIF(#REF!,A18&amp;"Paquete de datos*",#REF!)+SUMIF(#REF!,A18&amp;"Servicio BIS BLACKBERRY*",#REF!)+SUMIF(#REF!,A18&amp;"Pack Internet*",#REF!)+SUMIF(#REF!,A18&amp;"Pack de*",#REF!)+SUMIF(#REF!,A18&amp;"Pack 100M*",#REF!)++SUMIF(#REF!,A18&amp;"Paquete Internet*",#REF!)</f>
        <v>#REF!</v>
      </c>
      <c r="Q18" s="8" t="e">
        <f>SUMIF(#REF!,A18&amp;"Llamadas Roam*",#REF!)+SUMIF(#REF!,A18&amp;"Llamadas Internacionales",#REF!)</f>
        <v>#REF!</v>
      </c>
      <c r="R18" s="3" t="e">
        <f>SUMIF(#REF!,A18&amp;"Llamadas Roam*",#REF!)+SUMIF(#REF!,A18&amp;"Llamadas Internacionales",#REF!)+SUMIF(#REF!,A18&amp;"Llamadas y SMS Roaming",#REF!)+SUMIF(#REF!,A18&amp;"SMS Roaming",#REF!)</f>
        <v>#REF!</v>
      </c>
      <c r="S18" s="8" t="e">
        <f>SUMIF(#REF!,A18&amp;"Roaming*",#REF!)</f>
        <v>#REF!</v>
      </c>
      <c r="T18" s="3" t="e">
        <f>SUMIF(#REF!,A18&amp;"Roaming*",#REF!)+SUMIF(#REF!,A18&amp;"Internet Roaming*",#REF!)</f>
        <v>#REF!</v>
      </c>
      <c r="U18" s="3" t="e">
        <f>C18-L18-N18-P18-R18-T18-SUMIF(#REF!,A18&amp;"Minutos*",#REF!)-SUMIF(#REF!,A18&amp;"A *",#REF!)</f>
        <v>#REF!</v>
      </c>
      <c r="V18" s="2" t="e">
        <f t="shared" si="1"/>
        <v>#REF!</v>
      </c>
      <c r="W18" s="2"/>
      <c r="X18" s="64"/>
      <c r="Y18" t="s">
        <v>193</v>
      </c>
      <c r="Z18" s="65" t="s">
        <v>186</v>
      </c>
    </row>
    <row r="19" spans="1:27" hidden="1">
      <c r="A19">
        <v>1132994676</v>
      </c>
      <c r="B19" s="99" t="s">
        <v>214</v>
      </c>
      <c r="C19" s="68" t="e">
        <f>SUMIF(#REF!,A19,#REF!)</f>
        <v>#REF!</v>
      </c>
      <c r="D19" t="e">
        <f>SUMIF(#REF!,A19,#REF!)</f>
        <v>#REF!</v>
      </c>
      <c r="E19" s="1" t="s">
        <v>64</v>
      </c>
      <c r="F19" s="1" t="s">
        <v>227</v>
      </c>
      <c r="G19" s="2">
        <f t="shared" si="2"/>
        <v>0</v>
      </c>
      <c r="H19">
        <f t="shared" si="0"/>
        <v>0</v>
      </c>
      <c r="I19">
        <f t="shared" si="3"/>
        <v>0</v>
      </c>
      <c r="J19" t="e">
        <f>IF((SUMIF(#REF!,A19&amp;"Minutos*",#REF!)+SUMIF(#REF!,A19&amp;"A *",#REF!))&lt;=H19,0,(SUMIF(#REF!,A19&amp;"Minutos*",#REF!)+SUMIF(#REF!,A19&amp;"A *",#REF!))-H19)</f>
        <v>#REF!</v>
      </c>
      <c r="K19" t="e">
        <f>SUMIF(#REF!,A19&amp;"Mensajes Persona a Persona",#REF!)</f>
        <v>#REF!</v>
      </c>
      <c r="L19" s="3" t="e">
        <f>SUMIF(#REF!,A19&amp;"Mensajes Persona a Persona",#REF!)+SUMIF(#REF!,A19&amp;"PACK *00 SMS",#REF!)</f>
        <v>#REF!</v>
      </c>
      <c r="M19" s="8" t="e">
        <f>SUMIF(#REF!,A19&amp;"Mensajes Mul*",#REF!)</f>
        <v>#REF!</v>
      </c>
      <c r="N19" s="3" t="e">
        <f>SUMIF(#REF!,A19&amp;"Mensajes Mul*",#REF!)</f>
        <v>#REF!</v>
      </c>
      <c r="O19" s="3"/>
      <c r="P19" s="3" t="e">
        <f>SUMIF(#REF!,A19&amp;"Pack Mult*",#REF!)+SUMIF(#REF!,A19&amp;"Pack Blacberry BIS",#REF!)+SUMIF(#REF!,A19&amp;"Pack de datos*",#REF!)+SUMIF(#REF!,A19&amp;"Paquetes datos*",#REF!)+SUMIF(#REF!,A19&amp;"Paquete de datos*",#REF!)+SUMIF(#REF!,A19&amp;"Servicio BIS BLACKBERRY*",#REF!)+SUMIF(#REF!,A19&amp;"Pack Internet*",#REF!)+SUMIF(#REF!,A19&amp;"Pack de*",#REF!)+SUMIF(#REF!,A19&amp;"Pack 100M*",#REF!)++SUMIF(#REF!,A19&amp;"Paquete Internet*",#REF!)</f>
        <v>#REF!</v>
      </c>
      <c r="Q19" s="8" t="e">
        <f>SUMIF(#REF!,A19&amp;"Llamadas Roam*",#REF!)+SUMIF(#REF!,A19&amp;"Llamadas Internacionales",#REF!)</f>
        <v>#REF!</v>
      </c>
      <c r="R19" s="3" t="e">
        <f>SUMIF(#REF!,A19&amp;"Llamadas Roam*",#REF!)+SUMIF(#REF!,A19&amp;"Llamadas Internacionales",#REF!)+SUMIF(#REF!,A19&amp;"Llamadas y SMS Roaming",#REF!)+SUMIF(#REF!,A19&amp;"SMS Roaming",#REF!)</f>
        <v>#REF!</v>
      </c>
      <c r="S19" s="8" t="e">
        <f>SUMIF(#REF!,A19&amp;"Roaming*",#REF!)</f>
        <v>#REF!</v>
      </c>
      <c r="T19" s="3" t="e">
        <f>SUMIF(#REF!,A19&amp;"Roaming*",#REF!)+SUMIF(#REF!,A19&amp;"Internet Roaming*",#REF!)</f>
        <v>#REF!</v>
      </c>
      <c r="U19" s="3" t="e">
        <f>C19-L19-N19-P19-R19-T19-SUMIF(#REF!,A19&amp;"Minutos*",#REF!)-SUMIF(#REF!,A19&amp;"A *",#REF!)</f>
        <v>#REF!</v>
      </c>
      <c r="V19" s="2" t="e">
        <f t="shared" si="1"/>
        <v>#REF!</v>
      </c>
      <c r="W19" s="2"/>
      <c r="Y19" t="s">
        <v>141</v>
      </c>
      <c r="Z19" s="65" t="s">
        <v>184</v>
      </c>
      <c r="AA19" t="s">
        <v>3</v>
      </c>
    </row>
    <row r="20" spans="1:27" hidden="1">
      <c r="A20">
        <v>2613861807</v>
      </c>
      <c r="B20" s="99" t="s">
        <v>70</v>
      </c>
      <c r="C20" s="68" t="e">
        <f>SUMIF(#REF!,A20,#REF!)</f>
        <v>#REF!</v>
      </c>
      <c r="D20" t="e">
        <f>SUMIF(#REF!,A20,#REF!)</f>
        <v>#REF!</v>
      </c>
      <c r="E20" s="22" t="s">
        <v>104</v>
      </c>
      <c r="F20" s="1" t="s">
        <v>227</v>
      </c>
      <c r="G20" s="2">
        <f t="shared" si="2"/>
        <v>0</v>
      </c>
      <c r="H20">
        <f t="shared" si="0"/>
        <v>0</v>
      </c>
      <c r="I20">
        <f t="shared" si="3"/>
        <v>0</v>
      </c>
      <c r="J20" t="e">
        <f>IF((SUMIF(#REF!,A20&amp;"Minutos*",#REF!)+SUMIF(#REF!,A20&amp;"A *",#REF!))&lt;=H20,0,(SUMIF(#REF!,A20&amp;"Minutos*",#REF!)+SUMIF(#REF!,A20&amp;"A *",#REF!))-H20)</f>
        <v>#REF!</v>
      </c>
      <c r="K20" t="e">
        <f>SUMIF(#REF!,A20&amp;"Mensajes Persona a Persona",#REF!)</f>
        <v>#REF!</v>
      </c>
      <c r="L20" s="3" t="e">
        <f>SUMIF(#REF!,A20&amp;"Mensajes Persona a Persona",#REF!)+SUMIF(#REF!,A20&amp;"PACK *00 SMS",#REF!)</f>
        <v>#REF!</v>
      </c>
      <c r="M20" s="8" t="e">
        <f>SUMIF(#REF!,A20&amp;"Mensajes Mul*",#REF!)</f>
        <v>#REF!</v>
      </c>
      <c r="N20" s="3" t="e">
        <f>SUMIF(#REF!,A20&amp;"Mensajes Mul*",#REF!)</f>
        <v>#REF!</v>
      </c>
      <c r="O20" s="3"/>
      <c r="P20" s="3" t="e">
        <f>SUMIF(#REF!,A20&amp;"Pack Mult*",#REF!)+SUMIF(#REF!,A20&amp;"Pack Blacberry BIS",#REF!)+SUMIF(#REF!,A20&amp;"Pack de datos*",#REF!)+SUMIF(#REF!,A20&amp;"Paquetes datos*",#REF!)+SUMIF(#REF!,A20&amp;"Paquete de datos*",#REF!)+SUMIF(#REF!,A20&amp;"Servicio BIS BLACKBERRY*",#REF!)+SUMIF(#REF!,A20&amp;"Pack Internet*",#REF!)+SUMIF(#REF!,A20&amp;"Pack de*",#REF!)+SUMIF(#REF!,A20&amp;"Pack 100M*",#REF!)++SUMIF(#REF!,A20&amp;"Paquete Internet*",#REF!)</f>
        <v>#REF!</v>
      </c>
      <c r="Q20" s="8" t="e">
        <f>SUMIF(#REF!,A20&amp;"Llamadas Roam*",#REF!)+SUMIF(#REF!,A20&amp;"Llamadas Internacionales",#REF!)</f>
        <v>#REF!</v>
      </c>
      <c r="R20" s="3" t="e">
        <f>SUMIF(#REF!,A20&amp;"Llamadas Roam*",#REF!)+SUMIF(#REF!,A20&amp;"Llamadas Internacionales",#REF!)+SUMIF(#REF!,A20&amp;"Llamadas y SMS Roaming",#REF!)+SUMIF(#REF!,A20&amp;"SMS Roaming",#REF!)</f>
        <v>#REF!</v>
      </c>
      <c r="S20" s="8" t="e">
        <f>SUMIF(#REF!,A20&amp;"Roaming*",#REF!)</f>
        <v>#REF!</v>
      </c>
      <c r="T20" s="3" t="e">
        <f>SUMIF(#REF!,A20&amp;"Roaming*",#REF!)+SUMIF(#REF!,A20&amp;"Internet Roaming*",#REF!)</f>
        <v>#REF!</v>
      </c>
      <c r="U20" s="3" t="e">
        <f>C20-L20-N20-P20-R20-T20-SUMIF(#REF!,A20&amp;"Minutos*",#REF!)-SUMIF(#REF!,A20&amp;"A *",#REF!)</f>
        <v>#REF!</v>
      </c>
      <c r="V20" s="4" t="e">
        <f t="shared" si="1"/>
        <v>#REF!</v>
      </c>
      <c r="W20" s="2" t="e">
        <f>V20</f>
        <v>#REF!</v>
      </c>
      <c r="Z20" s="65" t="s">
        <v>184</v>
      </c>
    </row>
    <row r="21" spans="1:27" hidden="1">
      <c r="A21">
        <v>2613861806</v>
      </c>
      <c r="B21" s="99" t="s">
        <v>213</v>
      </c>
      <c r="C21" s="68" t="e">
        <f>SUMIF(#REF!,A21,#REF!)</f>
        <v>#REF!</v>
      </c>
      <c r="D21" t="e">
        <f>SUMIF(#REF!,A21,#REF!)</f>
        <v>#REF!</v>
      </c>
      <c r="E21" s="1" t="s">
        <v>64</v>
      </c>
      <c r="F21" s="1" t="s">
        <v>227</v>
      </c>
      <c r="G21" s="2">
        <f t="shared" si="2"/>
        <v>0</v>
      </c>
      <c r="H21">
        <f t="shared" si="0"/>
        <v>0</v>
      </c>
      <c r="I21">
        <f t="shared" si="3"/>
        <v>0</v>
      </c>
      <c r="J21" t="e">
        <f>IF((SUMIF(#REF!,A21&amp;"Minutos*",#REF!)+SUMIF(#REF!,A21&amp;"A *",#REF!))&lt;=H21,0,(SUMIF(#REF!,A21&amp;"Minutos*",#REF!)+SUMIF(#REF!,A21&amp;"A *",#REF!))-H21)</f>
        <v>#REF!</v>
      </c>
      <c r="K21" t="e">
        <f>SUMIF(#REF!,A21&amp;"Mensajes Persona a Persona",#REF!)</f>
        <v>#REF!</v>
      </c>
      <c r="L21" s="3" t="e">
        <f>SUMIF(#REF!,A21&amp;"Mensajes Persona a Persona",#REF!)+SUMIF(#REF!,A21&amp;"PACK *00 SMS",#REF!)</f>
        <v>#REF!</v>
      </c>
      <c r="M21" s="8" t="e">
        <f>SUMIF(#REF!,A21&amp;"Mensajes Mul*",#REF!)</f>
        <v>#REF!</v>
      </c>
      <c r="N21" s="3" t="e">
        <f>SUMIF(#REF!,A21&amp;"Mensajes Mul*",#REF!)</f>
        <v>#REF!</v>
      </c>
      <c r="O21" s="3"/>
      <c r="P21" s="3" t="e">
        <f>SUMIF(#REF!,A21&amp;"Pack Mult*",#REF!)+SUMIF(#REF!,A21&amp;"Pack Blacberry BIS",#REF!)+SUMIF(#REF!,A21&amp;"Pack de datos*",#REF!)+SUMIF(#REF!,A21&amp;"Paquetes datos*",#REF!)+SUMIF(#REF!,A21&amp;"Paquete de datos*",#REF!)+SUMIF(#REF!,A21&amp;"Servicio BIS BLACKBERRY*",#REF!)+SUMIF(#REF!,A21&amp;"Pack Internet*",#REF!)+SUMIF(#REF!,A21&amp;"Pack de*",#REF!)+SUMIF(#REF!,A21&amp;"Pack 100M*",#REF!)++SUMIF(#REF!,A21&amp;"Paquete Internet*",#REF!)</f>
        <v>#REF!</v>
      </c>
      <c r="Q21" s="8" t="e">
        <f>SUMIF(#REF!,A21&amp;"Llamadas Roam*",#REF!)+SUMIF(#REF!,A21&amp;"Llamadas Internacionales",#REF!)</f>
        <v>#REF!</v>
      </c>
      <c r="R21" s="3" t="e">
        <f>SUMIF(#REF!,A21&amp;"Llamadas Roam*",#REF!)+SUMIF(#REF!,A21&amp;"Llamadas Internacionales",#REF!)+SUMIF(#REF!,A21&amp;"Llamadas y SMS Roaming",#REF!)+SUMIF(#REF!,A21&amp;"SMS Roaming",#REF!)</f>
        <v>#REF!</v>
      </c>
      <c r="S21" s="8" t="e">
        <f>SUMIF(#REF!,A21&amp;"Roaming*",#REF!)</f>
        <v>#REF!</v>
      </c>
      <c r="T21" s="3" t="e">
        <f>SUMIF(#REF!,A21&amp;"Roaming*",#REF!)+SUMIF(#REF!,A21&amp;"Internet Roaming*",#REF!)</f>
        <v>#REF!</v>
      </c>
      <c r="U21" s="3" t="e">
        <f>C21-L21-N21-P21-R21-T21-SUMIF(#REF!,A21&amp;"Minutos*",#REF!)-SUMIF(#REF!,A21&amp;"A *",#REF!)</f>
        <v>#REF!</v>
      </c>
      <c r="V21" s="2" t="e">
        <f t="shared" si="1"/>
        <v>#REF!</v>
      </c>
      <c r="W21" s="2"/>
      <c r="Y21" s="82" t="s">
        <v>206</v>
      </c>
      <c r="Z21" s="65" t="s">
        <v>185</v>
      </c>
    </row>
    <row r="22" spans="1:27" hidden="1">
      <c r="A22">
        <v>2614701360</v>
      </c>
      <c r="B22" s="99" t="s">
        <v>14</v>
      </c>
      <c r="C22" s="68" t="e">
        <f>SUMIF(#REF!,A22,#REF!)</f>
        <v>#REF!</v>
      </c>
      <c r="D22" t="e">
        <f>SUMIF(#REF!,A22,#REF!)</f>
        <v>#REF!</v>
      </c>
      <c r="E22" s="22" t="s">
        <v>48</v>
      </c>
      <c r="F22" s="1" t="s">
        <v>227</v>
      </c>
      <c r="G22" s="2">
        <f t="shared" si="2"/>
        <v>0</v>
      </c>
      <c r="H22">
        <f t="shared" si="0"/>
        <v>0</v>
      </c>
      <c r="I22">
        <f t="shared" si="3"/>
        <v>0</v>
      </c>
      <c r="J22" t="e">
        <f>IF((SUMIF(#REF!,A22&amp;"Minutos*",#REF!)+SUMIF(#REF!,A22&amp;"A *",#REF!))&lt;=H22,0,(SUMIF(#REF!,A22&amp;"Minutos*",#REF!)+SUMIF(#REF!,A22&amp;"A *",#REF!))-H22)</f>
        <v>#REF!</v>
      </c>
      <c r="K22" t="e">
        <f>SUMIF(#REF!,A22&amp;"Mensajes Persona a Persona",#REF!)</f>
        <v>#REF!</v>
      </c>
      <c r="L22" s="3" t="e">
        <f>SUMIF(#REF!,A22&amp;"Mensajes Persona a Persona",#REF!)+SUMIF(#REF!,A22&amp;"PACK *00 SMS",#REF!)</f>
        <v>#REF!</v>
      </c>
      <c r="M22" s="8" t="e">
        <f>SUMIF(#REF!,A22&amp;"Mensajes Mul*",#REF!)</f>
        <v>#REF!</v>
      </c>
      <c r="N22" s="3" t="e">
        <f>SUMIF(#REF!,A22&amp;"Mensajes Mul*",#REF!)</f>
        <v>#REF!</v>
      </c>
      <c r="O22" s="3"/>
      <c r="P22" s="3" t="e">
        <f>SUMIF(#REF!,A22&amp;"Pack Mult*",#REF!)+SUMIF(#REF!,A22&amp;"Pack Blacberry BIS",#REF!)+SUMIF(#REF!,A22&amp;"Pack de datos*",#REF!)+SUMIF(#REF!,A22&amp;"Paquetes datos*",#REF!)+SUMIF(#REF!,A22&amp;"Paquete de datos*",#REF!)+SUMIF(#REF!,A22&amp;"Servicio BIS BLACKBERRY*",#REF!)+SUMIF(#REF!,A22&amp;"Pack Internet*",#REF!)+SUMIF(#REF!,A22&amp;"Pack de*",#REF!)+SUMIF(#REF!,A22&amp;"Pack 100M*",#REF!)++SUMIF(#REF!,A22&amp;"Paquete Internet*",#REF!)</f>
        <v>#REF!</v>
      </c>
      <c r="Q22" s="8" t="e">
        <f>SUMIF(#REF!,A22&amp;"Llamadas Roam*",#REF!)+SUMIF(#REF!,A22&amp;"Llamadas Internacionales",#REF!)</f>
        <v>#REF!</v>
      </c>
      <c r="R22" s="3" t="e">
        <f>SUMIF(#REF!,A22&amp;"Llamadas Roam*",#REF!)+SUMIF(#REF!,A22&amp;"Llamadas Internacionales",#REF!)+SUMIF(#REF!,A22&amp;"Llamadas y SMS Roaming",#REF!)+SUMIF(#REF!,A22&amp;"SMS Roaming",#REF!)</f>
        <v>#REF!</v>
      </c>
      <c r="S22" s="8" t="e">
        <f>SUMIF(#REF!,A22&amp;"Roaming*",#REF!)</f>
        <v>#REF!</v>
      </c>
      <c r="T22" s="3" t="e">
        <f>SUMIF(#REF!,A22&amp;"Roaming*",#REF!)+SUMIF(#REF!,A22&amp;"Internet Roaming*",#REF!)</f>
        <v>#REF!</v>
      </c>
      <c r="U22" s="3" t="e">
        <f>C22-L22-N22-P22-R22-T22-SUMIF(#REF!,A22&amp;"Minutos*",#REF!)-SUMIF(#REF!,A22&amp;"A *",#REF!)</f>
        <v>#REF!</v>
      </c>
      <c r="V22" s="4" t="e">
        <f t="shared" si="1"/>
        <v>#REF!</v>
      </c>
      <c r="W22" s="2" t="e">
        <f>V22</f>
        <v>#REF!</v>
      </c>
      <c r="Z22" s="65" t="s">
        <v>184</v>
      </c>
      <c r="AA22" t="s">
        <v>5</v>
      </c>
    </row>
    <row r="23" spans="1:27" hidden="1">
      <c r="A23">
        <v>2613861803</v>
      </c>
      <c r="B23" s="99" t="s">
        <v>110</v>
      </c>
      <c r="C23" s="68" t="e">
        <f>SUMIF(#REF!,A23,#REF!)</f>
        <v>#REF!</v>
      </c>
      <c r="D23" t="e">
        <f>SUMIF(#REF!,A23,#REF!)</f>
        <v>#REF!</v>
      </c>
      <c r="E23" s="1" t="s">
        <v>64</v>
      </c>
      <c r="F23" s="1" t="s">
        <v>227</v>
      </c>
      <c r="G23" s="2">
        <f t="shared" si="2"/>
        <v>0</v>
      </c>
      <c r="H23">
        <f t="shared" si="0"/>
        <v>0</v>
      </c>
      <c r="I23">
        <f t="shared" si="3"/>
        <v>0</v>
      </c>
      <c r="J23" t="e">
        <f>IF((SUMIF(#REF!,A23&amp;"Minutos*",#REF!)+SUMIF(#REF!,A23&amp;"A *",#REF!))&lt;=H23,0,(SUMIF(#REF!,A23&amp;"Minutos*",#REF!)+SUMIF(#REF!,A23&amp;"A *",#REF!))-H23)</f>
        <v>#REF!</v>
      </c>
      <c r="K23" t="e">
        <f>SUMIF(#REF!,A23&amp;"Mensajes Persona a Persona",#REF!)</f>
        <v>#REF!</v>
      </c>
      <c r="L23" s="3" t="e">
        <f>SUMIF(#REF!,A23&amp;"Mensajes Persona a Persona",#REF!)+SUMIF(#REF!,A23&amp;"PACK *00 SMS",#REF!)</f>
        <v>#REF!</v>
      </c>
      <c r="M23" s="8" t="e">
        <f>SUMIF(#REF!,A23&amp;"Mensajes Mul*",#REF!)</f>
        <v>#REF!</v>
      </c>
      <c r="N23" s="3" t="e">
        <f>SUMIF(#REF!,A23&amp;"Mensajes Mul*",#REF!)</f>
        <v>#REF!</v>
      </c>
      <c r="O23" s="3"/>
      <c r="P23" s="3" t="e">
        <f>SUMIF(#REF!,A23&amp;"Pack Mult*",#REF!)+SUMIF(#REF!,A23&amp;"Pack Blacberry BIS",#REF!)+SUMIF(#REF!,A23&amp;"Pack de datos*",#REF!)+SUMIF(#REF!,A23&amp;"Paquetes datos*",#REF!)+SUMIF(#REF!,A23&amp;"Paquete de datos*",#REF!)+SUMIF(#REF!,A23&amp;"Servicio BIS BLACKBERRY*",#REF!)+SUMIF(#REF!,A23&amp;"Pack Internet*",#REF!)+SUMIF(#REF!,A23&amp;"Pack de*",#REF!)+SUMIF(#REF!,A23&amp;"Pack 100M*",#REF!)++SUMIF(#REF!,A23&amp;"Paquete Internet*",#REF!)</f>
        <v>#REF!</v>
      </c>
      <c r="Q23" s="8" t="e">
        <f>SUMIF(#REF!,A23&amp;"Llamadas Roam*",#REF!)+SUMIF(#REF!,A23&amp;"Llamadas Internacionales",#REF!)</f>
        <v>#REF!</v>
      </c>
      <c r="R23" s="3" t="e">
        <f>SUMIF(#REF!,A23&amp;"Llamadas Roam*",#REF!)+SUMIF(#REF!,A23&amp;"Llamadas Internacionales",#REF!)+SUMIF(#REF!,A23&amp;"Llamadas y SMS Roaming",#REF!)+SUMIF(#REF!,A23&amp;"SMS Roaming",#REF!)</f>
        <v>#REF!</v>
      </c>
      <c r="S23" s="8" t="e">
        <f>SUMIF(#REF!,A23&amp;"Roaming*",#REF!)</f>
        <v>#REF!</v>
      </c>
      <c r="T23" s="3" t="e">
        <f>SUMIF(#REF!,A23&amp;"Roaming*",#REF!)+SUMIF(#REF!,A23&amp;"Internet Roaming*",#REF!)</f>
        <v>#REF!</v>
      </c>
      <c r="U23" s="3" t="e">
        <f>C23-L23-N23-P23-R23-T23-SUMIF(#REF!,A23&amp;"Minutos*",#REF!)-SUMIF(#REF!,A23&amp;"A *",#REF!)</f>
        <v>#REF!</v>
      </c>
      <c r="V23" s="2" t="e">
        <f t="shared" si="1"/>
        <v>#REF!</v>
      </c>
      <c r="W23" s="2"/>
      <c r="Z23" s="65" t="s">
        <v>192</v>
      </c>
    </row>
    <row r="24" spans="1:27" hidden="1">
      <c r="A24">
        <v>2616912694</v>
      </c>
      <c r="B24" s="115" t="s">
        <v>42</v>
      </c>
      <c r="C24" s="68" t="e">
        <f>SUMIF(#REF!,A24,#REF!)</f>
        <v>#REF!</v>
      </c>
      <c r="D24" t="e">
        <f>SUMIF(#REF!,A24,#REF!)</f>
        <v>#REF!</v>
      </c>
      <c r="E24" s="21" t="s">
        <v>51</v>
      </c>
      <c r="F24" s="21" t="s">
        <v>163</v>
      </c>
      <c r="G24" s="2">
        <f t="shared" si="2"/>
        <v>62</v>
      </c>
      <c r="H24">
        <f t="shared" si="0"/>
        <v>105</v>
      </c>
      <c r="I24">
        <f t="shared" si="3"/>
        <v>0.40250000000000002</v>
      </c>
      <c r="J24" t="e">
        <f>IF((SUMIF(#REF!,A24&amp;"Minutos*",#REF!)+SUMIF(#REF!,A24&amp;"A *",#REF!))&lt;=H24,0,(SUMIF(#REF!,A24&amp;"Minutos*",#REF!)+SUMIF(#REF!,A24&amp;"A *",#REF!))-H24)</f>
        <v>#REF!</v>
      </c>
      <c r="K24" t="e">
        <f>SUMIF(#REF!,A24&amp;"Mensajes Persona a Persona",#REF!)</f>
        <v>#REF!</v>
      </c>
      <c r="L24" s="3" t="e">
        <f>SUMIF(#REF!,A24&amp;"Mensajes Persona a Persona",#REF!)+SUMIF(#REF!,A24&amp;"PACK *00 SMS",#REF!)</f>
        <v>#REF!</v>
      </c>
      <c r="M24" s="8" t="e">
        <f>SUMIF(#REF!,A24&amp;"Mensajes Mul*",#REF!)</f>
        <v>#REF!</v>
      </c>
      <c r="N24" s="3" t="e">
        <f>SUMIF(#REF!,A24&amp;"Mensajes Mul*",#REF!)</f>
        <v>#REF!</v>
      </c>
      <c r="O24" s="3"/>
      <c r="P24" s="3" t="e">
        <f>SUMIF(#REF!,A24&amp;"Pack Mult*",#REF!)+SUMIF(#REF!,A24&amp;"Pack Blacberry BIS",#REF!)+SUMIF(#REF!,A24&amp;"Pack de datos*",#REF!)+SUMIF(#REF!,A24&amp;"Paquetes datos*",#REF!)+SUMIF(#REF!,A24&amp;"Paquete de datos*",#REF!)+SUMIF(#REF!,A24&amp;"Servicio BIS BLACKBERRY*",#REF!)+SUMIF(#REF!,A24&amp;"Pack Internet*",#REF!)+SUMIF(#REF!,A24&amp;"Pack de*",#REF!)+SUMIF(#REF!,A24&amp;"Pack 100M*",#REF!)++SUMIF(#REF!,A24&amp;"Paquete Internet*",#REF!)</f>
        <v>#REF!</v>
      </c>
      <c r="Q24" s="8" t="e">
        <f>SUMIF(#REF!,A24&amp;"Llamadas Roam*",#REF!)+SUMIF(#REF!,A24&amp;"Llamadas Internacionales",#REF!)</f>
        <v>#REF!</v>
      </c>
      <c r="R24" s="3" t="e">
        <f>SUMIF(#REF!,A24&amp;"Llamadas Roam*",#REF!)+SUMIF(#REF!,A24&amp;"Llamadas Internacionales",#REF!)+SUMIF(#REF!,A24&amp;"Llamadas y SMS Roaming",#REF!)+SUMIF(#REF!,A24&amp;"SMS Roaming",#REF!)</f>
        <v>#REF!</v>
      </c>
      <c r="S24" s="8" t="e">
        <f>SUMIF(#REF!,A24&amp;"Roaming*",#REF!)</f>
        <v>#REF!</v>
      </c>
      <c r="T24" s="3" t="e">
        <f>SUMIF(#REF!,A24&amp;"Roaming*",#REF!)+SUMIF(#REF!,A24&amp;"Internet Roaming*",#REF!)</f>
        <v>#REF!</v>
      </c>
      <c r="U24" s="3" t="e">
        <f>C24-111-L24-N24-P24-R24-T24-SUMIF(#REF!,A24&amp;"Minutos*",#REF!)-SUMIF(#REF!,A24&amp;"A *",#REF!)</f>
        <v>#REF!</v>
      </c>
      <c r="V24" s="4" t="e">
        <f t="shared" si="1"/>
        <v>#REF!</v>
      </c>
      <c r="W24" s="88" t="e">
        <f>V24</f>
        <v>#REF!</v>
      </c>
      <c r="Z24" s="65" t="s">
        <v>184</v>
      </c>
    </row>
    <row r="25" spans="1:27" hidden="1">
      <c r="A25">
        <v>2615699626</v>
      </c>
      <c r="B25" s="115" t="s">
        <v>21</v>
      </c>
      <c r="C25" s="68" t="e">
        <f>SUMIF(#REF!,A25,#REF!)</f>
        <v>#REF!</v>
      </c>
      <c r="D25" t="e">
        <f>SUMIF(#REF!,A25,#REF!)</f>
        <v>#REF!</v>
      </c>
      <c r="E25" s="21" t="s">
        <v>51</v>
      </c>
      <c r="F25" s="21" t="s">
        <v>163</v>
      </c>
      <c r="G25" s="2">
        <f t="shared" si="2"/>
        <v>62</v>
      </c>
      <c r="H25">
        <f t="shared" si="0"/>
        <v>105</v>
      </c>
      <c r="I25">
        <f t="shared" si="3"/>
        <v>0.40250000000000002</v>
      </c>
      <c r="J25" t="e">
        <f>IF((SUMIF(#REF!,A25&amp;"Minutos*",#REF!)+SUMIF(#REF!,A25&amp;"A *",#REF!))&lt;=H25,0,(SUMIF(#REF!,A25&amp;"Minutos*",#REF!)+SUMIF(#REF!,A25&amp;"A *",#REF!))-H25)</f>
        <v>#REF!</v>
      </c>
      <c r="K25" t="e">
        <f>SUMIF(#REF!,A25&amp;"Mensajes Persona a Persona",#REF!)</f>
        <v>#REF!</v>
      </c>
      <c r="L25" s="3" t="e">
        <f>SUMIF(#REF!,A25&amp;"Mensajes Persona a Persona",#REF!)+SUMIF(#REF!,A25&amp;"PACK *00 SMS",#REF!)</f>
        <v>#REF!</v>
      </c>
      <c r="M25" s="8" t="e">
        <f>SUMIF(#REF!,A25&amp;"Mensajes Mul*",#REF!)</f>
        <v>#REF!</v>
      </c>
      <c r="N25" s="3" t="e">
        <f>SUMIF(#REF!,A25&amp;"Mensajes Mul*",#REF!)</f>
        <v>#REF!</v>
      </c>
      <c r="O25" s="3"/>
      <c r="P25" s="3" t="e">
        <f>SUMIF(#REF!,A25&amp;"Pack Mult*",#REF!)+SUMIF(#REF!,A25&amp;"Pack Blacberry BIS",#REF!)+SUMIF(#REF!,A25&amp;"Pack de datos*",#REF!)+SUMIF(#REF!,A25&amp;"Paquetes datos*",#REF!)+SUMIF(#REF!,A25&amp;"Paquete de datos*",#REF!)+SUMIF(#REF!,A25&amp;"Servicio BIS BLACKBERRY*",#REF!)+SUMIF(#REF!,A25&amp;"Pack Internet*",#REF!)+SUMIF(#REF!,A25&amp;"Pack de*",#REF!)+SUMIF(#REF!,A25&amp;"Pack 100M*",#REF!)++SUMIF(#REF!,A25&amp;"Paquete Internet*",#REF!)</f>
        <v>#REF!</v>
      </c>
      <c r="Q25" s="8" t="e">
        <f>SUMIF(#REF!,A25&amp;"Llamadas Roam*",#REF!)+SUMIF(#REF!,A25&amp;"Llamadas Internacionales",#REF!)</f>
        <v>#REF!</v>
      </c>
      <c r="R25" s="3" t="e">
        <f>SUMIF(#REF!,A25&amp;"Llamadas Roam*",#REF!)+SUMIF(#REF!,A25&amp;"Llamadas Internacionales",#REF!)+SUMIF(#REF!,A25&amp;"Llamadas y SMS Roaming",#REF!)+SUMIF(#REF!,A25&amp;"SMS Roaming",#REF!)</f>
        <v>#REF!</v>
      </c>
      <c r="S25" s="8" t="e">
        <f>SUMIF(#REF!,A25&amp;"Roaming*",#REF!)</f>
        <v>#REF!</v>
      </c>
      <c r="T25" s="3" t="e">
        <f>SUMIF(#REF!,A25&amp;"Roaming*",#REF!)+SUMIF(#REF!,A25&amp;"Internet Roaming*",#REF!)</f>
        <v>#REF!</v>
      </c>
      <c r="U25" s="3" t="e">
        <f>C25-111-L25-N25-P25-R25-T25-SUMIF(#REF!,A25&amp;"Minutos*",#REF!)-SUMIF(#REF!,A25&amp;"A *",#REF!)</f>
        <v>#REF!</v>
      </c>
      <c r="V25" s="4" t="e">
        <f t="shared" si="1"/>
        <v>#REF!</v>
      </c>
      <c r="W25" s="88" t="e">
        <f>V25</f>
        <v>#REF!</v>
      </c>
      <c r="X25" t="s">
        <v>327</v>
      </c>
      <c r="Z25" s="65" t="s">
        <v>184</v>
      </c>
    </row>
    <row r="26" spans="1:27" hidden="1">
      <c r="A26">
        <v>2615968889</v>
      </c>
      <c r="B26" s="115" t="s">
        <v>31</v>
      </c>
      <c r="C26" s="68" t="e">
        <f>SUMIF(#REF!,A26,#REF!)</f>
        <v>#REF!</v>
      </c>
      <c r="D26" t="e">
        <f>SUMIF(#REF!,A26,#REF!)</f>
        <v>#REF!</v>
      </c>
      <c r="E26" s="22" t="s">
        <v>64</v>
      </c>
      <c r="F26" s="1" t="s">
        <v>166</v>
      </c>
      <c r="G26" s="2">
        <f t="shared" si="2"/>
        <v>0</v>
      </c>
      <c r="H26">
        <f t="shared" si="0"/>
        <v>230</v>
      </c>
      <c r="I26">
        <f t="shared" si="3"/>
        <v>0.37080000000000002</v>
      </c>
      <c r="J26" t="e">
        <f>IF((SUMIF(#REF!,A26&amp;"Minutos*",#REF!)+SUMIF(#REF!,A26&amp;"A *",#REF!))&lt;=H26,0,(SUMIF(#REF!,A26&amp;"Minutos*",#REF!)+SUMIF(#REF!,A26&amp;"A *",#REF!))-H26)</f>
        <v>#REF!</v>
      </c>
      <c r="K26" t="e">
        <f>SUMIF(#REF!,A26&amp;"Mensajes Persona a Persona",#REF!)</f>
        <v>#REF!</v>
      </c>
      <c r="L26" s="3" t="e">
        <f>SUMIF(#REF!,A26&amp;"Mensajes Persona a Persona",#REF!)+SUMIF(#REF!,A26&amp;"PACK *00 SMS",#REF!)</f>
        <v>#REF!</v>
      </c>
      <c r="M26" s="8" t="e">
        <f>SUMIF(#REF!,A26&amp;"Mensajes Mul*",#REF!)</f>
        <v>#REF!</v>
      </c>
      <c r="N26" s="3" t="e">
        <f>SUMIF(#REF!,A26&amp;"Mensajes Mul*",#REF!)</f>
        <v>#REF!</v>
      </c>
      <c r="O26" s="3"/>
      <c r="P26" s="3" t="e">
        <f>SUMIF(#REF!,A26&amp;"Pack Mult*",#REF!)+SUMIF(#REF!,A26&amp;"Pack Blacberry BIS",#REF!)+SUMIF(#REF!,A26&amp;"Pack de datos*",#REF!)+SUMIF(#REF!,A26&amp;"Paquetes datos*",#REF!)+SUMIF(#REF!,A26&amp;"Paquete de datos*",#REF!)+SUMIF(#REF!,A26&amp;"Servicio BIS BLACKBERRY*",#REF!)+SUMIF(#REF!,A26&amp;"Pack Internet*",#REF!)+SUMIF(#REF!,A26&amp;"Pack de*",#REF!)+SUMIF(#REF!,A26&amp;"Pack 100M*",#REF!)++SUMIF(#REF!,A26&amp;"Paquete Internet*",#REF!)</f>
        <v>#REF!</v>
      </c>
      <c r="Q26" s="8" t="e">
        <f>SUMIF(#REF!,A26&amp;"Llamadas Roam*",#REF!)+SUMIF(#REF!,A26&amp;"Llamadas Internacionales",#REF!)</f>
        <v>#REF!</v>
      </c>
      <c r="R26" s="3" t="e">
        <f>SUMIF(#REF!,A26&amp;"Llamadas Roam*",#REF!)+SUMIF(#REF!,A26&amp;"Llamadas Internacionales",#REF!)+SUMIF(#REF!,A26&amp;"Llamadas y SMS Roaming",#REF!)+SUMIF(#REF!,A26&amp;"SMS Roaming",#REF!)</f>
        <v>#REF!</v>
      </c>
      <c r="S26" s="8" t="e">
        <f>SUMIF(#REF!,A26&amp;"Roaming*",#REF!)</f>
        <v>#REF!</v>
      </c>
      <c r="T26" s="3" t="e">
        <f>SUMIF(#REF!,A26&amp;"Roaming*",#REF!)+SUMIF(#REF!,A26&amp;"Internet Roaming*",#REF!)</f>
        <v>#REF!</v>
      </c>
      <c r="U26" s="3" t="e">
        <f>C26-111-L26-N26-P26-R26-T26-SUMIF(#REF!,A26&amp;"Minutos*",#REF!)-SUMIF(#REF!,A26&amp;"A *",#REF!)</f>
        <v>#REF!</v>
      </c>
      <c r="V26" s="4" t="e">
        <f t="shared" si="1"/>
        <v>#REF!</v>
      </c>
      <c r="W26" s="88" t="e">
        <f>(G26+J26*I26+L26+N26+R26+T26+U26)*(1+$C$74+$C$75+$C$76)+O26</f>
        <v>#REF!</v>
      </c>
      <c r="Y26" t="s">
        <v>126</v>
      </c>
      <c r="Z26" s="65" t="s">
        <v>184</v>
      </c>
      <c r="AA26" t="s">
        <v>4</v>
      </c>
    </row>
    <row r="27" spans="1:27" hidden="1">
      <c r="A27">
        <v>2613861808</v>
      </c>
      <c r="B27" s="115" t="s">
        <v>210</v>
      </c>
      <c r="C27" s="68" t="e">
        <f>SUMIF(#REF!,A27,#REF!)</f>
        <v>#REF!</v>
      </c>
      <c r="D27" t="e">
        <f>SUMIF(#REF!,A27,#REF!)</f>
        <v>#REF!</v>
      </c>
      <c r="E27" s="1" t="s">
        <v>63</v>
      </c>
      <c r="F27" s="1" t="s">
        <v>161</v>
      </c>
      <c r="G27" s="2">
        <f t="shared" si="2"/>
        <v>111</v>
      </c>
      <c r="H27">
        <f t="shared" si="0"/>
        <v>250</v>
      </c>
      <c r="I27">
        <f t="shared" si="3"/>
        <v>0.37080000000000002</v>
      </c>
      <c r="J27" t="e">
        <f>IF((SUMIF(#REF!,A27&amp;"Minutos*",#REF!)+SUMIF(#REF!,A27&amp;"A *",#REF!))&lt;=H27,0,(SUMIF(#REF!,A27&amp;"Minutos*",#REF!)+SUMIF(#REF!,A27&amp;"A *",#REF!))-H27)</f>
        <v>#REF!</v>
      </c>
      <c r="K27" t="e">
        <f>SUMIF(#REF!,A27&amp;"Mensajes Persona a Persona",#REF!)</f>
        <v>#REF!</v>
      </c>
      <c r="L27" s="3" t="e">
        <f>SUMIF(#REF!,A27&amp;"Mensajes Persona a Persona",#REF!)+SUMIF(#REF!,A27&amp;"PACK *00 SMS",#REF!)</f>
        <v>#REF!</v>
      </c>
      <c r="M27" s="8" t="e">
        <f>SUMIF(#REF!,A27&amp;"Mensajes Mul*",#REF!)</f>
        <v>#REF!</v>
      </c>
      <c r="N27" s="3" t="e">
        <f>SUMIF(#REF!,A27&amp;"Mensajes Mul*",#REF!)</f>
        <v>#REF!</v>
      </c>
      <c r="O27" s="3"/>
      <c r="P27" s="3" t="e">
        <f>SUMIF(#REF!,A27&amp;"Pack Mult*",#REF!)+SUMIF(#REF!,A27&amp;"Pack Blacberry BIS",#REF!)+SUMIF(#REF!,A27&amp;"Pack de datos*",#REF!)+SUMIF(#REF!,A27&amp;"Paquetes datos*",#REF!)+SUMIF(#REF!,A27&amp;"Paquete de datos*",#REF!)+SUMIF(#REF!,A27&amp;"Servicio BIS BLACKBERRY*",#REF!)+SUMIF(#REF!,A27&amp;"Pack Internet*",#REF!)+SUMIF(#REF!,A27&amp;"Pack de*",#REF!)+SUMIF(#REF!,A27&amp;"Pack 100M*",#REF!)++SUMIF(#REF!,A27&amp;"Paquete Internet*",#REF!)</f>
        <v>#REF!</v>
      </c>
      <c r="Q27" s="8" t="e">
        <f>SUMIF(#REF!,A27&amp;"Llamadas Roam*",#REF!)+SUMIF(#REF!,A27&amp;"Llamadas Internacionales",#REF!)</f>
        <v>#REF!</v>
      </c>
      <c r="R27" s="3" t="e">
        <f>SUMIF(#REF!,A27&amp;"Llamadas Roam*",#REF!)+SUMIF(#REF!,A27&amp;"Llamadas Internacionales",#REF!)+SUMIF(#REF!,A27&amp;"Llamadas y SMS Roaming",#REF!)+SUMIF(#REF!,A27&amp;"SMS Roaming",#REF!)</f>
        <v>#REF!</v>
      </c>
      <c r="S27" s="8" t="e">
        <f>SUMIF(#REF!,A27&amp;"Roaming*",#REF!)</f>
        <v>#REF!</v>
      </c>
      <c r="T27" s="3" t="e">
        <f>SUMIF(#REF!,A27&amp;"Roaming*",#REF!)+SUMIF(#REF!,A27&amp;"Internet Roaming*",#REF!)</f>
        <v>#REF!</v>
      </c>
      <c r="U27" s="3" t="e">
        <f>C27-111-L27-N27-P27-R27-T27-SUMIF(#REF!,A27&amp;"Minutos*",#REF!)-SUMIF(#REF!,A27&amp;"A *",#REF!)</f>
        <v>#REF!</v>
      </c>
      <c r="V27" s="2" t="e">
        <f t="shared" si="1"/>
        <v>#REF!</v>
      </c>
      <c r="W27" s="2"/>
      <c r="Z27" s="65" t="s">
        <v>190</v>
      </c>
    </row>
    <row r="28" spans="1:27" hidden="1">
      <c r="A28">
        <v>2613861810</v>
      </c>
      <c r="B28" s="115" t="s">
        <v>43</v>
      </c>
      <c r="C28" s="68" t="e">
        <f>SUMIF(#REF!,A28,#REF!)</f>
        <v>#REF!</v>
      </c>
      <c r="D28" t="e">
        <f>SUMIF(#REF!,A28,#REF!)</f>
        <v>#REF!</v>
      </c>
      <c r="E28" s="1" t="s">
        <v>64</v>
      </c>
      <c r="F28" s="1" t="s">
        <v>161</v>
      </c>
      <c r="G28" s="2">
        <f t="shared" si="2"/>
        <v>111</v>
      </c>
      <c r="H28">
        <f t="shared" si="0"/>
        <v>250</v>
      </c>
      <c r="I28">
        <f t="shared" si="3"/>
        <v>0.37080000000000002</v>
      </c>
      <c r="J28" t="e">
        <f>IF((SUMIF(#REF!,A28&amp;"Minutos*",#REF!)+SUMIF(#REF!,A28&amp;"A *",#REF!))&lt;=H28,0,(SUMIF(#REF!,A28&amp;"Minutos*",#REF!)+SUMIF(#REF!,A28&amp;"A *",#REF!))-H28)</f>
        <v>#REF!</v>
      </c>
      <c r="K28" t="e">
        <f>SUMIF(#REF!,A28&amp;"Mensajes Persona a Persona",#REF!)</f>
        <v>#REF!</v>
      </c>
      <c r="L28" s="3" t="e">
        <f>SUMIF(#REF!,A28&amp;"Mensajes Persona a Persona",#REF!)+SUMIF(#REF!,A28&amp;"PACK *00 SMS",#REF!)</f>
        <v>#REF!</v>
      </c>
      <c r="M28" s="8" t="e">
        <f>SUMIF(#REF!,A28&amp;"Mensajes Mul*",#REF!)</f>
        <v>#REF!</v>
      </c>
      <c r="N28" s="3" t="e">
        <f>SUMIF(#REF!,A28&amp;"Mensajes Mul*",#REF!)</f>
        <v>#REF!</v>
      </c>
      <c r="O28" s="3"/>
      <c r="P28" s="3" t="e">
        <f>SUMIF(#REF!,A28&amp;"Pack Mult*",#REF!)+SUMIF(#REF!,A28&amp;"Pack Blacberry BIS",#REF!)+SUMIF(#REF!,A28&amp;"Pack de datos*",#REF!)+SUMIF(#REF!,A28&amp;"Paquetes datos*",#REF!)+SUMIF(#REF!,A28&amp;"Paquete de datos*",#REF!)+SUMIF(#REF!,A28&amp;"Servicio BIS BLACKBERRY*",#REF!)+SUMIF(#REF!,A28&amp;"Pack Internet*",#REF!)+SUMIF(#REF!,A28&amp;"Pack de*",#REF!)+SUMIF(#REF!,A28&amp;"Pack 100M*",#REF!)++SUMIF(#REF!,A28&amp;"Paquete Internet*",#REF!)</f>
        <v>#REF!</v>
      </c>
      <c r="Q28" s="8" t="e">
        <f>SUMIF(#REF!,A28&amp;"Llamadas Roam*",#REF!)+SUMIF(#REF!,A28&amp;"Llamadas Internacionales",#REF!)</f>
        <v>#REF!</v>
      </c>
      <c r="R28" s="3" t="e">
        <f>SUMIF(#REF!,A28&amp;"Llamadas Roam*",#REF!)+SUMIF(#REF!,A28&amp;"Llamadas Internacionales",#REF!)+SUMIF(#REF!,A28&amp;"Llamadas y SMS Roaming",#REF!)+SUMIF(#REF!,A28&amp;"SMS Roaming",#REF!)</f>
        <v>#REF!</v>
      </c>
      <c r="S28" s="8" t="e">
        <f>SUMIF(#REF!,A28&amp;"Roaming*",#REF!)</f>
        <v>#REF!</v>
      </c>
      <c r="T28" s="3" t="e">
        <f>SUMIF(#REF!,A28&amp;"Roaming*",#REF!)+SUMIF(#REF!,A28&amp;"Internet Roaming*",#REF!)</f>
        <v>#REF!</v>
      </c>
      <c r="U28" s="3" t="e">
        <f>C28-111-L28-N28-P28-R28-T28-SUMIF(#REF!,A28&amp;"Minutos*",#REF!)-SUMIF(#REF!,A28&amp;"A *",#REF!)</f>
        <v>#REF!</v>
      </c>
      <c r="V28" s="2" t="e">
        <f t="shared" si="1"/>
        <v>#REF!</v>
      </c>
      <c r="W28" s="2"/>
      <c r="X28" s="64" t="s">
        <v>189</v>
      </c>
      <c r="Z28" s="65" t="s">
        <v>185</v>
      </c>
    </row>
    <row r="29" spans="1:27" hidden="1">
      <c r="A29">
        <v>2614669248</v>
      </c>
      <c r="B29" s="115" t="s">
        <v>201</v>
      </c>
      <c r="C29" s="68" t="e">
        <f>SUMIF(#REF!,A29,#REF!)</f>
        <v>#REF!</v>
      </c>
      <c r="D29" t="e">
        <f>SUMIF(#REF!,A29,#REF!)</f>
        <v>#REF!</v>
      </c>
      <c r="E29" s="1" t="s">
        <v>63</v>
      </c>
      <c r="F29" s="1" t="s">
        <v>161</v>
      </c>
      <c r="G29" s="2">
        <f t="shared" si="2"/>
        <v>111</v>
      </c>
      <c r="H29">
        <f t="shared" si="0"/>
        <v>250</v>
      </c>
      <c r="I29">
        <f t="shared" si="3"/>
        <v>0.37080000000000002</v>
      </c>
      <c r="J29" t="e">
        <f>IF((SUMIF(#REF!,A29&amp;"Minutos*",#REF!)+SUMIF(#REF!,A29&amp;"A *",#REF!))&lt;=H29,0,(SUMIF(#REF!,A29&amp;"Minutos*",#REF!)+SUMIF(#REF!,A29&amp;"A *",#REF!))-H29)</f>
        <v>#REF!</v>
      </c>
      <c r="K29" t="e">
        <f>SUMIF(#REF!,A29&amp;"Mensajes Persona a Persona",#REF!)</f>
        <v>#REF!</v>
      </c>
      <c r="L29" s="3" t="e">
        <f>SUMIF(#REF!,A29&amp;"Mensajes Persona a Persona",#REF!)+SUMIF(#REF!,A29&amp;"PACK *00 SMS",#REF!)</f>
        <v>#REF!</v>
      </c>
      <c r="M29" s="8" t="e">
        <f>SUMIF(#REF!,A29&amp;"Mensajes Mul*",#REF!)</f>
        <v>#REF!</v>
      </c>
      <c r="N29" s="3" t="e">
        <f>SUMIF(#REF!,A29&amp;"Mensajes Mul*",#REF!)</f>
        <v>#REF!</v>
      </c>
      <c r="O29" s="3"/>
      <c r="P29" s="3" t="e">
        <f>SUMIF(#REF!,A29&amp;"Pack Mult*",#REF!)+SUMIF(#REF!,A29&amp;"Pack Blacberry BIS",#REF!)+SUMIF(#REF!,A29&amp;"Pack de datos*",#REF!)+SUMIF(#REF!,A29&amp;"Paquetes datos*",#REF!)+SUMIF(#REF!,A29&amp;"Paquete de datos*",#REF!)+SUMIF(#REF!,A29&amp;"Servicio BIS BLACKBERRY*",#REF!)+SUMIF(#REF!,A29&amp;"Pack Internet*",#REF!)+SUMIF(#REF!,A29&amp;"Pack de*",#REF!)+SUMIF(#REF!,A29&amp;"Pack 100M*",#REF!)++SUMIF(#REF!,A29&amp;"Paquete Internet*",#REF!)</f>
        <v>#REF!</v>
      </c>
      <c r="Q29" s="8" t="e">
        <f>SUMIF(#REF!,A29&amp;"Llamadas Roam*",#REF!)+SUMIF(#REF!,A29&amp;"Llamadas Internacionales",#REF!)</f>
        <v>#REF!</v>
      </c>
      <c r="R29" s="3" t="e">
        <f>SUMIF(#REF!,A29&amp;"Llamadas Roam*",#REF!)+SUMIF(#REF!,A29&amp;"Llamadas Internacionales",#REF!)+SUMIF(#REF!,A29&amp;"Llamadas y SMS Roaming",#REF!)+SUMIF(#REF!,A29&amp;"SMS Roaming",#REF!)</f>
        <v>#REF!</v>
      </c>
      <c r="S29" s="8" t="e">
        <f>SUMIF(#REF!,A29&amp;"Roaming*",#REF!)</f>
        <v>#REF!</v>
      </c>
      <c r="T29" s="3" t="e">
        <f>SUMIF(#REF!,A29&amp;"Roaming*",#REF!)+SUMIF(#REF!,A29&amp;"Internet Roaming*",#REF!)</f>
        <v>#REF!</v>
      </c>
      <c r="U29" s="3" t="e">
        <f>C29-111-L29-N29-P29-R29-T29-SUMIF(#REF!,A29&amp;"Minutos*",#REF!)-SUMIF(#REF!,A29&amp;"A *",#REF!)</f>
        <v>#REF!</v>
      </c>
      <c r="V29" s="2" t="e">
        <f t="shared" si="1"/>
        <v>#REF!</v>
      </c>
      <c r="W29" s="2"/>
      <c r="Y29" t="s">
        <v>121</v>
      </c>
      <c r="Z29" s="65" t="s">
        <v>190</v>
      </c>
    </row>
    <row r="30" spans="1:27" hidden="1">
      <c r="A30">
        <v>2615976517</v>
      </c>
      <c r="B30" s="115" t="s">
        <v>32</v>
      </c>
      <c r="C30" s="68" t="e">
        <f>SUMIF(#REF!,A30,#REF!)</f>
        <v>#REF!</v>
      </c>
      <c r="D30" t="e">
        <f>SUMIF(#REF!,A30,#REF!)</f>
        <v>#REF!</v>
      </c>
      <c r="E30" s="1" t="s">
        <v>64</v>
      </c>
      <c r="F30" s="1" t="s">
        <v>161</v>
      </c>
      <c r="G30" s="2">
        <f t="shared" si="2"/>
        <v>111</v>
      </c>
      <c r="H30">
        <f t="shared" si="0"/>
        <v>250</v>
      </c>
      <c r="I30">
        <f t="shared" si="3"/>
        <v>0.37080000000000002</v>
      </c>
      <c r="J30" t="e">
        <f>IF((SUMIF(#REF!,A30&amp;"Minutos*",#REF!)+SUMIF(#REF!,A30&amp;"A *",#REF!))&lt;=H30,0,(SUMIF(#REF!,A30&amp;"Minutos*",#REF!)+SUMIF(#REF!,A30&amp;"A *",#REF!))-H30)</f>
        <v>#REF!</v>
      </c>
      <c r="K30" t="e">
        <f>SUMIF(#REF!,A30&amp;"Mensajes Persona a Persona",#REF!)</f>
        <v>#REF!</v>
      </c>
      <c r="L30" s="3" t="e">
        <f>SUMIF(#REF!,A30&amp;"Mensajes Persona a Persona",#REF!)+SUMIF(#REF!,A30&amp;"PACK *00 SMS",#REF!)</f>
        <v>#REF!</v>
      </c>
      <c r="M30" s="8" t="e">
        <f>SUMIF(#REF!,A30&amp;"Mensajes Mul*",#REF!)</f>
        <v>#REF!</v>
      </c>
      <c r="N30" s="3" t="e">
        <f>SUMIF(#REF!,A30&amp;"Mensajes Mul*",#REF!)</f>
        <v>#REF!</v>
      </c>
      <c r="O30" s="3"/>
      <c r="P30" s="3" t="e">
        <f>SUMIF(#REF!,A30&amp;"Pack Mult*",#REF!)+SUMIF(#REF!,A30&amp;"Pack Blacberry BIS",#REF!)+SUMIF(#REF!,A30&amp;"Pack de datos*",#REF!)+SUMIF(#REF!,A30&amp;"Paquetes datos*",#REF!)+SUMIF(#REF!,A30&amp;"Paquete de datos*",#REF!)+SUMIF(#REF!,A30&amp;"Servicio BIS BLACKBERRY*",#REF!)+SUMIF(#REF!,A30&amp;"Pack Internet*",#REF!)+SUMIF(#REF!,A30&amp;"Pack de*",#REF!)+SUMIF(#REF!,A30&amp;"Pack 100M*",#REF!)++SUMIF(#REF!,A30&amp;"Paquete Internet*",#REF!)</f>
        <v>#REF!</v>
      </c>
      <c r="Q30" s="8" t="e">
        <f>SUMIF(#REF!,A30&amp;"Llamadas Roam*",#REF!)+SUMIF(#REF!,A30&amp;"Llamadas Internacionales",#REF!)</f>
        <v>#REF!</v>
      </c>
      <c r="R30" s="3" t="e">
        <f>SUMIF(#REF!,A30&amp;"Llamadas Roam*",#REF!)+SUMIF(#REF!,A30&amp;"Llamadas Internacionales",#REF!)+SUMIF(#REF!,A30&amp;"Llamadas y SMS Roaming",#REF!)+SUMIF(#REF!,A30&amp;"SMS Roaming",#REF!)</f>
        <v>#REF!</v>
      </c>
      <c r="S30" s="8" t="e">
        <f>SUMIF(#REF!,A30&amp;"Roaming*",#REF!)</f>
        <v>#REF!</v>
      </c>
      <c r="T30" s="3" t="e">
        <f>SUMIF(#REF!,A30&amp;"Roaming*",#REF!)+SUMIF(#REF!,A30&amp;"Internet Roaming*",#REF!)</f>
        <v>#REF!</v>
      </c>
      <c r="U30" s="3" t="e">
        <f>C30-111-L30-N30-P30-R30-T30-SUMIF(#REF!,A30&amp;"Minutos*",#REF!)-SUMIF(#REF!,A30&amp;"A *",#REF!)</f>
        <v>#REF!</v>
      </c>
      <c r="V30" s="2" t="e">
        <f t="shared" si="1"/>
        <v>#REF!</v>
      </c>
      <c r="W30" s="2"/>
      <c r="Z30" s="65" t="s">
        <v>184</v>
      </c>
    </row>
    <row r="31" spans="1:27" hidden="1">
      <c r="A31">
        <v>2616685899</v>
      </c>
      <c r="B31" s="115" t="s">
        <v>25</v>
      </c>
      <c r="C31" s="68" t="e">
        <f>SUMIF(#REF!,A31,#REF!)</f>
        <v>#REF!</v>
      </c>
      <c r="D31" t="e">
        <f>SUMIF(#REF!,A31,#REF!)</f>
        <v>#REF!</v>
      </c>
      <c r="E31" s="1" t="s">
        <v>63</v>
      </c>
      <c r="F31" s="1" t="s">
        <v>161</v>
      </c>
      <c r="G31" s="2">
        <f t="shared" si="2"/>
        <v>111</v>
      </c>
      <c r="H31">
        <f t="shared" si="0"/>
        <v>250</v>
      </c>
      <c r="I31">
        <f t="shared" si="3"/>
        <v>0.37080000000000002</v>
      </c>
      <c r="J31" t="e">
        <f>IF((SUMIF(#REF!,A31&amp;"Minutos*",#REF!)+SUMIF(#REF!,A31&amp;"A *",#REF!))&lt;=H31,0,(SUMIF(#REF!,A31&amp;"Minutos*",#REF!)+SUMIF(#REF!,A31&amp;"A *",#REF!))-H31)</f>
        <v>#REF!</v>
      </c>
      <c r="K31" t="e">
        <f>SUMIF(#REF!,A31&amp;"Mensajes Persona a Persona",#REF!)</f>
        <v>#REF!</v>
      </c>
      <c r="L31" s="3" t="e">
        <f>SUMIF(#REF!,A31&amp;"Mensajes Persona a Persona",#REF!)+SUMIF(#REF!,A31&amp;"PACK *00 SMS",#REF!)</f>
        <v>#REF!</v>
      </c>
      <c r="M31" s="8" t="e">
        <f>SUMIF(#REF!,A31&amp;"Mensajes Mul*",#REF!)</f>
        <v>#REF!</v>
      </c>
      <c r="N31" s="3" t="e">
        <f>SUMIF(#REF!,A31&amp;"Mensajes Mul*",#REF!)</f>
        <v>#REF!</v>
      </c>
      <c r="O31" s="3"/>
      <c r="P31" s="3" t="e">
        <f>SUMIF(#REF!,A31&amp;"Pack Mult*",#REF!)+SUMIF(#REF!,A31&amp;"Pack Blacberry BIS",#REF!)+SUMIF(#REF!,A31&amp;"Pack de datos*",#REF!)+SUMIF(#REF!,A31&amp;"Paquetes datos*",#REF!)+SUMIF(#REF!,A31&amp;"Paquete de datos*",#REF!)+SUMIF(#REF!,A31&amp;"Servicio BIS BLACKBERRY*",#REF!)+SUMIF(#REF!,A31&amp;"Pack Internet*",#REF!)+SUMIF(#REF!,A31&amp;"Pack de*",#REF!)+SUMIF(#REF!,A31&amp;"Pack 100M*",#REF!)++SUMIF(#REF!,A31&amp;"Paquete Internet*",#REF!)</f>
        <v>#REF!</v>
      </c>
      <c r="Q31" s="8" t="e">
        <f>SUMIF(#REF!,A31&amp;"Llamadas Roam*",#REF!)+SUMIF(#REF!,A31&amp;"Llamadas Internacionales",#REF!)</f>
        <v>#REF!</v>
      </c>
      <c r="R31" s="3" t="e">
        <f>SUMIF(#REF!,A31&amp;"Llamadas Roam*",#REF!)+SUMIF(#REF!,A31&amp;"Llamadas Internacionales",#REF!)+SUMIF(#REF!,A31&amp;"Llamadas y SMS Roaming",#REF!)+SUMIF(#REF!,A31&amp;"SMS Roaming",#REF!)</f>
        <v>#REF!</v>
      </c>
      <c r="S31" s="8" t="e">
        <f>SUMIF(#REF!,A31&amp;"Roaming*",#REF!)</f>
        <v>#REF!</v>
      </c>
      <c r="T31" s="3" t="e">
        <f>SUMIF(#REF!,A31&amp;"Roaming*",#REF!)+SUMIF(#REF!,A31&amp;"Internet Roaming*",#REF!)</f>
        <v>#REF!</v>
      </c>
      <c r="U31" s="3" t="e">
        <f>C31-111-L31-N31-P31-R31-T31-SUMIF(#REF!,A31&amp;"Minutos*",#REF!)-SUMIF(#REF!,A31&amp;"A *",#REF!)</f>
        <v>#REF!</v>
      </c>
      <c r="V31" s="2" t="e">
        <f t="shared" si="1"/>
        <v>#REF!</v>
      </c>
      <c r="W31" s="2"/>
      <c r="X31" t="s">
        <v>189</v>
      </c>
      <c r="Y31" t="s">
        <v>133</v>
      </c>
      <c r="Z31" s="65" t="s">
        <v>185</v>
      </c>
    </row>
    <row r="32" spans="1:27" hidden="1">
      <c r="A32">
        <v>2616974784</v>
      </c>
      <c r="B32" s="115" t="s">
        <v>120</v>
      </c>
      <c r="C32" s="68" t="e">
        <f>SUMIF(#REF!,A32,#REF!)</f>
        <v>#REF!</v>
      </c>
      <c r="D32" t="e">
        <f>SUMIF(#REF!,A32,#REF!)</f>
        <v>#REF!</v>
      </c>
      <c r="E32" s="1" t="s">
        <v>63</v>
      </c>
      <c r="F32" s="1" t="s">
        <v>161</v>
      </c>
      <c r="G32" s="2">
        <f t="shared" si="2"/>
        <v>111</v>
      </c>
      <c r="H32">
        <f t="shared" si="0"/>
        <v>250</v>
      </c>
      <c r="I32">
        <f t="shared" si="3"/>
        <v>0.37080000000000002</v>
      </c>
      <c r="J32" t="e">
        <f>IF((SUMIF(#REF!,A32&amp;"Minutos*",#REF!)+SUMIF(#REF!,A32&amp;"A *",#REF!))&lt;=H32,0,(SUMIF(#REF!,A32&amp;"Minutos*",#REF!)+SUMIF(#REF!,A32&amp;"A *",#REF!))-H32)</f>
        <v>#REF!</v>
      </c>
      <c r="K32" t="e">
        <f>SUMIF(#REF!,A32&amp;"Mensajes Persona a Persona",#REF!)</f>
        <v>#REF!</v>
      </c>
      <c r="L32" s="3" t="e">
        <f>SUMIF(#REF!,A32&amp;"Mensajes Persona a Persona",#REF!)+SUMIF(#REF!,A32&amp;"PACK *00 SMS",#REF!)</f>
        <v>#REF!</v>
      </c>
      <c r="M32" s="8" t="e">
        <f>SUMIF(#REF!,A32&amp;"Mensajes Mul*",#REF!)</f>
        <v>#REF!</v>
      </c>
      <c r="N32" s="3" t="e">
        <f>SUMIF(#REF!,A32&amp;"Mensajes Mul*",#REF!)</f>
        <v>#REF!</v>
      </c>
      <c r="O32" s="3"/>
      <c r="P32" s="3" t="e">
        <f>SUMIF(#REF!,A32&amp;"Pack Mult*",#REF!)+SUMIF(#REF!,A32&amp;"Pack Blacberry BIS",#REF!)+SUMIF(#REF!,A32&amp;"Pack de datos*",#REF!)+SUMIF(#REF!,A32&amp;"Paquetes datos*",#REF!)+SUMIF(#REF!,A32&amp;"Paquete de datos*",#REF!)+SUMIF(#REF!,A32&amp;"Servicio BIS BLACKBERRY*",#REF!)+SUMIF(#REF!,A32&amp;"Pack Internet*",#REF!)+SUMIF(#REF!,A32&amp;"Pack de*",#REF!)+SUMIF(#REF!,A32&amp;"Pack 100M*",#REF!)++SUMIF(#REF!,A32&amp;"Paquete Internet*",#REF!)</f>
        <v>#REF!</v>
      </c>
      <c r="Q32" s="8" t="e">
        <f>SUMIF(#REF!,A32&amp;"Llamadas Roam*",#REF!)+SUMIF(#REF!,A32&amp;"Llamadas Internacionales",#REF!)</f>
        <v>#REF!</v>
      </c>
      <c r="R32" s="3" t="e">
        <f>SUMIF(#REF!,A32&amp;"Llamadas Roam*",#REF!)+SUMIF(#REF!,A32&amp;"Llamadas Internacionales",#REF!)+SUMIF(#REF!,A32&amp;"Llamadas y SMS Roaming",#REF!)+SUMIF(#REF!,A32&amp;"SMS Roaming",#REF!)</f>
        <v>#REF!</v>
      </c>
      <c r="S32" s="8" t="e">
        <f>SUMIF(#REF!,A32&amp;"Roaming*",#REF!)</f>
        <v>#REF!</v>
      </c>
      <c r="T32" s="3" t="e">
        <f>SUMIF(#REF!,A32&amp;"Roaming*",#REF!)+SUMIF(#REF!,A32&amp;"Internet Roaming*",#REF!)</f>
        <v>#REF!</v>
      </c>
      <c r="U32" s="3" t="e">
        <f>C32-111-L32-N32-P32-R32-T32-SUMIF(#REF!,A32&amp;"Minutos*",#REF!)-SUMIF(#REF!,A32&amp;"A *",#REF!)</f>
        <v>#REF!</v>
      </c>
      <c r="V32" s="2" t="e">
        <f t="shared" si="1"/>
        <v>#REF!</v>
      </c>
      <c r="W32" s="2"/>
      <c r="Y32" t="s">
        <v>133</v>
      </c>
      <c r="Z32" s="65" t="s">
        <v>196</v>
      </c>
    </row>
    <row r="33" spans="1:27" hidden="1">
      <c r="A33">
        <v>2614701930</v>
      </c>
      <c r="B33" s="115" t="s">
        <v>103</v>
      </c>
      <c r="C33" s="68" t="e">
        <f>SUMIF(#REF!,A33,#REF!)</f>
        <v>#REF!</v>
      </c>
      <c r="D33" t="e">
        <f>SUMIF(#REF!,A33,#REF!)</f>
        <v>#REF!</v>
      </c>
      <c r="E33" s="1" t="s">
        <v>64</v>
      </c>
      <c r="F33" s="1" t="s">
        <v>161</v>
      </c>
      <c r="G33" s="2">
        <f t="shared" si="2"/>
        <v>111</v>
      </c>
      <c r="H33">
        <f t="shared" si="0"/>
        <v>250</v>
      </c>
      <c r="I33">
        <f t="shared" si="3"/>
        <v>0.37080000000000002</v>
      </c>
      <c r="J33" t="e">
        <f>IF((SUMIF(#REF!,A33&amp;"Minutos*",#REF!)+SUMIF(#REF!,A33&amp;"A *",#REF!))&lt;=H33,0,(SUMIF(#REF!,A33&amp;"Minutos*",#REF!)+SUMIF(#REF!,A33&amp;"A *",#REF!))-H33)</f>
        <v>#REF!</v>
      </c>
      <c r="K33" t="e">
        <f>SUMIF(#REF!,A33&amp;"Mensajes Persona a Persona",#REF!)</f>
        <v>#REF!</v>
      </c>
      <c r="L33" s="3" t="e">
        <f>SUMIF(#REF!,A33&amp;"Mensajes Persona a Persona",#REF!)+SUMIF(#REF!,A33&amp;"PACK *00 SMS",#REF!)</f>
        <v>#REF!</v>
      </c>
      <c r="M33" s="8" t="e">
        <f>SUMIF(#REF!,A33&amp;"Mensajes Mul*",#REF!)</f>
        <v>#REF!</v>
      </c>
      <c r="N33" s="3" t="e">
        <f>SUMIF(#REF!,A33&amp;"Mensajes Mul*",#REF!)</f>
        <v>#REF!</v>
      </c>
      <c r="O33" s="3"/>
      <c r="P33" s="3" t="e">
        <f>SUMIF(#REF!,A33&amp;"Pack Mult*",#REF!)+SUMIF(#REF!,A33&amp;"Pack Blacberry BIS",#REF!)+SUMIF(#REF!,A33&amp;"Pack de datos*",#REF!)+SUMIF(#REF!,A33&amp;"Paquetes datos*",#REF!)+SUMIF(#REF!,A33&amp;"Paquete de datos*",#REF!)+SUMIF(#REF!,A33&amp;"Servicio BIS BLACKBERRY*",#REF!)+SUMIF(#REF!,A33&amp;"Pack Internet*",#REF!)+SUMIF(#REF!,A33&amp;"Pack de*",#REF!)+SUMIF(#REF!,A33&amp;"Pack 100M*",#REF!)++SUMIF(#REF!,A33&amp;"Paquete Internet*",#REF!)</f>
        <v>#REF!</v>
      </c>
      <c r="Q33" s="8" t="e">
        <f>SUMIF(#REF!,A33&amp;"Llamadas Roam*",#REF!)+SUMIF(#REF!,A33&amp;"Llamadas Internacionales",#REF!)</f>
        <v>#REF!</v>
      </c>
      <c r="R33" s="3" t="e">
        <f>SUMIF(#REF!,A33&amp;"Llamadas Roam*",#REF!)+SUMIF(#REF!,A33&amp;"Llamadas Internacionales",#REF!)+SUMIF(#REF!,A33&amp;"Llamadas y SMS Roaming",#REF!)+SUMIF(#REF!,A33&amp;"SMS Roaming",#REF!)</f>
        <v>#REF!</v>
      </c>
      <c r="S33" s="8" t="e">
        <f>SUMIF(#REF!,A33&amp;"Roaming*",#REF!)</f>
        <v>#REF!</v>
      </c>
      <c r="T33" s="3" t="e">
        <f>SUMIF(#REF!,A33&amp;"Roaming*",#REF!)+SUMIF(#REF!,A33&amp;"Internet Roaming*",#REF!)</f>
        <v>#REF!</v>
      </c>
      <c r="U33" s="3" t="e">
        <f>C33-111-L33-N33-P33-R33-T33-SUMIF(#REF!,A33&amp;"Minutos*",#REF!)-SUMIF(#REF!,A33&amp;"A *",#REF!)</f>
        <v>#REF!</v>
      </c>
      <c r="V33" s="2" t="e">
        <f t="shared" si="1"/>
        <v>#REF!</v>
      </c>
      <c r="W33" s="2"/>
      <c r="Z33" s="65" t="s">
        <v>184</v>
      </c>
    </row>
    <row r="34" spans="1:27" hidden="1">
      <c r="A34">
        <v>2616655994</v>
      </c>
      <c r="B34" s="115" t="s">
        <v>57</v>
      </c>
      <c r="C34" s="68" t="e">
        <f>SUMIF(#REF!,A34,#REF!)</f>
        <v>#REF!</v>
      </c>
      <c r="D34" t="e">
        <f>SUMIF(#REF!,A34,#REF!)</f>
        <v>#REF!</v>
      </c>
      <c r="E34" s="1" t="s">
        <v>64</v>
      </c>
      <c r="F34" s="1" t="s">
        <v>161</v>
      </c>
      <c r="G34" s="2">
        <f t="shared" si="2"/>
        <v>111</v>
      </c>
      <c r="H34">
        <f t="shared" ref="H34:H67" si="4">VLOOKUP(F34,B$86:D$92,3,FALSE)</f>
        <v>250</v>
      </c>
      <c r="I34">
        <f t="shared" si="3"/>
        <v>0.37080000000000002</v>
      </c>
      <c r="J34" t="e">
        <f>IF((SUMIF(#REF!,A34&amp;"Minutos*",#REF!)+SUMIF(#REF!,A34&amp;"A *",#REF!))&lt;=H34,0,(SUMIF(#REF!,A34&amp;"Minutos*",#REF!)+SUMIF(#REF!,A34&amp;"A *",#REF!))-H34)</f>
        <v>#REF!</v>
      </c>
      <c r="K34" t="e">
        <f>SUMIF(#REF!,A34&amp;"Mensajes Persona a Persona",#REF!)</f>
        <v>#REF!</v>
      </c>
      <c r="L34" s="3" t="e">
        <f>SUMIF(#REF!,A34&amp;"Mensajes Persona a Persona",#REF!)+SUMIF(#REF!,A34&amp;"PACK *00 SMS",#REF!)</f>
        <v>#REF!</v>
      </c>
      <c r="M34" s="8" t="e">
        <f>SUMIF(#REF!,A34&amp;"Mensajes Mul*",#REF!)</f>
        <v>#REF!</v>
      </c>
      <c r="N34" s="3" t="e">
        <f>SUMIF(#REF!,A34&amp;"Mensajes Mul*",#REF!)</f>
        <v>#REF!</v>
      </c>
      <c r="O34" s="3"/>
      <c r="P34" s="3" t="e">
        <f>SUMIF(#REF!,A34&amp;"Pack Mult*",#REF!)+SUMIF(#REF!,A34&amp;"Pack Blacberry BIS",#REF!)+SUMIF(#REF!,A34&amp;"Pack de datos*",#REF!)+SUMIF(#REF!,A34&amp;"Paquetes datos*",#REF!)+SUMIF(#REF!,A34&amp;"Paquete de datos*",#REF!)+SUMIF(#REF!,A34&amp;"Servicio BIS BLACKBERRY*",#REF!)+SUMIF(#REF!,A34&amp;"Pack Internet*",#REF!)+SUMIF(#REF!,A34&amp;"Pack de*",#REF!)+SUMIF(#REF!,A34&amp;"Pack 100M*",#REF!)++SUMIF(#REF!,A34&amp;"Paquete Internet*",#REF!)</f>
        <v>#REF!</v>
      </c>
      <c r="Q34" s="8" t="e">
        <f>SUMIF(#REF!,A34&amp;"Llamadas Roam*",#REF!)+SUMIF(#REF!,A34&amp;"Llamadas Internacionales",#REF!)</f>
        <v>#REF!</v>
      </c>
      <c r="R34" s="3" t="e">
        <f>SUMIF(#REF!,A34&amp;"Llamadas Roam*",#REF!)+SUMIF(#REF!,A34&amp;"Llamadas Internacionales",#REF!)+SUMIF(#REF!,A34&amp;"Llamadas y SMS Roaming",#REF!)+SUMIF(#REF!,A34&amp;"SMS Roaming",#REF!)</f>
        <v>#REF!</v>
      </c>
      <c r="S34" s="8" t="e">
        <f>SUMIF(#REF!,A34&amp;"Roaming*",#REF!)</f>
        <v>#REF!</v>
      </c>
      <c r="T34" s="3" t="e">
        <f>SUMIF(#REF!,A34&amp;"Roaming*",#REF!)+SUMIF(#REF!,A34&amp;"Internet Roaming*",#REF!)</f>
        <v>#REF!</v>
      </c>
      <c r="U34" s="3" t="e">
        <f>C34-111-L34-N34-P34-R34-T34-SUMIF(#REF!,A34&amp;"Minutos*",#REF!)-SUMIF(#REF!,A34&amp;"A *",#REF!)</f>
        <v>#REF!</v>
      </c>
      <c r="V34" s="2" t="e">
        <f t="shared" ref="V34:V57" si="5">(G34+J34*I34+L34+N34+P34+R34+T34+U34)*(1+$C$74+$C$75+$C$76)+O34*1.21</f>
        <v>#REF!</v>
      </c>
      <c r="W34" s="2"/>
      <c r="Y34" s="65" t="s">
        <v>170</v>
      </c>
      <c r="Z34" s="65" t="s">
        <v>184</v>
      </c>
    </row>
    <row r="35" spans="1:27" hidden="1">
      <c r="A35">
        <v>2615632654</v>
      </c>
      <c r="B35" s="115" t="s">
        <v>20</v>
      </c>
      <c r="C35" s="68" t="e">
        <f>SUMIF(#REF!,A35,#REF!)</f>
        <v>#REF!</v>
      </c>
      <c r="D35" t="e">
        <f>SUMIF(#REF!,A35,#REF!)</f>
        <v>#REF!</v>
      </c>
      <c r="E35" s="1" t="s">
        <v>64</v>
      </c>
      <c r="F35" s="1" t="s">
        <v>161</v>
      </c>
      <c r="G35" s="2">
        <f t="shared" si="2"/>
        <v>111</v>
      </c>
      <c r="H35">
        <f t="shared" si="4"/>
        <v>250</v>
      </c>
      <c r="I35">
        <f t="shared" si="3"/>
        <v>0.37080000000000002</v>
      </c>
      <c r="J35" t="e">
        <f>IF((SUMIF(#REF!,A35&amp;"Minutos*",#REF!)+SUMIF(#REF!,A35&amp;"A *",#REF!))&lt;=H35,0,(SUMIF(#REF!,A35&amp;"Minutos*",#REF!)+SUMIF(#REF!,A35&amp;"A *",#REF!))-H35)</f>
        <v>#REF!</v>
      </c>
      <c r="K35" t="e">
        <f>SUMIF(#REF!,A35&amp;"Mensajes Persona a Persona",#REF!)</f>
        <v>#REF!</v>
      </c>
      <c r="L35" s="3" t="e">
        <f>SUMIF(#REF!,A35&amp;"Mensajes Persona a Persona",#REF!)+SUMIF(#REF!,A35&amp;"PACK *00 SMS",#REF!)</f>
        <v>#REF!</v>
      </c>
      <c r="M35" s="8" t="e">
        <f>SUMIF(#REF!,A35&amp;"Mensajes Mul*",#REF!)</f>
        <v>#REF!</v>
      </c>
      <c r="N35" s="3" t="e">
        <f>SUMIF(#REF!,A35&amp;"Mensajes Mul*",#REF!)</f>
        <v>#REF!</v>
      </c>
      <c r="O35" s="3"/>
      <c r="P35" s="3" t="e">
        <f>SUMIF(#REF!,A35&amp;"Pack Mult*",#REF!)+SUMIF(#REF!,A35&amp;"Pack Blacberry BIS",#REF!)+SUMIF(#REF!,A35&amp;"Pack de datos*",#REF!)+SUMIF(#REF!,A35&amp;"Paquetes datos*",#REF!)+SUMIF(#REF!,A35&amp;"Paquete de datos*",#REF!)+SUMIF(#REF!,A35&amp;"Servicio BIS BLACKBERRY*",#REF!)+SUMIF(#REF!,A35&amp;"Pack Internet*",#REF!)+SUMIF(#REF!,A35&amp;"Pack de*",#REF!)+SUMIF(#REF!,A35&amp;"Pack 100M*",#REF!)++SUMIF(#REF!,A35&amp;"Paquete Internet*",#REF!)</f>
        <v>#REF!</v>
      </c>
      <c r="Q35" s="8" t="e">
        <f>SUMIF(#REF!,A35&amp;"Llamadas Roam*",#REF!)+SUMIF(#REF!,A35&amp;"Llamadas Internacionales",#REF!)</f>
        <v>#REF!</v>
      </c>
      <c r="R35" s="3" t="e">
        <f>SUMIF(#REF!,A35&amp;"Llamadas Roam*",#REF!)+SUMIF(#REF!,A35&amp;"Llamadas Internacionales",#REF!)+SUMIF(#REF!,A35&amp;"Llamadas y SMS Roaming",#REF!)+SUMIF(#REF!,A35&amp;"SMS Roaming",#REF!)</f>
        <v>#REF!</v>
      </c>
      <c r="S35" s="8" t="e">
        <f>SUMIF(#REF!,A35&amp;"Roaming*",#REF!)</f>
        <v>#REF!</v>
      </c>
      <c r="T35" s="3" t="e">
        <f>SUMIF(#REF!,A35&amp;"Roaming*",#REF!)+SUMIF(#REF!,A35&amp;"Internet Roaming*",#REF!)</f>
        <v>#REF!</v>
      </c>
      <c r="U35" s="3" t="e">
        <f>C35-111-L35-N35-P35-R35-T35-SUMIF(#REF!,A35&amp;"Minutos*",#REF!)-SUMIF(#REF!,A35&amp;"A *",#REF!)</f>
        <v>#REF!</v>
      </c>
      <c r="V35" s="2" t="e">
        <f t="shared" si="5"/>
        <v>#REF!</v>
      </c>
      <c r="W35" s="2"/>
      <c r="X35" s="64" t="s">
        <v>189</v>
      </c>
      <c r="Z35" s="65" t="s">
        <v>185</v>
      </c>
    </row>
    <row r="36" spans="1:27" hidden="1">
      <c r="A36">
        <v>2615194826</v>
      </c>
      <c r="B36" s="115" t="s">
        <v>17</v>
      </c>
      <c r="C36" s="68" t="e">
        <f>SUMIF(#REF!,A36,#REF!)</f>
        <v>#REF!</v>
      </c>
      <c r="D36" t="e">
        <f>SUMIF(#REF!,A36,#REF!)</f>
        <v>#REF!</v>
      </c>
      <c r="E36" s="21" t="s">
        <v>51</v>
      </c>
      <c r="F36" s="1" t="s">
        <v>161</v>
      </c>
      <c r="G36" s="2">
        <f t="shared" si="2"/>
        <v>111</v>
      </c>
      <c r="H36">
        <f t="shared" si="4"/>
        <v>250</v>
      </c>
      <c r="I36">
        <f t="shared" si="3"/>
        <v>0.37080000000000002</v>
      </c>
      <c r="J36" t="e">
        <f>IF((SUMIF(#REF!,A36&amp;"Minutos*",#REF!)+SUMIF(#REF!,A36&amp;"A *",#REF!))&lt;=H36,0,(SUMIF(#REF!,A36&amp;"Minutos*",#REF!)+SUMIF(#REF!,A36&amp;"A *",#REF!))-H36)</f>
        <v>#REF!</v>
      </c>
      <c r="K36" t="e">
        <f>SUMIF(#REF!,A36&amp;"Mensajes Persona a Persona",#REF!)</f>
        <v>#REF!</v>
      </c>
      <c r="L36" s="3" t="e">
        <f>SUMIF(#REF!,A36&amp;"Mensajes Persona a Persona",#REF!)+SUMIF(#REF!,A36&amp;"PACK *00 SMS",#REF!)</f>
        <v>#REF!</v>
      </c>
      <c r="M36" s="8" t="e">
        <f>SUMIF(#REF!,A36&amp;"Mensajes Mul*",#REF!)</f>
        <v>#REF!</v>
      </c>
      <c r="N36" s="3" t="e">
        <f>SUMIF(#REF!,A36&amp;"Mensajes Mul*",#REF!)</f>
        <v>#REF!</v>
      </c>
      <c r="O36" s="3"/>
      <c r="P36" s="3" t="e">
        <f>SUMIF(#REF!,A36&amp;"Pack Mult*",#REF!)+SUMIF(#REF!,A36&amp;"Pack Blacberry BIS",#REF!)+SUMIF(#REF!,A36&amp;"Pack de datos*",#REF!)+SUMIF(#REF!,A36&amp;"Paquetes datos*",#REF!)+SUMIF(#REF!,A36&amp;"Paquete de datos*",#REF!)+SUMIF(#REF!,A36&amp;"Servicio BIS BLACKBERRY*",#REF!)+SUMIF(#REF!,A36&amp;"Pack Internet*",#REF!)+SUMIF(#REF!,A36&amp;"Pack de*",#REF!)+SUMIF(#REF!,A36&amp;"Pack 100M*",#REF!)++SUMIF(#REF!,A36&amp;"Paquete Internet*",#REF!)</f>
        <v>#REF!</v>
      </c>
      <c r="Q36" s="8" t="e">
        <f>SUMIF(#REF!,A36&amp;"Llamadas Roam*",#REF!)+SUMIF(#REF!,A36&amp;"Llamadas Internacionales",#REF!)</f>
        <v>#REF!</v>
      </c>
      <c r="R36" s="3" t="e">
        <f>SUMIF(#REF!,A36&amp;"Llamadas Roam*",#REF!)+SUMIF(#REF!,A36&amp;"Llamadas Internacionales",#REF!)+SUMIF(#REF!,A36&amp;"Llamadas y SMS Roaming",#REF!)+SUMIF(#REF!,A36&amp;"SMS Roaming",#REF!)</f>
        <v>#REF!</v>
      </c>
      <c r="S36" s="8" t="e">
        <f>SUMIF(#REF!,A36&amp;"Roaming*",#REF!)</f>
        <v>#REF!</v>
      </c>
      <c r="T36" s="3" t="e">
        <f>SUMIF(#REF!,A36&amp;"Roaming*",#REF!)+SUMIF(#REF!,A36&amp;"Internet Roaming*",#REF!)</f>
        <v>#REF!</v>
      </c>
      <c r="U36" s="3" t="e">
        <f>C36-111-L36-N36-P36-R36-T36-SUMIF(#REF!,A36&amp;"Minutos*",#REF!)-SUMIF(#REF!,A36&amp;"A *",#REF!)</f>
        <v>#REF!</v>
      </c>
      <c r="V36" s="4" t="e">
        <f t="shared" si="5"/>
        <v>#REF!</v>
      </c>
      <c r="W36" s="88" t="e">
        <f>V36</f>
        <v>#REF!</v>
      </c>
      <c r="Z36" s="65" t="s">
        <v>184</v>
      </c>
    </row>
    <row r="37" spans="1:27" hidden="1">
      <c r="A37">
        <v>2615186052</v>
      </c>
      <c r="B37" s="115" t="s">
        <v>212</v>
      </c>
      <c r="C37" s="68" t="e">
        <f>SUMIF(#REF!,A37,#REF!)</f>
        <v>#REF!</v>
      </c>
      <c r="D37" t="e">
        <f>SUMIF(#REF!,A37,#REF!)</f>
        <v>#REF!</v>
      </c>
      <c r="E37" s="1" t="s">
        <v>64</v>
      </c>
      <c r="F37" s="1" t="s">
        <v>161</v>
      </c>
      <c r="G37" s="2">
        <f t="shared" si="2"/>
        <v>111</v>
      </c>
      <c r="H37">
        <f t="shared" si="4"/>
        <v>250</v>
      </c>
      <c r="I37">
        <f t="shared" si="3"/>
        <v>0.37080000000000002</v>
      </c>
      <c r="J37" t="e">
        <f>IF((SUMIF(#REF!,A37&amp;"Minutos*",#REF!)+SUMIF(#REF!,A37&amp;"A *",#REF!))&lt;=H37,0,(SUMIF(#REF!,A37&amp;"Minutos*",#REF!)+SUMIF(#REF!,A37&amp;"A *",#REF!))-H37)</f>
        <v>#REF!</v>
      </c>
      <c r="K37" t="e">
        <f>SUMIF(#REF!,A37&amp;"Mensajes Persona a Persona",#REF!)</f>
        <v>#REF!</v>
      </c>
      <c r="L37" s="3" t="e">
        <f>SUMIF(#REF!,A37&amp;"Mensajes Persona a Persona",#REF!)+SUMIF(#REF!,A37&amp;"PACK *00 SMS",#REF!)</f>
        <v>#REF!</v>
      </c>
      <c r="M37" s="8" t="e">
        <f>SUMIF(#REF!,A37&amp;"Mensajes Mul*",#REF!)</f>
        <v>#REF!</v>
      </c>
      <c r="N37" s="3" t="e">
        <f>SUMIF(#REF!,A37&amp;"Mensajes Mul*",#REF!)</f>
        <v>#REF!</v>
      </c>
      <c r="O37" s="3"/>
      <c r="P37" s="3" t="e">
        <f>SUMIF(#REF!,A37&amp;"Pack Mult*",#REF!)+SUMIF(#REF!,A37&amp;"Pack Blacberry BIS",#REF!)+SUMIF(#REF!,A37&amp;"Pack de datos*",#REF!)+SUMIF(#REF!,A37&amp;"Paquetes datos*",#REF!)+SUMIF(#REF!,A37&amp;"Paquete de datos*",#REF!)+SUMIF(#REF!,A37&amp;"Servicio BIS BLACKBERRY*",#REF!)+SUMIF(#REF!,A37&amp;"Pack Internet*",#REF!)+SUMIF(#REF!,A37&amp;"Pack de*",#REF!)+SUMIF(#REF!,A37&amp;"Pack 100M*",#REF!)++SUMIF(#REF!,A37&amp;"Paquete Internet*",#REF!)</f>
        <v>#REF!</v>
      </c>
      <c r="Q37" s="8" t="e">
        <f>SUMIF(#REF!,A37&amp;"Llamadas Roam*",#REF!)+SUMIF(#REF!,A37&amp;"Llamadas Internacionales",#REF!)</f>
        <v>#REF!</v>
      </c>
      <c r="R37" s="3" t="e">
        <f>SUMIF(#REF!,A37&amp;"Llamadas Roam*",#REF!)+SUMIF(#REF!,A37&amp;"Llamadas Internacionales",#REF!)+SUMIF(#REF!,A37&amp;"Llamadas y SMS Roaming",#REF!)+SUMIF(#REF!,A37&amp;"SMS Roaming",#REF!)</f>
        <v>#REF!</v>
      </c>
      <c r="S37" s="8" t="e">
        <f>SUMIF(#REF!,A37&amp;"Roaming*",#REF!)</f>
        <v>#REF!</v>
      </c>
      <c r="T37" s="3" t="e">
        <f>SUMIF(#REF!,A37&amp;"Roaming*",#REF!)+SUMIF(#REF!,A37&amp;"Internet Roaming*",#REF!)</f>
        <v>#REF!</v>
      </c>
      <c r="U37" s="3" t="e">
        <f>C37-111-L37-N37-P37-R37-T37-SUMIF(#REF!,A37&amp;"Minutos*",#REF!)-SUMIF(#REF!,A37&amp;"A *",#REF!)</f>
        <v>#REF!</v>
      </c>
      <c r="V37" s="2" t="e">
        <f t="shared" si="5"/>
        <v>#REF!</v>
      </c>
      <c r="W37" s="2"/>
      <c r="Z37" s="65" t="s">
        <v>184</v>
      </c>
    </row>
    <row r="38" spans="1:27" hidden="1">
      <c r="A38">
        <v>2614669416</v>
      </c>
      <c r="B38" s="115" t="s">
        <v>35</v>
      </c>
      <c r="C38" s="68" t="e">
        <f>SUMIF(#REF!,A38,#REF!)</f>
        <v>#REF!</v>
      </c>
      <c r="D38" t="e">
        <f>SUMIF(#REF!,A38,#REF!)</f>
        <v>#REF!</v>
      </c>
      <c r="E38" s="1" t="s">
        <v>64</v>
      </c>
      <c r="F38" s="1" t="s">
        <v>161</v>
      </c>
      <c r="G38" s="2">
        <f t="shared" si="2"/>
        <v>111</v>
      </c>
      <c r="H38">
        <f t="shared" si="4"/>
        <v>250</v>
      </c>
      <c r="I38">
        <f t="shared" si="3"/>
        <v>0.37080000000000002</v>
      </c>
      <c r="J38" t="e">
        <f>IF((SUMIF(#REF!,A38&amp;"Minutos*",#REF!)+SUMIF(#REF!,A38&amp;"A *",#REF!))&lt;=H38,0,(SUMIF(#REF!,A38&amp;"Minutos*",#REF!)+SUMIF(#REF!,A38&amp;"A *",#REF!))-H38)</f>
        <v>#REF!</v>
      </c>
      <c r="K38" t="e">
        <f>SUMIF(#REF!,A38&amp;"Mensajes Persona a Persona",#REF!)</f>
        <v>#REF!</v>
      </c>
      <c r="L38" s="3" t="e">
        <f>SUMIF(#REF!,A38&amp;"Mensajes Persona a Persona",#REF!)+SUMIF(#REF!,A38&amp;"PACK *00 SMS",#REF!)</f>
        <v>#REF!</v>
      </c>
      <c r="M38" s="8" t="e">
        <f>SUMIF(#REF!,A38&amp;"Mensajes Mul*",#REF!)</f>
        <v>#REF!</v>
      </c>
      <c r="N38" s="3" t="e">
        <f>SUMIF(#REF!,A38&amp;"Mensajes Mul*",#REF!)</f>
        <v>#REF!</v>
      </c>
      <c r="O38" s="3"/>
      <c r="P38" s="3" t="e">
        <f>SUMIF(#REF!,A38&amp;"Pack Mult*",#REF!)+SUMIF(#REF!,A38&amp;"Pack Blacberry BIS",#REF!)+SUMIF(#REF!,A38&amp;"Pack de datos*",#REF!)+SUMIF(#REF!,A38&amp;"Paquetes datos*",#REF!)+SUMIF(#REF!,A38&amp;"Paquete de datos*",#REF!)+SUMIF(#REF!,A38&amp;"Servicio BIS BLACKBERRY*",#REF!)+SUMIF(#REF!,A38&amp;"Pack Internet*",#REF!)+SUMIF(#REF!,A38&amp;"Pack de*",#REF!)+SUMIF(#REF!,A38&amp;"Pack 100M*",#REF!)++SUMIF(#REF!,A38&amp;"Paquete Internet*",#REF!)</f>
        <v>#REF!</v>
      </c>
      <c r="Q38" s="8" t="e">
        <f>SUMIF(#REF!,A38&amp;"Llamadas Roam*",#REF!)+SUMIF(#REF!,A38&amp;"Llamadas Internacionales",#REF!)</f>
        <v>#REF!</v>
      </c>
      <c r="R38" s="3" t="e">
        <f>SUMIF(#REF!,A38&amp;"Llamadas Roam*",#REF!)+SUMIF(#REF!,A38&amp;"Llamadas Internacionales",#REF!)+SUMIF(#REF!,A38&amp;"Llamadas y SMS Roaming",#REF!)+SUMIF(#REF!,A38&amp;"SMS Roaming",#REF!)</f>
        <v>#REF!</v>
      </c>
      <c r="S38" s="8" t="e">
        <f>SUMIF(#REF!,A38&amp;"Roaming*",#REF!)</f>
        <v>#REF!</v>
      </c>
      <c r="T38" s="3" t="e">
        <f>SUMIF(#REF!,A38&amp;"Roaming*",#REF!)+SUMIF(#REF!,A38&amp;"Internet Roaming*",#REF!)</f>
        <v>#REF!</v>
      </c>
      <c r="U38" s="3" t="e">
        <f>C38-111-L38-N38-P38-R38-T38-SUMIF(#REF!,A38&amp;"Minutos*",#REF!)-SUMIF(#REF!,A38&amp;"A *",#REF!)</f>
        <v>#REF!</v>
      </c>
      <c r="V38" s="2" t="e">
        <f t="shared" si="5"/>
        <v>#REF!</v>
      </c>
      <c r="W38" s="2"/>
      <c r="X38" s="64"/>
      <c r="Y38" t="s">
        <v>121</v>
      </c>
      <c r="Z38" s="65" t="s">
        <v>191</v>
      </c>
    </row>
    <row r="39" spans="1:27" hidden="1">
      <c r="A39">
        <v>2615194825</v>
      </c>
      <c r="B39" s="115" t="s">
        <v>16</v>
      </c>
      <c r="C39" s="68" t="e">
        <f>SUMIF(#REF!,A39,#REF!)</f>
        <v>#REF!</v>
      </c>
      <c r="D39" t="e">
        <f>SUMIF(#REF!,A39,#REF!)</f>
        <v>#REF!</v>
      </c>
      <c r="E39" s="22" t="s">
        <v>50</v>
      </c>
      <c r="F39" s="22" t="s">
        <v>163</v>
      </c>
      <c r="G39" s="2">
        <f t="shared" si="2"/>
        <v>62</v>
      </c>
      <c r="H39">
        <f t="shared" si="4"/>
        <v>105</v>
      </c>
      <c r="I39">
        <f t="shared" si="3"/>
        <v>0.40250000000000002</v>
      </c>
      <c r="J39" t="e">
        <f>IF((SUMIF(#REF!,A39&amp;"Minutos*",#REF!)+SUMIF(#REF!,A39&amp;"A *",#REF!))&lt;=H39,0,(SUMIF(#REF!,A39&amp;"Minutos*",#REF!)+SUMIF(#REF!,A39&amp;"A *",#REF!))-H39)</f>
        <v>#REF!</v>
      </c>
      <c r="K39" t="e">
        <f>SUMIF(#REF!,A39&amp;"Mensajes Persona a Persona",#REF!)</f>
        <v>#REF!</v>
      </c>
      <c r="L39" s="3" t="e">
        <f>SUMIF(#REF!,A39&amp;"Mensajes Persona a Persona",#REF!)+SUMIF(#REF!,A39&amp;"PACK *00 SMS",#REF!)</f>
        <v>#REF!</v>
      </c>
      <c r="M39" s="8" t="e">
        <f>SUMIF(#REF!,A39&amp;"Mensajes Mul*",#REF!)</f>
        <v>#REF!</v>
      </c>
      <c r="N39" s="3" t="e">
        <f>SUMIF(#REF!,A39&amp;"Mensajes Mul*",#REF!)</f>
        <v>#REF!</v>
      </c>
      <c r="O39" s="3"/>
      <c r="P39" s="3" t="e">
        <f>SUMIF(#REF!,A39&amp;"Pack Mult*",#REF!)+SUMIF(#REF!,A39&amp;"Pack Blacberry BIS",#REF!)+SUMIF(#REF!,A39&amp;"Pack de datos*",#REF!)+SUMIF(#REF!,A39&amp;"Paquetes datos*",#REF!)+SUMIF(#REF!,A39&amp;"Paquete de datos*",#REF!)+SUMIF(#REF!,A39&amp;"Servicio BIS BLACKBERRY*",#REF!)+SUMIF(#REF!,A39&amp;"Pack Internet*",#REF!)+SUMIF(#REF!,A39&amp;"Pack de*",#REF!)+SUMIF(#REF!,A39&amp;"Pack 100M*",#REF!)++SUMIF(#REF!,A39&amp;"Paquete Internet*",#REF!)</f>
        <v>#REF!</v>
      </c>
      <c r="Q39" s="8" t="e">
        <f>SUMIF(#REF!,A39&amp;"Llamadas Roam*",#REF!)+SUMIF(#REF!,A39&amp;"Llamadas Internacionales",#REF!)</f>
        <v>#REF!</v>
      </c>
      <c r="R39" s="3" t="e">
        <f>SUMIF(#REF!,A39&amp;"Llamadas Roam*",#REF!)+SUMIF(#REF!,A39&amp;"Llamadas Internacionales",#REF!)+SUMIF(#REF!,A39&amp;"Llamadas y SMS Roaming",#REF!)+SUMIF(#REF!,A39&amp;"SMS Roaming",#REF!)</f>
        <v>#REF!</v>
      </c>
      <c r="S39" s="8" t="e">
        <f>SUMIF(#REF!,A39&amp;"Roaming*",#REF!)</f>
        <v>#REF!</v>
      </c>
      <c r="T39" s="3" t="e">
        <f>SUMIF(#REF!,A39&amp;"Roaming*",#REF!)+SUMIF(#REF!,A39&amp;"Internet Roaming*",#REF!)</f>
        <v>#REF!</v>
      </c>
      <c r="U39" s="3" t="e">
        <f>C39-111-L39-N39-P39-R39-T39-SUMIF(#REF!,A39&amp;"Minutos*",#REF!)-SUMIF(#REF!,A39&amp;"A *",#REF!)</f>
        <v>#REF!</v>
      </c>
      <c r="V39" s="4" t="e">
        <f t="shared" si="5"/>
        <v>#REF!</v>
      </c>
      <c r="W39" s="88" t="e">
        <f>V39</f>
        <v>#REF!</v>
      </c>
      <c r="Z39" s="65" t="s">
        <v>184</v>
      </c>
      <c r="AA39" t="s">
        <v>3</v>
      </c>
    </row>
    <row r="40" spans="1:27" hidden="1">
      <c r="A40">
        <v>2615980371</v>
      </c>
      <c r="B40" s="115" t="s">
        <v>34</v>
      </c>
      <c r="C40" s="68" t="e">
        <f>SUMIF(#REF!,A40,#REF!)</f>
        <v>#REF!</v>
      </c>
      <c r="D40" t="e">
        <f>SUMIF(#REF!,A40,#REF!)</f>
        <v>#REF!</v>
      </c>
      <c r="E40" s="22" t="s">
        <v>49</v>
      </c>
      <c r="F40" s="22" t="s">
        <v>163</v>
      </c>
      <c r="G40" s="2">
        <f t="shared" si="2"/>
        <v>62</v>
      </c>
      <c r="H40">
        <f t="shared" si="4"/>
        <v>105</v>
      </c>
      <c r="I40">
        <f t="shared" si="3"/>
        <v>0.40250000000000002</v>
      </c>
      <c r="J40" t="e">
        <f>IF((SUMIF(#REF!,A40&amp;"Minutos*",#REF!)+SUMIF(#REF!,A40&amp;"A *",#REF!))&lt;=H40,0,(SUMIF(#REF!,A40&amp;"Minutos*",#REF!)+SUMIF(#REF!,A40&amp;"A *",#REF!))-H40)</f>
        <v>#REF!</v>
      </c>
      <c r="K40" t="e">
        <f>SUMIF(#REF!,A40&amp;"Mensajes Persona a Persona",#REF!)</f>
        <v>#REF!</v>
      </c>
      <c r="L40" s="3" t="e">
        <f>SUMIF(#REF!,A40&amp;"Mensajes Persona a Persona",#REF!)+SUMIF(#REF!,A40&amp;"PACK *00 SMS",#REF!)</f>
        <v>#REF!</v>
      </c>
      <c r="M40" s="8" t="e">
        <f>SUMIF(#REF!,A40&amp;"Mensajes Mul*",#REF!)</f>
        <v>#REF!</v>
      </c>
      <c r="N40" s="3" t="e">
        <f>SUMIF(#REF!,A40&amp;"Mensajes Mul*",#REF!)</f>
        <v>#REF!</v>
      </c>
      <c r="O40" s="3"/>
      <c r="P40" s="3" t="e">
        <f>SUMIF(#REF!,A40&amp;"Pack Mult*",#REF!)+SUMIF(#REF!,A40&amp;"Pack Blacberry BIS",#REF!)+SUMIF(#REF!,A40&amp;"Pack de datos*",#REF!)+SUMIF(#REF!,A40&amp;"Paquetes datos*",#REF!)+SUMIF(#REF!,A40&amp;"Paquete de datos*",#REF!)+SUMIF(#REF!,A40&amp;"Servicio BIS BLACKBERRY*",#REF!)+SUMIF(#REF!,A40&amp;"Pack Internet*",#REF!)+SUMIF(#REF!,A40&amp;"Pack de*",#REF!)+SUMIF(#REF!,A40&amp;"Pack 100M*",#REF!)++SUMIF(#REF!,A40&amp;"Paquete Internet*",#REF!)</f>
        <v>#REF!</v>
      </c>
      <c r="Q40" s="8" t="e">
        <f>SUMIF(#REF!,A40&amp;"Llamadas Roam*",#REF!)+SUMIF(#REF!,A40&amp;"Llamadas Internacionales",#REF!)</f>
        <v>#REF!</v>
      </c>
      <c r="R40" s="3" t="e">
        <f>SUMIF(#REF!,A40&amp;"Llamadas Roam*",#REF!)+SUMIF(#REF!,A40&amp;"Llamadas Internacionales",#REF!)+SUMIF(#REF!,A40&amp;"Llamadas y SMS Roaming",#REF!)+SUMIF(#REF!,A40&amp;"SMS Roaming",#REF!)</f>
        <v>#REF!</v>
      </c>
      <c r="S40" s="8" t="e">
        <f>SUMIF(#REF!,A40&amp;"Roaming*",#REF!)</f>
        <v>#REF!</v>
      </c>
      <c r="T40" s="3" t="e">
        <f>SUMIF(#REF!,A40&amp;"Roaming*",#REF!)+SUMIF(#REF!,A40&amp;"Internet Roaming*",#REF!)</f>
        <v>#REF!</v>
      </c>
      <c r="U40" s="3" t="e">
        <f>C40-111-L40-N40-P40-R40-T40-SUMIF(#REF!,A40&amp;"Minutos*",#REF!)-SUMIF(#REF!,A40&amp;"A *",#REF!)</f>
        <v>#REF!</v>
      </c>
      <c r="V40" s="4" t="e">
        <f t="shared" si="5"/>
        <v>#REF!</v>
      </c>
      <c r="W40" s="88" t="e">
        <f>V40</f>
        <v>#REF!</v>
      </c>
      <c r="X40" s="3" t="s">
        <v>328</v>
      </c>
      <c r="Y40" s="3"/>
      <c r="Z40" s="77" t="s">
        <v>184</v>
      </c>
      <c r="AA40" t="s">
        <v>109</v>
      </c>
    </row>
    <row r="41" spans="1:27" hidden="1">
      <c r="A41">
        <v>2616649074</v>
      </c>
      <c r="B41" s="115" t="s">
        <v>23</v>
      </c>
      <c r="C41" s="68" t="e">
        <f>SUMIF(#REF!,A41,#REF!)</f>
        <v>#REF!</v>
      </c>
      <c r="D41" t="e">
        <f>SUMIF(#REF!,A41,#REF!)</f>
        <v>#REF!</v>
      </c>
      <c r="E41" s="22" t="s">
        <v>47</v>
      </c>
      <c r="F41" s="22" t="s">
        <v>163</v>
      </c>
      <c r="G41" s="2">
        <f t="shared" si="2"/>
        <v>62</v>
      </c>
      <c r="H41">
        <f t="shared" si="4"/>
        <v>105</v>
      </c>
      <c r="I41">
        <f t="shared" si="3"/>
        <v>0.40250000000000002</v>
      </c>
      <c r="J41" t="e">
        <f>IF((SUMIF(#REF!,A41&amp;"Minutos*",#REF!)+SUMIF(#REF!,A41&amp;"A *",#REF!))&lt;=H41,0,(SUMIF(#REF!,A41&amp;"Minutos*",#REF!)+SUMIF(#REF!,A41&amp;"A *",#REF!))-H41)</f>
        <v>#REF!</v>
      </c>
      <c r="K41" t="e">
        <f>SUMIF(#REF!,A41&amp;"Mensajes Persona a Persona",#REF!)</f>
        <v>#REF!</v>
      </c>
      <c r="L41" s="3" t="e">
        <f>SUMIF(#REF!,A41&amp;"Mensajes Persona a Persona",#REF!)+SUMIF(#REF!,A41&amp;"PACK *00 SMS",#REF!)</f>
        <v>#REF!</v>
      </c>
      <c r="M41" s="8" t="e">
        <f>SUMIF(#REF!,A41&amp;"Mensajes Mul*",#REF!)</f>
        <v>#REF!</v>
      </c>
      <c r="N41" s="3" t="e">
        <f>SUMIF(#REF!,A41&amp;"Mensajes Mul*",#REF!)</f>
        <v>#REF!</v>
      </c>
      <c r="O41" s="3"/>
      <c r="P41" s="3" t="e">
        <f>SUMIF(#REF!,A41&amp;"Pack Mult*",#REF!)+SUMIF(#REF!,A41&amp;"Pack Blacberry BIS",#REF!)+SUMIF(#REF!,A41&amp;"Pack de datos*",#REF!)+SUMIF(#REF!,A41&amp;"Paquetes datos*",#REF!)+SUMIF(#REF!,A41&amp;"Paquete de datos*",#REF!)+SUMIF(#REF!,A41&amp;"Servicio BIS BLACKBERRY*",#REF!)+SUMIF(#REF!,A41&amp;"Pack Internet*",#REF!)+SUMIF(#REF!,A41&amp;"Pack de*",#REF!)+SUMIF(#REF!,A41&amp;"Pack 100M*",#REF!)++SUMIF(#REF!,A41&amp;"Paquete Internet*",#REF!)</f>
        <v>#REF!</v>
      </c>
      <c r="Q41" s="8" t="e">
        <f>SUMIF(#REF!,A41&amp;"Llamadas Roam*",#REF!)+SUMIF(#REF!,A41&amp;"Llamadas Internacionales",#REF!)</f>
        <v>#REF!</v>
      </c>
      <c r="R41" s="3" t="e">
        <f>SUMIF(#REF!,A41&amp;"Llamadas Roam*",#REF!)+SUMIF(#REF!,A41&amp;"Llamadas Internacionales",#REF!)+SUMIF(#REF!,A41&amp;"Llamadas y SMS Roaming",#REF!)+SUMIF(#REF!,A41&amp;"SMS Roaming",#REF!)</f>
        <v>#REF!</v>
      </c>
      <c r="S41" s="8" t="e">
        <f>SUMIF(#REF!,A41&amp;"Roaming*",#REF!)</f>
        <v>#REF!</v>
      </c>
      <c r="T41" s="3" t="e">
        <f>SUMIF(#REF!,A41&amp;"Roaming*",#REF!)+SUMIF(#REF!,A41&amp;"Internet Roaming*",#REF!)</f>
        <v>#REF!</v>
      </c>
      <c r="U41" s="3" t="e">
        <f>C41-111-L41-N41-P41-R41-T41-SUMIF(#REF!,A41&amp;"Minutos*",#REF!)-SUMIF(#REF!,A41&amp;"A *",#REF!)</f>
        <v>#REF!</v>
      </c>
      <c r="V41" s="4" t="e">
        <f t="shared" si="5"/>
        <v>#REF!</v>
      </c>
      <c r="W41" s="88" t="e">
        <f>V41</f>
        <v>#REF!</v>
      </c>
      <c r="X41" s="71"/>
      <c r="Y41" s="71"/>
      <c r="Z41" s="77" t="s">
        <v>184</v>
      </c>
      <c r="AA41" t="s">
        <v>140</v>
      </c>
    </row>
    <row r="42" spans="1:27" hidden="1">
      <c r="A42">
        <v>2616648709</v>
      </c>
      <c r="B42" s="115" t="s">
        <v>22</v>
      </c>
      <c r="C42" s="68" t="e">
        <f>SUMIF(#REF!,A42,#REF!)</f>
        <v>#REF!</v>
      </c>
      <c r="D42" t="e">
        <f>SUMIF(#REF!,A42,#REF!)</f>
        <v>#REF!</v>
      </c>
      <c r="E42" s="22" t="s">
        <v>56</v>
      </c>
      <c r="F42" s="1" t="s">
        <v>161</v>
      </c>
      <c r="G42" s="2">
        <f t="shared" si="2"/>
        <v>111</v>
      </c>
      <c r="H42">
        <f t="shared" si="4"/>
        <v>250</v>
      </c>
      <c r="I42">
        <f t="shared" si="3"/>
        <v>0.37080000000000002</v>
      </c>
      <c r="J42" t="e">
        <f>IF((SUMIF(#REF!,A42&amp;"Minutos*",#REF!)+SUMIF(#REF!,A42&amp;"A *",#REF!))&lt;=H42,0,(SUMIF(#REF!,A42&amp;"Minutos*",#REF!)+SUMIF(#REF!,A42&amp;"A *",#REF!))-H42)</f>
        <v>#REF!</v>
      </c>
      <c r="K42" s="57" t="e">
        <f>SUMIF(#REF!,A42&amp;"Mensajes Persona a Persona",#REF!)</f>
        <v>#REF!</v>
      </c>
      <c r="L42" s="3" t="e">
        <f>SUMIF(#REF!,A42&amp;"Mensajes Persona a Persona",#REF!)+SUMIF(#REF!,A42&amp;"PACK *00 SMS",#REF!)</f>
        <v>#REF!</v>
      </c>
      <c r="M42" s="8" t="e">
        <f>SUMIF(#REF!,A42&amp;"Mensajes Mul*",#REF!)</f>
        <v>#REF!</v>
      </c>
      <c r="N42" s="3" t="e">
        <f>SUMIF(#REF!,A42&amp;"Mensajes Mul*",#REF!)</f>
        <v>#REF!</v>
      </c>
      <c r="O42" s="3"/>
      <c r="P42" s="3" t="e">
        <f>SUMIF(#REF!,A42&amp;"Pack Mult*",#REF!)+SUMIF(#REF!,A42&amp;"Pack Blacberry BIS",#REF!)+SUMIF(#REF!,A42&amp;"Pack de datos*",#REF!)+SUMIF(#REF!,A42&amp;"Paquetes datos*",#REF!)+SUMIF(#REF!,A42&amp;"Paquete de datos*",#REF!)+SUMIF(#REF!,A42&amp;"Servicio BIS BLACKBERRY*",#REF!)+SUMIF(#REF!,A42&amp;"Pack Internet*",#REF!)+SUMIF(#REF!,A42&amp;"Pack de*",#REF!)+SUMIF(#REF!,A42&amp;"Pack 100M*",#REF!)++SUMIF(#REF!,A42&amp;"Paquete Internet*",#REF!)</f>
        <v>#REF!</v>
      </c>
      <c r="Q42" s="8" t="e">
        <f>SUMIF(#REF!,A42&amp;"Llamadas Roam*",#REF!)+SUMIF(#REF!,A42&amp;"Llamadas Internacionales",#REF!)</f>
        <v>#REF!</v>
      </c>
      <c r="R42" s="3" t="e">
        <f>SUMIF(#REF!,A42&amp;"Llamadas Roam*",#REF!)+SUMIF(#REF!,A42&amp;"Llamadas Internacionales",#REF!)+SUMIF(#REF!,A42&amp;"Llamadas y SMS Roaming",#REF!)+SUMIF(#REF!,A42&amp;"SMS Roaming",#REF!)</f>
        <v>#REF!</v>
      </c>
      <c r="S42" s="8" t="e">
        <f>SUMIF(#REF!,A42&amp;"Roaming*",#REF!)</f>
        <v>#REF!</v>
      </c>
      <c r="T42" s="3" t="e">
        <f>SUMIF(#REF!,A42&amp;"Roaming*",#REF!)+SUMIF(#REF!,A42&amp;"Internet Roaming*",#REF!)</f>
        <v>#REF!</v>
      </c>
      <c r="U42" s="3" t="e">
        <f>C42-111-L42-N42-P42-R42-T42-SUMIF(#REF!,A42&amp;"Minutos*",#REF!)-SUMIF(#REF!,A42&amp;"A *",#REF!)</f>
        <v>#REF!</v>
      </c>
      <c r="V42" s="4" t="e">
        <f t="shared" si="5"/>
        <v>#REF!</v>
      </c>
      <c r="W42" s="88" t="e">
        <f>V42</f>
        <v>#REF!</v>
      </c>
      <c r="Z42" s="65" t="s">
        <v>184</v>
      </c>
    </row>
    <row r="43" spans="1:27" hidden="1">
      <c r="A43">
        <v>2615977221</v>
      </c>
      <c r="B43" s="115" t="s">
        <v>33</v>
      </c>
      <c r="C43" s="68" t="e">
        <f>SUMIF(#REF!,A43,#REF!)</f>
        <v>#REF!</v>
      </c>
      <c r="D43" t="e">
        <f>SUMIF(#REF!,A43,#REF!)</f>
        <v>#REF!</v>
      </c>
      <c r="E43" s="22" t="s">
        <v>52</v>
      </c>
      <c r="F43" s="22" t="s">
        <v>163</v>
      </c>
      <c r="G43" s="2">
        <f t="shared" si="2"/>
        <v>62</v>
      </c>
      <c r="H43">
        <f t="shared" si="4"/>
        <v>105</v>
      </c>
      <c r="I43">
        <f t="shared" si="3"/>
        <v>0.40250000000000002</v>
      </c>
      <c r="J43" t="e">
        <f>IF((SUMIF(#REF!,A43&amp;"Minutos*",#REF!)+SUMIF(#REF!,A43&amp;"A *",#REF!))&lt;=H43,0,(SUMIF(#REF!,A43&amp;"Minutos*",#REF!)+SUMIF(#REF!,A43&amp;"A *",#REF!))-H43)</f>
        <v>#REF!</v>
      </c>
      <c r="K43" t="e">
        <f>SUMIF(#REF!,A43&amp;"Mensajes Persona a Persona",#REF!)</f>
        <v>#REF!</v>
      </c>
      <c r="L43" s="3" t="e">
        <f>SUMIF(#REF!,A43&amp;"Mensajes Persona a Persona",#REF!)+SUMIF(#REF!,A43&amp;"PACK *00 SMS",#REF!)</f>
        <v>#REF!</v>
      </c>
      <c r="M43" s="8" t="e">
        <f>SUMIF(#REF!,A43&amp;"Mensajes Mul*",#REF!)</f>
        <v>#REF!</v>
      </c>
      <c r="N43" s="3" t="e">
        <f>SUMIF(#REF!,A43&amp;"Mensajes Mul*",#REF!)</f>
        <v>#REF!</v>
      </c>
      <c r="O43" s="3"/>
      <c r="P43" s="3" t="e">
        <f>SUMIF(#REF!,A43&amp;"Pack Mult*",#REF!)+SUMIF(#REF!,A43&amp;"Pack Blacberry BIS",#REF!)+SUMIF(#REF!,A43&amp;"Pack de datos*",#REF!)+SUMIF(#REF!,A43&amp;"Paquetes datos*",#REF!)+SUMIF(#REF!,A43&amp;"Paquete de datos*",#REF!)+SUMIF(#REF!,A43&amp;"Servicio BIS BLACKBERRY*",#REF!)+SUMIF(#REF!,A43&amp;"Pack Internet*",#REF!)+SUMIF(#REF!,A43&amp;"Pack de*",#REF!)+SUMIF(#REF!,A43&amp;"Pack 100M*",#REF!)++SUMIF(#REF!,A43&amp;"Paquete Internet*",#REF!)</f>
        <v>#REF!</v>
      </c>
      <c r="Q43" s="8" t="e">
        <f>SUMIF(#REF!,A43&amp;"Llamadas Roam*",#REF!)+SUMIF(#REF!,A43&amp;"Llamadas Internacionales",#REF!)</f>
        <v>#REF!</v>
      </c>
      <c r="R43" s="3" t="e">
        <f>SUMIF(#REF!,A43&amp;"Llamadas Roam*",#REF!)+SUMIF(#REF!,A43&amp;"Llamadas Internacionales",#REF!)+SUMIF(#REF!,A43&amp;"Llamadas y SMS Roaming",#REF!)+SUMIF(#REF!,A43&amp;"SMS Roaming",#REF!)</f>
        <v>#REF!</v>
      </c>
      <c r="S43" s="8" t="e">
        <f>SUMIF(#REF!,A43&amp;"Roaming*",#REF!)</f>
        <v>#REF!</v>
      </c>
      <c r="T43" s="3" t="e">
        <f>SUMIF(#REF!,A43&amp;"Roaming*",#REF!)+SUMIF(#REF!,A43&amp;"Internet Roaming*",#REF!)</f>
        <v>#REF!</v>
      </c>
      <c r="U43" s="3" t="e">
        <f>C43-111-L43-N43-P43-R43-T43-SUMIF(#REF!,A43&amp;"Minutos*",#REF!)-SUMIF(#REF!,A43&amp;"A *",#REF!)</f>
        <v>#REF!</v>
      </c>
      <c r="V43" s="4" t="e">
        <f t="shared" si="5"/>
        <v>#REF!</v>
      </c>
      <c r="W43" s="88" t="e">
        <f>V43</f>
        <v>#REF!</v>
      </c>
      <c r="X43" s="62"/>
      <c r="Y43" s="62"/>
      <c r="Z43" s="62" t="s">
        <v>184</v>
      </c>
    </row>
    <row r="44" spans="1:27" hidden="1">
      <c r="A44">
        <v>2615968885</v>
      </c>
      <c r="B44" s="115" t="s">
        <v>73</v>
      </c>
      <c r="C44" s="68" t="e">
        <f>SUMIF(#REF!,A44,#REF!)</f>
        <v>#REF!</v>
      </c>
      <c r="D44" t="e">
        <f>SUMIF(#REF!,A44,#REF!)</f>
        <v>#REF!</v>
      </c>
      <c r="E44" s="1" t="s">
        <v>64</v>
      </c>
      <c r="F44" s="1" t="s">
        <v>161</v>
      </c>
      <c r="G44" s="2">
        <f t="shared" si="2"/>
        <v>111</v>
      </c>
      <c r="H44">
        <f t="shared" si="4"/>
        <v>250</v>
      </c>
      <c r="I44">
        <f t="shared" si="3"/>
        <v>0.37080000000000002</v>
      </c>
      <c r="J44" t="e">
        <f>IF((SUMIF(#REF!,A44&amp;"Minutos*",#REF!)+SUMIF(#REF!,A44&amp;"A *",#REF!))&lt;=H44,0,(SUMIF(#REF!,A44&amp;"Minutos*",#REF!)+SUMIF(#REF!,A44&amp;"A *",#REF!))-H44)</f>
        <v>#REF!</v>
      </c>
      <c r="K44" t="e">
        <f>SUMIF(#REF!,A44&amp;"Mensajes Persona a Persona",#REF!)</f>
        <v>#REF!</v>
      </c>
      <c r="L44" s="3" t="e">
        <f>SUMIF(#REF!,A44&amp;"Mensajes Persona a Persona",#REF!)+SUMIF(#REF!,A44&amp;"PACK *00 SMS",#REF!)</f>
        <v>#REF!</v>
      </c>
      <c r="M44" s="8" t="e">
        <f>SUMIF(#REF!,A44&amp;"Mensajes Mul*",#REF!)</f>
        <v>#REF!</v>
      </c>
      <c r="N44" s="3" t="e">
        <f>SUMIF(#REF!,A44&amp;"Mensajes Mul*",#REF!)</f>
        <v>#REF!</v>
      </c>
      <c r="O44" s="3"/>
      <c r="P44" s="3" t="e">
        <f>SUMIF(#REF!,A44&amp;"Pack Mult*",#REF!)+SUMIF(#REF!,A44&amp;"Pack Blacberry BIS",#REF!)+SUMIF(#REF!,A44&amp;"Pack de datos*",#REF!)+SUMIF(#REF!,A44&amp;"Paquetes datos*",#REF!)+SUMIF(#REF!,A44&amp;"Paquete de datos*",#REF!)+SUMIF(#REF!,A44&amp;"Servicio BIS BLACKBERRY*",#REF!)+SUMIF(#REF!,A44&amp;"Pack Internet*",#REF!)+SUMIF(#REF!,A44&amp;"Pack de*",#REF!)+SUMIF(#REF!,A44&amp;"Pack 100M*",#REF!)++SUMIF(#REF!,A44&amp;"Paquete Internet*",#REF!)</f>
        <v>#REF!</v>
      </c>
      <c r="Q44" s="8" t="e">
        <f>SUMIF(#REF!,A44&amp;"Llamadas Roam*",#REF!)+SUMIF(#REF!,A44&amp;"Llamadas Internacionales",#REF!)</f>
        <v>#REF!</v>
      </c>
      <c r="R44" s="3" t="e">
        <f>SUMIF(#REF!,A44&amp;"Llamadas Roam*",#REF!)+SUMIF(#REF!,A44&amp;"Llamadas Internacionales",#REF!)+SUMIF(#REF!,A44&amp;"Llamadas y SMS Roaming",#REF!)+SUMIF(#REF!,A44&amp;"SMS Roaming",#REF!)</f>
        <v>#REF!</v>
      </c>
      <c r="S44" s="8" t="e">
        <f>SUMIF(#REF!,A44&amp;"Roaming*",#REF!)</f>
        <v>#REF!</v>
      </c>
      <c r="T44" s="3" t="e">
        <f>SUMIF(#REF!,A44&amp;"Roaming*",#REF!)+SUMIF(#REF!,A44&amp;"Internet Roaming*",#REF!)</f>
        <v>#REF!</v>
      </c>
      <c r="U44" s="3" t="e">
        <f>C44-111-L44-N44-P44-R44-T44-SUMIF(#REF!,A44&amp;"Minutos*",#REF!)-SUMIF(#REF!,A44&amp;"A *",#REF!)</f>
        <v>#REF!</v>
      </c>
      <c r="V44" s="2" t="e">
        <f t="shared" si="5"/>
        <v>#REF!</v>
      </c>
      <c r="W44" s="2"/>
      <c r="Y44" t="s">
        <v>139</v>
      </c>
      <c r="Z44" s="65" t="s">
        <v>184</v>
      </c>
    </row>
    <row r="45" spans="1:27" hidden="1">
      <c r="A45">
        <v>2615557588</v>
      </c>
      <c r="B45" s="115" t="s">
        <v>137</v>
      </c>
      <c r="C45" s="68" t="e">
        <f>SUMIF(#REF!,A45,#REF!)</f>
        <v>#REF!</v>
      </c>
      <c r="D45" t="e">
        <f>SUMIF(#REF!,A45,#REF!)</f>
        <v>#REF!</v>
      </c>
      <c r="E45" s="22" t="s">
        <v>52</v>
      </c>
      <c r="F45" s="1" t="s">
        <v>161</v>
      </c>
      <c r="G45" s="2">
        <f t="shared" si="2"/>
        <v>111</v>
      </c>
      <c r="H45">
        <f t="shared" si="4"/>
        <v>250</v>
      </c>
      <c r="I45">
        <f t="shared" si="3"/>
        <v>0.37080000000000002</v>
      </c>
      <c r="J45" t="e">
        <f>IF((SUMIF(#REF!,A45&amp;"Minutos*",#REF!)+SUMIF(#REF!,A45&amp;"A *",#REF!))&lt;=H45,0,(SUMIF(#REF!,A45&amp;"Minutos*",#REF!)+SUMIF(#REF!,A45&amp;"A *",#REF!))-H45)</f>
        <v>#REF!</v>
      </c>
      <c r="K45" t="e">
        <f>SUMIF(#REF!,A45&amp;"Mensajes Persona a Persona",#REF!)</f>
        <v>#REF!</v>
      </c>
      <c r="L45" s="3" t="e">
        <f>SUMIF(#REF!,A45&amp;"Mensajes Persona a Persona",#REF!)+SUMIF(#REF!,A45&amp;"PACK *00 SMS",#REF!)</f>
        <v>#REF!</v>
      </c>
      <c r="M45" s="8" t="e">
        <f>SUMIF(#REF!,A45&amp;"Mensajes Mul*",#REF!)</f>
        <v>#REF!</v>
      </c>
      <c r="N45" s="3" t="e">
        <f>SUMIF(#REF!,A45&amp;"Mensajes Mul*",#REF!)</f>
        <v>#REF!</v>
      </c>
      <c r="O45" s="3"/>
      <c r="P45" s="3" t="e">
        <f>SUMIF(#REF!,A45&amp;"Pack Mult*",#REF!)+SUMIF(#REF!,A45&amp;"Pack Blacberry BIS",#REF!)+SUMIF(#REF!,A45&amp;"Pack de datos*",#REF!)+SUMIF(#REF!,A45&amp;"Paquetes datos*",#REF!)+SUMIF(#REF!,A45&amp;"Paquete de datos*",#REF!)+SUMIF(#REF!,A45&amp;"Servicio BIS BLACKBERRY*",#REF!)+SUMIF(#REF!,A45&amp;"Pack Internet*",#REF!)+SUMIF(#REF!,A45&amp;"Pack de*",#REF!)+SUMIF(#REF!,A45&amp;"Pack 100M*",#REF!)++SUMIF(#REF!,A45&amp;"Paquete Internet*",#REF!)</f>
        <v>#REF!</v>
      </c>
      <c r="Q45" s="8" t="e">
        <f>SUMIF(#REF!,A45&amp;"Llamadas Roam*",#REF!)+SUMIF(#REF!,A45&amp;"Llamadas Internacionales",#REF!)</f>
        <v>#REF!</v>
      </c>
      <c r="R45" s="3" t="e">
        <f>SUMIF(#REF!,A45&amp;"Llamadas Roam*",#REF!)+SUMIF(#REF!,A45&amp;"Llamadas Internacionales",#REF!)+SUMIF(#REF!,A45&amp;"Llamadas y SMS Roaming",#REF!)+SUMIF(#REF!,A45&amp;"SMS Roaming",#REF!)</f>
        <v>#REF!</v>
      </c>
      <c r="S45" s="8" t="e">
        <f>SUMIF(#REF!,A45&amp;"Roaming*",#REF!)</f>
        <v>#REF!</v>
      </c>
      <c r="T45" s="3" t="e">
        <f>SUMIF(#REF!,A45&amp;"Roaming*",#REF!)+SUMIF(#REF!,A45&amp;"Internet Roaming*",#REF!)</f>
        <v>#REF!</v>
      </c>
      <c r="U45" s="3" t="e">
        <f>C45-111-L45-N45-P45-R45-T45-SUMIF(#REF!,A45&amp;"Minutos*",#REF!)-SUMIF(#REF!,A45&amp;"A *",#REF!)</f>
        <v>#REF!</v>
      </c>
      <c r="V45" s="4" t="e">
        <f t="shared" si="5"/>
        <v>#REF!</v>
      </c>
      <c r="W45" s="88" t="e">
        <f>V45</f>
        <v>#REF!</v>
      </c>
      <c r="Y45" t="s">
        <v>138</v>
      </c>
      <c r="Z45" s="65" t="s">
        <v>184</v>
      </c>
      <c r="AA45" t="s">
        <v>5</v>
      </c>
    </row>
    <row r="46" spans="1:27" hidden="1">
      <c r="A46">
        <v>2615123926</v>
      </c>
      <c r="B46" s="115" t="s">
        <v>37</v>
      </c>
      <c r="C46" s="68" t="e">
        <f>SUMIF(#REF!,A46,#REF!)</f>
        <v>#REF!</v>
      </c>
      <c r="D46" t="e">
        <f>SUMIF(#REF!,A46,#REF!)</f>
        <v>#REF!</v>
      </c>
      <c r="E46" s="1" t="s">
        <v>64</v>
      </c>
      <c r="F46" s="1" t="s">
        <v>161</v>
      </c>
      <c r="G46" s="2">
        <f t="shared" si="2"/>
        <v>111</v>
      </c>
      <c r="H46">
        <f t="shared" si="4"/>
        <v>250</v>
      </c>
      <c r="I46">
        <f t="shared" si="3"/>
        <v>0.37080000000000002</v>
      </c>
      <c r="J46" t="e">
        <f>IF((SUMIF(#REF!,A46&amp;"Minutos*",#REF!)+SUMIF(#REF!,A46&amp;"A *",#REF!))&lt;=H46,0,(SUMIF(#REF!,A46&amp;"Minutos*",#REF!)+SUMIF(#REF!,A46&amp;"A *",#REF!))-H46)</f>
        <v>#REF!</v>
      </c>
      <c r="K46" s="57" t="e">
        <f>SUMIF(#REF!,A46&amp;"Mensajes Persona a Persona",#REF!)</f>
        <v>#REF!</v>
      </c>
      <c r="L46" s="3" t="e">
        <f>SUMIF(#REF!,A46&amp;"Mensajes Persona a Persona",#REF!)+SUMIF(#REF!,A46&amp;"PACK *00 SMS",#REF!)</f>
        <v>#REF!</v>
      </c>
      <c r="M46" s="8" t="e">
        <f>SUMIF(#REF!,A46&amp;"Mensajes Mul*",#REF!)</f>
        <v>#REF!</v>
      </c>
      <c r="N46" s="3" t="e">
        <f>SUMIF(#REF!,A46&amp;"Mensajes Mul*",#REF!)</f>
        <v>#REF!</v>
      </c>
      <c r="O46" s="3"/>
      <c r="P46" s="3" t="e">
        <f>SUMIF(#REF!,A46&amp;"Pack Mult*",#REF!)+SUMIF(#REF!,A46&amp;"Pack Blacberry BIS",#REF!)+SUMIF(#REF!,A46&amp;"Pack de datos*",#REF!)+SUMIF(#REF!,A46&amp;"Paquetes datos*",#REF!)+SUMIF(#REF!,A46&amp;"Paquete de datos*",#REF!)+SUMIF(#REF!,A46&amp;"Servicio BIS BLACKBERRY*",#REF!)+SUMIF(#REF!,A46&amp;"Pack Internet*",#REF!)+SUMIF(#REF!,A46&amp;"Pack de*",#REF!)+SUMIF(#REF!,A46&amp;"Pack 100M*",#REF!)++SUMIF(#REF!,A46&amp;"Paquete Internet*",#REF!)</f>
        <v>#REF!</v>
      </c>
      <c r="Q46" s="8" t="e">
        <f>SUMIF(#REF!,A46&amp;"Llamadas Roam*",#REF!)+SUMIF(#REF!,A46&amp;"Llamadas Internacionales",#REF!)</f>
        <v>#REF!</v>
      </c>
      <c r="R46" s="3" t="e">
        <f>SUMIF(#REF!,A46&amp;"Llamadas Roam*",#REF!)+SUMIF(#REF!,A46&amp;"Llamadas Internacionales",#REF!)+SUMIF(#REF!,A46&amp;"Llamadas y SMS Roaming",#REF!)+SUMIF(#REF!,A46&amp;"SMS Roaming",#REF!)</f>
        <v>#REF!</v>
      </c>
      <c r="S46" s="8" t="e">
        <f>SUMIF(#REF!,A46&amp;"Roaming*",#REF!)</f>
        <v>#REF!</v>
      </c>
      <c r="T46" s="3" t="e">
        <f>SUMIF(#REF!,A46&amp;"Roaming*",#REF!)+SUMIF(#REF!,A46&amp;"Internet Roaming*",#REF!)</f>
        <v>#REF!</v>
      </c>
      <c r="U46" s="3" t="e">
        <f>C46-111-L46-N46-P46-R46-T46-SUMIF(#REF!,A46&amp;"Minutos*",#REF!)-SUMIF(#REF!,A46&amp;"A *",#REF!)</f>
        <v>#REF!</v>
      </c>
      <c r="V46" s="2" t="e">
        <f t="shared" si="5"/>
        <v>#REF!</v>
      </c>
      <c r="W46" s="66"/>
      <c r="Y46" s="65" t="s">
        <v>178</v>
      </c>
      <c r="Z46" s="65" t="s">
        <v>184</v>
      </c>
      <c r="AA46" t="s">
        <v>5</v>
      </c>
    </row>
    <row r="47" spans="1:27" hidden="1">
      <c r="A47">
        <v>2615940527</v>
      </c>
      <c r="B47" s="115" t="s">
        <v>208</v>
      </c>
      <c r="C47" s="68" t="e">
        <f>SUMIF(#REF!,A47,#REF!)</f>
        <v>#REF!</v>
      </c>
      <c r="D47" t="e">
        <f>SUMIF(#REF!,A47,#REF!)</f>
        <v>#REF!</v>
      </c>
      <c r="E47" s="1" t="s">
        <v>64</v>
      </c>
      <c r="F47" s="1" t="s">
        <v>161</v>
      </c>
      <c r="G47" s="2">
        <f t="shared" si="2"/>
        <v>111</v>
      </c>
      <c r="H47">
        <f t="shared" si="4"/>
        <v>250</v>
      </c>
      <c r="I47">
        <f t="shared" si="3"/>
        <v>0.37080000000000002</v>
      </c>
      <c r="J47" t="e">
        <f>IF((SUMIF(#REF!,A47&amp;"Minutos*",#REF!)+SUMIF(#REF!,A47&amp;"A *",#REF!))&lt;=H47,0,(SUMIF(#REF!,A47&amp;"Minutos*",#REF!)+SUMIF(#REF!,A47&amp;"A *",#REF!))-H47)</f>
        <v>#REF!</v>
      </c>
      <c r="K47" t="e">
        <f>SUMIF(#REF!,A47&amp;"Mensajes Persona a Persona",#REF!)</f>
        <v>#REF!</v>
      </c>
      <c r="L47" s="3" t="e">
        <f>SUMIF(#REF!,A47&amp;"Mensajes Persona a Persona",#REF!)+SUMIF(#REF!,A47&amp;"PACK *00 SMS",#REF!)</f>
        <v>#REF!</v>
      </c>
      <c r="M47" s="8" t="e">
        <f>SUMIF(#REF!,A47&amp;"Mensajes Mul*",#REF!)</f>
        <v>#REF!</v>
      </c>
      <c r="N47" s="3" t="e">
        <f>SUMIF(#REF!,A47&amp;"Mensajes Mul*",#REF!)</f>
        <v>#REF!</v>
      </c>
      <c r="O47" s="3"/>
      <c r="P47" s="3" t="e">
        <f>SUMIF(#REF!,A47&amp;"Pack Mult*",#REF!)+SUMIF(#REF!,A47&amp;"Pack Blacberry BIS",#REF!)+SUMIF(#REF!,A47&amp;"Pack de datos*",#REF!)+SUMIF(#REF!,A47&amp;"Paquetes datos*",#REF!)+SUMIF(#REF!,A47&amp;"Paquete de datos*",#REF!)+SUMIF(#REF!,A47&amp;"Servicio BIS BLACKBERRY*",#REF!)+SUMIF(#REF!,A47&amp;"Pack Internet*",#REF!)+SUMIF(#REF!,A47&amp;"Pack de*",#REF!)+SUMIF(#REF!,A47&amp;"Pack 100M*",#REF!)++SUMIF(#REF!,A47&amp;"Paquete Internet*",#REF!)</f>
        <v>#REF!</v>
      </c>
      <c r="Q47" s="8" t="e">
        <f>SUMIF(#REF!,A47&amp;"Llamadas Roam*",#REF!)+SUMIF(#REF!,A47&amp;"Llamadas Internacionales",#REF!)</f>
        <v>#REF!</v>
      </c>
      <c r="R47" s="3" t="e">
        <f>SUMIF(#REF!,A47&amp;"Llamadas Roam*",#REF!)+SUMIF(#REF!,A47&amp;"Llamadas Internacionales",#REF!)+SUMIF(#REF!,A47&amp;"Llamadas y SMS Roaming",#REF!)+SUMIF(#REF!,A47&amp;"SMS Roaming",#REF!)</f>
        <v>#REF!</v>
      </c>
      <c r="S47" s="8" t="e">
        <f>SUMIF(#REF!,A47&amp;"Roaming*",#REF!)</f>
        <v>#REF!</v>
      </c>
      <c r="T47" s="3" t="e">
        <f>SUMIF(#REF!,A47&amp;"Roaming*",#REF!)+SUMIF(#REF!,A47&amp;"Internet Roaming*",#REF!)</f>
        <v>#REF!</v>
      </c>
      <c r="U47" s="3" t="e">
        <f>C47-111-L47-N47-P47-R47-T47-SUMIF(#REF!,A47&amp;"Minutos*",#REF!)-SUMIF(#REF!,A47&amp;"A *",#REF!)</f>
        <v>#REF!</v>
      </c>
      <c r="V47" s="2" t="e">
        <f t="shared" si="5"/>
        <v>#REF!</v>
      </c>
      <c r="Z47" s="83" t="s">
        <v>194</v>
      </c>
    </row>
    <row r="48" spans="1:27" hidden="1">
      <c r="A48">
        <v>2615192638</v>
      </c>
      <c r="B48" s="115" t="s">
        <v>18</v>
      </c>
      <c r="C48" s="68" t="e">
        <f>SUMIF(#REF!,A48,#REF!)</f>
        <v>#REF!</v>
      </c>
      <c r="D48" t="e">
        <f>SUMIF(#REF!,A48,#REF!)</f>
        <v>#REF!</v>
      </c>
      <c r="E48" s="23" t="s">
        <v>63</v>
      </c>
      <c r="F48" s="1" t="s">
        <v>161</v>
      </c>
      <c r="G48" s="2">
        <f t="shared" si="2"/>
        <v>111</v>
      </c>
      <c r="H48">
        <f t="shared" si="4"/>
        <v>250</v>
      </c>
      <c r="I48">
        <f t="shared" si="3"/>
        <v>0.37080000000000002</v>
      </c>
      <c r="J48" t="e">
        <f>IF((SUMIF(#REF!,A48&amp;"Minutos*",#REF!)+SUMIF(#REF!,A48&amp;"A *",#REF!))&lt;=H48,0,(SUMIF(#REF!,A48&amp;"Minutos*",#REF!)+SUMIF(#REF!,A48&amp;"A *",#REF!))-H48)</f>
        <v>#REF!</v>
      </c>
      <c r="K48" t="e">
        <f>SUMIF(#REF!,A48&amp;"Mensajes Persona a Persona",#REF!)</f>
        <v>#REF!</v>
      </c>
      <c r="L48" s="3" t="e">
        <f>SUMIF(#REF!,A48&amp;"Mensajes Persona a Persona",#REF!)+SUMIF(#REF!,A48&amp;"PACK *00 SMS",#REF!)</f>
        <v>#REF!</v>
      </c>
      <c r="M48" s="8" t="e">
        <f>SUMIF(#REF!,A48&amp;"Mensajes Mul*",#REF!)</f>
        <v>#REF!</v>
      </c>
      <c r="N48" s="3" t="e">
        <f>SUMIF(#REF!,A48&amp;"Mensajes Mul*",#REF!)</f>
        <v>#REF!</v>
      </c>
      <c r="O48" s="3"/>
      <c r="P48" s="3" t="e">
        <f>SUMIF(#REF!,A48&amp;"Pack Mult*",#REF!)+SUMIF(#REF!,A48&amp;"Pack Blacberry BIS",#REF!)+SUMIF(#REF!,A48&amp;"Pack de datos*",#REF!)+SUMIF(#REF!,A48&amp;"Paquetes datos*",#REF!)+SUMIF(#REF!,A48&amp;"Paquete de datos*",#REF!)+SUMIF(#REF!,A48&amp;"Servicio BIS BLACKBERRY*",#REF!)+SUMIF(#REF!,A48&amp;"Pack Internet*",#REF!)+SUMIF(#REF!,A48&amp;"Pack de*",#REF!)+SUMIF(#REF!,A48&amp;"Pack 100M*",#REF!)++SUMIF(#REF!,A48&amp;"Paquete Internet*",#REF!)</f>
        <v>#REF!</v>
      </c>
      <c r="Q48" s="8" t="e">
        <f>SUMIF(#REF!,A48&amp;"Llamadas Roam*",#REF!)+SUMIF(#REF!,A48&amp;"Llamadas Internacionales",#REF!)</f>
        <v>#REF!</v>
      </c>
      <c r="R48" s="3" t="e">
        <f>SUMIF(#REF!,A48&amp;"Llamadas Roam*",#REF!)+SUMIF(#REF!,A48&amp;"Llamadas Internacionales",#REF!)+SUMIF(#REF!,A48&amp;"Llamadas y SMS Roaming",#REF!)+SUMIF(#REF!,A48&amp;"SMS Roaming",#REF!)</f>
        <v>#REF!</v>
      </c>
      <c r="S48" s="8" t="e">
        <f>SUMIF(#REF!,A48&amp;"Roaming*",#REF!)</f>
        <v>#REF!</v>
      </c>
      <c r="T48" s="3" t="e">
        <f>SUMIF(#REF!,A48&amp;"Roaming*",#REF!)+SUMIF(#REF!,A48&amp;"Internet Roaming*",#REF!)</f>
        <v>#REF!</v>
      </c>
      <c r="U48" s="3" t="e">
        <f>C48-111-L48-N48-P48-R48-T48-SUMIF(#REF!,A48&amp;"Minutos*",#REF!)-SUMIF(#REF!,A48&amp;"A *",#REF!)</f>
        <v>#REF!</v>
      </c>
      <c r="V48" s="4" t="e">
        <f t="shared" si="5"/>
        <v>#REF!</v>
      </c>
      <c r="W48" s="2" t="e">
        <f>(P48*(1+$C$74+$C$75+$C$76)+O48*1.21)</f>
        <v>#REF!</v>
      </c>
      <c r="X48" t="s">
        <v>69</v>
      </c>
      <c r="Z48" s="65" t="s">
        <v>184</v>
      </c>
      <c r="AA48" t="s">
        <v>4</v>
      </c>
    </row>
    <row r="49" spans="1:27" hidden="1">
      <c r="A49">
        <v>2616408736</v>
      </c>
      <c r="B49" s="115" t="s">
        <v>40</v>
      </c>
      <c r="C49" s="68" t="e">
        <f>SUMIF(#REF!,A49,#REF!)</f>
        <v>#REF!</v>
      </c>
      <c r="D49" t="e">
        <f>SUMIF(#REF!,A49,#REF!)</f>
        <v>#REF!</v>
      </c>
      <c r="E49" s="23" t="s">
        <v>55</v>
      </c>
      <c r="F49" s="1" t="s">
        <v>161</v>
      </c>
      <c r="G49" s="2">
        <f t="shared" si="2"/>
        <v>111</v>
      </c>
      <c r="H49">
        <f t="shared" si="4"/>
        <v>250</v>
      </c>
      <c r="I49">
        <f t="shared" si="3"/>
        <v>0.37080000000000002</v>
      </c>
      <c r="J49" t="e">
        <f>IF((SUMIF(#REF!,A49&amp;"Minutos*",#REF!)+SUMIF(#REF!,A49&amp;"A *",#REF!))&lt;=H49,0,(SUMIF(#REF!,A49&amp;"Minutos*",#REF!)+SUMIF(#REF!,A49&amp;"A *",#REF!))-H49)</f>
        <v>#REF!</v>
      </c>
      <c r="K49" t="e">
        <f>SUMIF(#REF!,A49&amp;"Mensajes Persona a Persona",#REF!)</f>
        <v>#REF!</v>
      </c>
      <c r="L49" s="3" t="e">
        <f>SUMIF(#REF!,A49&amp;"Mensajes Persona a Persona",#REF!)+SUMIF(#REF!,A49&amp;"PACK *00 SMS",#REF!)</f>
        <v>#REF!</v>
      </c>
      <c r="M49" s="8" t="e">
        <f>SUMIF(#REF!,A49&amp;"Mensajes Mul*",#REF!)</f>
        <v>#REF!</v>
      </c>
      <c r="N49" s="3" t="e">
        <f>SUMIF(#REF!,A49&amp;"Mensajes Mul*",#REF!)</f>
        <v>#REF!</v>
      </c>
      <c r="O49" s="3"/>
      <c r="P49" s="3" t="e">
        <f>SUMIF(#REF!,A49&amp;"Pack Mult*",#REF!)+SUMIF(#REF!,A49&amp;"Pack Blacberry BIS",#REF!)+SUMIF(#REF!,A49&amp;"Pack de datos*",#REF!)+SUMIF(#REF!,A49&amp;"Paquetes datos*",#REF!)+SUMIF(#REF!,A49&amp;"Paquete de datos*",#REF!)+SUMIF(#REF!,A49&amp;"Servicio BIS BLACKBERRY*",#REF!)+SUMIF(#REF!,A49&amp;"Pack Internet*",#REF!)+SUMIF(#REF!,A49&amp;"Pack de*",#REF!)+SUMIF(#REF!,A49&amp;"Pack 100M*",#REF!)++SUMIF(#REF!,A49&amp;"Paquete Internet*",#REF!)</f>
        <v>#REF!</v>
      </c>
      <c r="Q49" s="8" t="e">
        <f>SUMIF(#REF!,A49&amp;"Llamadas Roam*",#REF!)+SUMIF(#REF!,A49&amp;"Llamadas Internacionales",#REF!)</f>
        <v>#REF!</v>
      </c>
      <c r="R49" s="3" t="e">
        <f>SUMIF(#REF!,A49&amp;"Llamadas Roam*",#REF!)+SUMIF(#REF!,A49&amp;"Llamadas Internacionales",#REF!)+SUMIF(#REF!,A49&amp;"Llamadas y SMS Roaming",#REF!)+SUMIF(#REF!,A49&amp;"SMS Roaming",#REF!)</f>
        <v>#REF!</v>
      </c>
      <c r="S49" s="8" t="e">
        <f>SUMIF(#REF!,A49&amp;"Roaming*",#REF!)</f>
        <v>#REF!</v>
      </c>
      <c r="T49" s="3" t="e">
        <f>SUMIF(#REF!,A49&amp;"Roaming*",#REF!)+SUMIF(#REF!,A49&amp;"Internet Roaming*",#REF!)</f>
        <v>#REF!</v>
      </c>
      <c r="U49" s="3" t="e">
        <f>C49-111-L49-N49-P49-R49-T49-SUMIF(#REF!,A49&amp;"Minutos*",#REF!)-SUMIF(#REF!,A49&amp;"A *",#REF!)</f>
        <v>#REF!</v>
      </c>
      <c r="V49" s="4" t="e">
        <f t="shared" si="5"/>
        <v>#REF!</v>
      </c>
      <c r="W49" s="2" t="e">
        <f>V49</f>
        <v>#REF!</v>
      </c>
      <c r="Z49" s="65" t="s">
        <v>184</v>
      </c>
      <c r="AA49" t="s">
        <v>3</v>
      </c>
    </row>
    <row r="50" spans="1:27" hidden="1">
      <c r="A50">
        <v>2615162884</v>
      </c>
      <c r="B50" s="115" t="s">
        <v>27</v>
      </c>
      <c r="C50" s="68" t="e">
        <f>SUMIF(#REF!,A50,#REF!)</f>
        <v>#REF!</v>
      </c>
      <c r="D50" t="e">
        <f>SUMIF(#REF!,A50,#REF!)</f>
        <v>#REF!</v>
      </c>
      <c r="E50" s="1" t="s">
        <v>64</v>
      </c>
      <c r="F50" s="1" t="s">
        <v>161</v>
      </c>
      <c r="G50" s="2">
        <f t="shared" si="2"/>
        <v>111</v>
      </c>
      <c r="H50">
        <f t="shared" si="4"/>
        <v>250</v>
      </c>
      <c r="I50">
        <f t="shared" si="3"/>
        <v>0.37080000000000002</v>
      </c>
      <c r="J50" t="e">
        <f>IF((SUMIF(#REF!,A50&amp;"Minutos*",#REF!)+SUMIF(#REF!,A50&amp;"A *",#REF!))&lt;=H50,0,(SUMIF(#REF!,A50&amp;"Minutos*",#REF!)+SUMIF(#REF!,A50&amp;"A *",#REF!))-H50)</f>
        <v>#REF!</v>
      </c>
      <c r="K50" t="e">
        <f>SUMIF(#REF!,A50&amp;"Mensajes Persona a Persona",#REF!)</f>
        <v>#REF!</v>
      </c>
      <c r="L50" s="3" t="e">
        <f>SUMIF(#REF!,A50&amp;"Mensajes Persona a Persona",#REF!)+SUMIF(#REF!,A50&amp;"PACK *00 SMS",#REF!)</f>
        <v>#REF!</v>
      </c>
      <c r="M50" s="8" t="e">
        <f>SUMIF(#REF!,A50&amp;"Mensajes Mul*",#REF!)</f>
        <v>#REF!</v>
      </c>
      <c r="N50" s="3" t="e">
        <f>SUMIF(#REF!,A50&amp;"Mensajes Mul*",#REF!)</f>
        <v>#REF!</v>
      </c>
      <c r="O50" s="3"/>
      <c r="P50" s="3" t="e">
        <f>SUMIF(#REF!,A50&amp;"Pack Mult*",#REF!)+SUMIF(#REF!,A50&amp;"Pack Blacberry BIS",#REF!)+SUMIF(#REF!,A50&amp;"Pack de datos*",#REF!)+SUMIF(#REF!,A50&amp;"Paquetes datos*",#REF!)+SUMIF(#REF!,A50&amp;"Paquete de datos*",#REF!)+SUMIF(#REF!,A50&amp;"Servicio BIS BLACKBERRY*",#REF!)+SUMIF(#REF!,A50&amp;"Pack Internet*",#REF!)+SUMIF(#REF!,A50&amp;"Pack de*",#REF!)+SUMIF(#REF!,A50&amp;"Pack 100M*",#REF!)++SUMIF(#REF!,A50&amp;"Paquete Internet*",#REF!)</f>
        <v>#REF!</v>
      </c>
      <c r="Q50" s="8" t="e">
        <f>SUMIF(#REF!,A50&amp;"Llamadas Roam*",#REF!)+SUMIF(#REF!,A50&amp;"Llamadas Internacionales",#REF!)</f>
        <v>#REF!</v>
      </c>
      <c r="R50" s="3" t="e">
        <f>SUMIF(#REF!,A50&amp;"Llamadas Roam*",#REF!)+SUMIF(#REF!,A50&amp;"Llamadas Internacionales",#REF!)+SUMIF(#REF!,A50&amp;"Llamadas y SMS Roaming",#REF!)+SUMIF(#REF!,A50&amp;"SMS Roaming",#REF!)</f>
        <v>#REF!</v>
      </c>
      <c r="S50" s="8" t="e">
        <f>SUMIF(#REF!,A50&amp;"Roaming*",#REF!)</f>
        <v>#REF!</v>
      </c>
      <c r="T50" s="3" t="e">
        <f>SUMIF(#REF!,A50&amp;"Roaming*",#REF!)+SUMIF(#REF!,A50&amp;"Internet Roaming*",#REF!)</f>
        <v>#REF!</v>
      </c>
      <c r="U50" s="3" t="e">
        <f>C50-111-L50-N50-P50-R50-T50-SUMIF(#REF!,A50&amp;"Minutos*",#REF!)-SUMIF(#REF!,A50&amp;"A *",#REF!)</f>
        <v>#REF!</v>
      </c>
      <c r="V50" s="2" t="e">
        <f t="shared" si="5"/>
        <v>#REF!</v>
      </c>
      <c r="W50" s="66"/>
      <c r="X50" s="71"/>
      <c r="Y50" s="71"/>
      <c r="Z50" s="77" t="s">
        <v>184</v>
      </c>
      <c r="AA50" t="s">
        <v>5</v>
      </c>
    </row>
    <row r="51" spans="1:27" hidden="1">
      <c r="A51">
        <v>2615756514</v>
      </c>
      <c r="B51" s="115" t="s">
        <v>38</v>
      </c>
      <c r="C51" s="68" t="e">
        <f>SUMIF(#REF!,A51,#REF!)</f>
        <v>#REF!</v>
      </c>
      <c r="D51" t="e">
        <f>SUMIF(#REF!,A51,#REF!)</f>
        <v>#REF!</v>
      </c>
      <c r="E51" s="22" t="s">
        <v>53</v>
      </c>
      <c r="F51" s="1" t="s">
        <v>161</v>
      </c>
      <c r="G51" s="2">
        <f t="shared" si="2"/>
        <v>111</v>
      </c>
      <c r="H51">
        <f t="shared" si="4"/>
        <v>250</v>
      </c>
      <c r="I51">
        <f t="shared" si="3"/>
        <v>0.37080000000000002</v>
      </c>
      <c r="J51" t="e">
        <f>IF((SUMIF(#REF!,A51&amp;"Minutos*",#REF!)+SUMIF(#REF!,A51&amp;"A *",#REF!))&lt;=H51,0,(SUMIF(#REF!,A51&amp;"Minutos*",#REF!)+SUMIF(#REF!,A51&amp;"A *",#REF!))-H51)</f>
        <v>#REF!</v>
      </c>
      <c r="K51" t="e">
        <f>SUMIF(#REF!,A51&amp;"Mensajes Persona a Persona",#REF!)</f>
        <v>#REF!</v>
      </c>
      <c r="L51" s="3" t="e">
        <f>SUMIF(#REF!,A51&amp;"Mensajes Persona a Persona",#REF!)+SUMIF(#REF!,A51&amp;"PACK *00 SMS",#REF!)</f>
        <v>#REF!</v>
      </c>
      <c r="M51" s="8" t="e">
        <f>SUMIF(#REF!,A51&amp;"Mensajes Mul*",#REF!)</f>
        <v>#REF!</v>
      </c>
      <c r="N51" s="3" t="e">
        <f>SUMIF(#REF!,A51&amp;"Mensajes Mul*",#REF!)</f>
        <v>#REF!</v>
      </c>
      <c r="O51" s="3"/>
      <c r="P51" s="3" t="e">
        <f>SUMIF(#REF!,A51&amp;"Pack Mult*",#REF!)+SUMIF(#REF!,A51&amp;"Pack Blacberry BIS",#REF!)+SUMIF(#REF!,A51&amp;"Pack de datos*",#REF!)+SUMIF(#REF!,A51&amp;"Paquetes datos*",#REF!)+SUMIF(#REF!,A51&amp;"Paquete de datos*",#REF!)+SUMIF(#REF!,A51&amp;"Servicio BIS BLACKBERRY*",#REF!)+SUMIF(#REF!,A51&amp;"Pack Internet*",#REF!)+SUMIF(#REF!,A51&amp;"Pack de*",#REF!)+SUMIF(#REF!,A51&amp;"Pack 100M*",#REF!)++SUMIF(#REF!,A51&amp;"Paquete Internet*",#REF!)</f>
        <v>#REF!</v>
      </c>
      <c r="Q51" s="8" t="e">
        <f>SUMIF(#REF!,A51&amp;"Llamadas Roam*",#REF!)+SUMIF(#REF!,A51&amp;"Llamadas Internacionales",#REF!)</f>
        <v>#REF!</v>
      </c>
      <c r="R51" s="3" t="e">
        <f>SUMIF(#REF!,A51&amp;"Llamadas Roam*",#REF!)+SUMIF(#REF!,A51&amp;"Llamadas Internacionales",#REF!)+SUMIF(#REF!,A51&amp;"Llamadas y SMS Roaming",#REF!)+SUMIF(#REF!,A51&amp;"SMS Roaming",#REF!)</f>
        <v>#REF!</v>
      </c>
      <c r="S51" s="8" t="e">
        <f>SUMIF(#REF!,A51&amp;"Roaming*",#REF!)</f>
        <v>#REF!</v>
      </c>
      <c r="T51" s="3" t="e">
        <f>SUMIF(#REF!,A51&amp;"Roaming*",#REF!)+SUMIF(#REF!,A51&amp;"Internet Roaming*",#REF!)</f>
        <v>#REF!</v>
      </c>
      <c r="U51" s="3" t="e">
        <f>C51-111-L51-N51-P51-R51-T51-SUMIF(#REF!,A51&amp;"Minutos*",#REF!)-SUMIF(#REF!,A51&amp;"A *",#REF!)</f>
        <v>#REF!</v>
      </c>
      <c r="V51" s="4" t="e">
        <f t="shared" si="5"/>
        <v>#REF!</v>
      </c>
      <c r="W51" s="88" t="e">
        <f>V51</f>
        <v>#REF!</v>
      </c>
      <c r="Z51" s="65" t="s">
        <v>184</v>
      </c>
      <c r="AA51" t="s">
        <v>5</v>
      </c>
    </row>
    <row r="52" spans="1:27" hidden="1">
      <c r="A52">
        <v>2616649334</v>
      </c>
      <c r="B52" s="115" t="s">
        <v>24</v>
      </c>
      <c r="C52" s="68" t="e">
        <f>SUMIF(#REF!,A52,#REF!)</f>
        <v>#REF!</v>
      </c>
      <c r="D52" t="e">
        <f>SUMIF(#REF!,A52,#REF!)</f>
        <v>#REF!</v>
      </c>
      <c r="E52" s="1" t="s">
        <v>64</v>
      </c>
      <c r="F52" s="1" t="s">
        <v>161</v>
      </c>
      <c r="G52" s="2">
        <f t="shared" si="2"/>
        <v>111</v>
      </c>
      <c r="H52">
        <f t="shared" si="4"/>
        <v>250</v>
      </c>
      <c r="I52">
        <f t="shared" si="3"/>
        <v>0.37080000000000002</v>
      </c>
      <c r="J52" t="e">
        <f>IF((SUMIF(#REF!,A52&amp;"Minutos*",#REF!)+SUMIF(#REF!,A52&amp;"A *",#REF!))&lt;=H52,0,(SUMIF(#REF!,A52&amp;"Minutos*",#REF!)+SUMIF(#REF!,A52&amp;"A *",#REF!))-H52)</f>
        <v>#REF!</v>
      </c>
      <c r="K52" t="e">
        <f>SUMIF(#REF!,A52&amp;"Mensajes Persona a Persona",#REF!)</f>
        <v>#REF!</v>
      </c>
      <c r="L52" s="3" t="e">
        <f>SUMIF(#REF!,A52&amp;"Mensajes Persona a Persona",#REF!)+SUMIF(#REF!,A52&amp;"PACK *00 SMS",#REF!)</f>
        <v>#REF!</v>
      </c>
      <c r="M52" s="8" t="e">
        <f>SUMIF(#REF!,A52&amp;"Mensajes Mul*",#REF!)</f>
        <v>#REF!</v>
      </c>
      <c r="N52" s="3" t="e">
        <f>SUMIF(#REF!,A52&amp;"Mensajes Mul*",#REF!)</f>
        <v>#REF!</v>
      </c>
      <c r="O52" s="3"/>
      <c r="P52" s="3" t="e">
        <f>SUMIF(#REF!,A52&amp;"Pack Mult*",#REF!)+SUMIF(#REF!,A52&amp;"Pack Blacberry BIS",#REF!)+SUMIF(#REF!,A52&amp;"Pack de datos*",#REF!)+SUMIF(#REF!,A52&amp;"Paquetes datos*",#REF!)+SUMIF(#REF!,A52&amp;"Paquete de datos*",#REF!)+SUMIF(#REF!,A52&amp;"Servicio BIS BLACKBERRY*",#REF!)+SUMIF(#REF!,A52&amp;"Pack Internet*",#REF!)+SUMIF(#REF!,A52&amp;"Pack de*",#REF!)+SUMIF(#REF!,A52&amp;"Pack 100M*",#REF!)++SUMIF(#REF!,A52&amp;"Paquete Internet*",#REF!)</f>
        <v>#REF!</v>
      </c>
      <c r="Q52" s="8" t="e">
        <f>SUMIF(#REF!,A52&amp;"Llamadas Roam*",#REF!)+SUMIF(#REF!,A52&amp;"Llamadas Internacionales",#REF!)</f>
        <v>#REF!</v>
      </c>
      <c r="R52" s="3" t="e">
        <f>SUMIF(#REF!,A52&amp;"Llamadas Roam*",#REF!)+SUMIF(#REF!,A52&amp;"Llamadas Internacionales",#REF!)+SUMIF(#REF!,A52&amp;"Llamadas y SMS Roaming",#REF!)+SUMIF(#REF!,A52&amp;"SMS Roaming",#REF!)</f>
        <v>#REF!</v>
      </c>
      <c r="S52" s="8" t="e">
        <f>SUMIF(#REF!,A52&amp;"Roaming*",#REF!)</f>
        <v>#REF!</v>
      </c>
      <c r="T52" s="3" t="e">
        <f>SUMIF(#REF!,A52&amp;"Roaming*",#REF!)+SUMIF(#REF!,A52&amp;"Internet Roaming*",#REF!)</f>
        <v>#REF!</v>
      </c>
      <c r="U52" s="3" t="e">
        <f>C52-111-L52-N52-P52-R52-T52-SUMIF(#REF!,A52&amp;"Minutos*",#REF!)-SUMIF(#REF!,A52&amp;"A *",#REF!)</f>
        <v>#REF!</v>
      </c>
      <c r="V52" s="2" t="e">
        <f t="shared" si="5"/>
        <v>#REF!</v>
      </c>
      <c r="W52" s="2"/>
      <c r="Y52" s="65" t="s">
        <v>177</v>
      </c>
      <c r="Z52" s="65" t="s">
        <v>184</v>
      </c>
    </row>
    <row r="53" spans="1:27" hidden="1">
      <c r="A53">
        <v>2614716174</v>
      </c>
      <c r="B53" s="115" t="s">
        <v>15</v>
      </c>
      <c r="C53" s="68" t="e">
        <f>SUMIF(#REF!,A53,#REF!)</f>
        <v>#REF!</v>
      </c>
      <c r="D53" t="e">
        <f>SUMIF(#REF!,A53,#REF!)</f>
        <v>#REF!</v>
      </c>
      <c r="E53" s="1" t="s">
        <v>64</v>
      </c>
      <c r="F53" s="1" t="s">
        <v>161</v>
      </c>
      <c r="G53" s="2">
        <f t="shared" si="2"/>
        <v>111</v>
      </c>
      <c r="H53">
        <f t="shared" si="4"/>
        <v>250</v>
      </c>
      <c r="I53">
        <f t="shared" si="3"/>
        <v>0.37080000000000002</v>
      </c>
      <c r="J53" t="e">
        <f>IF((SUMIF(#REF!,A53&amp;"Minutos*",#REF!)+SUMIF(#REF!,A53&amp;"A *",#REF!))&lt;=H53,0,(SUMIF(#REF!,A53&amp;"Minutos*",#REF!)+SUMIF(#REF!,A53&amp;"A *",#REF!))-H53)</f>
        <v>#REF!</v>
      </c>
      <c r="K53" t="e">
        <f>SUMIF(#REF!,A53&amp;"Mensajes Persona a Persona",#REF!)</f>
        <v>#REF!</v>
      </c>
      <c r="L53" s="3" t="e">
        <f>SUMIF(#REF!,A53&amp;"Mensajes Persona a Persona",#REF!)+SUMIF(#REF!,A53&amp;"PACK *00 SMS",#REF!)</f>
        <v>#REF!</v>
      </c>
      <c r="M53" s="8" t="e">
        <f>SUMIF(#REF!,A53&amp;"Mensajes Mul*",#REF!)</f>
        <v>#REF!</v>
      </c>
      <c r="N53" s="3" t="e">
        <f>SUMIF(#REF!,A53&amp;"Mensajes Mul*",#REF!)</f>
        <v>#REF!</v>
      </c>
      <c r="O53" s="3"/>
      <c r="P53" s="3" t="e">
        <f>SUMIF(#REF!,A53&amp;"Pack Mult*",#REF!)+SUMIF(#REF!,A53&amp;"Pack Blacberry BIS",#REF!)+SUMIF(#REF!,A53&amp;"Pack de datos*",#REF!)+SUMIF(#REF!,A53&amp;"Paquetes datos*",#REF!)+SUMIF(#REF!,A53&amp;"Paquete de datos*",#REF!)+SUMIF(#REF!,A53&amp;"Servicio BIS BLACKBERRY*",#REF!)+SUMIF(#REF!,A53&amp;"Pack Internet*",#REF!)+SUMIF(#REF!,A53&amp;"Pack de*",#REF!)+SUMIF(#REF!,A53&amp;"Pack 100M*",#REF!)++SUMIF(#REF!,A53&amp;"Paquete Internet*",#REF!)</f>
        <v>#REF!</v>
      </c>
      <c r="Q53" s="8" t="e">
        <f>SUMIF(#REF!,A53&amp;"Llamadas Roam*",#REF!)+SUMIF(#REF!,A53&amp;"Llamadas Internacionales",#REF!)</f>
        <v>#REF!</v>
      </c>
      <c r="R53" s="3" t="e">
        <f>SUMIF(#REF!,A53&amp;"Llamadas Roam*",#REF!)+SUMIF(#REF!,A53&amp;"Llamadas Internacionales",#REF!)+SUMIF(#REF!,A53&amp;"Llamadas y SMS Roaming",#REF!)+SUMIF(#REF!,A53&amp;"SMS Roaming",#REF!)</f>
        <v>#REF!</v>
      </c>
      <c r="S53" s="8" t="e">
        <f>SUMIF(#REF!,A53&amp;"Roaming*",#REF!)</f>
        <v>#REF!</v>
      </c>
      <c r="T53" s="3" t="e">
        <f>SUMIF(#REF!,A53&amp;"Roaming*",#REF!)+SUMIF(#REF!,A53&amp;"Internet Roaming*",#REF!)</f>
        <v>#REF!</v>
      </c>
      <c r="U53" s="3" t="e">
        <f>C53-111-L53-N53-P53-R53-T53-SUMIF(#REF!,A53&amp;"Minutos*",#REF!)-SUMIF(#REF!,A53&amp;"A *",#REF!)</f>
        <v>#REF!</v>
      </c>
      <c r="V53" s="2" t="e">
        <f t="shared" si="5"/>
        <v>#REF!</v>
      </c>
      <c r="W53" s="66"/>
      <c r="X53" s="64"/>
      <c r="Y53" s="64"/>
      <c r="Z53" s="65" t="s">
        <v>184</v>
      </c>
      <c r="AA53" t="s">
        <v>3</v>
      </c>
    </row>
    <row r="54" spans="1:27" hidden="1">
      <c r="A54">
        <v>2613052256</v>
      </c>
      <c r="B54" s="115" t="s">
        <v>41</v>
      </c>
      <c r="C54" s="68" t="e">
        <f>SUMIF(#REF!,A54,#REF!)</f>
        <v>#REF!</v>
      </c>
      <c r="D54" t="e">
        <f>SUMIF(#REF!,A54,#REF!)</f>
        <v>#REF!</v>
      </c>
      <c r="E54" s="1" t="s">
        <v>64</v>
      </c>
      <c r="F54" s="1" t="s">
        <v>161</v>
      </c>
      <c r="G54" s="2">
        <f t="shared" si="2"/>
        <v>111</v>
      </c>
      <c r="H54">
        <f t="shared" si="4"/>
        <v>250</v>
      </c>
      <c r="I54">
        <f t="shared" si="3"/>
        <v>0.37080000000000002</v>
      </c>
      <c r="J54" t="e">
        <f>IF((SUMIF(#REF!,A54&amp;"Minutos*",#REF!)+SUMIF(#REF!,A54&amp;"A *",#REF!))&lt;=H54,0,(SUMIF(#REF!,A54&amp;"Minutos*",#REF!)+SUMIF(#REF!,A54&amp;"A *",#REF!))-H54)</f>
        <v>#REF!</v>
      </c>
      <c r="K54" s="57" t="e">
        <f>SUMIF(#REF!,A54&amp;"Mensajes Persona a Persona",#REF!)</f>
        <v>#REF!</v>
      </c>
      <c r="L54" s="3" t="e">
        <f>SUMIF(#REF!,A54&amp;"Mensajes Persona a Persona",#REF!)+SUMIF(#REF!,A54&amp;"PACK *00 SMS",#REF!)</f>
        <v>#REF!</v>
      </c>
      <c r="M54" s="8" t="e">
        <f>SUMIF(#REF!,A54&amp;"Mensajes Mul*",#REF!)</f>
        <v>#REF!</v>
      </c>
      <c r="N54" s="3" t="e">
        <f>SUMIF(#REF!,A54&amp;"Mensajes Mul*",#REF!)</f>
        <v>#REF!</v>
      </c>
      <c r="O54" s="3"/>
      <c r="P54" s="3" t="e">
        <f>SUMIF(#REF!,A54&amp;"Pack Mult*",#REF!)+SUMIF(#REF!,A54&amp;"Pack Blacberry BIS",#REF!)+SUMIF(#REF!,A54&amp;"Pack de datos*",#REF!)+SUMIF(#REF!,A54&amp;"Paquetes datos*",#REF!)+SUMIF(#REF!,A54&amp;"Paquete de datos*",#REF!)+SUMIF(#REF!,A54&amp;"Servicio BIS BLACKBERRY*",#REF!)+SUMIF(#REF!,A54&amp;"Pack Internet*",#REF!)+SUMIF(#REF!,A54&amp;"Pack de*",#REF!)+SUMIF(#REF!,A54&amp;"Pack 100M*",#REF!)++SUMIF(#REF!,A54&amp;"Paquete Internet*",#REF!)</f>
        <v>#REF!</v>
      </c>
      <c r="Q54" s="8" t="e">
        <f>SUMIF(#REF!,A54&amp;"Llamadas Roam*",#REF!)+SUMIF(#REF!,A54&amp;"Llamadas Internacionales",#REF!)</f>
        <v>#REF!</v>
      </c>
      <c r="R54" s="3" t="e">
        <f>SUMIF(#REF!,A54&amp;"Llamadas Roam*",#REF!)+SUMIF(#REF!,A54&amp;"Llamadas Internacionales",#REF!)+SUMIF(#REF!,A54&amp;"Llamadas y SMS Roaming",#REF!)+SUMIF(#REF!,A54&amp;"SMS Roaming",#REF!)</f>
        <v>#REF!</v>
      </c>
      <c r="S54" s="8" t="e">
        <f>SUMIF(#REF!,A54&amp;"Roaming*",#REF!)</f>
        <v>#REF!</v>
      </c>
      <c r="T54" s="3" t="e">
        <f>SUMIF(#REF!,A54&amp;"Roaming*",#REF!)+SUMIF(#REF!,A54&amp;"Internet Roaming*",#REF!)</f>
        <v>#REF!</v>
      </c>
      <c r="U54" s="3" t="e">
        <f>C54-111-L54-N54-P54-R54-T54-SUMIF(#REF!,A54&amp;"Minutos*",#REF!)-SUMIF(#REF!,A54&amp;"A *",#REF!)</f>
        <v>#REF!</v>
      </c>
      <c r="V54" s="2" t="e">
        <f t="shared" si="5"/>
        <v>#REF!</v>
      </c>
      <c r="W54" s="2"/>
      <c r="X54" s="3"/>
      <c r="Y54" s="3"/>
      <c r="Z54" s="77" t="s">
        <v>184</v>
      </c>
      <c r="AA54" t="s">
        <v>4</v>
      </c>
    </row>
    <row r="55" spans="1:27" hidden="1">
      <c r="A55">
        <v>2615181364</v>
      </c>
      <c r="B55" s="115" t="s">
        <v>30</v>
      </c>
      <c r="C55" s="68" t="e">
        <f>SUMIF(#REF!,A55,#REF!)</f>
        <v>#REF!</v>
      </c>
      <c r="D55" t="e">
        <f>SUMIF(#REF!,A55,#REF!)</f>
        <v>#REF!</v>
      </c>
      <c r="E55" s="1" t="s">
        <v>64</v>
      </c>
      <c r="F55" s="1" t="s">
        <v>161</v>
      </c>
      <c r="G55" s="2">
        <f t="shared" si="2"/>
        <v>111</v>
      </c>
      <c r="H55">
        <f t="shared" si="4"/>
        <v>250</v>
      </c>
      <c r="I55">
        <f t="shared" si="3"/>
        <v>0.37080000000000002</v>
      </c>
      <c r="J55" t="e">
        <f>IF((SUMIF(#REF!,A55&amp;"Minutos*",#REF!)+SUMIF(#REF!,A55&amp;"A *",#REF!))&lt;=H55,0,(SUMIF(#REF!,A55&amp;"Minutos*",#REF!)+SUMIF(#REF!,A55&amp;"A *",#REF!))-H55)</f>
        <v>#REF!</v>
      </c>
      <c r="K55" t="e">
        <f>SUMIF(#REF!,A55&amp;"Mensajes Persona a Persona",#REF!)</f>
        <v>#REF!</v>
      </c>
      <c r="L55" s="3" t="e">
        <f>SUMIF(#REF!,A55&amp;"Mensajes Persona a Persona",#REF!)+SUMIF(#REF!,A55&amp;"PACK *00 SMS",#REF!)</f>
        <v>#REF!</v>
      </c>
      <c r="M55" s="8" t="e">
        <f>SUMIF(#REF!,A55&amp;"Mensajes Mul*",#REF!)</f>
        <v>#REF!</v>
      </c>
      <c r="N55" s="3" t="e">
        <f>SUMIF(#REF!,A55&amp;"Mensajes Mul*",#REF!)</f>
        <v>#REF!</v>
      </c>
      <c r="O55" s="3"/>
      <c r="P55" s="3" t="e">
        <f>SUMIF(#REF!,A55&amp;"Pack Mult*",#REF!)+SUMIF(#REF!,A55&amp;"Pack Blacberry BIS",#REF!)+SUMIF(#REF!,A55&amp;"Pack de datos*",#REF!)+SUMIF(#REF!,A55&amp;"Paquetes datos*",#REF!)+SUMIF(#REF!,A55&amp;"Paquete de datos*",#REF!)+SUMIF(#REF!,A55&amp;"Servicio BIS BLACKBERRY*",#REF!)+SUMIF(#REF!,A55&amp;"Pack Internet*",#REF!)+SUMIF(#REF!,A55&amp;"Pack de*",#REF!)+SUMIF(#REF!,A55&amp;"Pack 100M*",#REF!)++SUMIF(#REF!,A55&amp;"Paquete Internet*",#REF!)</f>
        <v>#REF!</v>
      </c>
      <c r="Q55" s="8" t="e">
        <f>SUMIF(#REF!,A55&amp;"Llamadas Roam*",#REF!)+SUMIF(#REF!,A55&amp;"Llamadas Internacionales",#REF!)</f>
        <v>#REF!</v>
      </c>
      <c r="R55" s="3" t="e">
        <f>SUMIF(#REF!,A55&amp;"Llamadas Roam*",#REF!)+SUMIF(#REF!,A55&amp;"Llamadas Internacionales",#REF!)+SUMIF(#REF!,A55&amp;"Llamadas y SMS Roaming",#REF!)+SUMIF(#REF!,A55&amp;"SMS Roaming",#REF!)</f>
        <v>#REF!</v>
      </c>
      <c r="S55" s="8" t="e">
        <f>SUMIF(#REF!,A55&amp;"Roaming*",#REF!)</f>
        <v>#REF!</v>
      </c>
      <c r="T55" s="3" t="e">
        <f>SUMIF(#REF!,A55&amp;"Roaming*",#REF!)+SUMIF(#REF!,A55&amp;"Internet Roaming*",#REF!)</f>
        <v>#REF!</v>
      </c>
      <c r="U55" s="3" t="e">
        <f>C55-111-L55-N55-P55-R55-T55-SUMIF(#REF!,A55&amp;"Minutos*",#REF!)-SUMIF(#REF!,A55&amp;"A *",#REF!)</f>
        <v>#REF!</v>
      </c>
      <c r="V55" s="2" t="e">
        <f t="shared" si="5"/>
        <v>#REF!</v>
      </c>
      <c r="W55" s="2"/>
      <c r="Y55" t="s">
        <v>121</v>
      </c>
      <c r="Z55" s="65" t="s">
        <v>184</v>
      </c>
      <c r="AA55" t="s">
        <v>5</v>
      </c>
    </row>
    <row r="56" spans="1:27" hidden="1">
      <c r="A56">
        <v>2615462740</v>
      </c>
      <c r="B56" s="115" t="s">
        <v>71</v>
      </c>
      <c r="C56" s="68" t="e">
        <f>SUMIF(#REF!,A56,#REF!)</f>
        <v>#REF!</v>
      </c>
      <c r="D56" t="e">
        <f>SUMIF(#REF!,A56,#REF!)</f>
        <v>#REF!</v>
      </c>
      <c r="E56" s="22" t="s">
        <v>52</v>
      </c>
      <c r="F56" s="1" t="s">
        <v>161</v>
      </c>
      <c r="G56" s="2">
        <f t="shared" si="2"/>
        <v>111</v>
      </c>
      <c r="H56">
        <f t="shared" si="4"/>
        <v>250</v>
      </c>
      <c r="I56">
        <f t="shared" si="3"/>
        <v>0.37080000000000002</v>
      </c>
      <c r="J56" t="e">
        <f>IF((SUMIF(#REF!,A56&amp;"Minutos*",#REF!)+SUMIF(#REF!,A56&amp;"A *",#REF!))&lt;=H56,0,(SUMIF(#REF!,A56&amp;"Minutos*",#REF!)+SUMIF(#REF!,A56&amp;"A *",#REF!))-H56)</f>
        <v>#REF!</v>
      </c>
      <c r="K56" t="e">
        <f>SUMIF(#REF!,A56&amp;"Mensajes Persona a Persona",#REF!)</f>
        <v>#REF!</v>
      </c>
      <c r="L56" s="3" t="e">
        <f>SUMIF(#REF!,A56&amp;"Mensajes Persona a Persona",#REF!)+SUMIF(#REF!,A56&amp;"PACK *00 SMS",#REF!)</f>
        <v>#REF!</v>
      </c>
      <c r="M56" s="8" t="e">
        <f>SUMIF(#REF!,A56&amp;"Mensajes Mul*",#REF!)</f>
        <v>#REF!</v>
      </c>
      <c r="N56" s="3" t="e">
        <f>SUMIF(#REF!,A56&amp;"Mensajes Mul*",#REF!)</f>
        <v>#REF!</v>
      </c>
      <c r="O56" s="3"/>
      <c r="P56" s="3" t="e">
        <f>SUMIF(#REF!,A56&amp;"Pack Mult*",#REF!)+SUMIF(#REF!,A56&amp;"Pack Blacberry BIS",#REF!)+SUMIF(#REF!,A56&amp;"Pack de datos*",#REF!)+SUMIF(#REF!,A56&amp;"Paquetes datos*",#REF!)+SUMIF(#REF!,A56&amp;"Paquete de datos*",#REF!)+SUMIF(#REF!,A56&amp;"Servicio BIS BLACKBERRY*",#REF!)+SUMIF(#REF!,A56&amp;"Pack Internet*",#REF!)+SUMIF(#REF!,A56&amp;"Pack de*",#REF!)+SUMIF(#REF!,A56&amp;"Pack 100M*",#REF!)++SUMIF(#REF!,A56&amp;"Paquete Internet*",#REF!)</f>
        <v>#REF!</v>
      </c>
      <c r="Q56" s="8" t="e">
        <f>SUMIF(#REF!,A56&amp;"Llamadas Roam*",#REF!)+SUMIF(#REF!,A56&amp;"Llamadas Internacionales",#REF!)</f>
        <v>#REF!</v>
      </c>
      <c r="R56" s="3" t="e">
        <f>SUMIF(#REF!,A56&amp;"Llamadas Roam*",#REF!)+SUMIF(#REF!,A56&amp;"Llamadas Internacionales",#REF!)+SUMIF(#REF!,A56&amp;"Llamadas y SMS Roaming",#REF!)+SUMIF(#REF!,A56&amp;"SMS Roaming",#REF!)</f>
        <v>#REF!</v>
      </c>
      <c r="S56" s="8" t="e">
        <f>SUMIF(#REF!,A56&amp;"Roaming*",#REF!)</f>
        <v>#REF!</v>
      </c>
      <c r="T56" s="3" t="e">
        <f>SUMIF(#REF!,A56&amp;"Roaming*",#REF!)+SUMIF(#REF!,A56&amp;"Internet Roaming*",#REF!)</f>
        <v>#REF!</v>
      </c>
      <c r="U56" s="3" t="e">
        <f>C56-111-L56-N56-P56-R56-T56-SUMIF(#REF!,A56&amp;"Minutos*",#REF!)-SUMIF(#REF!,A56&amp;"A *",#REF!)</f>
        <v>#REF!</v>
      </c>
      <c r="V56" s="4" t="e">
        <f t="shared" si="5"/>
        <v>#REF!</v>
      </c>
      <c r="W56" s="88" t="e">
        <f>V56</f>
        <v>#REF!</v>
      </c>
      <c r="Z56" s="65" t="s">
        <v>184</v>
      </c>
    </row>
    <row r="57" spans="1:27" hidden="1">
      <c r="A57">
        <v>2615557273</v>
      </c>
      <c r="B57" s="115" t="s">
        <v>26</v>
      </c>
      <c r="C57" s="68" t="e">
        <f>SUMIF(#REF!,A57,#REF!)</f>
        <v>#REF!</v>
      </c>
      <c r="D57" t="e">
        <f>SUMIF(#REF!,A57,#REF!)</f>
        <v>#REF!</v>
      </c>
      <c r="E57" s="22" t="s">
        <v>48</v>
      </c>
      <c r="F57" s="1" t="s">
        <v>161</v>
      </c>
      <c r="G57" s="2">
        <f t="shared" si="2"/>
        <v>111</v>
      </c>
      <c r="H57">
        <f t="shared" si="4"/>
        <v>250</v>
      </c>
      <c r="I57">
        <f t="shared" si="3"/>
        <v>0.37080000000000002</v>
      </c>
      <c r="J57" t="e">
        <f>IF((SUMIF(#REF!,A57&amp;"Minutos*",#REF!)+SUMIF(#REF!,A57&amp;"A *",#REF!))&lt;=H57,0,(SUMIF(#REF!,A57&amp;"Minutos*",#REF!)+SUMIF(#REF!,A57&amp;"A *",#REF!))-H57)</f>
        <v>#REF!</v>
      </c>
      <c r="K57" t="e">
        <f>SUMIF(#REF!,A57&amp;"Mensajes Persona a Persona",#REF!)</f>
        <v>#REF!</v>
      </c>
      <c r="L57" s="3" t="e">
        <f>SUMIF(#REF!,A57&amp;"Mensajes Persona a Persona",#REF!)+SUMIF(#REF!,A57&amp;"PACK *00 SMS",#REF!)</f>
        <v>#REF!</v>
      </c>
      <c r="M57" s="8" t="e">
        <f>SUMIF(#REF!,A57&amp;"Mensajes Mul*",#REF!)</f>
        <v>#REF!</v>
      </c>
      <c r="N57" s="3" t="e">
        <f>SUMIF(#REF!,A57&amp;"Mensajes Mul*",#REF!)</f>
        <v>#REF!</v>
      </c>
      <c r="O57" s="3"/>
      <c r="P57" s="3" t="e">
        <f>SUMIF(#REF!,A57&amp;"Pack Mult*",#REF!)+SUMIF(#REF!,A57&amp;"Pack Blacberry BIS",#REF!)+SUMIF(#REF!,A57&amp;"Pack de datos*",#REF!)+SUMIF(#REF!,A57&amp;"Paquetes datos*",#REF!)+SUMIF(#REF!,A57&amp;"Paquete de datos*",#REF!)+SUMIF(#REF!,A57&amp;"Servicio BIS BLACKBERRY*",#REF!)+SUMIF(#REF!,A57&amp;"Pack Internet*",#REF!)+SUMIF(#REF!,A57&amp;"Pack de*",#REF!)+SUMIF(#REF!,A57&amp;"Pack 100M*",#REF!)++SUMIF(#REF!,A57&amp;"Paquete Internet*",#REF!)</f>
        <v>#REF!</v>
      </c>
      <c r="Q57" s="8" t="e">
        <f>SUMIF(#REF!,A57&amp;"Llamadas Roam*",#REF!)+SUMIF(#REF!,A57&amp;"Llamadas Internacionales",#REF!)</f>
        <v>#REF!</v>
      </c>
      <c r="R57" s="3" t="e">
        <f>SUMIF(#REF!,A57&amp;"Llamadas Roam*",#REF!)+SUMIF(#REF!,A57&amp;"Llamadas Internacionales",#REF!)+SUMIF(#REF!,A57&amp;"Llamadas y SMS Roaming",#REF!)+SUMIF(#REF!,A57&amp;"SMS Roaming",#REF!)</f>
        <v>#REF!</v>
      </c>
      <c r="S57" s="8" t="e">
        <f>SUMIF(#REF!,A57&amp;"Roaming*",#REF!)</f>
        <v>#REF!</v>
      </c>
      <c r="T57" s="3" t="e">
        <f>SUMIF(#REF!,A57&amp;"Roaming*",#REF!)+SUMIF(#REF!,A57&amp;"Internet Roaming*",#REF!)</f>
        <v>#REF!</v>
      </c>
      <c r="U57" s="3" t="e">
        <f>C57-111-L57-N57-P57-R57-T57-SUMIF(#REF!,A57&amp;"Minutos*",#REF!)-SUMIF(#REF!,A57&amp;"A *",#REF!)</f>
        <v>#REF!</v>
      </c>
      <c r="V57" s="4" t="e">
        <f t="shared" si="5"/>
        <v>#REF!</v>
      </c>
      <c r="W57" s="88" t="e">
        <f>V57</f>
        <v>#REF!</v>
      </c>
      <c r="Z57" s="65" t="s">
        <v>184</v>
      </c>
      <c r="AA57" t="s">
        <v>5</v>
      </c>
    </row>
    <row r="58" spans="1:27" hidden="1">
      <c r="A58">
        <v>2613866070</v>
      </c>
      <c r="B58" s="10" t="s">
        <v>124</v>
      </c>
      <c r="C58" s="68" t="e">
        <f>SUMIF(#REF!,A58,#REF!)</f>
        <v>#REF!</v>
      </c>
      <c r="D58" t="e">
        <f>SUMIF(#REF!,A58,#REF!)</f>
        <v>#REF!</v>
      </c>
      <c r="E58" s="1" t="s">
        <v>63</v>
      </c>
      <c r="F58" s="1" t="s">
        <v>123</v>
      </c>
      <c r="G58" s="2">
        <f t="shared" si="2"/>
        <v>240</v>
      </c>
      <c r="H58" t="str">
        <f t="shared" si="4"/>
        <v>N/A</v>
      </c>
      <c r="I58">
        <f t="shared" si="3"/>
        <v>0</v>
      </c>
      <c r="J58" t="e">
        <f>IF((SUMIF(#REF!,A58&amp;"Minutos*",#REF!)+SUMIF(#REF!,A58&amp;"A *",#REF!))&lt;=H58,0,(SUMIF(#REF!,A58&amp;"Minutos*",#REF!)+SUMIF(#REF!,A58&amp;"A *",#REF!))-H58)</f>
        <v>#REF!</v>
      </c>
      <c r="K58" t="e">
        <f>SUMIF(#REF!,A58&amp;"Mensajes Persona a Persona",#REF!)</f>
        <v>#REF!</v>
      </c>
      <c r="L58" s="3" t="e">
        <f>SUMIF(#REF!,A58&amp;"Mensajes Persona a Persona",#REF!)+SUMIF(#REF!,A58&amp;"PACK *00 SMS",#REF!)</f>
        <v>#REF!</v>
      </c>
      <c r="M58" s="8" t="e">
        <f>SUMIF(#REF!,A58&amp;"Mensajes Mul*",#REF!)</f>
        <v>#REF!</v>
      </c>
      <c r="N58" s="3" t="e">
        <f>SUMIF(#REF!,A58&amp;"Mensajes Mul*",#REF!)</f>
        <v>#REF!</v>
      </c>
      <c r="O58" s="3"/>
      <c r="P58" s="3" t="e">
        <f>SUMIF(#REF!,A58&amp;"Pack Mult*",#REF!)+SUMIF(#REF!,A58&amp;"Pack Blacberry BIS",#REF!)+SUMIF(#REF!,A58&amp;"Pack de datos*",#REF!)+SUMIF(#REF!,A58&amp;"Paquetes datos*",#REF!)+SUMIF(#REF!,A58&amp;"Paquete de datos*",#REF!)+SUMIF(#REF!,A58&amp;"Servicio BIS BLACKBERRY*",#REF!)+SUMIF(#REF!,A58&amp;"Pack Internet*",#REF!)+SUMIF(#REF!,A58&amp;"Pack de*",#REF!)+SUMIF(#REF!,A58&amp;"Pack 100M*",#REF!)++SUMIF(#REF!,A58&amp;"Paquete Internet*",#REF!)</f>
        <v>#REF!</v>
      </c>
      <c r="Q58" s="8" t="e">
        <f>SUMIF(#REF!,A58&amp;"Llamadas Roam*",#REF!)+SUMIF(#REF!,A58&amp;"Llamadas Internacionales",#REF!)</f>
        <v>#REF!</v>
      </c>
      <c r="R58" s="3" t="e">
        <f>SUMIF(#REF!,A58&amp;"Llamadas Roam*",#REF!)+SUMIF(#REF!,A58&amp;"Llamadas Internacionales",#REF!)+SUMIF(#REF!,A58&amp;"Llamadas y SMS Roaming",#REF!)+SUMIF(#REF!,A58&amp;"SMS Roaming",#REF!)</f>
        <v>#REF!</v>
      </c>
      <c r="S58" s="8" t="e">
        <f>SUMIF(#REF!,A58&amp;"Roaming*",#REF!)</f>
        <v>#REF!</v>
      </c>
      <c r="T58" s="3" t="e">
        <f>SUMIF(#REF!,A58&amp;"Roaming*",#REF!)+SUMIF(#REF!,A58&amp;"Internet Roaming*",#REF!)</f>
        <v>#REF!</v>
      </c>
      <c r="U58" s="54" t="e">
        <f>C58-G58-L58-N58-P58-R58-T58-SUMIF(#REF!,A58&amp;"Minutos*",#REF!)-SUMIF(#REF!,A58&amp;"A *",#REF!)</f>
        <v>#REF!</v>
      </c>
      <c r="V58" s="2" t="e">
        <f>G58*(1+21%+$C$75+$C$76)+U58*(1+27%+$C$75+$C$76)</f>
        <v>#REF!</v>
      </c>
      <c r="W58" s="2"/>
      <c r="Z58" s="65" t="s">
        <v>116</v>
      </c>
    </row>
    <row r="59" spans="1:27" hidden="1">
      <c r="A59">
        <v>2615756516</v>
      </c>
      <c r="B59" s="115" t="s">
        <v>39</v>
      </c>
      <c r="C59" s="68" t="e">
        <f>SUMIF(#REF!,A59,#REF!)</f>
        <v>#REF!</v>
      </c>
      <c r="D59" t="e">
        <f>SUMIF(#REF!,A59,#REF!)</f>
        <v>#REF!</v>
      </c>
      <c r="E59" s="22" t="s">
        <v>53</v>
      </c>
      <c r="F59" s="1" t="s">
        <v>161</v>
      </c>
      <c r="G59" s="2">
        <f t="shared" si="2"/>
        <v>111</v>
      </c>
      <c r="H59">
        <f t="shared" si="4"/>
        <v>250</v>
      </c>
      <c r="I59">
        <f t="shared" si="3"/>
        <v>0.37080000000000002</v>
      </c>
      <c r="J59" t="e">
        <f>IF((SUMIF(#REF!,A59&amp;"Minutos*",#REF!)+SUMIF(#REF!,A59&amp;"A *",#REF!))&lt;=H59,0,(SUMIF(#REF!,A59&amp;"Minutos*",#REF!)+SUMIF(#REF!,A59&amp;"A *",#REF!))-H59)</f>
        <v>#REF!</v>
      </c>
      <c r="K59" t="e">
        <f>SUMIF(#REF!,A59&amp;"Mensajes Persona a Persona",#REF!)</f>
        <v>#REF!</v>
      </c>
      <c r="L59" s="3" t="e">
        <f>SUMIF(#REF!,A59&amp;"Mensajes Persona a Persona",#REF!)+SUMIF(#REF!,A59&amp;"PACK *00 SMS",#REF!)</f>
        <v>#REF!</v>
      </c>
      <c r="M59" s="8" t="e">
        <f>SUMIF(#REF!,A59&amp;"Mensajes Mul*",#REF!)</f>
        <v>#REF!</v>
      </c>
      <c r="N59" s="3" t="e">
        <f>SUMIF(#REF!,A59&amp;"Mensajes Mul*",#REF!)</f>
        <v>#REF!</v>
      </c>
      <c r="O59" s="3"/>
      <c r="P59" s="3" t="e">
        <f>SUMIF(#REF!,A59&amp;"Pack Mult*",#REF!)+SUMIF(#REF!,A59&amp;"Pack Blacberry BIS",#REF!)+SUMIF(#REF!,A59&amp;"Pack de datos*",#REF!)+SUMIF(#REF!,A59&amp;"Paquetes datos*",#REF!)+SUMIF(#REF!,A59&amp;"Paquete de datos*",#REF!)+SUMIF(#REF!,A59&amp;"Servicio BIS BLACKBERRY*",#REF!)+SUMIF(#REF!,A59&amp;"Pack Internet*",#REF!)+SUMIF(#REF!,A59&amp;"Pack de*",#REF!)+SUMIF(#REF!,A59&amp;"Pack 100M*",#REF!)++SUMIF(#REF!,A59&amp;"Paquete Internet*",#REF!)</f>
        <v>#REF!</v>
      </c>
      <c r="Q59" s="8" t="e">
        <f>SUMIF(#REF!,A59&amp;"Llamadas Roam*",#REF!)+SUMIF(#REF!,A59&amp;"Llamadas Internacionales",#REF!)</f>
        <v>#REF!</v>
      </c>
      <c r="R59" s="3" t="e">
        <f>SUMIF(#REF!,A59&amp;"Llamadas Roam*",#REF!)+SUMIF(#REF!,A59&amp;"Llamadas Internacionales",#REF!)+SUMIF(#REF!,A59&amp;"Llamadas y SMS Roaming",#REF!)+SUMIF(#REF!,A59&amp;"SMS Roaming",#REF!)</f>
        <v>#REF!</v>
      </c>
      <c r="S59" s="8" t="e">
        <f>SUMIF(#REF!,A59&amp;"Roaming*",#REF!)</f>
        <v>#REF!</v>
      </c>
      <c r="T59" s="3" t="e">
        <f>SUMIF(#REF!,A59&amp;"Roaming*",#REF!)+SUMIF(#REF!,A59&amp;"Internet Roaming*",#REF!)</f>
        <v>#REF!</v>
      </c>
      <c r="U59" s="3" t="e">
        <f>C59-111-L59-N59-P59-R59-T59-SUMIF(#REF!,A59&amp;"Minutos*",#REF!)-SUMIF(#REF!,A59&amp;"A *",#REF!)</f>
        <v>#REF!</v>
      </c>
      <c r="V59" s="4" t="e">
        <f t="shared" ref="V59:V67" si="6">(G59+J59*I59+L59+N59+P59+R59+T59+U59)*(1+$C$74+$C$75+$C$76)+O59*1.21</f>
        <v>#REF!</v>
      </c>
      <c r="W59" s="88" t="e">
        <f>V59</f>
        <v>#REF!</v>
      </c>
      <c r="Z59" s="65" t="s">
        <v>184</v>
      </c>
    </row>
    <row r="60" spans="1:27" hidden="1">
      <c r="A60">
        <v>2615942244</v>
      </c>
      <c r="B60" s="115" t="s">
        <v>102</v>
      </c>
      <c r="C60" s="68" t="e">
        <f>SUMIF(#REF!,A60,#REF!)</f>
        <v>#REF!</v>
      </c>
      <c r="D60" t="e">
        <f>SUMIF(#REF!,A60,#REF!)</f>
        <v>#REF!</v>
      </c>
      <c r="E60" s="22" t="s">
        <v>54</v>
      </c>
      <c r="F60" s="1" t="s">
        <v>161</v>
      </c>
      <c r="G60" s="2">
        <f t="shared" si="2"/>
        <v>111</v>
      </c>
      <c r="H60">
        <f t="shared" si="4"/>
        <v>250</v>
      </c>
      <c r="I60">
        <f t="shared" si="3"/>
        <v>0.37080000000000002</v>
      </c>
      <c r="J60" t="e">
        <f>IF((SUMIF(#REF!,A60&amp;"Minutos*",#REF!)+SUMIF(#REF!,A60&amp;"A *",#REF!))&lt;=H60,0,(SUMIF(#REF!,A60&amp;"Minutos*",#REF!)+SUMIF(#REF!,A60&amp;"A *",#REF!))-H60)</f>
        <v>#REF!</v>
      </c>
      <c r="K60" t="e">
        <f>SUMIF(#REF!,A60&amp;"Mensajes Persona a Persona",#REF!)</f>
        <v>#REF!</v>
      </c>
      <c r="L60" s="3" t="e">
        <f>SUMIF(#REF!,A60&amp;"Mensajes Persona a Persona",#REF!)+SUMIF(#REF!,A60&amp;"PACK *00 SMS",#REF!)</f>
        <v>#REF!</v>
      </c>
      <c r="M60" s="8" t="e">
        <f>SUMIF(#REF!,A60&amp;"Mensajes Mul*",#REF!)</f>
        <v>#REF!</v>
      </c>
      <c r="N60" s="3" t="e">
        <f>SUMIF(#REF!,A60&amp;"Mensajes Mul*",#REF!)</f>
        <v>#REF!</v>
      </c>
      <c r="O60" s="3"/>
      <c r="P60" s="3" t="e">
        <f>SUMIF(#REF!,A60&amp;"Pack Mult*",#REF!)+SUMIF(#REF!,A60&amp;"Pack Blacberry BIS",#REF!)+SUMIF(#REF!,A60&amp;"Pack de datos*",#REF!)+SUMIF(#REF!,A60&amp;"Paquetes datos*",#REF!)+SUMIF(#REF!,A60&amp;"Paquete de datos*",#REF!)+SUMIF(#REF!,A60&amp;"Servicio BIS BLACKBERRY*",#REF!)+SUMIF(#REF!,A60&amp;"Pack Internet*",#REF!)+SUMIF(#REF!,A60&amp;"Pack de*",#REF!)+SUMIF(#REF!,A60&amp;"Pack 100M*",#REF!)++SUMIF(#REF!,A60&amp;"Paquete Internet*",#REF!)</f>
        <v>#REF!</v>
      </c>
      <c r="Q60" s="8" t="e">
        <f>SUMIF(#REF!,A60&amp;"Llamadas Roam*",#REF!)+SUMIF(#REF!,A60&amp;"Llamadas Internacionales",#REF!)</f>
        <v>#REF!</v>
      </c>
      <c r="R60" s="3" t="e">
        <f>SUMIF(#REF!,A60&amp;"Llamadas Roam*",#REF!)+SUMIF(#REF!,A60&amp;"Llamadas Internacionales",#REF!)+SUMIF(#REF!,A60&amp;"Llamadas y SMS Roaming",#REF!)+SUMIF(#REF!,A60&amp;"SMS Roaming",#REF!)</f>
        <v>#REF!</v>
      </c>
      <c r="S60" s="8" t="e">
        <f>SUMIF(#REF!,A60&amp;"Roaming*",#REF!)</f>
        <v>#REF!</v>
      </c>
      <c r="T60" s="3" t="e">
        <f>SUMIF(#REF!,A60&amp;"Roaming*",#REF!)+SUMIF(#REF!,A60&amp;"Internet Roaming*",#REF!)</f>
        <v>#REF!</v>
      </c>
      <c r="U60" s="3" t="e">
        <f>C60-111-L60-N60-P60-R60-T60-SUMIF(#REF!,A60&amp;"Minutos*",#REF!)-SUMIF(#REF!,A60&amp;"A *",#REF!)</f>
        <v>#REF!</v>
      </c>
      <c r="V60" s="4" t="e">
        <f t="shared" si="6"/>
        <v>#REF!</v>
      </c>
      <c r="W60" s="88" t="e">
        <f>V60</f>
        <v>#REF!</v>
      </c>
      <c r="Y60" t="s">
        <v>152</v>
      </c>
      <c r="Z60" s="65" t="s">
        <v>184</v>
      </c>
    </row>
    <row r="61" spans="1:27" hidden="1">
      <c r="A61">
        <v>2615574150</v>
      </c>
      <c r="B61" s="115" t="s">
        <v>36</v>
      </c>
      <c r="C61" s="68" t="e">
        <f>SUMIF(#REF!,A61,#REF!)</f>
        <v>#REF!</v>
      </c>
      <c r="D61" t="e">
        <f>SUMIF(#REF!,A61,#REF!)</f>
        <v>#REF!</v>
      </c>
      <c r="E61" s="23" t="s">
        <v>63</v>
      </c>
      <c r="F61" s="1" t="s">
        <v>161</v>
      </c>
      <c r="G61" s="2">
        <f t="shared" si="2"/>
        <v>111</v>
      </c>
      <c r="H61">
        <f t="shared" si="4"/>
        <v>250</v>
      </c>
      <c r="I61">
        <f t="shared" si="3"/>
        <v>0.37080000000000002</v>
      </c>
      <c r="J61" t="e">
        <f>IF((SUMIF(#REF!,A61&amp;"Minutos*",#REF!)+SUMIF(#REF!,A61&amp;"A *",#REF!))&lt;=H61,0,(SUMIF(#REF!,A61&amp;"Minutos*",#REF!)+SUMIF(#REF!,A61&amp;"A *",#REF!))-H61)</f>
        <v>#REF!</v>
      </c>
      <c r="K61" t="e">
        <f>SUMIF(#REF!,A61&amp;"Mensajes Persona a Persona",#REF!)</f>
        <v>#REF!</v>
      </c>
      <c r="L61" s="3" t="e">
        <f>SUMIF(#REF!,A61&amp;"Mensajes Persona a Persona",#REF!)+SUMIF(#REF!,A61&amp;"PACK *00 SMS",#REF!)</f>
        <v>#REF!</v>
      </c>
      <c r="M61" s="8" t="e">
        <f>SUMIF(#REF!,A61&amp;"Mensajes Mul*",#REF!)</f>
        <v>#REF!</v>
      </c>
      <c r="N61" s="3" t="e">
        <f>SUMIF(#REF!,A61&amp;"Mensajes Mul*",#REF!)</f>
        <v>#REF!</v>
      </c>
      <c r="O61" s="3"/>
      <c r="P61" s="3" t="e">
        <f>SUMIF(#REF!,A61&amp;"Pack Mult*",#REF!)+SUMIF(#REF!,A61&amp;"Pack Blacberry BIS",#REF!)+SUMIF(#REF!,A61&amp;"Pack de datos*",#REF!)+SUMIF(#REF!,A61&amp;"Paquetes datos*",#REF!)+SUMIF(#REF!,A61&amp;"Paquete de datos*",#REF!)+SUMIF(#REF!,A61&amp;"Servicio BIS BLACKBERRY*",#REF!)+SUMIF(#REF!,A61&amp;"Pack Internet*",#REF!)+SUMIF(#REF!,A61&amp;"Pack de*",#REF!)+SUMIF(#REF!,A61&amp;"Pack 100M*",#REF!)++SUMIF(#REF!,A61&amp;"Paquete Internet*",#REF!)</f>
        <v>#REF!</v>
      </c>
      <c r="Q61" s="8" t="e">
        <f>SUMIF(#REF!,A61&amp;"Llamadas Roam*",#REF!)+SUMIF(#REF!,A61&amp;"Llamadas Internacionales",#REF!)</f>
        <v>#REF!</v>
      </c>
      <c r="R61" s="3" t="e">
        <f>SUMIF(#REF!,A61&amp;"Llamadas Roam*",#REF!)+SUMIF(#REF!,A61&amp;"Llamadas Internacionales",#REF!)+SUMIF(#REF!,A61&amp;"Llamadas y SMS Roaming",#REF!)+SUMIF(#REF!,A61&amp;"SMS Roaming",#REF!)</f>
        <v>#REF!</v>
      </c>
      <c r="S61" s="8" t="e">
        <f>SUMIF(#REF!,A61&amp;"Roaming*",#REF!)</f>
        <v>#REF!</v>
      </c>
      <c r="T61" s="3" t="e">
        <f>SUMIF(#REF!,A61&amp;"Roaming*",#REF!)+SUMIF(#REF!,A61&amp;"Internet Roaming*",#REF!)</f>
        <v>#REF!</v>
      </c>
      <c r="U61" s="3" t="e">
        <f>C61-111-L61-N61-P61-R61-T61-SUMIF(#REF!,A61&amp;"Minutos*",#REF!)-SUMIF(#REF!,A61&amp;"A *",#REF!)</f>
        <v>#REF!</v>
      </c>
      <c r="V61" s="4" t="e">
        <f t="shared" si="6"/>
        <v>#REF!</v>
      </c>
      <c r="W61" s="2" t="e">
        <f>V61</f>
        <v>#REF!</v>
      </c>
      <c r="Z61" s="65" t="s">
        <v>184</v>
      </c>
      <c r="AA61" t="s">
        <v>3</v>
      </c>
    </row>
    <row r="62" spans="1:27" hidden="1">
      <c r="A62">
        <v>2634520875</v>
      </c>
      <c r="B62" s="10" t="s">
        <v>159</v>
      </c>
      <c r="C62" s="68" t="e">
        <f>SUMIF(#REF!,A62,#REF!)</f>
        <v>#REF!</v>
      </c>
      <c r="D62" t="e">
        <f>SUMIF(#REF!,A62,#REF!)</f>
        <v>#REF!</v>
      </c>
      <c r="E62" s="22" t="s">
        <v>64</v>
      </c>
      <c r="F62" s="22" t="s">
        <v>157</v>
      </c>
      <c r="G62" s="2">
        <f t="shared" si="2"/>
        <v>67.91</v>
      </c>
      <c r="H62" t="str">
        <f t="shared" si="4"/>
        <v>Ilimitado</v>
      </c>
      <c r="I62">
        <f t="shared" si="3"/>
        <v>0</v>
      </c>
      <c r="J62" t="e">
        <f>IF((SUMIF(#REF!,A62&amp;"Minutos*",#REF!)+SUMIF(#REF!,A62&amp;"A *",#REF!))&lt;=H62,0,(SUMIF(#REF!,A62&amp;"Minutos*",#REF!)+SUMIF(#REF!,A62&amp;"A *",#REF!))-H62)</f>
        <v>#REF!</v>
      </c>
      <c r="K62" t="e">
        <f>SUMIF(#REF!,A62&amp;"Mensajes Persona a Persona",#REF!)</f>
        <v>#REF!</v>
      </c>
      <c r="L62" s="3" t="e">
        <f>SUMIF(#REF!,A62&amp;"Mensajes Persona a Persona",#REF!)+SUMIF(#REF!,A62&amp;"PACK *00 SMS",#REF!)</f>
        <v>#REF!</v>
      </c>
      <c r="M62" s="8" t="e">
        <f>SUMIF(#REF!,A62&amp;"Mensajes Mul*",#REF!)</f>
        <v>#REF!</v>
      </c>
      <c r="N62" s="3" t="e">
        <f>SUMIF(#REF!,A62&amp;"Mensajes Mul*",#REF!)</f>
        <v>#REF!</v>
      </c>
      <c r="O62" s="3"/>
      <c r="P62" s="3" t="e">
        <f>SUMIF(#REF!,A62&amp;"Pack Mult*",#REF!)+SUMIF(#REF!,A62&amp;"Pack Blacberry BIS",#REF!)+SUMIF(#REF!,A62&amp;"Pack de datos*",#REF!)+SUMIF(#REF!,A62&amp;"Paquetes datos*",#REF!)+SUMIF(#REF!,A62&amp;"Paquete de datos*",#REF!)+SUMIF(#REF!,A62&amp;"Servicio BIS BLACKBERRY*",#REF!)+SUMIF(#REF!,A62&amp;"Pack Internet*",#REF!)+SUMIF(#REF!,A62&amp;"Pack de*",#REF!)+SUMIF(#REF!,A62&amp;"Pack 100M*",#REF!)++SUMIF(#REF!,A62&amp;"Paquete Internet*",#REF!)</f>
        <v>#REF!</v>
      </c>
      <c r="Q62" s="8" t="e">
        <f>SUMIF(#REF!,A62&amp;"Llamadas Roam*",#REF!)+SUMIF(#REF!,A62&amp;"Llamadas Internacionales",#REF!)</f>
        <v>#REF!</v>
      </c>
      <c r="R62" s="3" t="e">
        <f>SUMIF(#REF!,A62&amp;"Llamadas Roam*",#REF!)+SUMIF(#REF!,A62&amp;"Llamadas Internacionales",#REF!)+SUMIF(#REF!,A62&amp;"Llamadas y SMS Roaming",#REF!)+SUMIF(#REF!,A62&amp;"SMS Roaming",#REF!)</f>
        <v>#REF!</v>
      </c>
      <c r="S62" s="8" t="e">
        <f>SUMIF(#REF!,A62&amp;"Roaming*",#REF!)</f>
        <v>#REF!</v>
      </c>
      <c r="T62" s="3" t="e">
        <f>SUMIF(#REF!,A62&amp;"Roaming*",#REF!)+SUMIF(#REF!,A62&amp;"Internet Roaming*",#REF!)</f>
        <v>#REF!</v>
      </c>
      <c r="U62" s="3" t="e">
        <f>C62-111-L62-N62-P62-R62-T62-SUMIF(#REF!,A62&amp;"Minutos*",#REF!)-SUMIF(#REF!,A62&amp;"A *",#REF!)</f>
        <v>#REF!</v>
      </c>
      <c r="V62" s="4" t="e">
        <f t="shared" si="6"/>
        <v>#REF!</v>
      </c>
      <c r="W62" s="98" t="e">
        <f>V62-G62*(1+$C$74+$C$75+$C$76)</f>
        <v>#REF!</v>
      </c>
      <c r="Z62" s="65" t="s">
        <v>197</v>
      </c>
      <c r="AA62" t="s">
        <v>158</v>
      </c>
    </row>
    <row r="63" spans="1:27" hidden="1">
      <c r="A63">
        <v>2615186053</v>
      </c>
      <c r="B63" s="89" t="s">
        <v>19</v>
      </c>
      <c r="C63" s="68" t="e">
        <f>SUMIF(#REF!,A63,#REF!)</f>
        <v>#REF!</v>
      </c>
      <c r="D63" t="e">
        <f>SUMIF(#REF!,A63,#REF!)</f>
        <v>#REF!</v>
      </c>
      <c r="E63" s="22" t="s">
        <v>64</v>
      </c>
      <c r="F63" s="1" t="s">
        <v>166</v>
      </c>
      <c r="G63" s="2">
        <f t="shared" si="2"/>
        <v>0</v>
      </c>
      <c r="H63">
        <f t="shared" si="4"/>
        <v>230</v>
      </c>
      <c r="I63">
        <f t="shared" si="3"/>
        <v>0.37080000000000002</v>
      </c>
      <c r="J63" t="e">
        <f>IF((SUMIF(#REF!,A63&amp;"Minutos*",#REF!)+SUMIF(#REF!,A63&amp;"A *",#REF!))&lt;=H63,0,(SUMIF(#REF!,A63&amp;"Minutos*",#REF!)+SUMIF(#REF!,A63&amp;"A *",#REF!))-H63)</f>
        <v>#REF!</v>
      </c>
      <c r="K63" t="e">
        <f>SUMIF(#REF!,A63&amp;"Mensajes Persona a Persona",#REF!)</f>
        <v>#REF!</v>
      </c>
      <c r="L63" s="3" t="e">
        <f>SUMIF(#REF!,A63&amp;"Mensajes Persona a Persona",#REF!)+SUMIF(#REF!,A63&amp;"PACK *00 SMS",#REF!)</f>
        <v>#REF!</v>
      </c>
      <c r="M63" s="8" t="e">
        <f>SUMIF(#REF!,A63&amp;"Mensajes Mul*",#REF!)</f>
        <v>#REF!</v>
      </c>
      <c r="N63" s="3" t="e">
        <f>SUMIF(#REF!,A63&amp;"Mensajes Mul*",#REF!)</f>
        <v>#REF!</v>
      </c>
      <c r="O63" s="91">
        <v>291.26</v>
      </c>
      <c r="P63" s="3" t="e">
        <f>SUMIF(#REF!,A63&amp;"Pack Mult*",#REF!)+SUMIF(#REF!,A63&amp;"Pack Blacberry BIS",#REF!)+SUMIF(#REF!,A63&amp;"Pack de datos*",#REF!)+SUMIF(#REF!,A63&amp;"Paquetes datos*",#REF!)+SUMIF(#REF!,A63&amp;"Paquete de datos*",#REF!)+SUMIF(#REF!,A63&amp;"Servicio BIS BLACKBERRY*",#REF!)+SUMIF(#REF!,A63&amp;"Pack Internet*",#REF!)+SUMIF(#REF!,A63&amp;"Pack de*",#REF!)+SUMIF(#REF!,A63&amp;"Pack 100M*",#REF!)++SUMIF(#REF!,A63&amp;"Paquete Internet*",#REF!)</f>
        <v>#REF!</v>
      </c>
      <c r="Q63" s="8" t="e">
        <f>SUMIF(#REF!,A63&amp;"Llamadas Roam*",#REF!)+SUMIF(#REF!,A63&amp;"Llamadas Internacionales",#REF!)</f>
        <v>#REF!</v>
      </c>
      <c r="R63" s="3" t="e">
        <f>SUMIF(#REF!,A63&amp;"Llamadas Roam*",#REF!)+SUMIF(#REF!,A63&amp;"Llamadas Internacionales",#REF!)+SUMIF(#REF!,A63&amp;"Llamadas y SMS Roaming",#REF!)+SUMIF(#REF!,A63&amp;"SMS Roaming",#REF!)</f>
        <v>#REF!</v>
      </c>
      <c r="S63" s="8" t="e">
        <f>SUMIF(#REF!,A63&amp;"Roaming*",#REF!)</f>
        <v>#REF!</v>
      </c>
      <c r="T63" s="3" t="e">
        <f>SUMIF(#REF!,A63&amp;"Roaming*",#REF!)+SUMIF(#REF!,A63&amp;"Internet Roaming*",#REF!)</f>
        <v>#REF!</v>
      </c>
      <c r="U63" s="3"/>
      <c r="V63" s="4" t="e">
        <f t="shared" si="6"/>
        <v>#REF!</v>
      </c>
      <c r="W63" s="88" t="e">
        <f>(G63+J63*I63+L63+N63+R63-R63+T63+U63)*(1+$C$74+$C$75+$C$76)+O63*1.21</f>
        <v>#REF!</v>
      </c>
      <c r="Y63" t="s">
        <v>149</v>
      </c>
      <c r="Z63" s="65" t="s">
        <v>184</v>
      </c>
      <c r="AA63" t="s">
        <v>5</v>
      </c>
    </row>
    <row r="64" spans="1:27" hidden="1">
      <c r="A64">
        <v>2615968803</v>
      </c>
      <c r="B64" s="89" t="s">
        <v>28</v>
      </c>
      <c r="C64" s="68" t="e">
        <f>SUMIF(#REF!,A64,#REF!)</f>
        <v>#REF!</v>
      </c>
      <c r="D64" t="e">
        <f>SUMIF(#REF!,A64,#REF!)</f>
        <v>#REF!</v>
      </c>
      <c r="E64" s="22" t="s">
        <v>150</v>
      </c>
      <c r="F64" s="1" t="s">
        <v>161</v>
      </c>
      <c r="G64" s="2">
        <f t="shared" si="2"/>
        <v>111</v>
      </c>
      <c r="H64">
        <f t="shared" si="4"/>
        <v>250</v>
      </c>
      <c r="I64">
        <f t="shared" si="3"/>
        <v>0.37080000000000002</v>
      </c>
      <c r="J64" t="e">
        <f>IF((SUMIF(#REF!,A64&amp;"Minutos*",#REF!)+SUMIF(#REF!,A64&amp;"A *",#REF!))&lt;=H64,0,(SUMIF(#REF!,A64&amp;"Minutos*",#REF!)+SUMIF(#REF!,A64&amp;"A *",#REF!))-H64)</f>
        <v>#REF!</v>
      </c>
      <c r="K64" t="e">
        <f>SUMIF(#REF!,A64&amp;"Mensajes Persona a Persona",#REF!)</f>
        <v>#REF!</v>
      </c>
      <c r="L64" s="3" t="e">
        <f>SUMIF(#REF!,A64&amp;"Mensajes Persona a Persona",#REF!)+SUMIF(#REF!,A64&amp;"PACK *00 SMS",#REF!)</f>
        <v>#REF!</v>
      </c>
      <c r="M64" s="8" t="e">
        <f>SUMIF(#REF!,A64&amp;"Mensajes Mul*",#REF!)</f>
        <v>#REF!</v>
      </c>
      <c r="N64" s="3" t="e">
        <f>SUMIF(#REF!,A64&amp;"Mensajes Mul*",#REF!)</f>
        <v>#REF!</v>
      </c>
      <c r="O64" s="3"/>
      <c r="P64" s="3" t="e">
        <f>SUMIF(#REF!,A64&amp;"Pack Mult*",#REF!)+SUMIF(#REF!,A64&amp;"Pack Blacberry BIS",#REF!)+SUMIF(#REF!,A64&amp;"Pack de datos*",#REF!)+SUMIF(#REF!,A64&amp;"Paquetes datos*",#REF!)+SUMIF(#REF!,A64&amp;"Paquete de datos*",#REF!)+SUMIF(#REF!,A64&amp;"Servicio BIS BLACKBERRY*",#REF!)+SUMIF(#REF!,A64&amp;"Pack Internet*",#REF!)+SUMIF(#REF!,A64&amp;"Pack de*",#REF!)+SUMIF(#REF!,A64&amp;"Pack 100M*",#REF!)++SUMIF(#REF!,A64&amp;"Paquete Internet*",#REF!)</f>
        <v>#REF!</v>
      </c>
      <c r="Q64" s="8" t="e">
        <f>SUMIF(#REF!,A64&amp;"Llamadas Roam*",#REF!)+SUMIF(#REF!,A64&amp;"Llamadas Internacionales",#REF!)</f>
        <v>#REF!</v>
      </c>
      <c r="R64" s="3" t="e">
        <f>SUMIF(#REF!,A64&amp;"Llamadas Roam*",#REF!)+SUMIF(#REF!,A64&amp;"Llamadas Internacionales",#REF!)+SUMIF(#REF!,A64&amp;"Llamadas y SMS Roaming",#REF!)+SUMIF(#REF!,A64&amp;"SMS Roaming",#REF!)</f>
        <v>#REF!</v>
      </c>
      <c r="S64" s="8" t="e">
        <f>SUMIF(#REF!,A64&amp;"Roaming*",#REF!)</f>
        <v>#REF!</v>
      </c>
      <c r="T64" s="3" t="e">
        <f>SUMIF(#REF!,A64&amp;"Roaming*",#REF!)+SUMIF(#REF!,A64&amp;"Internet Roaming*",#REF!)</f>
        <v>#REF!</v>
      </c>
      <c r="U64" s="3" t="e">
        <f>C64-111-L64-N64-P64-R64-T64-SUMIF(#REF!,A64&amp;"Minutos*",#REF!)-SUMIF(#REF!,A64&amp;"A *",#REF!)</f>
        <v>#REF!</v>
      </c>
      <c r="V64" s="4" t="e">
        <f t="shared" si="6"/>
        <v>#REF!</v>
      </c>
      <c r="W64" s="88" t="e">
        <f>V64</f>
        <v>#REF!</v>
      </c>
      <c r="Y64" t="s">
        <v>195</v>
      </c>
      <c r="Z64" s="65" t="s">
        <v>184</v>
      </c>
    </row>
    <row r="65" spans="1:27" hidden="1">
      <c r="A65">
        <v>2615968886</v>
      </c>
      <c r="B65" s="89" t="s">
        <v>29</v>
      </c>
      <c r="C65" s="68" t="e">
        <f>SUMIF(#REF!,A65,#REF!)</f>
        <v>#REF!</v>
      </c>
      <c r="D65" t="e">
        <f>SUMIF(#REF!,A65,#REF!)</f>
        <v>#REF!</v>
      </c>
      <c r="E65" s="22" t="s">
        <v>64</v>
      </c>
      <c r="F65" s="1" t="s">
        <v>161</v>
      </c>
      <c r="G65" s="2">
        <f t="shared" si="2"/>
        <v>111</v>
      </c>
      <c r="H65">
        <f t="shared" si="4"/>
        <v>250</v>
      </c>
      <c r="I65">
        <f t="shared" si="3"/>
        <v>0.37080000000000002</v>
      </c>
      <c r="J65" t="e">
        <f>IF((SUMIF(#REF!,A65&amp;"Minutos*",#REF!)+SUMIF(#REF!,A65&amp;"A *",#REF!))&lt;=H65,0,(SUMIF(#REF!,A65&amp;"Minutos*",#REF!)+SUMIF(#REF!,A65&amp;"A *",#REF!))-H65)</f>
        <v>#REF!</v>
      </c>
      <c r="K65" s="57" t="e">
        <f>SUMIF(#REF!,A65&amp;"Mensajes Persona a Persona",#REF!)</f>
        <v>#REF!</v>
      </c>
      <c r="L65" s="3" t="e">
        <f>SUMIF(#REF!,A65&amp;"Mensajes Persona a Persona",#REF!)+SUMIF(#REF!,A65&amp;"PACK *00 SMS",#REF!)</f>
        <v>#REF!</v>
      </c>
      <c r="M65" s="8" t="e">
        <f>SUMIF(#REF!,A65&amp;"Mensajes Mul*",#REF!)</f>
        <v>#REF!</v>
      </c>
      <c r="N65" s="3" t="e">
        <f>SUMIF(#REF!,A65&amp;"Mensajes Mul*",#REF!)</f>
        <v>#REF!</v>
      </c>
      <c r="O65" s="3"/>
      <c r="P65" s="3" t="e">
        <f>SUMIF(#REF!,A65&amp;"Pack Mult*",#REF!)+SUMIF(#REF!,A65&amp;"Pack Blacberry BIS",#REF!)+SUMIF(#REF!,A65&amp;"Pack de datos*",#REF!)+SUMIF(#REF!,A65&amp;"Paquetes datos*",#REF!)+SUMIF(#REF!,A65&amp;"Paquete de datos*",#REF!)+SUMIF(#REF!,A65&amp;"Servicio BIS BLACKBERRY*",#REF!)+SUMIF(#REF!,A65&amp;"Pack Internet*",#REF!)+SUMIF(#REF!,A65&amp;"Pack de*",#REF!)+SUMIF(#REF!,A65&amp;"Pack 100M*",#REF!)++SUMIF(#REF!,A65&amp;"Paquete Internet*",#REF!)</f>
        <v>#REF!</v>
      </c>
      <c r="Q65" s="8" t="e">
        <f>SUMIF(#REF!,A65&amp;"Llamadas Roam*",#REF!)+SUMIF(#REF!,A65&amp;"Llamadas Internacionales",#REF!)</f>
        <v>#REF!</v>
      </c>
      <c r="R65" s="3" t="e">
        <f>SUMIF(#REF!,A65&amp;"Llamadas Roam*",#REF!)+SUMIF(#REF!,A65&amp;"Llamadas Internacionales",#REF!)+SUMIF(#REF!,A65&amp;"Llamadas y SMS Roaming",#REF!)+SUMIF(#REF!,A65&amp;"SMS Roaming",#REF!)</f>
        <v>#REF!</v>
      </c>
      <c r="S65" s="8" t="e">
        <f>SUMIF(#REF!,A65&amp;"Roaming*",#REF!)</f>
        <v>#REF!</v>
      </c>
      <c r="T65" s="3" t="e">
        <f>SUMIF(#REF!,A65&amp;"Roaming*",#REF!)+SUMIF(#REF!,A65&amp;"Internet Roaming*",#REF!)</f>
        <v>#REF!</v>
      </c>
      <c r="U65" s="3" t="e">
        <f>C65-111-L65-N65-P65-R65-T65-SUMIF(#REF!,A65&amp;"Minutos*",#REF!)-SUMIF(#REF!,A65&amp;"A *",#REF!)</f>
        <v>#REF!</v>
      </c>
      <c r="V65" s="4" t="e">
        <f t="shared" si="6"/>
        <v>#REF!</v>
      </c>
      <c r="W65" s="88" t="e">
        <f>(Tabla1[[#This Row],[Msj Mult]]*(1+$C$74+$C$75+$C$76)+O65*1.21)</f>
        <v>#REF!</v>
      </c>
      <c r="X65" s="64" t="s">
        <v>277</v>
      </c>
      <c r="Y65" t="s">
        <v>153</v>
      </c>
      <c r="Z65" s="65" t="s">
        <v>184</v>
      </c>
    </row>
    <row r="66" spans="1:27" hidden="1">
      <c r="A66">
        <v>2614664835</v>
      </c>
      <c r="B66" s="99" t="s">
        <v>10</v>
      </c>
      <c r="C66" s="68" t="e">
        <f>SUMIF(#REF!,A66,#REF!)</f>
        <v>#REF!</v>
      </c>
      <c r="D66" t="e">
        <f>SUMIF(#REF!,A66,#REF!)</f>
        <v>#REF!</v>
      </c>
      <c r="E66" s="1" t="s">
        <v>64</v>
      </c>
      <c r="F66" s="1" t="s">
        <v>227</v>
      </c>
      <c r="G66" s="2">
        <f t="shared" ref="G66" si="7">VLOOKUP(F66,B$86:D$92,2,FALSE)</f>
        <v>0</v>
      </c>
      <c r="H66">
        <f t="shared" si="4"/>
        <v>0</v>
      </c>
      <c r="I66">
        <f t="shared" ref="I66" si="8">VLOOKUP(F66,B$86:G$92,6,FALSE)</f>
        <v>0</v>
      </c>
      <c r="J66" t="e">
        <f>IF((SUMIF(#REF!,A66&amp;"Minutos*",#REF!)+SUMIF(#REF!,A66&amp;"A *",#REF!))&lt;=H66,0,(SUMIF(#REF!,A66&amp;"Minutos*",#REF!)+SUMIF(#REF!,A66&amp;"A *",#REF!))-H66)</f>
        <v>#REF!</v>
      </c>
      <c r="K66" t="e">
        <f>SUMIF(#REF!,A66&amp;"Mensajes Persona a Persona",#REF!)</f>
        <v>#REF!</v>
      </c>
      <c r="L66" s="3" t="e">
        <f>SUMIF(#REF!,A66&amp;"Mensajes Persona a Persona",#REF!)+SUMIF(#REF!,A66&amp;"PACK *00 SMS",#REF!)</f>
        <v>#REF!</v>
      </c>
      <c r="M66" s="8" t="e">
        <f>SUMIF(#REF!,A66&amp;"Mensajes Mul*",#REF!)</f>
        <v>#REF!</v>
      </c>
      <c r="N66" s="3" t="e">
        <f>SUMIF(#REF!,A66&amp;"Mensajes Mul*",#REF!)</f>
        <v>#REF!</v>
      </c>
      <c r="O66" s="3"/>
      <c r="P66" s="3" t="e">
        <f>SUMIF(#REF!,A66&amp;"Pack Mult*",#REF!)+SUMIF(#REF!,A66&amp;"Pack Blacberry BIS",#REF!)+SUMIF(#REF!,A66&amp;"Pack de datos*",#REF!)+SUMIF(#REF!,A66&amp;"Paquetes datos*",#REF!)+SUMIF(#REF!,A66&amp;"Paquete de datos*",#REF!)+SUMIF(#REF!,A66&amp;"Servicio BIS BLACKBERRY*",#REF!)+SUMIF(#REF!,A66&amp;"Pack Internet*",#REF!)+SUMIF(#REF!,A66&amp;"Pack de*",#REF!)+SUMIF(#REF!,A66&amp;"Pack 100M*",#REF!)++SUMIF(#REF!,A66&amp;"Paquete Internet*",#REF!)</f>
        <v>#REF!</v>
      </c>
      <c r="Q66" s="8" t="e">
        <f>SUMIF(#REF!,A66&amp;"Llamadas Roam*",#REF!)+SUMIF(#REF!,A66&amp;"Llamadas Internacionales",#REF!)</f>
        <v>#REF!</v>
      </c>
      <c r="R66" s="3" t="e">
        <f>SUMIF(#REF!,A66&amp;"Llamadas Roam*",#REF!)+SUMIF(#REF!,A66&amp;"Llamadas Internacionales",#REF!)+SUMIF(#REF!,A66&amp;"Llamadas y SMS Roaming",#REF!)+SUMIF(#REF!,A66&amp;"SMS Roaming",#REF!)</f>
        <v>#REF!</v>
      </c>
      <c r="S66" s="8" t="e">
        <f>SUMIF(#REF!,A66&amp;"Roaming*",#REF!)</f>
        <v>#REF!</v>
      </c>
      <c r="T66" s="3" t="e">
        <f>SUMIF(#REF!,A66&amp;"Roaming*",#REF!)+SUMIF(#REF!,A66&amp;"Internet Roaming*",#REF!)</f>
        <v>#REF!</v>
      </c>
      <c r="U66" s="3" t="e">
        <f>C66-L66-N66-P66-R66-T66-SUMIF(#REF!,A66&amp;"Minutos*",#REF!)-SUMIF(#REF!,A66&amp;"A *",#REF!)</f>
        <v>#REF!</v>
      </c>
      <c r="V66" s="2" t="e">
        <f t="shared" si="6"/>
        <v>#REF!</v>
      </c>
      <c r="W66" s="66"/>
      <c r="X66" s="64"/>
      <c r="Y66" s="64"/>
      <c r="Z66" s="65" t="s">
        <v>184</v>
      </c>
      <c r="AA66" t="s">
        <v>3</v>
      </c>
    </row>
    <row r="67" spans="1:27" hidden="1">
      <c r="A67">
        <v>2616401259</v>
      </c>
      <c r="B67" s="115" t="s">
        <v>148</v>
      </c>
      <c r="C67" s="68" t="e">
        <f>SUMIF(#REF!,A67,#REF!)</f>
        <v>#REF!</v>
      </c>
      <c r="D67" t="e">
        <f>SUMIF(#REF!,A67,#REF!)</f>
        <v>#REF!</v>
      </c>
      <c r="E67" s="23" t="s">
        <v>63</v>
      </c>
      <c r="F67" s="1" t="s">
        <v>161</v>
      </c>
      <c r="G67" s="2">
        <f t="shared" ref="G67" si="9">VLOOKUP(F67,B$86:D$92,2,FALSE)</f>
        <v>111</v>
      </c>
      <c r="H67">
        <f t="shared" si="4"/>
        <v>250</v>
      </c>
      <c r="I67">
        <f t="shared" si="3"/>
        <v>0.37080000000000002</v>
      </c>
      <c r="J67" t="e">
        <f>IF((SUMIF(#REF!,A67&amp;"Minutos*",#REF!)+SUMIF(#REF!,A67&amp;"A *",#REF!))&lt;=H67,0,(SUMIF(#REF!,A67&amp;"Minutos*",#REF!)+SUMIF(#REF!,A67&amp;"A *",#REF!))-H67)</f>
        <v>#REF!</v>
      </c>
      <c r="K67" t="e">
        <f>SUMIF(#REF!,A67&amp;"Mensajes Persona a Persona",#REF!)</f>
        <v>#REF!</v>
      </c>
      <c r="L67" s="3" t="e">
        <f>SUMIF(#REF!,A67&amp;"Mensajes Persona a Persona",#REF!)+SUMIF(#REF!,A67&amp;"PACK *00 SMS",#REF!)</f>
        <v>#REF!</v>
      </c>
      <c r="M67" s="8" t="e">
        <f>SUMIF(#REF!,A67&amp;"Mensajes Mul*",#REF!)</f>
        <v>#REF!</v>
      </c>
      <c r="N67" s="3" t="e">
        <f>SUMIF(#REF!,A67&amp;"Mensajes Mul*",#REF!)</f>
        <v>#REF!</v>
      </c>
      <c r="O67" s="91">
        <v>656.52</v>
      </c>
      <c r="P67" s="3" t="e">
        <f>SUMIF(#REF!,A67&amp;"Pack Mult*",#REF!)+SUMIF(#REF!,A67&amp;"Pack Blacberry BIS",#REF!)+SUMIF(#REF!,A67&amp;"Pack de datos*",#REF!)+SUMIF(#REF!,A67&amp;"Paquetes datos*",#REF!)+SUMIF(#REF!,A67&amp;"Paquete de datos*",#REF!)+SUMIF(#REF!,A67&amp;"Servicio BIS BLACKBERRY*",#REF!)+SUMIF(#REF!,A67&amp;"Pack Internet*",#REF!)+SUMIF(#REF!,A67&amp;"Pack de*",#REF!)+SUMIF(#REF!,A67&amp;"Pack 100M*",#REF!)++SUMIF(#REF!,A67&amp;"Paquete Internet*",#REF!)</f>
        <v>#REF!</v>
      </c>
      <c r="Q67" s="8" t="e">
        <f>SUMIF(#REF!,A67&amp;"Llamadas Roam*",#REF!)+SUMIF(#REF!,A67&amp;"Llamadas Internacionales",#REF!)</f>
        <v>#REF!</v>
      </c>
      <c r="R67" s="3" t="e">
        <f>SUMIF(#REF!,A67&amp;"Llamadas Roam*",#REF!)+SUMIF(#REF!,A67&amp;"Llamadas Internacionales",#REF!)+SUMIF(#REF!,A67&amp;"Llamadas y SMS Roaming",#REF!)+SUMIF(#REF!,A67&amp;"SMS Roaming",#REF!)</f>
        <v>#REF!</v>
      </c>
      <c r="S67" s="8" t="e">
        <f>SUMIF(#REF!,A67&amp;"Roaming*",#REF!)</f>
        <v>#REF!</v>
      </c>
      <c r="T67" s="3" t="e">
        <f>SUMIF(#REF!,A67&amp;"Roaming*",#REF!)+SUMIF(#REF!,A67&amp;"Internet Roaming*",#REF!)</f>
        <v>#REF!</v>
      </c>
      <c r="U67" s="3" t="e">
        <f>C67-111-L67-N67-P67-R67-T67-SUMIF(#REF!,A67&amp;"Minutos*",#REF!)-SUMIF(#REF!,A67&amp;"A *",#REF!)</f>
        <v>#REF!</v>
      </c>
      <c r="V67" s="4" t="e">
        <f t="shared" si="6"/>
        <v>#REF!</v>
      </c>
      <c r="W67" s="2" t="e">
        <f>V67-(G67+P67)*(1+$C$74+$C$75+$C$76)</f>
        <v>#REF!</v>
      </c>
      <c r="X67" t="s">
        <v>176</v>
      </c>
      <c r="Z67" s="65" t="s">
        <v>184</v>
      </c>
      <c r="AA67" t="s">
        <v>146</v>
      </c>
    </row>
    <row r="68" spans="1:27" hidden="1">
      <c r="A68">
        <f>COUNT(A2:A67)</f>
        <v>66</v>
      </c>
      <c r="I68" s="63"/>
      <c r="O68" s="3"/>
      <c r="R68" s="3"/>
      <c r="T68" s="3"/>
    </row>
    <row r="69" spans="1:27" hidden="1">
      <c r="B69" s="1" t="s">
        <v>7</v>
      </c>
      <c r="C69" s="2" t="e">
        <f>SUM(C1:C68)</f>
        <v>#REF!</v>
      </c>
      <c r="D69" s="2" t="e">
        <f>SUM(D1:D68)</f>
        <v>#REF!</v>
      </c>
      <c r="E69" s="2" t="e">
        <f>SUM(V2:V69)</f>
        <v>#REF!</v>
      </c>
      <c r="F69" s="2"/>
      <c r="H69" s="56"/>
    </row>
    <row r="70" spans="1:27" hidden="1">
      <c r="B70" s="1" t="s">
        <v>64</v>
      </c>
      <c r="C70" s="2" t="e">
        <f>SUMIF(E1:E68,B70,C1:C68)</f>
        <v>#REF!</v>
      </c>
      <c r="D70" s="2" t="e">
        <f>SUMIF(E1:E68,B70,D1:D68)</f>
        <v>#REF!</v>
      </c>
      <c r="E70" s="2" t="e">
        <f>SUMIF(E1:E68,B70,V1:V68)</f>
        <v>#REF!</v>
      </c>
      <c r="F70" s="2"/>
      <c r="H70" s="56"/>
    </row>
    <row r="71" spans="1:27" hidden="1">
      <c r="B71" s="1" t="s">
        <v>63</v>
      </c>
      <c r="C71" s="2" t="e">
        <f>SUMIF(E1:E68,B71,C1:C68)</f>
        <v>#REF!</v>
      </c>
      <c r="D71" s="2" t="e">
        <f>SUMIF(E1:E68,B71,D1:D68)</f>
        <v>#REF!</v>
      </c>
      <c r="E71" s="2" t="e">
        <f>SUMIF(E1:E68,B71,V1:V68)</f>
        <v>#REF!</v>
      </c>
      <c r="F71" s="2"/>
      <c r="H71" s="56"/>
    </row>
    <row r="72" spans="1:27" hidden="1">
      <c r="B72" s="1" t="s">
        <v>62</v>
      </c>
      <c r="C72" s="3" t="e">
        <f>C69-C70-C71</f>
        <v>#REF!</v>
      </c>
      <c r="D72" s="3" t="e">
        <f>D69-D70-D71</f>
        <v>#REF!</v>
      </c>
      <c r="E72" s="3" t="e">
        <f>E69-E70-E71</f>
        <v>#REF!</v>
      </c>
      <c r="F72" s="3"/>
    </row>
    <row r="73" spans="1:27" hidden="1">
      <c r="B73" s="2"/>
      <c r="D73" t="s">
        <v>108</v>
      </c>
      <c r="E73" s="2" t="e">
        <f>SUM(W1:W68)</f>
        <v>#REF!</v>
      </c>
      <c r="F73" s="2"/>
      <c r="N73" s="3"/>
    </row>
    <row r="74" spans="1:27" hidden="1">
      <c r="B74" s="2" t="s">
        <v>65</v>
      </c>
      <c r="C74" s="100">
        <v>0.27</v>
      </c>
      <c r="D74" t="s">
        <v>107</v>
      </c>
      <c r="E74" s="2" t="e">
        <f>Brunela!#REF!+Brunela!#REF!+Brunela!#REF!+Brunela!#REF!+'Rodrigo M'!#REF!+'Rodrigo M'!#REF!+'Rodrigo M'!#REF!+'Marcelo C'!#REF!+'Marcelo C'!#REF!+'Marcelo C'!#REF!+'Marcelo C'!#REF!+'Marcelo C'!#REF!+'Marcelo C'!#REF!+'Marcelo C'!#REF!+'Marcelo C'!#REF!+'Marcelo C'!#REF!+'Marcelo C'!#REF!+'Marcelo C'!#REF!+'Marcelo C'!#REF!+'Marcelo C'!#REF!+'Marcelo C'!#REF!+'Marcelo C'!#REF!+'Marcelo C'!#REF!+'Marcelo C'!#REF!+'Marcelo C'!#REF!+'Marcelo C'!#REF!</f>
        <v>#REF!</v>
      </c>
      <c r="F74" s="2"/>
      <c r="H74" s="56"/>
      <c r="P74" s="8"/>
    </row>
    <row r="75" spans="1:27" hidden="1">
      <c r="B75" s="2" t="s">
        <v>66</v>
      </c>
      <c r="C75" s="100">
        <v>4.1700000000000001E-2</v>
      </c>
      <c r="D75" s="3"/>
    </row>
    <row r="76" spans="1:27" hidden="1">
      <c r="B76" s="2" t="s">
        <v>2</v>
      </c>
      <c r="C76" s="100">
        <v>0.01</v>
      </c>
      <c r="D76" s="3"/>
    </row>
    <row r="77" spans="1:27" hidden="1">
      <c r="B77" s="2"/>
      <c r="C77" s="5"/>
      <c r="D77" s="3"/>
      <c r="L77" s="3"/>
      <c r="O77" s="3"/>
      <c r="X77" s="3"/>
      <c r="Y77" s="3"/>
      <c r="Z77" s="77"/>
    </row>
    <row r="78" spans="1:27" hidden="1">
      <c r="B78" s="2" t="s">
        <v>77</v>
      </c>
      <c r="C78">
        <f>A68-1</f>
        <v>65</v>
      </c>
      <c r="D78" t="s">
        <v>205</v>
      </c>
      <c r="I78" s="55"/>
      <c r="L78" s="3"/>
    </row>
    <row r="79" spans="1:27" hidden="1">
      <c r="B79" s="2" t="s">
        <v>74</v>
      </c>
      <c r="C79" s="8">
        <f>(C78-1)*250</f>
        <v>16000</v>
      </c>
      <c r="D79" s="9"/>
      <c r="L79" s="3"/>
      <c r="V79" s="3"/>
    </row>
    <row r="80" spans="1:27" hidden="1">
      <c r="B80" s="2" t="s">
        <v>75</v>
      </c>
      <c r="C80" s="8" t="e">
        <f>SUMIF(#REF!,"Minutos*",#REF!)</f>
        <v>#REF!</v>
      </c>
      <c r="J80" s="80"/>
      <c r="L80" s="3"/>
    </row>
    <row r="81" spans="2:12" hidden="1">
      <c r="B81" s="2" t="s">
        <v>76</v>
      </c>
      <c r="C81" s="9" t="e">
        <f>C79-C80</f>
        <v>#REF!</v>
      </c>
      <c r="D81" s="9"/>
      <c r="I81" s="63"/>
      <c r="J81" s="79"/>
      <c r="L81" s="3"/>
    </row>
    <row r="82" spans="2:12" hidden="1">
      <c r="B82" s="2" t="s">
        <v>105</v>
      </c>
      <c r="C82" s="8" t="e">
        <f>IF((SUMIF(#REF!,"Minutos*",#REF!)+SUMIF(#REF!,"A *",#REF!))-C79&lt;0,0,(SUMIF(#REF!,"Minutos*",#REF!)+SUMIF(#REF!,"A *",#REF!))-C79)</f>
        <v>#REF!</v>
      </c>
      <c r="D82" s="9"/>
      <c r="L82" s="3"/>
    </row>
    <row r="83" spans="2:12" hidden="1">
      <c r="B83" s="1" t="s">
        <v>154</v>
      </c>
      <c r="C83">
        <v>0.38</v>
      </c>
      <c r="L83" s="3"/>
    </row>
    <row r="84" spans="2:12" hidden="1">
      <c r="B84" s="1" t="s">
        <v>209</v>
      </c>
      <c r="C84">
        <v>0.91500000000000004</v>
      </c>
      <c r="L84" s="3"/>
    </row>
    <row r="85" spans="2:12" hidden="1">
      <c r="B85" s="1" t="s">
        <v>162</v>
      </c>
      <c r="C85" t="s">
        <v>167</v>
      </c>
      <c r="D85" t="s">
        <v>164</v>
      </c>
      <c r="E85" t="s">
        <v>168</v>
      </c>
      <c r="F85" t="s">
        <v>169</v>
      </c>
      <c r="G85" s="2" t="s">
        <v>203</v>
      </c>
      <c r="L85" s="3"/>
    </row>
    <row r="86" spans="2:12" hidden="1">
      <c r="B86" s="1" t="s">
        <v>227</v>
      </c>
      <c r="C86">
        <v>0</v>
      </c>
      <c r="D86">
        <v>0</v>
      </c>
      <c r="E86">
        <v>0</v>
      </c>
      <c r="F86">
        <v>0</v>
      </c>
      <c r="G86" s="2">
        <v>0</v>
      </c>
      <c r="L86" s="3"/>
    </row>
    <row r="87" spans="2:12" hidden="1">
      <c r="B87" t="s">
        <v>161</v>
      </c>
      <c r="C87">
        <f>E87</f>
        <v>111</v>
      </c>
      <c r="D87">
        <v>250</v>
      </c>
      <c r="E87">
        <v>111</v>
      </c>
      <c r="G87" s="63">
        <f>0.0062*30+0.1848</f>
        <v>0.37080000000000002</v>
      </c>
      <c r="J87" s="80"/>
      <c r="L87" s="3"/>
    </row>
    <row r="88" spans="2:12" hidden="1">
      <c r="B88" t="s">
        <v>163</v>
      </c>
      <c r="C88">
        <f>INT(C87*56%)</f>
        <v>62</v>
      </c>
      <c r="D88">
        <f>INT(D87*42%)</f>
        <v>105</v>
      </c>
      <c r="E88">
        <v>95</v>
      </c>
      <c r="G88" s="63">
        <v>0.40250000000000002</v>
      </c>
      <c r="I88" s="63"/>
      <c r="J88" s="79"/>
      <c r="L88" s="3"/>
    </row>
    <row r="89" spans="2:12" hidden="1">
      <c r="B89" t="s">
        <v>157</v>
      </c>
      <c r="C89">
        <v>67.91</v>
      </c>
      <c r="D89" t="s">
        <v>165</v>
      </c>
      <c r="E89">
        <v>67.91</v>
      </c>
      <c r="F89" t="s">
        <v>160</v>
      </c>
      <c r="L89" s="3"/>
    </row>
    <row r="90" spans="2:12" hidden="1">
      <c r="B90" t="s">
        <v>6</v>
      </c>
      <c r="C90">
        <v>127.8</v>
      </c>
      <c r="D90" t="s">
        <v>116</v>
      </c>
      <c r="E90">
        <v>127.8</v>
      </c>
      <c r="G90" s="2">
        <v>0</v>
      </c>
      <c r="L90" s="3"/>
    </row>
    <row r="91" spans="2:12" hidden="1">
      <c r="B91" t="s">
        <v>123</v>
      </c>
      <c r="C91">
        <v>240</v>
      </c>
      <c r="D91" t="s">
        <v>116</v>
      </c>
      <c r="E91">
        <v>190</v>
      </c>
      <c r="G91" s="2">
        <v>0</v>
      </c>
      <c r="L91" s="3"/>
    </row>
    <row r="92" spans="2:12" hidden="1">
      <c r="B92" t="s">
        <v>166</v>
      </c>
      <c r="C92">
        <v>0</v>
      </c>
      <c r="D92">
        <v>230</v>
      </c>
      <c r="E92">
        <v>75</v>
      </c>
      <c r="G92" s="63">
        <f>0.0062*30+0.1848</f>
        <v>0.37080000000000002</v>
      </c>
      <c r="L92" s="3"/>
    </row>
    <row r="93" spans="2:12" hidden="1">
      <c r="B93" s="1" t="s">
        <v>93</v>
      </c>
      <c r="C93" s="51">
        <v>42461</v>
      </c>
      <c r="D93" t="s">
        <v>106</v>
      </c>
      <c r="L93" s="3"/>
    </row>
    <row r="94" spans="2:12" hidden="1">
      <c r="B94" s="22" t="s">
        <v>79</v>
      </c>
      <c r="L94" s="3"/>
    </row>
    <row r="95" spans="2:12" hidden="1">
      <c r="B95" s="21" t="s">
        <v>80</v>
      </c>
      <c r="L95" s="3"/>
    </row>
    <row r="96" spans="2:12" hidden="1">
      <c r="B96" s="23" t="s">
        <v>81</v>
      </c>
      <c r="L96" s="3"/>
    </row>
    <row r="97" spans="1:33">
      <c r="L97" s="3"/>
    </row>
    <row r="98" spans="1:33">
      <c r="L98" s="3"/>
    </row>
    <row r="99" spans="1:33">
      <c r="B99" s="76" t="s">
        <v>207</v>
      </c>
      <c r="L99" s="3"/>
    </row>
    <row r="100" spans="1:33">
      <c r="B100" s="1" t="s">
        <v>118</v>
      </c>
      <c r="C100" t="s">
        <v>112</v>
      </c>
      <c r="D100" t="s">
        <v>114</v>
      </c>
      <c r="E100" t="s">
        <v>113</v>
      </c>
      <c r="G100" t="s">
        <v>175</v>
      </c>
      <c r="I100" s="74"/>
      <c r="J100" s="74"/>
      <c r="R100" s="8"/>
    </row>
    <row r="101" spans="1:33">
      <c r="A101">
        <v>1</v>
      </c>
      <c r="B101" s="1" t="s">
        <v>111</v>
      </c>
      <c r="C101">
        <f>A68</f>
        <v>66</v>
      </c>
      <c r="D101" t="s">
        <v>116</v>
      </c>
      <c r="E101">
        <v>2</v>
      </c>
      <c r="F101" s="65" t="s">
        <v>226</v>
      </c>
      <c r="G101">
        <v>12</v>
      </c>
      <c r="I101"/>
      <c r="R101" s="8"/>
    </row>
    <row r="102" spans="1:33">
      <c r="A102">
        <v>2</v>
      </c>
      <c r="B102" s="1" t="s">
        <v>147</v>
      </c>
      <c r="C102" s="3"/>
      <c r="D102" s="2"/>
      <c r="E102" s="2"/>
      <c r="F102" s="64"/>
      <c r="G102" s="7" t="s">
        <v>215</v>
      </c>
      <c r="H102" s="7"/>
      <c r="I102" s="7"/>
      <c r="J102" s="7"/>
      <c r="K102" s="7"/>
      <c r="R102" s="8"/>
    </row>
    <row r="103" spans="1:33">
      <c r="A103">
        <v>3</v>
      </c>
      <c r="B103" s="1" t="s">
        <v>115</v>
      </c>
      <c r="C103" s="2">
        <f>SUM(Tabla1[EQUIPOS])</f>
        <v>947.78</v>
      </c>
      <c r="D103" t="s">
        <v>116</v>
      </c>
      <c r="E103" s="70">
        <f>I107+J107</f>
        <v>0</v>
      </c>
      <c r="F103" s="65" t="s">
        <v>226</v>
      </c>
      <c r="G103" s="7">
        <v>11</v>
      </c>
      <c r="H103" s="7"/>
      <c r="I103" s="7"/>
      <c r="J103" s="7"/>
      <c r="K103" s="7"/>
      <c r="R103" s="8"/>
    </row>
    <row r="104" spans="1:33">
      <c r="A104">
        <v>4</v>
      </c>
      <c r="B104" s="1" t="s">
        <v>204</v>
      </c>
      <c r="F104" s="64"/>
      <c r="G104" s="7">
        <v>367.43</v>
      </c>
      <c r="H104" s="7"/>
      <c r="I104" s="90"/>
      <c r="J104" s="90"/>
      <c r="K104" s="90"/>
      <c r="R104" s="8"/>
      <c r="AA104" s="2"/>
      <c r="AC104" s="2"/>
    </row>
    <row r="105" spans="1:33">
      <c r="A105">
        <v>5</v>
      </c>
      <c r="B105" s="1" t="s">
        <v>119</v>
      </c>
      <c r="C105" s="51"/>
      <c r="F105" s="65"/>
      <c r="G105" s="3"/>
      <c r="I105" s="3"/>
      <c r="J105" s="3"/>
      <c r="K105" s="3"/>
      <c r="R105" s="8"/>
      <c r="AA105" s="3"/>
      <c r="AC105" s="3"/>
    </row>
    <row r="106" spans="1:33">
      <c r="A106">
        <v>6</v>
      </c>
      <c r="B106" s="1" t="s">
        <v>117</v>
      </c>
      <c r="F106" s="64"/>
      <c r="G106" s="85">
        <v>2615942244</v>
      </c>
      <c r="H106" s="86" t="s">
        <v>102</v>
      </c>
      <c r="I106" s="72"/>
      <c r="J106" s="8"/>
      <c r="K106" s="72"/>
      <c r="R106" s="8"/>
      <c r="AA106" s="72"/>
      <c r="AC106" s="8"/>
    </row>
    <row r="107" spans="1:33">
      <c r="A107">
        <v>7</v>
      </c>
      <c r="B107" s="1" t="s">
        <v>122</v>
      </c>
      <c r="C107" s="3"/>
      <c r="D107" s="2"/>
      <c r="E107" s="2"/>
      <c r="F107" s="64"/>
      <c r="G107" s="87">
        <v>2615462740</v>
      </c>
      <c r="H107" s="86" t="s">
        <v>71</v>
      </c>
      <c r="I107" s="75"/>
      <c r="J107" s="73"/>
      <c r="K107" s="3"/>
      <c r="R107" s="8"/>
      <c r="AA107" s="3"/>
      <c r="AC107" s="81"/>
      <c r="AG107" t="s">
        <v>171</v>
      </c>
    </row>
    <row r="108" spans="1:33">
      <c r="I108"/>
      <c r="K108" s="8"/>
      <c r="M108" t="s">
        <v>171</v>
      </c>
      <c r="N108" s="3"/>
      <c r="O108" s="8" t="s">
        <v>171</v>
      </c>
      <c r="P108" t="s">
        <v>171</v>
      </c>
      <c r="Q108"/>
      <c r="S108"/>
      <c r="X108" s="65"/>
      <c r="Y108" t="s">
        <v>171</v>
      </c>
      <c r="Z108"/>
      <c r="AC108" t="s">
        <v>171</v>
      </c>
      <c r="AG108" t="s">
        <v>171</v>
      </c>
    </row>
    <row r="109" spans="1:33">
      <c r="B109" s="76" t="s">
        <v>181</v>
      </c>
      <c r="E109" s="64" t="s">
        <v>228</v>
      </c>
      <c r="I109"/>
      <c r="K109" s="8"/>
      <c r="L109" s="3"/>
      <c r="M109" t="s">
        <v>171</v>
      </c>
      <c r="N109" t="s">
        <v>171</v>
      </c>
      <c r="O109" s="8" t="s">
        <v>171</v>
      </c>
      <c r="P109" t="s">
        <v>171</v>
      </c>
      <c r="Q109"/>
      <c r="R109" s="81"/>
      <c r="S109"/>
      <c r="X109" s="65"/>
      <c r="Y109" t="s">
        <v>171</v>
      </c>
      <c r="Z109"/>
      <c r="AA109" s="84"/>
      <c r="AB109" s="81"/>
      <c r="AC109" t="s">
        <v>171</v>
      </c>
      <c r="AG109" t="s">
        <v>171</v>
      </c>
    </row>
    <row r="110" spans="1:33">
      <c r="B110" s="76" t="s">
        <v>182</v>
      </c>
      <c r="D110" t="s">
        <v>364</v>
      </c>
      <c r="E110" s="65">
        <v>47.93</v>
      </c>
      <c r="F110" s="65">
        <f>E110*1.27</f>
        <v>60.871099999999998</v>
      </c>
      <c r="G110" s="2">
        <f>E110</f>
        <v>47.93</v>
      </c>
      <c r="H110" s="65">
        <f>G110*1.27</f>
        <v>60.871099999999998</v>
      </c>
      <c r="I110"/>
      <c r="K110" s="8"/>
      <c r="M110" t="s">
        <v>171</v>
      </c>
      <c r="N110" t="s">
        <v>171</v>
      </c>
      <c r="O110" s="8" t="s">
        <v>171</v>
      </c>
      <c r="P110" t="s">
        <v>171</v>
      </c>
      <c r="Q110"/>
      <c r="R110" s="81"/>
      <c r="S110"/>
      <c r="X110" s="65"/>
      <c r="Y110" t="s">
        <v>171</v>
      </c>
      <c r="Z110"/>
      <c r="AA110" s="81"/>
      <c r="AB110" s="81"/>
      <c r="AC110" t="s">
        <v>171</v>
      </c>
      <c r="AG110" t="s">
        <v>171</v>
      </c>
    </row>
    <row r="111" spans="1:33">
      <c r="D111" t="s">
        <v>367</v>
      </c>
      <c r="E111" s="65">
        <v>55.93</v>
      </c>
      <c r="F111" s="65">
        <f>E111*1.27</f>
        <v>71.031099999999995</v>
      </c>
      <c r="G111" s="2">
        <f>E111</f>
        <v>55.93</v>
      </c>
      <c r="H111" s="65">
        <f>G111*1.27</f>
        <v>71.031099999999995</v>
      </c>
      <c r="O111" t="s">
        <v>171</v>
      </c>
      <c r="P111" t="s">
        <v>171</v>
      </c>
      <c r="Q111" s="8" t="s">
        <v>171</v>
      </c>
      <c r="R111" t="s">
        <v>171</v>
      </c>
      <c r="S111" s="8" t="s">
        <v>171</v>
      </c>
      <c r="T111" t="s">
        <v>171</v>
      </c>
      <c r="AA111" t="s">
        <v>171</v>
      </c>
      <c r="AB111" t="s">
        <v>171</v>
      </c>
      <c r="AF111" t="s">
        <v>171</v>
      </c>
      <c r="AG111" t="s">
        <v>171</v>
      </c>
    </row>
    <row r="112" spans="1:33">
      <c r="D112" t="s">
        <v>368</v>
      </c>
      <c r="E112" s="65">
        <v>-27.96</v>
      </c>
      <c r="F112" s="65">
        <f>E112*1.27</f>
        <v>-35.5092</v>
      </c>
      <c r="G112" s="2">
        <f>E112</f>
        <v>-27.96</v>
      </c>
      <c r="H112" s="65">
        <f>G112*1.27</f>
        <v>-35.5092</v>
      </c>
      <c r="O112" t="s">
        <v>171</v>
      </c>
      <c r="P112" t="s">
        <v>171</v>
      </c>
      <c r="Q112" s="8" t="s">
        <v>171</v>
      </c>
      <c r="R112" t="s">
        <v>171</v>
      </c>
      <c r="S112" s="8" t="s">
        <v>171</v>
      </c>
      <c r="T112" t="s">
        <v>171</v>
      </c>
      <c r="AA112" t="s">
        <v>171</v>
      </c>
      <c r="AB112" t="s">
        <v>171</v>
      </c>
      <c r="AD112" s="81"/>
      <c r="AF112" t="s">
        <v>171</v>
      </c>
      <c r="AG112" t="s">
        <v>171</v>
      </c>
    </row>
    <row r="113" spans="4:33">
      <c r="D113" t="s">
        <v>366</v>
      </c>
      <c r="E113" s="65">
        <v>35.950000000000003</v>
      </c>
      <c r="F113" s="65">
        <f>E113*1.27</f>
        <v>45.656500000000001</v>
      </c>
      <c r="G113" s="2">
        <v>51.93</v>
      </c>
      <c r="H113" s="65">
        <f>G113*1.27</f>
        <v>65.951099999999997</v>
      </c>
      <c r="O113" t="s">
        <v>171</v>
      </c>
      <c r="P113" t="s">
        <v>171</v>
      </c>
      <c r="Q113" s="8" t="s">
        <v>171</v>
      </c>
      <c r="R113" t="s">
        <v>171</v>
      </c>
      <c r="S113" s="8" t="s">
        <v>171</v>
      </c>
      <c r="T113" t="s">
        <v>171</v>
      </c>
      <c r="AA113" t="s">
        <v>171</v>
      </c>
      <c r="AB113" t="s">
        <v>171</v>
      </c>
      <c r="AF113" t="s">
        <v>171</v>
      </c>
      <c r="AG113" t="s">
        <v>171</v>
      </c>
    </row>
    <row r="114" spans="4:33">
      <c r="D114" t="s">
        <v>365</v>
      </c>
      <c r="E114" s="65">
        <v>23.97</v>
      </c>
      <c r="F114" s="65">
        <f>E114*1.27</f>
        <v>30.4419</v>
      </c>
      <c r="G114" s="2">
        <f>E114</f>
        <v>23.97</v>
      </c>
      <c r="H114" s="65">
        <f>G114*1.27</f>
        <v>30.4419</v>
      </c>
      <c r="O114" t="s">
        <v>171</v>
      </c>
      <c r="P114" t="s">
        <v>171</v>
      </c>
      <c r="Q114" s="8" t="s">
        <v>171</v>
      </c>
      <c r="R114" t="s">
        <v>171</v>
      </c>
      <c r="S114" s="8" t="s">
        <v>171</v>
      </c>
      <c r="T114" t="s">
        <v>171</v>
      </c>
      <c r="AA114" t="s">
        <v>171</v>
      </c>
      <c r="AB114" t="s">
        <v>171</v>
      </c>
      <c r="AF114" t="s">
        <v>171</v>
      </c>
      <c r="AG114" t="s">
        <v>171</v>
      </c>
    </row>
    <row r="115" spans="4:33">
      <c r="F115" s="127">
        <f>SUM(F110:F114)</f>
        <v>172.4914</v>
      </c>
      <c r="H115" s="127">
        <f>SUM(H110:H114)</f>
        <v>192.786</v>
      </c>
      <c r="O115" t="s">
        <v>171</v>
      </c>
      <c r="P115" t="s">
        <v>171</v>
      </c>
      <c r="Q115" s="8" t="s">
        <v>171</v>
      </c>
      <c r="R115" t="s">
        <v>171</v>
      </c>
      <c r="S115" s="8" t="s">
        <v>171</v>
      </c>
      <c r="T115" t="s">
        <v>171</v>
      </c>
      <c r="AA115" t="s">
        <v>171</v>
      </c>
      <c r="AB115" t="s">
        <v>171</v>
      </c>
      <c r="AF115" t="s">
        <v>171</v>
      </c>
      <c r="AG115" t="s">
        <v>171</v>
      </c>
    </row>
    <row r="116" spans="4:33">
      <c r="O116" t="s">
        <v>171</v>
      </c>
      <c r="P116" t="s">
        <v>171</v>
      </c>
      <c r="Q116" s="8" t="s">
        <v>171</v>
      </c>
      <c r="R116" t="s">
        <v>171</v>
      </c>
      <c r="S116" s="8" t="s">
        <v>171</v>
      </c>
      <c r="T116" t="s">
        <v>171</v>
      </c>
      <c r="AA116" t="s">
        <v>171</v>
      </c>
      <c r="AB116" t="s">
        <v>171</v>
      </c>
      <c r="AF116" t="s">
        <v>171</v>
      </c>
      <c r="AG116" t="s">
        <v>171</v>
      </c>
    </row>
    <row r="117" spans="4:33">
      <c r="O117" t="s">
        <v>171</v>
      </c>
      <c r="P117" t="s">
        <v>171</v>
      </c>
      <c r="Q117" s="8" t="s">
        <v>171</v>
      </c>
      <c r="R117" t="s">
        <v>171</v>
      </c>
      <c r="S117" s="8" t="s">
        <v>171</v>
      </c>
      <c r="T117" t="s">
        <v>171</v>
      </c>
      <c r="AA117" t="s">
        <v>171</v>
      </c>
      <c r="AB117" t="s">
        <v>171</v>
      </c>
      <c r="AF117" t="s">
        <v>171</v>
      </c>
      <c r="AG117" t="s">
        <v>171</v>
      </c>
    </row>
    <row r="118" spans="4:33">
      <c r="D118" s="128" t="s">
        <v>369</v>
      </c>
      <c r="G118" s="129">
        <v>90.41</v>
      </c>
      <c r="I118"/>
      <c r="O118" t="s">
        <v>171</v>
      </c>
      <c r="P118" t="s">
        <v>171</v>
      </c>
      <c r="Q118" s="8" t="s">
        <v>171</v>
      </c>
      <c r="R118" t="s">
        <v>171</v>
      </c>
      <c r="S118" s="8" t="s">
        <v>171</v>
      </c>
      <c r="T118" t="s">
        <v>171</v>
      </c>
      <c r="AA118" t="s">
        <v>171</v>
      </c>
      <c r="AB118" t="s">
        <v>171</v>
      </c>
      <c r="AF118" t="s">
        <v>171</v>
      </c>
      <c r="AG118" t="s">
        <v>171</v>
      </c>
    </row>
    <row r="119" spans="4:33">
      <c r="D119" s="128" t="s">
        <v>370</v>
      </c>
      <c r="G119" s="129">
        <v>307.19</v>
      </c>
      <c r="I119"/>
      <c r="O119" t="s">
        <v>171</v>
      </c>
      <c r="P119" t="s">
        <v>171</v>
      </c>
      <c r="Q119" s="8" t="s">
        <v>171</v>
      </c>
      <c r="R119" t="s">
        <v>171</v>
      </c>
      <c r="S119" s="8" t="s">
        <v>171</v>
      </c>
      <c r="T119" t="s">
        <v>171</v>
      </c>
      <c r="AA119" t="s">
        <v>171</v>
      </c>
      <c r="AB119" t="s">
        <v>171</v>
      </c>
      <c r="AF119" t="s">
        <v>171</v>
      </c>
      <c r="AG119" t="s">
        <v>171</v>
      </c>
    </row>
    <row r="120" spans="4:33">
      <c r="D120" s="128" t="s">
        <v>371</v>
      </c>
      <c r="G120" s="129">
        <v>447.28</v>
      </c>
      <c r="I120"/>
      <c r="O120" t="s">
        <v>171</v>
      </c>
      <c r="P120" t="s">
        <v>171</v>
      </c>
      <c r="Q120" s="8" t="s">
        <v>171</v>
      </c>
      <c r="R120" t="s">
        <v>171</v>
      </c>
      <c r="S120" s="8" t="s">
        <v>171</v>
      </c>
      <c r="T120" t="s">
        <v>171</v>
      </c>
      <c r="AA120" t="s">
        <v>171</v>
      </c>
      <c r="AB120" t="s">
        <v>171</v>
      </c>
      <c r="AF120" t="s">
        <v>171</v>
      </c>
      <c r="AG120" t="s">
        <v>171</v>
      </c>
    </row>
    <row r="121" spans="4:33">
      <c r="D121" s="128" t="s">
        <v>372</v>
      </c>
      <c r="G121" s="129">
        <v>447.28</v>
      </c>
      <c r="I121"/>
      <c r="O121" t="s">
        <v>171</v>
      </c>
      <c r="P121" t="s">
        <v>171</v>
      </c>
      <c r="Q121" s="8" t="s">
        <v>171</v>
      </c>
      <c r="R121" t="s">
        <v>171</v>
      </c>
      <c r="S121" s="8" t="s">
        <v>171</v>
      </c>
      <c r="T121" t="s">
        <v>171</v>
      </c>
      <c r="AA121" t="s">
        <v>171</v>
      </c>
      <c r="AB121" t="s">
        <v>171</v>
      </c>
      <c r="AF121" t="s">
        <v>171</v>
      </c>
      <c r="AG121" t="s">
        <v>171</v>
      </c>
    </row>
    <row r="122" spans="4:33">
      <c r="D122" s="128" t="s">
        <v>373</v>
      </c>
      <c r="G122" s="129">
        <v>172.49</v>
      </c>
      <c r="I122"/>
      <c r="O122" t="s">
        <v>171</v>
      </c>
      <c r="P122" t="s">
        <v>171</v>
      </c>
      <c r="Q122" s="8" t="s">
        <v>171</v>
      </c>
      <c r="R122" t="s">
        <v>171</v>
      </c>
      <c r="S122" s="8" t="s">
        <v>171</v>
      </c>
      <c r="T122" t="s">
        <v>171</v>
      </c>
      <c r="AA122" t="s">
        <v>171</v>
      </c>
      <c r="AB122" t="s">
        <v>171</v>
      </c>
      <c r="AF122" t="s">
        <v>171</v>
      </c>
      <c r="AG122" t="s">
        <v>171</v>
      </c>
    </row>
    <row r="123" spans="4:33">
      <c r="D123" s="130">
        <v>42430</v>
      </c>
      <c r="G123" s="129">
        <v>172.49</v>
      </c>
      <c r="I123"/>
      <c r="O123" t="s">
        <v>171</v>
      </c>
      <c r="P123" t="s">
        <v>171</v>
      </c>
      <c r="Q123" s="8" t="s">
        <v>171</v>
      </c>
      <c r="R123" t="s">
        <v>171</v>
      </c>
      <c r="S123" s="8" t="s">
        <v>171</v>
      </c>
      <c r="T123" t="s">
        <v>171</v>
      </c>
      <c r="AA123" t="s">
        <v>171</v>
      </c>
      <c r="AB123" t="s">
        <v>171</v>
      </c>
      <c r="AF123" t="s">
        <v>171</v>
      </c>
      <c r="AG123" t="s">
        <v>171</v>
      </c>
    </row>
    <row r="124" spans="4:33">
      <c r="D124" s="130">
        <v>42461</v>
      </c>
      <c r="G124" s="129">
        <v>172.49</v>
      </c>
      <c r="I124"/>
      <c r="O124" t="s">
        <v>171</v>
      </c>
      <c r="P124" t="s">
        <v>171</v>
      </c>
      <c r="Q124" s="8" t="s">
        <v>171</v>
      </c>
      <c r="R124" t="s">
        <v>171</v>
      </c>
      <c r="S124" s="8" t="s">
        <v>171</v>
      </c>
      <c r="T124" t="s">
        <v>171</v>
      </c>
      <c r="AA124" t="s">
        <v>171</v>
      </c>
      <c r="AB124" t="s">
        <v>171</v>
      </c>
      <c r="AF124" t="s">
        <v>171</v>
      </c>
      <c r="AG124" t="s">
        <v>171</v>
      </c>
    </row>
    <row r="125" spans="4:33">
      <c r="D125" s="130">
        <v>42491</v>
      </c>
      <c r="G125" s="129">
        <v>172.49</v>
      </c>
      <c r="I125"/>
      <c r="O125" t="s">
        <v>171</v>
      </c>
      <c r="P125" t="s">
        <v>171</v>
      </c>
      <c r="Q125" s="8" t="s">
        <v>171</v>
      </c>
      <c r="R125" t="s">
        <v>171</v>
      </c>
      <c r="S125" s="8" t="s">
        <v>171</v>
      </c>
      <c r="T125" t="s">
        <v>171</v>
      </c>
      <c r="AA125" t="s">
        <v>171</v>
      </c>
      <c r="AB125" t="s">
        <v>171</v>
      </c>
      <c r="AF125" t="s">
        <v>171</v>
      </c>
      <c r="AG125" t="s">
        <v>171</v>
      </c>
    </row>
    <row r="126" spans="4:33">
      <c r="D126" s="130">
        <v>42522</v>
      </c>
      <c r="G126" s="129">
        <v>172.49</v>
      </c>
      <c r="I126"/>
      <c r="O126" t="s">
        <v>171</v>
      </c>
      <c r="P126" t="s">
        <v>171</v>
      </c>
      <c r="Q126" s="8" t="s">
        <v>171</v>
      </c>
      <c r="R126" t="s">
        <v>171</v>
      </c>
      <c r="S126" s="8" t="s">
        <v>171</v>
      </c>
      <c r="T126" t="s">
        <v>171</v>
      </c>
      <c r="AA126" t="s">
        <v>171</v>
      </c>
      <c r="AB126" t="s">
        <v>171</v>
      </c>
      <c r="AF126" t="s">
        <v>171</v>
      </c>
      <c r="AG126" t="s">
        <v>171</v>
      </c>
    </row>
    <row r="127" spans="4:33">
      <c r="D127" s="128"/>
      <c r="G127"/>
      <c r="I127"/>
      <c r="O127" t="s">
        <v>171</v>
      </c>
      <c r="P127" t="s">
        <v>171</v>
      </c>
      <c r="Q127" s="8" t="s">
        <v>171</v>
      </c>
      <c r="R127" t="s">
        <v>171</v>
      </c>
      <c r="S127" s="8" t="s">
        <v>171</v>
      </c>
      <c r="T127" t="s">
        <v>171</v>
      </c>
      <c r="AA127" t="s">
        <v>171</v>
      </c>
      <c r="AB127" t="s">
        <v>171</v>
      </c>
      <c r="AF127" t="s">
        <v>171</v>
      </c>
      <c r="AG127" t="s">
        <v>171</v>
      </c>
    </row>
    <row r="128" spans="4:33">
      <c r="D128" s="128" t="s">
        <v>379</v>
      </c>
      <c r="G128" s="2">
        <f>SUM(G118:G127)</f>
        <v>2154.6099999999997</v>
      </c>
      <c r="I128" s="129"/>
      <c r="O128" t="s">
        <v>171</v>
      </c>
      <c r="P128" t="s">
        <v>171</v>
      </c>
      <c r="Q128" s="8" t="s">
        <v>171</v>
      </c>
      <c r="R128" t="s">
        <v>171</v>
      </c>
      <c r="S128" s="8" t="s">
        <v>171</v>
      </c>
      <c r="T128" t="s">
        <v>171</v>
      </c>
      <c r="AA128" t="s">
        <v>171</v>
      </c>
      <c r="AB128" t="s">
        <v>171</v>
      </c>
      <c r="AF128" t="s">
        <v>171</v>
      </c>
      <c r="AG128" t="s">
        <v>171</v>
      </c>
    </row>
    <row r="129" spans="4:33">
      <c r="D129" t="s">
        <v>377</v>
      </c>
      <c r="G129" s="2">
        <v>-2636.14</v>
      </c>
      <c r="I129" t="s">
        <v>364</v>
      </c>
      <c r="J129" s="65">
        <v>47.93</v>
      </c>
      <c r="K129" s="65">
        <f>J129*1.27</f>
        <v>60.871099999999998</v>
      </c>
      <c r="O129" t="s">
        <v>171</v>
      </c>
      <c r="P129" t="s">
        <v>171</v>
      </c>
      <c r="Q129" s="8" t="s">
        <v>171</v>
      </c>
      <c r="R129" t="s">
        <v>171</v>
      </c>
      <c r="S129" s="8" t="s">
        <v>171</v>
      </c>
      <c r="T129" t="s">
        <v>171</v>
      </c>
      <c r="AA129" t="s">
        <v>171</v>
      </c>
      <c r="AB129" t="s">
        <v>171</v>
      </c>
      <c r="AF129" t="s">
        <v>171</v>
      </c>
      <c r="AG129" t="s">
        <v>171</v>
      </c>
    </row>
    <row r="130" spans="4:33">
      <c r="D130" s="51">
        <v>42552</v>
      </c>
      <c r="G130" s="2">
        <v>192.78</v>
      </c>
      <c r="I130" t="s">
        <v>367</v>
      </c>
      <c r="J130" s="65">
        <v>55.93</v>
      </c>
      <c r="K130" s="65">
        <f>J130*1.27</f>
        <v>71.031099999999995</v>
      </c>
      <c r="O130" t="s">
        <v>171</v>
      </c>
      <c r="P130" t="s">
        <v>171</v>
      </c>
      <c r="Q130" s="8" t="s">
        <v>171</v>
      </c>
      <c r="R130" t="s">
        <v>171</v>
      </c>
      <c r="S130" s="8" t="s">
        <v>171</v>
      </c>
      <c r="T130" t="s">
        <v>171</v>
      </c>
      <c r="AA130" t="s">
        <v>171</v>
      </c>
      <c r="AB130" t="s">
        <v>171</v>
      </c>
      <c r="AF130" t="s">
        <v>171</v>
      </c>
      <c r="AG130" t="s">
        <v>171</v>
      </c>
    </row>
    <row r="131" spans="4:33">
      <c r="D131" s="51">
        <v>42583</v>
      </c>
      <c r="G131" s="2">
        <v>192.78</v>
      </c>
      <c r="I131" t="s">
        <v>368</v>
      </c>
      <c r="J131" s="65">
        <v>-27.96</v>
      </c>
      <c r="K131" s="65">
        <f>J131*1.27</f>
        <v>-35.5092</v>
      </c>
    </row>
    <row r="132" spans="4:33">
      <c r="D132" s="51">
        <v>42614</v>
      </c>
      <c r="G132" s="2">
        <v>192.78</v>
      </c>
      <c r="I132" t="s">
        <v>378</v>
      </c>
      <c r="J132" s="65">
        <v>51.93</v>
      </c>
      <c r="K132" s="65">
        <f>J132*1.27</f>
        <v>65.951099999999997</v>
      </c>
    </row>
    <row r="133" spans="4:33">
      <c r="D133" s="51">
        <v>42644</v>
      </c>
      <c r="G133" s="2">
        <v>192.78</v>
      </c>
      <c r="I133" t="s">
        <v>365</v>
      </c>
      <c r="J133" s="65">
        <v>23.97</v>
      </c>
      <c r="K133" s="65">
        <f>J133*1.27</f>
        <v>30.4419</v>
      </c>
    </row>
    <row r="134" spans="4:33">
      <c r="D134" s="51">
        <v>42675</v>
      </c>
      <c r="G134" s="2">
        <v>192.78</v>
      </c>
      <c r="I134"/>
      <c r="K134" s="127">
        <f>SUM(K129:K133)</f>
        <v>192.786</v>
      </c>
      <c r="O134" t="s">
        <v>171</v>
      </c>
      <c r="P134" t="s">
        <v>171</v>
      </c>
      <c r="Q134" s="8" t="s">
        <v>171</v>
      </c>
      <c r="R134" t="s">
        <v>171</v>
      </c>
      <c r="S134" s="8" t="s">
        <v>171</v>
      </c>
      <c r="T134" t="s">
        <v>171</v>
      </c>
      <c r="AA134" t="s">
        <v>171</v>
      </c>
      <c r="AB134" t="s">
        <v>171</v>
      </c>
      <c r="AF134" t="s">
        <v>171</v>
      </c>
      <c r="AG134" t="s">
        <v>171</v>
      </c>
    </row>
    <row r="135" spans="4:33">
      <c r="D135" s="51">
        <v>42705</v>
      </c>
      <c r="G135" s="2">
        <v>213.07</v>
      </c>
      <c r="O135" t="s">
        <v>171</v>
      </c>
      <c r="P135" t="s">
        <v>171</v>
      </c>
      <c r="Q135" s="8" t="s">
        <v>171</v>
      </c>
      <c r="R135" t="s">
        <v>171</v>
      </c>
      <c r="S135" s="8" t="s">
        <v>171</v>
      </c>
      <c r="T135" t="s">
        <v>171</v>
      </c>
      <c r="AA135" t="s">
        <v>171</v>
      </c>
      <c r="AB135" t="s">
        <v>171</v>
      </c>
      <c r="AF135" t="s">
        <v>171</v>
      </c>
      <c r="AG135" t="s">
        <v>171</v>
      </c>
    </row>
    <row r="136" spans="4:33">
      <c r="D136" t="s">
        <v>389</v>
      </c>
      <c r="G136" s="2">
        <v>-599.66</v>
      </c>
      <c r="I136" t="s">
        <v>364</v>
      </c>
      <c r="J136" s="65">
        <v>47.93</v>
      </c>
      <c r="K136" s="70">
        <f t="shared" ref="K136:K142" si="10">J136*1.27</f>
        <v>60.871099999999998</v>
      </c>
      <c r="O136" t="s">
        <v>171</v>
      </c>
      <c r="P136" t="s">
        <v>171</v>
      </c>
      <c r="Q136" s="8" t="s">
        <v>171</v>
      </c>
      <c r="R136" t="s">
        <v>171</v>
      </c>
      <c r="S136" s="8" t="s">
        <v>171</v>
      </c>
      <c r="T136" t="s">
        <v>171</v>
      </c>
      <c r="AA136" t="s">
        <v>171</v>
      </c>
      <c r="AB136" t="s">
        <v>171</v>
      </c>
      <c r="AF136" t="s">
        <v>171</v>
      </c>
      <c r="AG136" t="s">
        <v>171</v>
      </c>
    </row>
    <row r="137" spans="4:33">
      <c r="D137" s="51">
        <v>42736</v>
      </c>
      <c r="G137" s="148">
        <v>280.77</v>
      </c>
      <c r="I137" t="s">
        <v>378</v>
      </c>
      <c r="J137" s="65">
        <v>59.92</v>
      </c>
      <c r="K137" s="70">
        <f t="shared" si="10"/>
        <v>76.098399999999998</v>
      </c>
      <c r="O137" t="s">
        <v>171</v>
      </c>
      <c r="P137" t="s">
        <v>171</v>
      </c>
      <c r="Q137" s="8" t="s">
        <v>171</v>
      </c>
      <c r="R137" t="s">
        <v>171</v>
      </c>
      <c r="S137" s="8" t="s">
        <v>171</v>
      </c>
      <c r="T137" t="s">
        <v>171</v>
      </c>
      <c r="AA137" t="s">
        <v>171</v>
      </c>
      <c r="AB137" t="s">
        <v>171</v>
      </c>
      <c r="AF137" t="s">
        <v>171</v>
      </c>
      <c r="AG137" t="s">
        <v>171</v>
      </c>
    </row>
    <row r="138" spans="4:33">
      <c r="D138" s="51">
        <v>42767</v>
      </c>
      <c r="G138" s="148">
        <v>385.57</v>
      </c>
      <c r="I138" t="s">
        <v>367</v>
      </c>
      <c r="J138" s="65">
        <v>55.93</v>
      </c>
      <c r="K138" s="70">
        <f t="shared" si="10"/>
        <v>71.031099999999995</v>
      </c>
    </row>
    <row r="139" spans="4:33">
      <c r="D139" s="51">
        <v>42795</v>
      </c>
      <c r="I139" t="s">
        <v>388</v>
      </c>
      <c r="J139" s="65">
        <v>31.95</v>
      </c>
      <c r="K139" s="70">
        <f t="shared" si="10"/>
        <v>40.576500000000003</v>
      </c>
      <c r="O139" t="s">
        <v>171</v>
      </c>
      <c r="P139" t="s">
        <v>171</v>
      </c>
      <c r="Q139" s="8" t="s">
        <v>171</v>
      </c>
      <c r="R139" t="s">
        <v>171</v>
      </c>
      <c r="S139" s="8" t="s">
        <v>171</v>
      </c>
      <c r="T139" t="s">
        <v>171</v>
      </c>
      <c r="AA139" t="s">
        <v>171</v>
      </c>
      <c r="AB139" t="s">
        <v>171</v>
      </c>
      <c r="AF139" t="s">
        <v>171</v>
      </c>
      <c r="AG139" t="s">
        <v>171</v>
      </c>
    </row>
    <row r="140" spans="4:33">
      <c r="D140" s="51">
        <v>42826</v>
      </c>
      <c r="I140" t="s">
        <v>368</v>
      </c>
      <c r="J140" s="65">
        <v>-27.96</v>
      </c>
      <c r="K140" s="70">
        <f t="shared" si="10"/>
        <v>-35.5092</v>
      </c>
      <c r="O140" t="s">
        <v>171</v>
      </c>
      <c r="P140" t="s">
        <v>171</v>
      </c>
      <c r="Q140" s="8" t="s">
        <v>171</v>
      </c>
      <c r="R140" t="s">
        <v>171</v>
      </c>
      <c r="S140" s="8" t="s">
        <v>171</v>
      </c>
      <c r="T140" t="s">
        <v>171</v>
      </c>
      <c r="AA140" t="s">
        <v>171</v>
      </c>
      <c r="AB140" t="s">
        <v>171</v>
      </c>
      <c r="AF140" t="s">
        <v>171</v>
      </c>
      <c r="AG140" t="s">
        <v>171</v>
      </c>
    </row>
    <row r="141" spans="4:33">
      <c r="D141" s="127" t="s">
        <v>380</v>
      </c>
      <c r="E141" s="127"/>
      <c r="F141" s="127"/>
      <c r="G141" s="131">
        <f>SUM(G128:G138)</f>
        <v>762.11999999999989</v>
      </c>
      <c r="I141" t="s">
        <v>391</v>
      </c>
      <c r="J141" s="65">
        <v>95.88</v>
      </c>
      <c r="K141" s="2">
        <f t="shared" si="10"/>
        <v>121.7676</v>
      </c>
      <c r="O141" t="s">
        <v>171</v>
      </c>
      <c r="P141" t="s">
        <v>171</v>
      </c>
      <c r="Q141" s="8" t="s">
        <v>171</v>
      </c>
      <c r="R141" t="s">
        <v>171</v>
      </c>
      <c r="S141" s="8" t="s">
        <v>171</v>
      </c>
      <c r="T141" t="s">
        <v>171</v>
      </c>
      <c r="AA141" t="s">
        <v>171</v>
      </c>
      <c r="AB141" t="s">
        <v>171</v>
      </c>
      <c r="AF141" t="s">
        <v>171</v>
      </c>
      <c r="AG141" t="s">
        <v>171</v>
      </c>
    </row>
    <row r="142" spans="4:33">
      <c r="I142" t="s">
        <v>390</v>
      </c>
      <c r="J142" s="65">
        <v>39.950000000000003</v>
      </c>
      <c r="K142" s="70">
        <f t="shared" si="10"/>
        <v>50.736500000000007</v>
      </c>
      <c r="O142" t="s">
        <v>171</v>
      </c>
      <c r="P142" t="s">
        <v>171</v>
      </c>
      <c r="Q142" s="8" t="s">
        <v>171</v>
      </c>
      <c r="R142" t="s">
        <v>171</v>
      </c>
      <c r="S142" s="8" t="s">
        <v>171</v>
      </c>
      <c r="T142" t="s">
        <v>171</v>
      </c>
      <c r="AA142" t="s">
        <v>171</v>
      </c>
      <c r="AB142" t="s">
        <v>171</v>
      </c>
      <c r="AF142" t="s">
        <v>171</v>
      </c>
      <c r="AG142" t="s">
        <v>171</v>
      </c>
    </row>
    <row r="143" spans="4:33">
      <c r="K143" s="131">
        <f>SUM(K136:K142)</f>
        <v>385.572</v>
      </c>
      <c r="O143" t="s">
        <v>171</v>
      </c>
      <c r="P143" t="s">
        <v>171</v>
      </c>
      <c r="Q143" s="8" t="s">
        <v>171</v>
      </c>
      <c r="R143" t="s">
        <v>171</v>
      </c>
      <c r="S143" s="8" t="s">
        <v>171</v>
      </c>
      <c r="T143" t="s">
        <v>171</v>
      </c>
      <c r="AA143" t="s">
        <v>171</v>
      </c>
      <c r="AB143" t="s">
        <v>171</v>
      </c>
      <c r="AF143" t="s">
        <v>171</v>
      </c>
      <c r="AG143" t="s">
        <v>171</v>
      </c>
    </row>
    <row r="144" spans="4:33">
      <c r="O144" t="s">
        <v>171</v>
      </c>
      <c r="P144" t="s">
        <v>171</v>
      </c>
      <c r="Q144" s="8" t="s">
        <v>171</v>
      </c>
      <c r="R144" t="s">
        <v>171</v>
      </c>
      <c r="S144" s="8" t="s">
        <v>171</v>
      </c>
      <c r="T144" t="s">
        <v>171</v>
      </c>
      <c r="AA144" t="s">
        <v>171</v>
      </c>
      <c r="AB144" t="s">
        <v>171</v>
      </c>
      <c r="AF144" t="s">
        <v>171</v>
      </c>
      <c r="AG144" t="s">
        <v>171</v>
      </c>
    </row>
    <row r="145" spans="15:33">
      <c r="O145" t="s">
        <v>171</v>
      </c>
      <c r="P145" t="s">
        <v>171</v>
      </c>
      <c r="Q145" s="8" t="s">
        <v>171</v>
      </c>
      <c r="R145" t="s">
        <v>171</v>
      </c>
      <c r="S145" s="8" t="s">
        <v>171</v>
      </c>
      <c r="T145" t="s">
        <v>171</v>
      </c>
      <c r="AA145" t="s">
        <v>171</v>
      </c>
      <c r="AB145" t="s">
        <v>171</v>
      </c>
      <c r="AF145" t="s">
        <v>171</v>
      </c>
      <c r="AG145" t="s">
        <v>171</v>
      </c>
    </row>
    <row r="146" spans="15:33">
      <c r="O146" t="s">
        <v>171</v>
      </c>
      <c r="P146" t="s">
        <v>171</v>
      </c>
      <c r="Q146" s="8" t="s">
        <v>171</v>
      </c>
      <c r="R146" t="s">
        <v>171</v>
      </c>
      <c r="S146" s="8" t="s">
        <v>171</v>
      </c>
      <c r="T146" t="s">
        <v>171</v>
      </c>
      <c r="AA146" t="s">
        <v>171</v>
      </c>
      <c r="AB146" t="s">
        <v>171</v>
      </c>
      <c r="AF146" t="s">
        <v>171</v>
      </c>
      <c r="AG146" t="s">
        <v>171</v>
      </c>
    </row>
    <row r="147" spans="15:33">
      <c r="O147" t="s">
        <v>171</v>
      </c>
      <c r="P147" t="s">
        <v>171</v>
      </c>
      <c r="Q147" s="8" t="s">
        <v>171</v>
      </c>
      <c r="R147" t="s">
        <v>171</v>
      </c>
      <c r="S147" s="8" t="s">
        <v>171</v>
      </c>
      <c r="T147" t="s">
        <v>171</v>
      </c>
      <c r="AA147" t="s">
        <v>171</v>
      </c>
      <c r="AB147" t="s">
        <v>171</v>
      </c>
      <c r="AF147" t="s">
        <v>171</v>
      </c>
      <c r="AG147" t="s">
        <v>171</v>
      </c>
    </row>
    <row r="148" spans="15:33">
      <c r="O148" t="s">
        <v>171</v>
      </c>
      <c r="P148" t="s">
        <v>171</v>
      </c>
      <c r="Q148" s="8" t="s">
        <v>171</v>
      </c>
      <c r="R148" t="s">
        <v>171</v>
      </c>
      <c r="S148" s="8" t="s">
        <v>171</v>
      </c>
      <c r="T148" t="s">
        <v>171</v>
      </c>
      <c r="AA148" t="s">
        <v>171</v>
      </c>
      <c r="AB148" t="s">
        <v>171</v>
      </c>
      <c r="AF148" t="s">
        <v>171</v>
      </c>
      <c r="AG148" t="s">
        <v>171</v>
      </c>
    </row>
    <row r="149" spans="15:33">
      <c r="O149" t="s">
        <v>171</v>
      </c>
      <c r="P149" t="s">
        <v>171</v>
      </c>
      <c r="Q149" s="8" t="s">
        <v>171</v>
      </c>
      <c r="R149" t="s">
        <v>171</v>
      </c>
      <c r="S149" s="8" t="s">
        <v>171</v>
      </c>
      <c r="T149" t="s">
        <v>171</v>
      </c>
      <c r="AA149" t="s">
        <v>171</v>
      </c>
      <c r="AB149" t="s">
        <v>171</v>
      </c>
      <c r="AF149" t="s">
        <v>171</v>
      </c>
      <c r="AG149" t="s">
        <v>171</v>
      </c>
    </row>
    <row r="150" spans="15:33">
      <c r="O150" t="s">
        <v>171</v>
      </c>
      <c r="P150" t="s">
        <v>171</v>
      </c>
      <c r="Q150" s="8" t="s">
        <v>171</v>
      </c>
      <c r="R150" t="s">
        <v>171</v>
      </c>
      <c r="S150" s="8" t="s">
        <v>171</v>
      </c>
      <c r="T150" t="s">
        <v>171</v>
      </c>
      <c r="AA150" t="s">
        <v>171</v>
      </c>
      <c r="AB150" t="s">
        <v>171</v>
      </c>
      <c r="AF150" t="s">
        <v>171</v>
      </c>
      <c r="AG150" t="s">
        <v>171</v>
      </c>
    </row>
    <row r="151" spans="15:33">
      <c r="O151" t="s">
        <v>171</v>
      </c>
      <c r="P151" t="s">
        <v>171</v>
      </c>
      <c r="Q151" s="8" t="s">
        <v>171</v>
      </c>
      <c r="R151" t="s">
        <v>171</v>
      </c>
      <c r="S151" s="8" t="s">
        <v>171</v>
      </c>
      <c r="T151" t="s">
        <v>171</v>
      </c>
      <c r="AA151" t="s">
        <v>171</v>
      </c>
      <c r="AB151" t="s">
        <v>171</v>
      </c>
      <c r="AF151" t="s">
        <v>171</v>
      </c>
      <c r="AG151" t="s">
        <v>171</v>
      </c>
    </row>
    <row r="152" spans="15:33">
      <c r="O152" t="s">
        <v>171</v>
      </c>
      <c r="P152" t="s">
        <v>171</v>
      </c>
      <c r="Q152" s="8" t="s">
        <v>171</v>
      </c>
      <c r="R152" t="s">
        <v>171</v>
      </c>
      <c r="S152" s="8" t="s">
        <v>171</v>
      </c>
      <c r="T152" t="s">
        <v>171</v>
      </c>
      <c r="AA152" t="s">
        <v>171</v>
      </c>
      <c r="AB152" t="s">
        <v>171</v>
      </c>
      <c r="AF152" t="s">
        <v>171</v>
      </c>
      <c r="AG152" t="s">
        <v>171</v>
      </c>
    </row>
    <row r="153" spans="15:33">
      <c r="O153" t="s">
        <v>171</v>
      </c>
      <c r="P153" t="s">
        <v>171</v>
      </c>
      <c r="Q153" s="8" t="s">
        <v>171</v>
      </c>
      <c r="R153" t="s">
        <v>171</v>
      </c>
      <c r="S153" s="8" t="s">
        <v>171</v>
      </c>
      <c r="T153" t="s">
        <v>171</v>
      </c>
      <c r="AA153" t="s">
        <v>171</v>
      </c>
      <c r="AB153" t="s">
        <v>171</v>
      </c>
      <c r="AF153" t="s">
        <v>171</v>
      </c>
      <c r="AG153" t="s">
        <v>171</v>
      </c>
    </row>
    <row r="154" spans="15:33">
      <c r="O154" t="s">
        <v>171</v>
      </c>
      <c r="P154" t="s">
        <v>171</v>
      </c>
      <c r="Q154" s="8" t="s">
        <v>171</v>
      </c>
      <c r="R154" t="s">
        <v>171</v>
      </c>
      <c r="S154" s="8" t="s">
        <v>171</v>
      </c>
      <c r="T154" t="s">
        <v>171</v>
      </c>
      <c r="AA154" t="s">
        <v>171</v>
      </c>
      <c r="AB154" t="s">
        <v>171</v>
      </c>
      <c r="AF154" t="s">
        <v>171</v>
      </c>
      <c r="AG154" t="s">
        <v>171</v>
      </c>
    </row>
    <row r="155" spans="15:33">
      <c r="O155" t="s">
        <v>171</v>
      </c>
      <c r="P155" t="s">
        <v>171</v>
      </c>
      <c r="Q155" s="8" t="s">
        <v>171</v>
      </c>
      <c r="R155" t="s">
        <v>171</v>
      </c>
      <c r="S155" s="8" t="s">
        <v>171</v>
      </c>
      <c r="T155" t="s">
        <v>171</v>
      </c>
      <c r="AA155" t="s">
        <v>171</v>
      </c>
      <c r="AB155" t="s">
        <v>171</v>
      </c>
      <c r="AF155" t="s">
        <v>171</v>
      </c>
      <c r="AG155" t="s">
        <v>171</v>
      </c>
    </row>
    <row r="156" spans="15:33">
      <c r="O156" t="s">
        <v>171</v>
      </c>
      <c r="P156" t="s">
        <v>171</v>
      </c>
      <c r="Q156" s="8" t="s">
        <v>171</v>
      </c>
      <c r="R156" t="s">
        <v>171</v>
      </c>
      <c r="S156" s="8" t="s">
        <v>171</v>
      </c>
      <c r="T156" t="s">
        <v>171</v>
      </c>
      <c r="AA156" t="s">
        <v>171</v>
      </c>
      <c r="AB156" t="s">
        <v>171</v>
      </c>
      <c r="AF156" t="s">
        <v>171</v>
      </c>
      <c r="AG156" t="s">
        <v>171</v>
      </c>
    </row>
    <row r="157" spans="15:33">
      <c r="O157" t="s">
        <v>171</v>
      </c>
      <c r="P157" t="s">
        <v>171</v>
      </c>
      <c r="Q157" s="8" t="s">
        <v>171</v>
      </c>
      <c r="R157" t="s">
        <v>171</v>
      </c>
      <c r="S157" s="8" t="s">
        <v>171</v>
      </c>
      <c r="T157" t="s">
        <v>171</v>
      </c>
      <c r="AA157" t="s">
        <v>171</v>
      </c>
      <c r="AB157" t="s">
        <v>171</v>
      </c>
      <c r="AF157" t="s">
        <v>171</v>
      </c>
      <c r="AG157" t="s">
        <v>171</v>
      </c>
    </row>
    <row r="158" spans="15:33">
      <c r="O158" t="s">
        <v>171</v>
      </c>
      <c r="P158" t="s">
        <v>171</v>
      </c>
      <c r="Q158" s="8" t="s">
        <v>171</v>
      </c>
      <c r="R158" t="s">
        <v>171</v>
      </c>
      <c r="S158" s="8" t="s">
        <v>171</v>
      </c>
      <c r="T158" t="s">
        <v>171</v>
      </c>
      <c r="AA158" t="s">
        <v>171</v>
      </c>
      <c r="AB158" t="s">
        <v>171</v>
      </c>
      <c r="AF158" t="s">
        <v>171</v>
      </c>
      <c r="AG158" t="s">
        <v>171</v>
      </c>
    </row>
    <row r="159" spans="15:33">
      <c r="O159" t="s">
        <v>171</v>
      </c>
      <c r="P159" t="s">
        <v>171</v>
      </c>
      <c r="Q159" s="8" t="s">
        <v>171</v>
      </c>
      <c r="R159" t="s">
        <v>171</v>
      </c>
      <c r="S159" s="8" t="s">
        <v>171</v>
      </c>
      <c r="T159" t="s">
        <v>171</v>
      </c>
      <c r="AA159" t="s">
        <v>171</v>
      </c>
      <c r="AB159" t="s">
        <v>171</v>
      </c>
      <c r="AF159" t="s">
        <v>171</v>
      </c>
      <c r="AG159" t="s">
        <v>171</v>
      </c>
    </row>
    <row r="160" spans="15:33">
      <c r="O160" t="s">
        <v>171</v>
      </c>
      <c r="P160" t="s">
        <v>171</v>
      </c>
      <c r="Q160" s="8" t="s">
        <v>171</v>
      </c>
      <c r="R160" t="s">
        <v>171</v>
      </c>
      <c r="S160" s="8" t="s">
        <v>171</v>
      </c>
      <c r="T160" t="s">
        <v>171</v>
      </c>
      <c r="AA160" t="s">
        <v>171</v>
      </c>
      <c r="AB160" t="s">
        <v>171</v>
      </c>
      <c r="AF160" t="s">
        <v>171</v>
      </c>
      <c r="AG160" t="s">
        <v>171</v>
      </c>
    </row>
    <row r="161" spans="15:33">
      <c r="O161" t="s">
        <v>171</v>
      </c>
      <c r="P161" t="s">
        <v>171</v>
      </c>
      <c r="Q161" s="8" t="s">
        <v>171</v>
      </c>
      <c r="R161" t="s">
        <v>171</v>
      </c>
      <c r="S161" s="8" t="s">
        <v>171</v>
      </c>
      <c r="T161" t="s">
        <v>171</v>
      </c>
      <c r="AA161" t="s">
        <v>171</v>
      </c>
      <c r="AB161" t="s">
        <v>171</v>
      </c>
      <c r="AF161" t="s">
        <v>171</v>
      </c>
      <c r="AG161" t="s">
        <v>171</v>
      </c>
    </row>
    <row r="162" spans="15:33">
      <c r="O162" t="s">
        <v>171</v>
      </c>
      <c r="P162" t="s">
        <v>171</v>
      </c>
      <c r="Q162" s="8" t="s">
        <v>171</v>
      </c>
      <c r="R162" t="s">
        <v>171</v>
      </c>
      <c r="S162" s="8" t="s">
        <v>171</v>
      </c>
      <c r="T162" t="s">
        <v>171</v>
      </c>
      <c r="AA162" t="s">
        <v>171</v>
      </c>
      <c r="AB162" t="s">
        <v>171</v>
      </c>
      <c r="AF162" t="s">
        <v>171</v>
      </c>
      <c r="AG162" t="s">
        <v>171</v>
      </c>
    </row>
    <row r="163" spans="15:33">
      <c r="O163" t="s">
        <v>171</v>
      </c>
      <c r="P163" t="s">
        <v>171</v>
      </c>
      <c r="Q163" s="8" t="s">
        <v>171</v>
      </c>
      <c r="R163" t="s">
        <v>171</v>
      </c>
      <c r="S163" s="8" t="s">
        <v>171</v>
      </c>
      <c r="T163" t="s">
        <v>171</v>
      </c>
      <c r="AA163" t="s">
        <v>171</v>
      </c>
      <c r="AB163" t="s">
        <v>171</v>
      </c>
      <c r="AF163" t="s">
        <v>171</v>
      </c>
      <c r="AG163" t="s">
        <v>171</v>
      </c>
    </row>
    <row r="164" spans="15:33">
      <c r="O164" t="s">
        <v>171</v>
      </c>
      <c r="P164" t="s">
        <v>171</v>
      </c>
      <c r="Q164" s="8" t="s">
        <v>171</v>
      </c>
      <c r="R164" t="s">
        <v>171</v>
      </c>
      <c r="S164" s="8" t="s">
        <v>171</v>
      </c>
      <c r="T164" t="s">
        <v>171</v>
      </c>
      <c r="AA164" t="s">
        <v>171</v>
      </c>
      <c r="AB164" t="s">
        <v>171</v>
      </c>
      <c r="AF164" t="s">
        <v>171</v>
      </c>
      <c r="AG164" t="s">
        <v>171</v>
      </c>
    </row>
    <row r="165" spans="15:33">
      <c r="O165" t="s">
        <v>171</v>
      </c>
      <c r="P165" t="s">
        <v>171</v>
      </c>
      <c r="Q165" s="8" t="s">
        <v>171</v>
      </c>
      <c r="R165" t="s">
        <v>171</v>
      </c>
      <c r="S165" s="8" t="s">
        <v>171</v>
      </c>
      <c r="T165" t="s">
        <v>171</v>
      </c>
      <c r="AA165" t="s">
        <v>171</v>
      </c>
      <c r="AB165" t="s">
        <v>171</v>
      </c>
      <c r="AF165" t="s">
        <v>171</v>
      </c>
      <c r="AG165" t="s">
        <v>171</v>
      </c>
    </row>
    <row r="166" spans="15:33">
      <c r="O166" t="s">
        <v>171</v>
      </c>
      <c r="P166" t="s">
        <v>171</v>
      </c>
      <c r="Q166" s="8" t="s">
        <v>171</v>
      </c>
      <c r="R166" t="s">
        <v>171</v>
      </c>
      <c r="S166" s="8" t="s">
        <v>171</v>
      </c>
      <c r="T166" t="s">
        <v>171</v>
      </c>
      <c r="AA166" t="s">
        <v>171</v>
      </c>
      <c r="AB166" t="s">
        <v>171</v>
      </c>
      <c r="AF166" t="s">
        <v>171</v>
      </c>
      <c r="AG166" t="s">
        <v>171</v>
      </c>
    </row>
    <row r="167" spans="15:33">
      <c r="O167" t="s">
        <v>171</v>
      </c>
      <c r="P167" t="s">
        <v>171</v>
      </c>
      <c r="Q167" s="8" t="s">
        <v>171</v>
      </c>
      <c r="R167" t="s">
        <v>171</v>
      </c>
      <c r="S167" s="8" t="s">
        <v>171</v>
      </c>
      <c r="T167" t="s">
        <v>171</v>
      </c>
      <c r="AA167" t="s">
        <v>171</v>
      </c>
      <c r="AB167" t="s">
        <v>171</v>
      </c>
      <c r="AF167" t="s">
        <v>171</v>
      </c>
      <c r="AG167" t="s">
        <v>171</v>
      </c>
    </row>
    <row r="168" spans="15:33">
      <c r="O168" t="s">
        <v>171</v>
      </c>
      <c r="P168" t="s">
        <v>171</v>
      </c>
      <c r="Q168" s="8" t="s">
        <v>171</v>
      </c>
      <c r="R168" t="s">
        <v>171</v>
      </c>
      <c r="S168" s="8" t="s">
        <v>171</v>
      </c>
      <c r="T168" t="s">
        <v>171</v>
      </c>
      <c r="AA168" t="s">
        <v>171</v>
      </c>
      <c r="AB168" t="s">
        <v>171</v>
      </c>
      <c r="AF168" t="s">
        <v>171</v>
      </c>
      <c r="AG168" t="s">
        <v>171</v>
      </c>
    </row>
    <row r="169" spans="15:33">
      <c r="O169" t="s">
        <v>171</v>
      </c>
      <c r="P169" t="s">
        <v>171</v>
      </c>
      <c r="Q169" s="8" t="s">
        <v>171</v>
      </c>
      <c r="R169" t="s">
        <v>171</v>
      </c>
      <c r="S169" s="8" t="s">
        <v>171</v>
      </c>
      <c r="T169" t="s">
        <v>171</v>
      </c>
      <c r="AA169" t="s">
        <v>171</v>
      </c>
      <c r="AB169" t="s">
        <v>171</v>
      </c>
      <c r="AF169" t="s">
        <v>171</v>
      </c>
      <c r="AG169" t="s">
        <v>171</v>
      </c>
    </row>
    <row r="170" spans="15:33">
      <c r="O170" t="s">
        <v>171</v>
      </c>
      <c r="P170" t="s">
        <v>171</v>
      </c>
      <c r="Q170" s="8" t="s">
        <v>171</v>
      </c>
      <c r="R170" t="s">
        <v>171</v>
      </c>
      <c r="S170" s="8" t="s">
        <v>171</v>
      </c>
      <c r="T170" t="s">
        <v>171</v>
      </c>
      <c r="AA170" t="s">
        <v>171</v>
      </c>
      <c r="AB170" t="s">
        <v>171</v>
      </c>
      <c r="AF170" t="s">
        <v>171</v>
      </c>
      <c r="AG170" t="s">
        <v>171</v>
      </c>
    </row>
    <row r="171" spans="15:33">
      <c r="O171" t="s">
        <v>171</v>
      </c>
      <c r="P171" t="s">
        <v>171</v>
      </c>
      <c r="Q171" s="8" t="s">
        <v>171</v>
      </c>
      <c r="R171" t="s">
        <v>171</v>
      </c>
      <c r="S171" s="8" t="s">
        <v>171</v>
      </c>
      <c r="T171" t="s">
        <v>171</v>
      </c>
      <c r="AA171" t="s">
        <v>171</v>
      </c>
      <c r="AB171" t="s">
        <v>171</v>
      </c>
      <c r="AF171" t="s">
        <v>171</v>
      </c>
      <c r="AG171" t="s">
        <v>171</v>
      </c>
    </row>
    <row r="172" spans="15:33">
      <c r="O172" t="s">
        <v>171</v>
      </c>
      <c r="P172" t="s">
        <v>171</v>
      </c>
      <c r="Q172" s="8" t="s">
        <v>171</v>
      </c>
      <c r="R172" t="s">
        <v>171</v>
      </c>
      <c r="S172" s="8" t="s">
        <v>171</v>
      </c>
      <c r="T172" t="s">
        <v>171</v>
      </c>
      <c r="AA172" t="s">
        <v>171</v>
      </c>
      <c r="AB172" t="s">
        <v>171</v>
      </c>
      <c r="AF172" t="s">
        <v>171</v>
      </c>
      <c r="AG172" t="s">
        <v>171</v>
      </c>
    </row>
    <row r="173" spans="15:33">
      <c r="O173" t="s">
        <v>171</v>
      </c>
      <c r="P173" t="s">
        <v>171</v>
      </c>
      <c r="Q173" s="8" t="s">
        <v>171</v>
      </c>
      <c r="R173" t="s">
        <v>171</v>
      </c>
      <c r="S173" s="8" t="s">
        <v>171</v>
      </c>
      <c r="T173" t="s">
        <v>171</v>
      </c>
      <c r="AA173" t="s">
        <v>171</v>
      </c>
      <c r="AB173" t="s">
        <v>171</v>
      </c>
      <c r="AF173" t="s">
        <v>171</v>
      </c>
      <c r="AG173" t="s">
        <v>171</v>
      </c>
    </row>
    <row r="174" spans="15:33">
      <c r="O174" t="s">
        <v>171</v>
      </c>
      <c r="P174" t="s">
        <v>171</v>
      </c>
      <c r="Q174" s="8" t="s">
        <v>171</v>
      </c>
      <c r="R174" t="s">
        <v>171</v>
      </c>
      <c r="S174" s="8" t="s">
        <v>171</v>
      </c>
      <c r="T174" t="s">
        <v>171</v>
      </c>
      <c r="AA174" t="s">
        <v>171</v>
      </c>
      <c r="AB174" t="s">
        <v>171</v>
      </c>
      <c r="AF174" t="s">
        <v>171</v>
      </c>
      <c r="AG174" t="s">
        <v>171</v>
      </c>
    </row>
    <row r="175" spans="15:33">
      <c r="O175" t="s">
        <v>171</v>
      </c>
      <c r="P175" t="s">
        <v>171</v>
      </c>
      <c r="Q175" s="8" t="s">
        <v>171</v>
      </c>
      <c r="R175" t="s">
        <v>171</v>
      </c>
      <c r="S175" s="8" t="s">
        <v>171</v>
      </c>
      <c r="T175" t="s">
        <v>171</v>
      </c>
      <c r="AA175" t="s">
        <v>171</v>
      </c>
      <c r="AB175" t="s">
        <v>171</v>
      </c>
      <c r="AF175" t="s">
        <v>171</v>
      </c>
      <c r="AG175" t="s">
        <v>171</v>
      </c>
    </row>
    <row r="176" spans="15:33">
      <c r="O176" t="s">
        <v>171</v>
      </c>
      <c r="P176" t="s">
        <v>171</v>
      </c>
      <c r="Q176" s="8" t="s">
        <v>171</v>
      </c>
      <c r="R176" t="s">
        <v>171</v>
      </c>
      <c r="S176" s="8" t="s">
        <v>171</v>
      </c>
      <c r="T176" t="s">
        <v>171</v>
      </c>
      <c r="AA176" t="s">
        <v>171</v>
      </c>
      <c r="AB176" t="s">
        <v>171</v>
      </c>
      <c r="AF176" t="s">
        <v>171</v>
      </c>
      <c r="AG176" t="s">
        <v>171</v>
      </c>
    </row>
    <row r="177" spans="15:33">
      <c r="O177" t="s">
        <v>171</v>
      </c>
      <c r="P177" t="s">
        <v>171</v>
      </c>
      <c r="Q177" s="8" t="s">
        <v>171</v>
      </c>
      <c r="R177" t="s">
        <v>171</v>
      </c>
      <c r="S177" s="8" t="s">
        <v>171</v>
      </c>
      <c r="T177" t="s">
        <v>171</v>
      </c>
      <c r="AA177" t="s">
        <v>171</v>
      </c>
      <c r="AB177" t="s">
        <v>171</v>
      </c>
      <c r="AF177" t="s">
        <v>171</v>
      </c>
      <c r="AG177" t="s">
        <v>171</v>
      </c>
    </row>
    <row r="178" spans="15:33">
      <c r="O178" t="s">
        <v>171</v>
      </c>
      <c r="P178" t="s">
        <v>171</v>
      </c>
      <c r="Q178" s="8" t="s">
        <v>171</v>
      </c>
      <c r="R178" t="s">
        <v>171</v>
      </c>
      <c r="S178" s="8" t="s">
        <v>171</v>
      </c>
      <c r="T178" t="s">
        <v>171</v>
      </c>
      <c r="AA178" t="s">
        <v>171</v>
      </c>
      <c r="AB178" t="s">
        <v>171</v>
      </c>
      <c r="AF178" t="s">
        <v>171</v>
      </c>
      <c r="AG178" t="s">
        <v>171</v>
      </c>
    </row>
    <row r="179" spans="15:33">
      <c r="O179" t="s">
        <v>171</v>
      </c>
      <c r="P179" t="s">
        <v>171</v>
      </c>
      <c r="Q179" s="8" t="s">
        <v>171</v>
      </c>
      <c r="R179" t="s">
        <v>171</v>
      </c>
      <c r="S179" s="8" t="s">
        <v>171</v>
      </c>
      <c r="T179" t="s">
        <v>171</v>
      </c>
      <c r="AA179" t="s">
        <v>171</v>
      </c>
      <c r="AB179" t="s">
        <v>171</v>
      </c>
      <c r="AF179" t="s">
        <v>171</v>
      </c>
      <c r="AG179" t="s">
        <v>171</v>
      </c>
    </row>
    <row r="180" spans="15:33">
      <c r="O180" t="s">
        <v>171</v>
      </c>
      <c r="P180" t="s">
        <v>171</v>
      </c>
      <c r="Q180" s="8" t="s">
        <v>171</v>
      </c>
      <c r="R180" t="s">
        <v>171</v>
      </c>
      <c r="S180" s="8" t="s">
        <v>171</v>
      </c>
      <c r="T180" t="s">
        <v>171</v>
      </c>
      <c r="AA180" t="s">
        <v>171</v>
      </c>
      <c r="AB180" t="s">
        <v>171</v>
      </c>
      <c r="AF180" t="s">
        <v>171</v>
      </c>
      <c r="AG180" t="s">
        <v>171</v>
      </c>
    </row>
    <row r="181" spans="15:33">
      <c r="O181" t="s">
        <v>171</v>
      </c>
      <c r="P181" t="s">
        <v>171</v>
      </c>
      <c r="Q181" s="8" t="s">
        <v>171</v>
      </c>
      <c r="R181" t="s">
        <v>171</v>
      </c>
      <c r="S181" s="8" t="s">
        <v>171</v>
      </c>
      <c r="T181" t="s">
        <v>171</v>
      </c>
      <c r="AA181" t="s">
        <v>171</v>
      </c>
      <c r="AB181" t="s">
        <v>171</v>
      </c>
      <c r="AF181" t="s">
        <v>171</v>
      </c>
      <c r="AG181" t="s">
        <v>171</v>
      </c>
    </row>
    <row r="182" spans="15:33">
      <c r="O182" t="s">
        <v>171</v>
      </c>
      <c r="P182" t="s">
        <v>171</v>
      </c>
      <c r="Q182" s="8" t="s">
        <v>171</v>
      </c>
      <c r="R182" t="s">
        <v>171</v>
      </c>
      <c r="S182" s="8" t="s">
        <v>171</v>
      </c>
      <c r="T182" t="s">
        <v>171</v>
      </c>
      <c r="AA182" t="s">
        <v>171</v>
      </c>
      <c r="AB182" t="s">
        <v>171</v>
      </c>
      <c r="AF182" t="s">
        <v>171</v>
      </c>
      <c r="AG182" t="s">
        <v>171</v>
      </c>
    </row>
    <row r="183" spans="15:33">
      <c r="O183" t="s">
        <v>171</v>
      </c>
      <c r="P183" t="s">
        <v>171</v>
      </c>
      <c r="Q183" s="8" t="s">
        <v>171</v>
      </c>
      <c r="R183" t="s">
        <v>171</v>
      </c>
      <c r="S183" s="8" t="s">
        <v>171</v>
      </c>
      <c r="T183" t="s">
        <v>171</v>
      </c>
      <c r="AA183" t="s">
        <v>171</v>
      </c>
      <c r="AB183" t="s">
        <v>171</v>
      </c>
      <c r="AF183" t="s">
        <v>171</v>
      </c>
      <c r="AG183" t="s">
        <v>171</v>
      </c>
    </row>
    <row r="184" spans="15:33">
      <c r="O184" t="s">
        <v>171</v>
      </c>
      <c r="P184" t="s">
        <v>171</v>
      </c>
      <c r="Q184" s="8" t="s">
        <v>171</v>
      </c>
      <c r="R184" t="s">
        <v>171</v>
      </c>
      <c r="S184" s="8" t="s">
        <v>171</v>
      </c>
      <c r="T184" t="s">
        <v>171</v>
      </c>
      <c r="AA184" t="s">
        <v>171</v>
      </c>
      <c r="AB184" t="s">
        <v>171</v>
      </c>
      <c r="AF184" t="s">
        <v>171</v>
      </c>
      <c r="AG184" t="s">
        <v>171</v>
      </c>
    </row>
    <row r="185" spans="15:33">
      <c r="O185" t="s">
        <v>171</v>
      </c>
      <c r="P185" t="s">
        <v>171</v>
      </c>
      <c r="Q185" s="8" t="s">
        <v>171</v>
      </c>
      <c r="R185" t="s">
        <v>171</v>
      </c>
      <c r="S185" s="8" t="s">
        <v>171</v>
      </c>
      <c r="T185" t="s">
        <v>171</v>
      </c>
      <c r="AA185" t="s">
        <v>171</v>
      </c>
      <c r="AB185" t="s">
        <v>171</v>
      </c>
      <c r="AF185" t="s">
        <v>171</v>
      </c>
      <c r="AG185" t="s">
        <v>171</v>
      </c>
    </row>
    <row r="186" spans="15:33">
      <c r="O186" t="s">
        <v>171</v>
      </c>
      <c r="P186" t="s">
        <v>171</v>
      </c>
      <c r="Q186" s="8" t="s">
        <v>171</v>
      </c>
      <c r="R186" t="s">
        <v>171</v>
      </c>
      <c r="S186" s="8" t="s">
        <v>171</v>
      </c>
      <c r="T186" t="s">
        <v>171</v>
      </c>
      <c r="AA186" t="s">
        <v>171</v>
      </c>
      <c r="AB186" t="s">
        <v>171</v>
      </c>
      <c r="AF186" t="s">
        <v>171</v>
      </c>
      <c r="AG186" t="s">
        <v>171</v>
      </c>
    </row>
    <row r="187" spans="15:33">
      <c r="O187" t="s">
        <v>171</v>
      </c>
      <c r="P187" t="s">
        <v>171</v>
      </c>
      <c r="Q187" s="8" t="s">
        <v>171</v>
      </c>
      <c r="R187" t="s">
        <v>171</v>
      </c>
      <c r="S187" s="8" t="s">
        <v>171</v>
      </c>
      <c r="T187" t="s">
        <v>171</v>
      </c>
      <c r="AA187" t="s">
        <v>171</v>
      </c>
      <c r="AB187" t="s">
        <v>171</v>
      </c>
      <c r="AF187" t="s">
        <v>171</v>
      </c>
      <c r="AG187" t="s">
        <v>171</v>
      </c>
    </row>
    <row r="188" spans="15:33">
      <c r="O188" t="s">
        <v>171</v>
      </c>
      <c r="P188" t="s">
        <v>171</v>
      </c>
      <c r="Q188" s="8" t="s">
        <v>171</v>
      </c>
      <c r="R188" t="s">
        <v>171</v>
      </c>
      <c r="S188" s="8" t="s">
        <v>171</v>
      </c>
      <c r="T188" t="s">
        <v>171</v>
      </c>
      <c r="AA188" t="s">
        <v>171</v>
      </c>
      <c r="AB188" t="s">
        <v>171</v>
      </c>
      <c r="AF188" t="s">
        <v>171</v>
      </c>
      <c r="AG188" t="s">
        <v>171</v>
      </c>
    </row>
    <row r="189" spans="15:33">
      <c r="O189" t="s">
        <v>171</v>
      </c>
      <c r="P189" t="s">
        <v>171</v>
      </c>
      <c r="Q189" s="8" t="s">
        <v>171</v>
      </c>
      <c r="R189" t="s">
        <v>171</v>
      </c>
      <c r="S189" s="8" t="s">
        <v>171</v>
      </c>
      <c r="T189" t="s">
        <v>171</v>
      </c>
      <c r="AA189" t="s">
        <v>171</v>
      </c>
      <c r="AB189" t="s">
        <v>171</v>
      </c>
      <c r="AF189" t="s">
        <v>171</v>
      </c>
      <c r="AG189" t="s">
        <v>171</v>
      </c>
    </row>
    <row r="190" spans="15:33">
      <c r="O190" t="s">
        <v>171</v>
      </c>
      <c r="P190" t="s">
        <v>171</v>
      </c>
      <c r="Q190" s="8" t="s">
        <v>171</v>
      </c>
      <c r="R190" t="s">
        <v>171</v>
      </c>
      <c r="S190" s="8" t="s">
        <v>171</v>
      </c>
      <c r="T190" t="s">
        <v>171</v>
      </c>
      <c r="AA190" t="s">
        <v>171</v>
      </c>
      <c r="AB190" t="s">
        <v>171</v>
      </c>
      <c r="AF190" t="s">
        <v>171</v>
      </c>
      <c r="AG190" t="s">
        <v>171</v>
      </c>
    </row>
    <row r="191" spans="15:33">
      <c r="O191" t="s">
        <v>171</v>
      </c>
      <c r="P191" t="s">
        <v>171</v>
      </c>
      <c r="Q191" s="8" t="s">
        <v>171</v>
      </c>
      <c r="R191" t="s">
        <v>171</v>
      </c>
      <c r="S191" s="8" t="s">
        <v>171</v>
      </c>
      <c r="T191" t="s">
        <v>171</v>
      </c>
      <c r="AA191" t="s">
        <v>171</v>
      </c>
      <c r="AB191" t="s">
        <v>171</v>
      </c>
      <c r="AF191" t="s">
        <v>171</v>
      </c>
      <c r="AG191" t="s">
        <v>171</v>
      </c>
    </row>
    <row r="192" spans="15:33">
      <c r="O192" t="s">
        <v>171</v>
      </c>
      <c r="P192" t="s">
        <v>171</v>
      </c>
      <c r="Q192" s="8" t="s">
        <v>171</v>
      </c>
      <c r="R192" t="s">
        <v>171</v>
      </c>
      <c r="S192" s="8" t="s">
        <v>171</v>
      </c>
      <c r="T192" t="s">
        <v>171</v>
      </c>
      <c r="AA192" t="s">
        <v>171</v>
      </c>
      <c r="AB192" t="s">
        <v>171</v>
      </c>
      <c r="AF192" t="s">
        <v>171</v>
      </c>
      <c r="AG192" t="s">
        <v>171</v>
      </c>
    </row>
    <row r="193" spans="15:33">
      <c r="O193" t="s">
        <v>171</v>
      </c>
      <c r="P193" t="s">
        <v>171</v>
      </c>
      <c r="Q193" s="8" t="s">
        <v>171</v>
      </c>
      <c r="R193" t="s">
        <v>171</v>
      </c>
      <c r="S193" s="8" t="s">
        <v>171</v>
      </c>
      <c r="T193" t="s">
        <v>171</v>
      </c>
      <c r="AA193" t="s">
        <v>171</v>
      </c>
      <c r="AB193" t="s">
        <v>171</v>
      </c>
      <c r="AF193" t="s">
        <v>171</v>
      </c>
      <c r="AG193" t="s">
        <v>171</v>
      </c>
    </row>
    <row r="194" spans="15:33">
      <c r="O194" t="s">
        <v>171</v>
      </c>
      <c r="P194" t="s">
        <v>171</v>
      </c>
      <c r="Q194" s="8" t="s">
        <v>171</v>
      </c>
      <c r="R194" t="s">
        <v>171</v>
      </c>
      <c r="S194" s="8" t="s">
        <v>171</v>
      </c>
      <c r="T194" t="s">
        <v>171</v>
      </c>
      <c r="AA194" t="s">
        <v>171</v>
      </c>
      <c r="AB194" t="s">
        <v>171</v>
      </c>
      <c r="AF194" t="s">
        <v>171</v>
      </c>
      <c r="AG194" t="s">
        <v>171</v>
      </c>
    </row>
    <row r="195" spans="15:33">
      <c r="O195" t="s">
        <v>171</v>
      </c>
      <c r="P195" t="s">
        <v>171</v>
      </c>
      <c r="Q195" s="8" t="s">
        <v>171</v>
      </c>
      <c r="R195" t="s">
        <v>171</v>
      </c>
      <c r="S195" s="8" t="s">
        <v>171</v>
      </c>
      <c r="T195" t="s">
        <v>171</v>
      </c>
      <c r="AA195" t="s">
        <v>171</v>
      </c>
      <c r="AB195" t="s">
        <v>171</v>
      </c>
      <c r="AF195" t="s">
        <v>171</v>
      </c>
      <c r="AG195" t="s">
        <v>171</v>
      </c>
    </row>
    <row r="196" spans="15:33">
      <c r="O196" t="s">
        <v>171</v>
      </c>
      <c r="P196" t="s">
        <v>171</v>
      </c>
      <c r="Q196" s="8" t="s">
        <v>171</v>
      </c>
      <c r="R196" t="s">
        <v>171</v>
      </c>
      <c r="S196" s="8" t="s">
        <v>171</v>
      </c>
      <c r="T196" t="s">
        <v>171</v>
      </c>
      <c r="AA196" t="s">
        <v>171</v>
      </c>
      <c r="AB196" t="s">
        <v>171</v>
      </c>
      <c r="AF196" t="s">
        <v>171</v>
      </c>
      <c r="AG196" t="s">
        <v>171</v>
      </c>
    </row>
    <row r="197" spans="15:33">
      <c r="O197" t="s">
        <v>171</v>
      </c>
      <c r="P197" t="s">
        <v>171</v>
      </c>
      <c r="Q197" s="8" t="s">
        <v>171</v>
      </c>
      <c r="R197" t="s">
        <v>171</v>
      </c>
      <c r="S197" s="8" t="s">
        <v>171</v>
      </c>
      <c r="T197" t="s">
        <v>171</v>
      </c>
      <c r="AA197" t="s">
        <v>171</v>
      </c>
      <c r="AB197" t="s">
        <v>171</v>
      </c>
      <c r="AF197" t="s">
        <v>171</v>
      </c>
      <c r="AG197" t="s">
        <v>171</v>
      </c>
    </row>
    <row r="198" spans="15:33">
      <c r="O198" t="s">
        <v>171</v>
      </c>
      <c r="P198" t="s">
        <v>171</v>
      </c>
      <c r="Q198" s="8" t="s">
        <v>171</v>
      </c>
      <c r="R198" t="s">
        <v>171</v>
      </c>
      <c r="S198" s="8" t="s">
        <v>171</v>
      </c>
      <c r="T198" t="s">
        <v>171</v>
      </c>
      <c r="AA198" t="s">
        <v>171</v>
      </c>
      <c r="AB198" t="s">
        <v>171</v>
      </c>
      <c r="AF198" t="s">
        <v>171</v>
      </c>
      <c r="AG198" t="s">
        <v>171</v>
      </c>
    </row>
    <row r="199" spans="15:33">
      <c r="O199" t="s">
        <v>171</v>
      </c>
      <c r="P199" t="s">
        <v>171</v>
      </c>
      <c r="Q199" s="8" t="s">
        <v>171</v>
      </c>
      <c r="R199" t="s">
        <v>171</v>
      </c>
      <c r="S199" s="8" t="s">
        <v>171</v>
      </c>
      <c r="T199" t="s">
        <v>171</v>
      </c>
      <c r="AA199" t="s">
        <v>171</v>
      </c>
      <c r="AB199" t="s">
        <v>171</v>
      </c>
      <c r="AF199" t="s">
        <v>171</v>
      </c>
      <c r="AG199" t="s">
        <v>171</v>
      </c>
    </row>
    <row r="200" spans="15:33">
      <c r="O200" t="s">
        <v>171</v>
      </c>
      <c r="P200" t="s">
        <v>171</v>
      </c>
      <c r="Q200" s="8" t="s">
        <v>171</v>
      </c>
      <c r="R200" t="s">
        <v>171</v>
      </c>
      <c r="S200" s="8" t="s">
        <v>171</v>
      </c>
      <c r="T200" t="s">
        <v>171</v>
      </c>
      <c r="AA200" t="s">
        <v>171</v>
      </c>
      <c r="AB200" t="s">
        <v>171</v>
      </c>
      <c r="AF200" t="s">
        <v>171</v>
      </c>
      <c r="AG200" t="s">
        <v>171</v>
      </c>
    </row>
    <row r="201" spans="15:33">
      <c r="O201" t="s">
        <v>171</v>
      </c>
      <c r="P201" t="s">
        <v>171</v>
      </c>
      <c r="Q201" s="8" t="s">
        <v>171</v>
      </c>
      <c r="R201" t="s">
        <v>171</v>
      </c>
      <c r="S201" s="8" t="s">
        <v>171</v>
      </c>
      <c r="T201" t="s">
        <v>171</v>
      </c>
      <c r="AA201" t="s">
        <v>171</v>
      </c>
      <c r="AB201" t="s">
        <v>171</v>
      </c>
      <c r="AF201" t="s">
        <v>171</v>
      </c>
      <c r="AG201" t="s">
        <v>171</v>
      </c>
    </row>
    <row r="202" spans="15:33">
      <c r="O202" t="s">
        <v>171</v>
      </c>
      <c r="P202" t="s">
        <v>171</v>
      </c>
      <c r="Q202" s="8" t="s">
        <v>171</v>
      </c>
      <c r="R202" t="s">
        <v>171</v>
      </c>
      <c r="S202" s="8" t="s">
        <v>171</v>
      </c>
      <c r="T202" t="s">
        <v>171</v>
      </c>
      <c r="AA202" t="s">
        <v>171</v>
      </c>
      <c r="AB202" t="s">
        <v>171</v>
      </c>
      <c r="AF202" t="s">
        <v>171</v>
      </c>
      <c r="AG202" t="s">
        <v>171</v>
      </c>
    </row>
    <row r="203" spans="15:33">
      <c r="O203" t="s">
        <v>171</v>
      </c>
      <c r="P203" t="s">
        <v>171</v>
      </c>
      <c r="Q203" s="8" t="s">
        <v>171</v>
      </c>
      <c r="R203" t="s">
        <v>171</v>
      </c>
      <c r="S203" s="8" t="s">
        <v>171</v>
      </c>
      <c r="T203" t="s">
        <v>171</v>
      </c>
      <c r="AA203" t="s">
        <v>171</v>
      </c>
      <c r="AB203" t="s">
        <v>171</v>
      </c>
      <c r="AF203" t="s">
        <v>171</v>
      </c>
      <c r="AG203" t="s">
        <v>171</v>
      </c>
    </row>
    <row r="204" spans="15:33">
      <c r="O204" t="s">
        <v>171</v>
      </c>
      <c r="P204" t="s">
        <v>171</v>
      </c>
      <c r="Q204" s="8" t="s">
        <v>171</v>
      </c>
      <c r="R204" t="s">
        <v>171</v>
      </c>
      <c r="S204" s="8" t="s">
        <v>171</v>
      </c>
      <c r="T204" t="s">
        <v>171</v>
      </c>
      <c r="AA204" t="s">
        <v>171</v>
      </c>
      <c r="AB204" t="s">
        <v>171</v>
      </c>
      <c r="AF204" t="s">
        <v>171</v>
      </c>
      <c r="AG204" t="s">
        <v>171</v>
      </c>
    </row>
    <row r="205" spans="15:33">
      <c r="O205" t="s">
        <v>171</v>
      </c>
      <c r="P205" t="s">
        <v>171</v>
      </c>
      <c r="Q205" s="8" t="s">
        <v>171</v>
      </c>
      <c r="R205" t="s">
        <v>171</v>
      </c>
      <c r="S205" s="8" t="s">
        <v>171</v>
      </c>
      <c r="T205" t="s">
        <v>171</v>
      </c>
      <c r="AA205" t="s">
        <v>171</v>
      </c>
      <c r="AB205" t="s">
        <v>171</v>
      </c>
      <c r="AF205" t="s">
        <v>171</v>
      </c>
      <c r="AG205" t="s">
        <v>171</v>
      </c>
    </row>
    <row r="206" spans="15:33">
      <c r="O206" t="s">
        <v>171</v>
      </c>
      <c r="P206" t="s">
        <v>171</v>
      </c>
      <c r="Q206" s="8" t="s">
        <v>171</v>
      </c>
      <c r="R206" t="s">
        <v>171</v>
      </c>
      <c r="S206" s="8" t="s">
        <v>171</v>
      </c>
      <c r="T206" t="s">
        <v>171</v>
      </c>
      <c r="AA206" t="s">
        <v>171</v>
      </c>
      <c r="AB206" t="s">
        <v>171</v>
      </c>
      <c r="AF206" t="s">
        <v>171</v>
      </c>
      <c r="AG206" t="s">
        <v>171</v>
      </c>
    </row>
    <row r="207" spans="15:33">
      <c r="O207" t="s">
        <v>171</v>
      </c>
      <c r="P207" t="s">
        <v>171</v>
      </c>
      <c r="Q207" s="8" t="s">
        <v>171</v>
      </c>
      <c r="R207" t="s">
        <v>171</v>
      </c>
      <c r="S207" s="8" t="s">
        <v>171</v>
      </c>
      <c r="T207" t="s">
        <v>171</v>
      </c>
      <c r="AA207" t="s">
        <v>171</v>
      </c>
      <c r="AB207" t="s">
        <v>171</v>
      </c>
      <c r="AF207" t="s">
        <v>171</v>
      </c>
      <c r="AG207" t="s">
        <v>171</v>
      </c>
    </row>
    <row r="208" spans="15:33">
      <c r="O208" t="s">
        <v>171</v>
      </c>
      <c r="P208" t="s">
        <v>171</v>
      </c>
      <c r="Q208" s="8" t="s">
        <v>171</v>
      </c>
      <c r="R208" t="s">
        <v>171</v>
      </c>
      <c r="S208" s="8" t="s">
        <v>171</v>
      </c>
      <c r="T208" t="s">
        <v>171</v>
      </c>
      <c r="AA208" t="s">
        <v>171</v>
      </c>
      <c r="AB208" t="s">
        <v>171</v>
      </c>
      <c r="AF208" t="s">
        <v>171</v>
      </c>
      <c r="AG208" t="s">
        <v>171</v>
      </c>
    </row>
    <row r="209" spans="15:33">
      <c r="O209" t="s">
        <v>171</v>
      </c>
      <c r="P209" t="s">
        <v>171</v>
      </c>
      <c r="Q209" s="8" t="s">
        <v>171</v>
      </c>
      <c r="R209" t="s">
        <v>171</v>
      </c>
      <c r="S209" s="8" t="s">
        <v>171</v>
      </c>
      <c r="T209" t="s">
        <v>171</v>
      </c>
      <c r="AA209" t="s">
        <v>171</v>
      </c>
      <c r="AB209" t="s">
        <v>171</v>
      </c>
      <c r="AF209" t="s">
        <v>171</v>
      </c>
      <c r="AG209" t="s">
        <v>171</v>
      </c>
    </row>
    <row r="210" spans="15:33">
      <c r="O210" t="s">
        <v>171</v>
      </c>
      <c r="P210" t="s">
        <v>171</v>
      </c>
      <c r="Q210" s="8" t="s">
        <v>171</v>
      </c>
      <c r="R210" t="s">
        <v>171</v>
      </c>
      <c r="S210" s="8" t="s">
        <v>171</v>
      </c>
      <c r="T210" t="s">
        <v>171</v>
      </c>
      <c r="AA210" t="s">
        <v>171</v>
      </c>
      <c r="AB210" t="s">
        <v>171</v>
      </c>
      <c r="AF210" t="s">
        <v>171</v>
      </c>
      <c r="AG210" t="s">
        <v>171</v>
      </c>
    </row>
    <row r="211" spans="15:33">
      <c r="O211" t="s">
        <v>171</v>
      </c>
      <c r="P211" t="s">
        <v>171</v>
      </c>
      <c r="Q211" s="8" t="s">
        <v>171</v>
      </c>
      <c r="R211" t="s">
        <v>171</v>
      </c>
      <c r="S211" s="8" t="s">
        <v>171</v>
      </c>
      <c r="T211" t="s">
        <v>171</v>
      </c>
      <c r="AA211" t="s">
        <v>171</v>
      </c>
      <c r="AB211" t="s">
        <v>171</v>
      </c>
      <c r="AF211" t="s">
        <v>171</v>
      </c>
      <c r="AG211" t="s">
        <v>171</v>
      </c>
    </row>
    <row r="212" spans="15:33">
      <c r="O212" t="s">
        <v>171</v>
      </c>
      <c r="P212" t="s">
        <v>171</v>
      </c>
      <c r="Q212" s="8" t="s">
        <v>171</v>
      </c>
      <c r="R212" t="s">
        <v>171</v>
      </c>
      <c r="S212" s="8" t="s">
        <v>171</v>
      </c>
      <c r="T212" t="s">
        <v>171</v>
      </c>
      <c r="AA212" t="s">
        <v>171</v>
      </c>
      <c r="AB212" t="s">
        <v>171</v>
      </c>
      <c r="AF212" t="s">
        <v>171</v>
      </c>
      <c r="AG212" t="s">
        <v>171</v>
      </c>
    </row>
    <row r="213" spans="15:33">
      <c r="O213" t="s">
        <v>171</v>
      </c>
      <c r="P213" t="s">
        <v>171</v>
      </c>
      <c r="Q213" s="8" t="s">
        <v>171</v>
      </c>
      <c r="R213" t="s">
        <v>171</v>
      </c>
      <c r="S213" s="8" t="s">
        <v>171</v>
      </c>
      <c r="T213" t="s">
        <v>171</v>
      </c>
      <c r="AA213" t="s">
        <v>171</v>
      </c>
      <c r="AB213" t="s">
        <v>171</v>
      </c>
      <c r="AF213" t="s">
        <v>171</v>
      </c>
      <c r="AG213" t="s">
        <v>171</v>
      </c>
    </row>
    <row r="214" spans="15:33">
      <c r="O214" t="s">
        <v>171</v>
      </c>
      <c r="P214" t="s">
        <v>171</v>
      </c>
      <c r="Q214" s="8" t="s">
        <v>171</v>
      </c>
      <c r="R214" t="s">
        <v>171</v>
      </c>
      <c r="S214" s="8" t="s">
        <v>171</v>
      </c>
      <c r="T214" t="s">
        <v>171</v>
      </c>
      <c r="AA214" t="s">
        <v>171</v>
      </c>
      <c r="AB214" t="s">
        <v>171</v>
      </c>
      <c r="AF214" t="s">
        <v>171</v>
      </c>
      <c r="AG214" t="s">
        <v>171</v>
      </c>
    </row>
    <row r="215" spans="15:33">
      <c r="O215" t="s">
        <v>171</v>
      </c>
      <c r="P215" t="s">
        <v>171</v>
      </c>
      <c r="Q215" s="8" t="s">
        <v>171</v>
      </c>
      <c r="R215" t="s">
        <v>171</v>
      </c>
      <c r="S215" s="8" t="s">
        <v>171</v>
      </c>
      <c r="T215" t="s">
        <v>171</v>
      </c>
      <c r="AA215" t="s">
        <v>171</v>
      </c>
      <c r="AB215" t="s">
        <v>171</v>
      </c>
      <c r="AF215" t="s">
        <v>171</v>
      </c>
      <c r="AG215" t="s">
        <v>171</v>
      </c>
    </row>
    <row r="216" spans="15:33">
      <c r="O216" t="s">
        <v>171</v>
      </c>
      <c r="P216" t="s">
        <v>171</v>
      </c>
      <c r="Q216" s="8" t="s">
        <v>171</v>
      </c>
      <c r="R216" t="s">
        <v>171</v>
      </c>
      <c r="S216" s="8" t="s">
        <v>171</v>
      </c>
      <c r="T216" t="s">
        <v>171</v>
      </c>
      <c r="AA216" t="s">
        <v>171</v>
      </c>
      <c r="AB216" t="s">
        <v>171</v>
      </c>
      <c r="AF216" t="s">
        <v>171</v>
      </c>
      <c r="AG216" t="s">
        <v>171</v>
      </c>
    </row>
    <row r="217" spans="15:33">
      <c r="O217" t="s">
        <v>171</v>
      </c>
      <c r="P217" t="s">
        <v>171</v>
      </c>
      <c r="Q217" s="8" t="s">
        <v>171</v>
      </c>
      <c r="R217" t="s">
        <v>171</v>
      </c>
      <c r="S217" s="8" t="s">
        <v>171</v>
      </c>
      <c r="T217" t="s">
        <v>171</v>
      </c>
      <c r="AA217" t="s">
        <v>171</v>
      </c>
      <c r="AB217" t="s">
        <v>171</v>
      </c>
      <c r="AF217" t="s">
        <v>171</v>
      </c>
      <c r="AG217" t="s">
        <v>171</v>
      </c>
    </row>
    <row r="218" spans="15:33">
      <c r="O218" t="s">
        <v>171</v>
      </c>
      <c r="P218" t="s">
        <v>171</v>
      </c>
      <c r="Q218" s="8" t="s">
        <v>171</v>
      </c>
      <c r="R218" t="s">
        <v>171</v>
      </c>
      <c r="S218" s="8" t="s">
        <v>171</v>
      </c>
      <c r="T218" t="s">
        <v>171</v>
      </c>
      <c r="AA218" t="s">
        <v>171</v>
      </c>
      <c r="AB218" t="s">
        <v>171</v>
      </c>
      <c r="AF218" t="s">
        <v>171</v>
      </c>
      <c r="AG218" t="s">
        <v>171</v>
      </c>
    </row>
    <row r="219" spans="15:33">
      <c r="O219" t="s">
        <v>171</v>
      </c>
      <c r="P219" t="s">
        <v>171</v>
      </c>
      <c r="Q219" s="8" t="s">
        <v>171</v>
      </c>
      <c r="R219" t="s">
        <v>171</v>
      </c>
      <c r="S219" s="8" t="s">
        <v>171</v>
      </c>
      <c r="T219" t="s">
        <v>171</v>
      </c>
      <c r="AA219" t="s">
        <v>171</v>
      </c>
      <c r="AB219" t="s">
        <v>171</v>
      </c>
      <c r="AF219" t="s">
        <v>171</v>
      </c>
      <c r="AG219" t="s">
        <v>171</v>
      </c>
    </row>
    <row r="220" spans="15:33">
      <c r="O220" t="s">
        <v>171</v>
      </c>
      <c r="P220" t="s">
        <v>171</v>
      </c>
      <c r="Q220" s="8" t="s">
        <v>171</v>
      </c>
      <c r="R220" t="s">
        <v>171</v>
      </c>
      <c r="S220" s="8" t="s">
        <v>171</v>
      </c>
      <c r="T220" t="s">
        <v>171</v>
      </c>
      <c r="AA220" t="s">
        <v>171</v>
      </c>
      <c r="AB220" t="s">
        <v>171</v>
      </c>
      <c r="AF220" t="s">
        <v>171</v>
      </c>
      <c r="AG220" t="s">
        <v>171</v>
      </c>
    </row>
    <row r="221" spans="15:33">
      <c r="O221" t="s">
        <v>171</v>
      </c>
      <c r="P221" t="s">
        <v>171</v>
      </c>
      <c r="Q221" s="8" t="s">
        <v>171</v>
      </c>
      <c r="R221" t="s">
        <v>171</v>
      </c>
      <c r="S221" s="8" t="s">
        <v>171</v>
      </c>
      <c r="T221" t="s">
        <v>171</v>
      </c>
      <c r="AA221" t="s">
        <v>171</v>
      </c>
      <c r="AB221" t="s">
        <v>171</v>
      </c>
      <c r="AF221" t="s">
        <v>171</v>
      </c>
      <c r="AG221" t="s">
        <v>171</v>
      </c>
    </row>
    <row r="222" spans="15:33">
      <c r="O222" t="s">
        <v>171</v>
      </c>
      <c r="P222" t="s">
        <v>171</v>
      </c>
      <c r="Q222" s="8" t="s">
        <v>171</v>
      </c>
      <c r="R222" t="s">
        <v>171</v>
      </c>
      <c r="S222" s="8" t="s">
        <v>171</v>
      </c>
      <c r="T222" t="s">
        <v>171</v>
      </c>
      <c r="AA222" t="s">
        <v>171</v>
      </c>
      <c r="AB222" t="s">
        <v>171</v>
      </c>
      <c r="AF222" t="s">
        <v>171</v>
      </c>
      <c r="AG222" t="s">
        <v>171</v>
      </c>
    </row>
    <row r="223" spans="15:33">
      <c r="O223" t="s">
        <v>171</v>
      </c>
      <c r="P223" t="s">
        <v>171</v>
      </c>
      <c r="Q223" s="8" t="s">
        <v>171</v>
      </c>
      <c r="R223" t="s">
        <v>171</v>
      </c>
      <c r="S223" s="8" t="s">
        <v>171</v>
      </c>
      <c r="T223" t="s">
        <v>171</v>
      </c>
      <c r="AA223" t="s">
        <v>171</v>
      </c>
      <c r="AB223" t="s">
        <v>171</v>
      </c>
      <c r="AF223" t="s">
        <v>171</v>
      </c>
      <c r="AG223" t="s">
        <v>171</v>
      </c>
    </row>
    <row r="224" spans="15:33">
      <c r="O224" t="s">
        <v>171</v>
      </c>
      <c r="P224" t="s">
        <v>171</v>
      </c>
      <c r="Q224" s="8" t="s">
        <v>171</v>
      </c>
      <c r="R224" t="s">
        <v>171</v>
      </c>
      <c r="S224" s="8" t="s">
        <v>171</v>
      </c>
      <c r="T224" t="s">
        <v>171</v>
      </c>
      <c r="AA224" t="s">
        <v>171</v>
      </c>
      <c r="AB224" t="s">
        <v>171</v>
      </c>
      <c r="AF224" t="s">
        <v>171</v>
      </c>
      <c r="AG224" t="s">
        <v>171</v>
      </c>
    </row>
    <row r="225" spans="15:33">
      <c r="O225" t="s">
        <v>171</v>
      </c>
      <c r="P225" t="s">
        <v>171</v>
      </c>
      <c r="Q225" s="8" t="s">
        <v>171</v>
      </c>
      <c r="R225" t="s">
        <v>171</v>
      </c>
      <c r="S225" s="8" t="s">
        <v>171</v>
      </c>
      <c r="T225" t="s">
        <v>171</v>
      </c>
      <c r="AA225" t="s">
        <v>171</v>
      </c>
      <c r="AB225" t="s">
        <v>171</v>
      </c>
      <c r="AF225" t="s">
        <v>171</v>
      </c>
      <c r="AG225" t="s">
        <v>171</v>
      </c>
    </row>
    <row r="226" spans="15:33">
      <c r="O226" t="s">
        <v>171</v>
      </c>
      <c r="P226" t="s">
        <v>171</v>
      </c>
      <c r="Q226" s="8" t="s">
        <v>171</v>
      </c>
      <c r="R226" t="s">
        <v>171</v>
      </c>
      <c r="S226" s="8" t="s">
        <v>171</v>
      </c>
      <c r="T226" t="s">
        <v>171</v>
      </c>
      <c r="AA226" t="s">
        <v>171</v>
      </c>
      <c r="AB226" t="s">
        <v>171</v>
      </c>
      <c r="AF226" t="s">
        <v>171</v>
      </c>
      <c r="AG226" t="s">
        <v>171</v>
      </c>
    </row>
    <row r="227" spans="15:33">
      <c r="O227" t="s">
        <v>171</v>
      </c>
      <c r="P227" t="s">
        <v>171</v>
      </c>
      <c r="Q227" s="8" t="s">
        <v>171</v>
      </c>
      <c r="R227" t="s">
        <v>171</v>
      </c>
      <c r="S227" s="8" t="s">
        <v>171</v>
      </c>
      <c r="T227" t="s">
        <v>171</v>
      </c>
      <c r="AA227" t="s">
        <v>171</v>
      </c>
      <c r="AB227" t="s">
        <v>171</v>
      </c>
      <c r="AF227" t="s">
        <v>171</v>
      </c>
      <c r="AG227" t="s">
        <v>171</v>
      </c>
    </row>
    <row r="228" spans="15:33">
      <c r="O228" t="s">
        <v>171</v>
      </c>
      <c r="P228" t="s">
        <v>171</v>
      </c>
      <c r="Q228" s="8" t="s">
        <v>171</v>
      </c>
      <c r="R228" t="s">
        <v>171</v>
      </c>
      <c r="S228" s="8" t="s">
        <v>171</v>
      </c>
      <c r="T228" t="s">
        <v>171</v>
      </c>
      <c r="AA228" t="s">
        <v>171</v>
      </c>
      <c r="AB228" t="s">
        <v>171</v>
      </c>
      <c r="AF228" t="s">
        <v>171</v>
      </c>
      <c r="AG228" t="s">
        <v>171</v>
      </c>
    </row>
    <row r="229" spans="15:33">
      <c r="O229" t="s">
        <v>171</v>
      </c>
      <c r="P229" t="s">
        <v>171</v>
      </c>
      <c r="Q229" s="8" t="s">
        <v>171</v>
      </c>
      <c r="R229" t="s">
        <v>171</v>
      </c>
      <c r="S229" s="8" t="s">
        <v>171</v>
      </c>
      <c r="T229" t="s">
        <v>171</v>
      </c>
      <c r="AA229" t="s">
        <v>171</v>
      </c>
      <c r="AB229" t="s">
        <v>171</v>
      </c>
      <c r="AF229" t="s">
        <v>171</v>
      </c>
      <c r="AG229" t="s">
        <v>171</v>
      </c>
    </row>
    <row r="230" spans="15:33">
      <c r="O230" t="s">
        <v>171</v>
      </c>
      <c r="P230" t="s">
        <v>171</v>
      </c>
      <c r="Q230" s="8" t="s">
        <v>171</v>
      </c>
      <c r="R230" t="s">
        <v>171</v>
      </c>
      <c r="S230" s="8" t="s">
        <v>171</v>
      </c>
      <c r="T230" t="s">
        <v>171</v>
      </c>
      <c r="AA230" t="s">
        <v>171</v>
      </c>
      <c r="AB230" t="s">
        <v>171</v>
      </c>
      <c r="AF230" t="s">
        <v>171</v>
      </c>
      <c r="AG230" t="s">
        <v>171</v>
      </c>
    </row>
    <row r="231" spans="15:33">
      <c r="O231" t="s">
        <v>171</v>
      </c>
      <c r="P231" t="s">
        <v>171</v>
      </c>
      <c r="Q231" s="8" t="s">
        <v>171</v>
      </c>
      <c r="R231" t="s">
        <v>171</v>
      </c>
      <c r="S231" s="8" t="s">
        <v>171</v>
      </c>
      <c r="T231" t="s">
        <v>171</v>
      </c>
      <c r="AA231" t="s">
        <v>171</v>
      </c>
      <c r="AB231" t="s">
        <v>171</v>
      </c>
      <c r="AF231" t="s">
        <v>171</v>
      </c>
      <c r="AG231" t="s">
        <v>171</v>
      </c>
    </row>
    <row r="232" spans="15:33">
      <c r="O232" t="s">
        <v>171</v>
      </c>
      <c r="P232" t="s">
        <v>171</v>
      </c>
      <c r="Q232" s="8" t="s">
        <v>171</v>
      </c>
      <c r="R232" t="s">
        <v>171</v>
      </c>
      <c r="S232" s="8" t="s">
        <v>171</v>
      </c>
      <c r="T232" t="s">
        <v>171</v>
      </c>
      <c r="AA232" t="s">
        <v>171</v>
      </c>
      <c r="AB232" t="s">
        <v>171</v>
      </c>
      <c r="AF232" t="s">
        <v>171</v>
      </c>
      <c r="AG232" t="s">
        <v>171</v>
      </c>
    </row>
    <row r="233" spans="15:33">
      <c r="O233" t="s">
        <v>171</v>
      </c>
      <c r="P233" t="s">
        <v>171</v>
      </c>
      <c r="Q233" s="8" t="s">
        <v>171</v>
      </c>
      <c r="R233" t="s">
        <v>171</v>
      </c>
      <c r="S233" s="8" t="s">
        <v>171</v>
      </c>
      <c r="T233" t="s">
        <v>171</v>
      </c>
      <c r="AA233" t="s">
        <v>171</v>
      </c>
      <c r="AB233" t="s">
        <v>171</v>
      </c>
      <c r="AF233" t="s">
        <v>171</v>
      </c>
      <c r="AG233" t="s">
        <v>171</v>
      </c>
    </row>
    <row r="234" spans="15:33">
      <c r="O234" t="s">
        <v>171</v>
      </c>
      <c r="P234" t="s">
        <v>171</v>
      </c>
      <c r="Q234" s="8" t="s">
        <v>171</v>
      </c>
      <c r="R234" t="s">
        <v>171</v>
      </c>
      <c r="S234" s="8" t="s">
        <v>171</v>
      </c>
      <c r="T234" t="s">
        <v>171</v>
      </c>
      <c r="AA234" t="s">
        <v>171</v>
      </c>
      <c r="AB234" t="s">
        <v>171</v>
      </c>
      <c r="AF234" t="s">
        <v>171</v>
      </c>
      <c r="AG234" t="s">
        <v>171</v>
      </c>
    </row>
    <row r="235" spans="15:33">
      <c r="O235" t="s">
        <v>171</v>
      </c>
      <c r="P235" t="s">
        <v>171</v>
      </c>
      <c r="Q235" s="8" t="s">
        <v>171</v>
      </c>
      <c r="R235" t="s">
        <v>171</v>
      </c>
      <c r="S235" s="8" t="s">
        <v>171</v>
      </c>
      <c r="T235" t="s">
        <v>171</v>
      </c>
      <c r="AA235" t="s">
        <v>171</v>
      </c>
      <c r="AB235" t="s">
        <v>171</v>
      </c>
      <c r="AF235" t="s">
        <v>171</v>
      </c>
      <c r="AG235" t="s">
        <v>171</v>
      </c>
    </row>
    <row r="236" spans="15:33">
      <c r="O236" t="s">
        <v>171</v>
      </c>
      <c r="P236" t="s">
        <v>171</v>
      </c>
      <c r="Q236" s="8" t="s">
        <v>171</v>
      </c>
      <c r="R236" t="s">
        <v>171</v>
      </c>
      <c r="S236" s="8" t="s">
        <v>171</v>
      </c>
      <c r="T236" t="s">
        <v>171</v>
      </c>
      <c r="AA236" t="s">
        <v>171</v>
      </c>
      <c r="AB236" t="s">
        <v>171</v>
      </c>
      <c r="AF236" t="s">
        <v>171</v>
      </c>
      <c r="AG236" t="s">
        <v>171</v>
      </c>
    </row>
    <row r="237" spans="15:33">
      <c r="O237" t="s">
        <v>171</v>
      </c>
      <c r="P237" t="s">
        <v>171</v>
      </c>
      <c r="Q237" s="8" t="s">
        <v>171</v>
      </c>
      <c r="R237" t="s">
        <v>171</v>
      </c>
      <c r="S237" s="8" t="s">
        <v>171</v>
      </c>
      <c r="T237" t="s">
        <v>171</v>
      </c>
      <c r="AA237" t="s">
        <v>171</v>
      </c>
      <c r="AB237" t="s">
        <v>171</v>
      </c>
      <c r="AF237" t="s">
        <v>171</v>
      </c>
      <c r="AG237" t="s">
        <v>171</v>
      </c>
    </row>
    <row r="238" spans="15:33">
      <c r="O238" t="s">
        <v>171</v>
      </c>
      <c r="P238" t="s">
        <v>171</v>
      </c>
      <c r="Q238" s="8" t="s">
        <v>171</v>
      </c>
      <c r="R238" t="s">
        <v>171</v>
      </c>
      <c r="S238" s="8" t="s">
        <v>171</v>
      </c>
      <c r="T238" t="s">
        <v>171</v>
      </c>
      <c r="AA238" t="s">
        <v>171</v>
      </c>
      <c r="AB238" t="s">
        <v>171</v>
      </c>
      <c r="AF238" t="s">
        <v>171</v>
      </c>
      <c r="AG238" t="s">
        <v>171</v>
      </c>
    </row>
    <row r="239" spans="15:33">
      <c r="O239" t="s">
        <v>171</v>
      </c>
      <c r="P239" t="s">
        <v>171</v>
      </c>
      <c r="Q239" s="8" t="s">
        <v>171</v>
      </c>
      <c r="R239" t="s">
        <v>171</v>
      </c>
      <c r="S239" s="8" t="s">
        <v>171</v>
      </c>
      <c r="T239" t="s">
        <v>171</v>
      </c>
      <c r="AA239" t="s">
        <v>171</v>
      </c>
      <c r="AB239" t="s">
        <v>171</v>
      </c>
      <c r="AF239" t="s">
        <v>171</v>
      </c>
      <c r="AG239" t="s">
        <v>171</v>
      </c>
    </row>
    <row r="240" spans="15:33">
      <c r="O240" t="s">
        <v>171</v>
      </c>
      <c r="P240" t="s">
        <v>171</v>
      </c>
      <c r="Q240" s="8" t="s">
        <v>171</v>
      </c>
      <c r="R240" t="s">
        <v>171</v>
      </c>
      <c r="S240" s="8" t="s">
        <v>171</v>
      </c>
      <c r="T240" t="s">
        <v>171</v>
      </c>
      <c r="AA240" t="s">
        <v>171</v>
      </c>
      <c r="AB240" t="s">
        <v>171</v>
      </c>
      <c r="AF240" t="s">
        <v>171</v>
      </c>
      <c r="AG240" t="s">
        <v>171</v>
      </c>
    </row>
    <row r="241" spans="15:33">
      <c r="O241" t="s">
        <v>171</v>
      </c>
      <c r="P241" t="s">
        <v>171</v>
      </c>
      <c r="Q241" s="8" t="s">
        <v>171</v>
      </c>
      <c r="R241" t="s">
        <v>171</v>
      </c>
      <c r="S241" s="8" t="s">
        <v>171</v>
      </c>
      <c r="T241" t="s">
        <v>171</v>
      </c>
      <c r="AA241" t="s">
        <v>171</v>
      </c>
      <c r="AB241" t="s">
        <v>171</v>
      </c>
      <c r="AF241" t="s">
        <v>171</v>
      </c>
      <c r="AG241" t="s">
        <v>171</v>
      </c>
    </row>
    <row r="242" spans="15:33">
      <c r="O242" t="s">
        <v>171</v>
      </c>
      <c r="P242" t="s">
        <v>171</v>
      </c>
      <c r="Q242" s="8" t="s">
        <v>171</v>
      </c>
      <c r="R242" t="s">
        <v>171</v>
      </c>
      <c r="S242" s="8" t="s">
        <v>171</v>
      </c>
      <c r="T242" t="s">
        <v>171</v>
      </c>
      <c r="AA242" t="s">
        <v>171</v>
      </c>
      <c r="AB242" t="s">
        <v>171</v>
      </c>
      <c r="AF242" t="s">
        <v>171</v>
      </c>
      <c r="AG242" t="s">
        <v>171</v>
      </c>
    </row>
    <row r="243" spans="15:33">
      <c r="O243" t="s">
        <v>171</v>
      </c>
      <c r="P243" t="s">
        <v>171</v>
      </c>
      <c r="Q243" s="8" t="s">
        <v>171</v>
      </c>
      <c r="R243" t="s">
        <v>171</v>
      </c>
      <c r="S243" s="8" t="s">
        <v>171</v>
      </c>
      <c r="T243" t="s">
        <v>171</v>
      </c>
      <c r="AA243" t="s">
        <v>171</v>
      </c>
      <c r="AB243" t="s">
        <v>171</v>
      </c>
      <c r="AF243" t="s">
        <v>171</v>
      </c>
      <c r="AG243" t="s">
        <v>171</v>
      </c>
    </row>
    <row r="244" spans="15:33">
      <c r="O244" t="s">
        <v>171</v>
      </c>
      <c r="P244" t="s">
        <v>171</v>
      </c>
      <c r="Q244" s="8" t="s">
        <v>171</v>
      </c>
      <c r="R244" t="s">
        <v>171</v>
      </c>
      <c r="S244" s="8" t="s">
        <v>171</v>
      </c>
      <c r="T244" t="s">
        <v>171</v>
      </c>
      <c r="AA244" t="s">
        <v>171</v>
      </c>
      <c r="AB244" t="s">
        <v>171</v>
      </c>
      <c r="AF244" t="s">
        <v>171</v>
      </c>
      <c r="AG244" t="s">
        <v>171</v>
      </c>
    </row>
    <row r="245" spans="15:33">
      <c r="O245" t="s">
        <v>171</v>
      </c>
      <c r="P245" t="s">
        <v>171</v>
      </c>
      <c r="Q245" s="8" t="s">
        <v>171</v>
      </c>
      <c r="R245" t="s">
        <v>171</v>
      </c>
      <c r="S245" s="8" t="s">
        <v>171</v>
      </c>
      <c r="T245" t="s">
        <v>171</v>
      </c>
      <c r="AA245" t="s">
        <v>171</v>
      </c>
      <c r="AB245" t="s">
        <v>171</v>
      </c>
      <c r="AF245" t="s">
        <v>171</v>
      </c>
      <c r="AG245" t="s">
        <v>171</v>
      </c>
    </row>
    <row r="246" spans="15:33">
      <c r="O246" t="s">
        <v>171</v>
      </c>
      <c r="P246" t="s">
        <v>171</v>
      </c>
      <c r="Q246" s="8" t="s">
        <v>171</v>
      </c>
      <c r="R246" t="s">
        <v>171</v>
      </c>
      <c r="S246" s="8" t="s">
        <v>171</v>
      </c>
      <c r="T246" t="s">
        <v>171</v>
      </c>
      <c r="AA246" t="s">
        <v>171</v>
      </c>
      <c r="AB246" t="s">
        <v>171</v>
      </c>
      <c r="AF246" t="s">
        <v>171</v>
      </c>
      <c r="AG246" t="s">
        <v>171</v>
      </c>
    </row>
    <row r="247" spans="15:33">
      <c r="O247" t="s">
        <v>171</v>
      </c>
      <c r="P247" t="s">
        <v>171</v>
      </c>
      <c r="Q247" s="8" t="s">
        <v>171</v>
      </c>
      <c r="R247" t="s">
        <v>171</v>
      </c>
      <c r="S247" s="8" t="s">
        <v>171</v>
      </c>
      <c r="T247" t="s">
        <v>171</v>
      </c>
      <c r="AA247" t="s">
        <v>171</v>
      </c>
      <c r="AB247" t="s">
        <v>171</v>
      </c>
      <c r="AF247" t="s">
        <v>171</v>
      </c>
      <c r="AG247" t="s">
        <v>171</v>
      </c>
    </row>
    <row r="248" spans="15:33">
      <c r="O248" t="s">
        <v>171</v>
      </c>
      <c r="P248" t="s">
        <v>171</v>
      </c>
      <c r="Q248" s="8" t="s">
        <v>171</v>
      </c>
      <c r="R248" t="s">
        <v>171</v>
      </c>
      <c r="S248" s="8" t="s">
        <v>171</v>
      </c>
      <c r="T248" t="s">
        <v>171</v>
      </c>
      <c r="AA248" t="s">
        <v>171</v>
      </c>
      <c r="AB248" t="s">
        <v>171</v>
      </c>
      <c r="AF248" t="s">
        <v>171</v>
      </c>
      <c r="AG248" t="s">
        <v>171</v>
      </c>
    </row>
    <row r="249" spans="15:33">
      <c r="O249" t="s">
        <v>171</v>
      </c>
      <c r="P249" t="s">
        <v>171</v>
      </c>
      <c r="Q249" s="8" t="s">
        <v>171</v>
      </c>
      <c r="R249" t="s">
        <v>171</v>
      </c>
      <c r="S249" s="8" t="s">
        <v>171</v>
      </c>
      <c r="T249" t="s">
        <v>171</v>
      </c>
      <c r="AA249" t="s">
        <v>171</v>
      </c>
      <c r="AB249" t="s">
        <v>171</v>
      </c>
      <c r="AF249" t="s">
        <v>171</v>
      </c>
      <c r="AG249" t="s">
        <v>171</v>
      </c>
    </row>
    <row r="250" spans="15:33">
      <c r="O250" t="s">
        <v>171</v>
      </c>
      <c r="P250" t="s">
        <v>171</v>
      </c>
      <c r="Q250" s="8" t="s">
        <v>171</v>
      </c>
      <c r="R250" t="s">
        <v>171</v>
      </c>
      <c r="S250" s="8" t="s">
        <v>171</v>
      </c>
      <c r="T250" t="s">
        <v>171</v>
      </c>
      <c r="AA250" t="s">
        <v>171</v>
      </c>
      <c r="AB250" t="s">
        <v>171</v>
      </c>
      <c r="AF250" t="s">
        <v>171</v>
      </c>
      <c r="AG250" t="s">
        <v>171</v>
      </c>
    </row>
    <row r="251" spans="15:33">
      <c r="O251" t="s">
        <v>171</v>
      </c>
      <c r="P251" t="s">
        <v>171</v>
      </c>
      <c r="Q251" s="8" t="s">
        <v>171</v>
      </c>
      <c r="R251" t="s">
        <v>171</v>
      </c>
      <c r="S251" s="8" t="s">
        <v>171</v>
      </c>
      <c r="T251" t="s">
        <v>171</v>
      </c>
      <c r="AA251" t="s">
        <v>171</v>
      </c>
      <c r="AB251" t="s">
        <v>171</v>
      </c>
      <c r="AF251" t="s">
        <v>171</v>
      </c>
      <c r="AG251" t="s">
        <v>171</v>
      </c>
    </row>
    <row r="252" spans="15:33">
      <c r="O252" t="s">
        <v>171</v>
      </c>
      <c r="P252" t="s">
        <v>171</v>
      </c>
      <c r="Q252" s="8" t="s">
        <v>171</v>
      </c>
      <c r="R252" t="s">
        <v>171</v>
      </c>
      <c r="S252" s="8" t="s">
        <v>171</v>
      </c>
      <c r="T252" t="s">
        <v>171</v>
      </c>
      <c r="AA252" t="s">
        <v>171</v>
      </c>
      <c r="AB252" t="s">
        <v>171</v>
      </c>
      <c r="AF252" t="s">
        <v>171</v>
      </c>
      <c r="AG252" t="s">
        <v>171</v>
      </c>
    </row>
    <row r="253" spans="15:33">
      <c r="O253" t="s">
        <v>171</v>
      </c>
      <c r="P253" t="s">
        <v>171</v>
      </c>
      <c r="Q253" s="8" t="s">
        <v>171</v>
      </c>
      <c r="R253" t="s">
        <v>171</v>
      </c>
      <c r="S253" s="8" t="s">
        <v>171</v>
      </c>
      <c r="T253" t="s">
        <v>171</v>
      </c>
      <c r="AA253" t="s">
        <v>171</v>
      </c>
      <c r="AB253" t="s">
        <v>171</v>
      </c>
      <c r="AF253" t="s">
        <v>171</v>
      </c>
      <c r="AG253" t="s">
        <v>171</v>
      </c>
    </row>
    <row r="254" spans="15:33">
      <c r="O254" t="s">
        <v>171</v>
      </c>
      <c r="P254" t="s">
        <v>171</v>
      </c>
      <c r="Q254" s="8" t="s">
        <v>171</v>
      </c>
      <c r="R254" t="s">
        <v>171</v>
      </c>
      <c r="S254" s="8" t="s">
        <v>171</v>
      </c>
      <c r="T254" t="s">
        <v>171</v>
      </c>
      <c r="AA254" t="s">
        <v>171</v>
      </c>
      <c r="AB254" t="s">
        <v>171</v>
      </c>
      <c r="AF254" t="s">
        <v>171</v>
      </c>
      <c r="AG254" t="s">
        <v>171</v>
      </c>
    </row>
    <row r="255" spans="15:33">
      <c r="O255" t="s">
        <v>171</v>
      </c>
      <c r="P255" t="s">
        <v>171</v>
      </c>
      <c r="Q255" s="8" t="s">
        <v>171</v>
      </c>
      <c r="R255" t="s">
        <v>171</v>
      </c>
      <c r="S255" s="8" t="s">
        <v>171</v>
      </c>
      <c r="T255" t="s">
        <v>171</v>
      </c>
      <c r="AA255" t="s">
        <v>171</v>
      </c>
      <c r="AB255" t="s">
        <v>171</v>
      </c>
      <c r="AF255" t="s">
        <v>171</v>
      </c>
      <c r="AG255" t="s">
        <v>171</v>
      </c>
    </row>
    <row r="256" spans="15:33">
      <c r="O256" t="s">
        <v>171</v>
      </c>
      <c r="P256" t="s">
        <v>171</v>
      </c>
      <c r="Q256" s="8" t="s">
        <v>171</v>
      </c>
      <c r="R256" t="s">
        <v>171</v>
      </c>
      <c r="S256" s="8" t="s">
        <v>171</v>
      </c>
      <c r="T256" t="s">
        <v>171</v>
      </c>
      <c r="AA256" t="s">
        <v>171</v>
      </c>
      <c r="AB256" t="s">
        <v>171</v>
      </c>
      <c r="AF256" t="s">
        <v>171</v>
      </c>
      <c r="AG256" t="s">
        <v>171</v>
      </c>
    </row>
    <row r="257" spans="15:33">
      <c r="O257" t="s">
        <v>171</v>
      </c>
      <c r="P257" t="s">
        <v>171</v>
      </c>
      <c r="Q257" s="8" t="s">
        <v>171</v>
      </c>
      <c r="R257" t="s">
        <v>171</v>
      </c>
      <c r="S257" s="8" t="s">
        <v>171</v>
      </c>
      <c r="T257" t="s">
        <v>171</v>
      </c>
      <c r="AA257" t="s">
        <v>171</v>
      </c>
      <c r="AB257" t="s">
        <v>171</v>
      </c>
      <c r="AF257" t="s">
        <v>171</v>
      </c>
      <c r="AG257" t="s">
        <v>171</v>
      </c>
    </row>
    <row r="258" spans="15:33">
      <c r="O258" t="s">
        <v>171</v>
      </c>
      <c r="P258" t="s">
        <v>171</v>
      </c>
      <c r="Q258" s="8" t="s">
        <v>171</v>
      </c>
      <c r="R258" t="s">
        <v>171</v>
      </c>
      <c r="S258" s="8" t="s">
        <v>171</v>
      </c>
      <c r="T258" t="s">
        <v>171</v>
      </c>
      <c r="AA258" t="s">
        <v>171</v>
      </c>
      <c r="AB258" t="s">
        <v>171</v>
      </c>
      <c r="AF258" t="s">
        <v>171</v>
      </c>
      <c r="AG258" t="s">
        <v>171</v>
      </c>
    </row>
    <row r="259" spans="15:33">
      <c r="O259" t="s">
        <v>171</v>
      </c>
      <c r="P259" t="s">
        <v>171</v>
      </c>
      <c r="Q259" s="8" t="s">
        <v>171</v>
      </c>
      <c r="R259" t="s">
        <v>171</v>
      </c>
      <c r="S259" s="8" t="s">
        <v>171</v>
      </c>
      <c r="T259" t="s">
        <v>171</v>
      </c>
      <c r="AA259" t="s">
        <v>171</v>
      </c>
      <c r="AB259" t="s">
        <v>171</v>
      </c>
      <c r="AF259" t="s">
        <v>171</v>
      </c>
      <c r="AG259" t="s">
        <v>171</v>
      </c>
    </row>
    <row r="260" spans="15:33">
      <c r="O260" t="s">
        <v>171</v>
      </c>
      <c r="P260" t="s">
        <v>171</v>
      </c>
      <c r="Q260" s="8" t="s">
        <v>171</v>
      </c>
      <c r="R260" t="s">
        <v>171</v>
      </c>
      <c r="S260" s="8" t="s">
        <v>171</v>
      </c>
      <c r="T260" t="s">
        <v>171</v>
      </c>
      <c r="AA260" t="s">
        <v>171</v>
      </c>
      <c r="AB260" t="s">
        <v>171</v>
      </c>
      <c r="AF260" t="s">
        <v>171</v>
      </c>
      <c r="AG260" t="s">
        <v>171</v>
      </c>
    </row>
    <row r="261" spans="15:33">
      <c r="O261" t="s">
        <v>171</v>
      </c>
      <c r="P261" t="s">
        <v>171</v>
      </c>
      <c r="Q261" s="8" t="s">
        <v>171</v>
      </c>
      <c r="R261" t="s">
        <v>171</v>
      </c>
      <c r="S261" s="8" t="s">
        <v>171</v>
      </c>
      <c r="T261" t="s">
        <v>171</v>
      </c>
      <c r="AA261" t="s">
        <v>171</v>
      </c>
      <c r="AB261" t="s">
        <v>171</v>
      </c>
      <c r="AF261" t="s">
        <v>171</v>
      </c>
      <c r="AG261" t="s">
        <v>171</v>
      </c>
    </row>
    <row r="262" spans="15:33">
      <c r="O262" t="s">
        <v>171</v>
      </c>
      <c r="P262" t="s">
        <v>171</v>
      </c>
      <c r="Q262" s="8" t="s">
        <v>171</v>
      </c>
      <c r="R262" t="s">
        <v>171</v>
      </c>
      <c r="S262" s="8" t="s">
        <v>171</v>
      </c>
      <c r="T262" t="s">
        <v>171</v>
      </c>
      <c r="AA262" t="s">
        <v>171</v>
      </c>
      <c r="AB262" t="s">
        <v>171</v>
      </c>
      <c r="AF262" t="s">
        <v>171</v>
      </c>
      <c r="AG262" t="s">
        <v>171</v>
      </c>
    </row>
    <row r="263" spans="15:33">
      <c r="O263" t="s">
        <v>171</v>
      </c>
      <c r="P263" t="s">
        <v>171</v>
      </c>
      <c r="Q263" s="8" t="s">
        <v>171</v>
      </c>
      <c r="R263" t="s">
        <v>171</v>
      </c>
      <c r="S263" s="8" t="s">
        <v>171</v>
      </c>
      <c r="T263" t="s">
        <v>171</v>
      </c>
      <c r="AA263" t="s">
        <v>171</v>
      </c>
      <c r="AB263" t="s">
        <v>171</v>
      </c>
      <c r="AF263" t="s">
        <v>171</v>
      </c>
      <c r="AG263" t="s">
        <v>171</v>
      </c>
    </row>
    <row r="264" spans="15:33">
      <c r="O264" t="s">
        <v>171</v>
      </c>
      <c r="P264" t="s">
        <v>171</v>
      </c>
      <c r="Q264" s="8" t="s">
        <v>171</v>
      </c>
      <c r="R264" t="s">
        <v>171</v>
      </c>
      <c r="S264" s="8" t="s">
        <v>171</v>
      </c>
      <c r="T264" t="s">
        <v>171</v>
      </c>
      <c r="AA264" t="s">
        <v>171</v>
      </c>
      <c r="AB264" t="s">
        <v>171</v>
      </c>
      <c r="AF264" t="s">
        <v>171</v>
      </c>
      <c r="AG264" t="s">
        <v>171</v>
      </c>
    </row>
    <row r="265" spans="15:33">
      <c r="O265" t="s">
        <v>171</v>
      </c>
      <c r="P265" t="s">
        <v>171</v>
      </c>
      <c r="Q265" s="8" t="s">
        <v>171</v>
      </c>
      <c r="R265" t="s">
        <v>171</v>
      </c>
      <c r="S265" s="8" t="s">
        <v>171</v>
      </c>
      <c r="T265" t="s">
        <v>171</v>
      </c>
      <c r="AA265" t="s">
        <v>171</v>
      </c>
      <c r="AB265" t="s">
        <v>171</v>
      </c>
      <c r="AF265" t="s">
        <v>171</v>
      </c>
      <c r="AG265" t="s">
        <v>171</v>
      </c>
    </row>
    <row r="266" spans="15:33">
      <c r="O266" t="s">
        <v>171</v>
      </c>
      <c r="P266" t="s">
        <v>171</v>
      </c>
      <c r="Q266" s="8" t="s">
        <v>171</v>
      </c>
      <c r="R266" t="s">
        <v>171</v>
      </c>
      <c r="S266" s="8" t="s">
        <v>171</v>
      </c>
      <c r="T266" t="s">
        <v>171</v>
      </c>
      <c r="AA266" t="s">
        <v>171</v>
      </c>
      <c r="AB266" t="s">
        <v>171</v>
      </c>
      <c r="AF266" t="s">
        <v>171</v>
      </c>
      <c r="AG266" t="s">
        <v>171</v>
      </c>
    </row>
    <row r="267" spans="15:33">
      <c r="O267" t="s">
        <v>171</v>
      </c>
      <c r="P267" t="s">
        <v>171</v>
      </c>
      <c r="Q267" s="8" t="s">
        <v>171</v>
      </c>
      <c r="R267" t="s">
        <v>171</v>
      </c>
      <c r="S267" s="8" t="s">
        <v>171</v>
      </c>
      <c r="T267" t="s">
        <v>171</v>
      </c>
      <c r="AA267" t="s">
        <v>171</v>
      </c>
      <c r="AB267" t="s">
        <v>171</v>
      </c>
      <c r="AF267" t="s">
        <v>171</v>
      </c>
      <c r="AG267" t="s">
        <v>171</v>
      </c>
    </row>
    <row r="268" spans="15:33">
      <c r="O268" t="s">
        <v>171</v>
      </c>
      <c r="P268" t="s">
        <v>171</v>
      </c>
      <c r="Q268" s="8" t="s">
        <v>171</v>
      </c>
      <c r="R268" t="s">
        <v>171</v>
      </c>
      <c r="S268" s="8" t="s">
        <v>171</v>
      </c>
      <c r="T268" t="s">
        <v>171</v>
      </c>
      <c r="AA268" t="s">
        <v>171</v>
      </c>
      <c r="AB268" t="s">
        <v>171</v>
      </c>
      <c r="AF268" t="s">
        <v>171</v>
      </c>
      <c r="AG268" t="s">
        <v>171</v>
      </c>
    </row>
    <row r="269" spans="15:33">
      <c r="O269" t="s">
        <v>171</v>
      </c>
      <c r="P269" t="s">
        <v>171</v>
      </c>
      <c r="Q269" s="8" t="s">
        <v>171</v>
      </c>
      <c r="R269" t="s">
        <v>171</v>
      </c>
      <c r="S269" s="8" t="s">
        <v>171</v>
      </c>
      <c r="T269" t="s">
        <v>171</v>
      </c>
      <c r="AA269" t="s">
        <v>171</v>
      </c>
      <c r="AB269" t="s">
        <v>171</v>
      </c>
      <c r="AF269" t="s">
        <v>171</v>
      </c>
      <c r="AG269" t="s">
        <v>171</v>
      </c>
    </row>
    <row r="270" spans="15:33">
      <c r="O270" t="s">
        <v>171</v>
      </c>
      <c r="P270" t="s">
        <v>171</v>
      </c>
      <c r="Q270" s="8" t="s">
        <v>171</v>
      </c>
      <c r="R270" t="s">
        <v>171</v>
      </c>
      <c r="S270" s="8" t="s">
        <v>171</v>
      </c>
      <c r="T270" t="s">
        <v>171</v>
      </c>
      <c r="AA270" t="s">
        <v>171</v>
      </c>
      <c r="AB270" t="s">
        <v>171</v>
      </c>
      <c r="AF270" t="s">
        <v>171</v>
      </c>
      <c r="AG270" t="s">
        <v>171</v>
      </c>
    </row>
    <row r="271" spans="15:33">
      <c r="O271" t="s">
        <v>171</v>
      </c>
      <c r="P271" t="s">
        <v>171</v>
      </c>
      <c r="Q271" s="8" t="s">
        <v>171</v>
      </c>
      <c r="R271" t="s">
        <v>171</v>
      </c>
      <c r="S271" s="8" t="s">
        <v>171</v>
      </c>
      <c r="T271" t="s">
        <v>171</v>
      </c>
      <c r="AA271" t="s">
        <v>171</v>
      </c>
      <c r="AB271" t="s">
        <v>171</v>
      </c>
      <c r="AF271" t="s">
        <v>171</v>
      </c>
      <c r="AG271" t="s">
        <v>171</v>
      </c>
    </row>
    <row r="272" spans="15:33">
      <c r="O272" t="s">
        <v>171</v>
      </c>
      <c r="P272" t="s">
        <v>171</v>
      </c>
      <c r="Q272" s="8" t="s">
        <v>171</v>
      </c>
      <c r="R272" t="s">
        <v>171</v>
      </c>
      <c r="S272" s="8" t="s">
        <v>171</v>
      </c>
      <c r="T272" t="s">
        <v>171</v>
      </c>
      <c r="AA272" t="s">
        <v>171</v>
      </c>
      <c r="AB272" t="s">
        <v>171</v>
      </c>
      <c r="AF272" t="s">
        <v>171</v>
      </c>
      <c r="AG272" t="s">
        <v>171</v>
      </c>
    </row>
    <row r="273" spans="15:33">
      <c r="O273" t="s">
        <v>171</v>
      </c>
      <c r="P273" t="s">
        <v>171</v>
      </c>
      <c r="Q273" s="8" t="s">
        <v>171</v>
      </c>
      <c r="R273" t="s">
        <v>171</v>
      </c>
      <c r="S273" s="8" t="s">
        <v>171</v>
      </c>
      <c r="T273" t="s">
        <v>171</v>
      </c>
      <c r="AA273" t="s">
        <v>171</v>
      </c>
      <c r="AB273" t="s">
        <v>171</v>
      </c>
      <c r="AF273" t="s">
        <v>171</v>
      </c>
      <c r="AG273" t="s">
        <v>171</v>
      </c>
    </row>
    <row r="274" spans="15:33">
      <c r="O274" t="s">
        <v>171</v>
      </c>
      <c r="P274" t="s">
        <v>171</v>
      </c>
      <c r="Q274" s="8" t="s">
        <v>171</v>
      </c>
      <c r="R274" t="s">
        <v>171</v>
      </c>
      <c r="S274" s="8" t="s">
        <v>171</v>
      </c>
      <c r="T274" t="s">
        <v>171</v>
      </c>
      <c r="AA274" t="s">
        <v>171</v>
      </c>
      <c r="AB274" t="s">
        <v>171</v>
      </c>
      <c r="AF274" t="s">
        <v>171</v>
      </c>
      <c r="AG274" t="s">
        <v>171</v>
      </c>
    </row>
    <row r="275" spans="15:33">
      <c r="O275" t="s">
        <v>171</v>
      </c>
      <c r="P275" t="s">
        <v>171</v>
      </c>
      <c r="Q275" s="8" t="s">
        <v>171</v>
      </c>
      <c r="R275" t="s">
        <v>171</v>
      </c>
      <c r="S275" s="8" t="s">
        <v>171</v>
      </c>
      <c r="T275" t="s">
        <v>171</v>
      </c>
      <c r="AA275" t="s">
        <v>171</v>
      </c>
      <c r="AB275" t="s">
        <v>171</v>
      </c>
      <c r="AF275" t="s">
        <v>171</v>
      </c>
      <c r="AG275" t="s">
        <v>171</v>
      </c>
    </row>
    <row r="276" spans="15:33">
      <c r="O276" t="s">
        <v>171</v>
      </c>
      <c r="P276" t="s">
        <v>171</v>
      </c>
      <c r="Q276" s="8" t="s">
        <v>171</v>
      </c>
      <c r="R276" t="s">
        <v>171</v>
      </c>
      <c r="S276" s="8" t="s">
        <v>171</v>
      </c>
      <c r="T276" t="s">
        <v>171</v>
      </c>
      <c r="AA276" t="s">
        <v>171</v>
      </c>
      <c r="AB276" t="s">
        <v>171</v>
      </c>
      <c r="AF276" t="s">
        <v>171</v>
      </c>
      <c r="AG276" t="s">
        <v>171</v>
      </c>
    </row>
    <row r="277" spans="15:33">
      <c r="O277" t="s">
        <v>171</v>
      </c>
      <c r="P277" t="s">
        <v>171</v>
      </c>
      <c r="Q277" s="8" t="s">
        <v>171</v>
      </c>
      <c r="R277" t="s">
        <v>171</v>
      </c>
      <c r="S277" s="8" t="s">
        <v>171</v>
      </c>
      <c r="T277" t="s">
        <v>171</v>
      </c>
      <c r="AA277" t="s">
        <v>171</v>
      </c>
      <c r="AB277" t="s">
        <v>171</v>
      </c>
      <c r="AF277" t="s">
        <v>171</v>
      </c>
      <c r="AG277" t="s">
        <v>171</v>
      </c>
    </row>
    <row r="278" spans="15:33">
      <c r="O278" t="s">
        <v>171</v>
      </c>
      <c r="P278" t="s">
        <v>171</v>
      </c>
      <c r="Q278" s="8" t="s">
        <v>171</v>
      </c>
      <c r="R278" t="s">
        <v>171</v>
      </c>
      <c r="S278" s="8" t="s">
        <v>171</v>
      </c>
      <c r="T278" t="s">
        <v>171</v>
      </c>
      <c r="AA278" t="s">
        <v>171</v>
      </c>
      <c r="AB278" t="s">
        <v>171</v>
      </c>
      <c r="AF278" t="s">
        <v>171</v>
      </c>
      <c r="AG278" t="s">
        <v>171</v>
      </c>
    </row>
    <row r="279" spans="15:33">
      <c r="O279" t="s">
        <v>171</v>
      </c>
      <c r="P279" t="s">
        <v>171</v>
      </c>
      <c r="Q279" s="8" t="s">
        <v>171</v>
      </c>
      <c r="R279" t="s">
        <v>171</v>
      </c>
      <c r="S279" s="8" t="s">
        <v>171</v>
      </c>
      <c r="T279" t="s">
        <v>171</v>
      </c>
      <c r="AA279" t="s">
        <v>171</v>
      </c>
      <c r="AB279" t="s">
        <v>171</v>
      </c>
      <c r="AF279" t="s">
        <v>171</v>
      </c>
      <c r="AG279" t="s">
        <v>171</v>
      </c>
    </row>
    <row r="280" spans="15:33">
      <c r="O280" t="s">
        <v>171</v>
      </c>
      <c r="P280" t="s">
        <v>171</v>
      </c>
      <c r="Q280" s="8" t="s">
        <v>171</v>
      </c>
      <c r="R280" t="s">
        <v>171</v>
      </c>
      <c r="S280" s="8" t="s">
        <v>171</v>
      </c>
      <c r="T280" t="s">
        <v>171</v>
      </c>
      <c r="AA280" t="s">
        <v>171</v>
      </c>
      <c r="AB280" t="s">
        <v>171</v>
      </c>
      <c r="AF280" t="s">
        <v>171</v>
      </c>
      <c r="AG280" t="s">
        <v>171</v>
      </c>
    </row>
    <row r="281" spans="15:33">
      <c r="O281" t="s">
        <v>171</v>
      </c>
      <c r="P281" t="s">
        <v>171</v>
      </c>
      <c r="Q281" s="8" t="s">
        <v>171</v>
      </c>
      <c r="R281" t="s">
        <v>171</v>
      </c>
      <c r="S281" s="8" t="s">
        <v>171</v>
      </c>
      <c r="T281" t="s">
        <v>171</v>
      </c>
      <c r="AA281" t="s">
        <v>171</v>
      </c>
      <c r="AB281" t="s">
        <v>171</v>
      </c>
      <c r="AF281" t="s">
        <v>171</v>
      </c>
      <c r="AG281" t="s">
        <v>171</v>
      </c>
    </row>
    <row r="282" spans="15:33">
      <c r="O282" t="s">
        <v>171</v>
      </c>
      <c r="P282" t="s">
        <v>171</v>
      </c>
      <c r="Q282" s="8" t="s">
        <v>171</v>
      </c>
      <c r="R282" t="s">
        <v>171</v>
      </c>
      <c r="S282" s="8" t="s">
        <v>171</v>
      </c>
      <c r="T282" t="s">
        <v>171</v>
      </c>
      <c r="AA282" t="s">
        <v>171</v>
      </c>
      <c r="AB282" t="s">
        <v>171</v>
      </c>
      <c r="AF282" t="s">
        <v>171</v>
      </c>
      <c r="AG282" t="s">
        <v>171</v>
      </c>
    </row>
    <row r="283" spans="15:33">
      <c r="O283" t="s">
        <v>171</v>
      </c>
      <c r="P283" t="s">
        <v>171</v>
      </c>
      <c r="Q283" s="8" t="s">
        <v>171</v>
      </c>
      <c r="R283" t="s">
        <v>171</v>
      </c>
      <c r="S283" s="8" t="s">
        <v>171</v>
      </c>
      <c r="T283" t="s">
        <v>171</v>
      </c>
      <c r="AA283" t="s">
        <v>171</v>
      </c>
      <c r="AB283" t="s">
        <v>171</v>
      </c>
      <c r="AF283" t="s">
        <v>171</v>
      </c>
      <c r="AG283" t="s">
        <v>171</v>
      </c>
    </row>
    <row r="284" spans="15:33">
      <c r="O284" t="s">
        <v>171</v>
      </c>
      <c r="P284" t="s">
        <v>171</v>
      </c>
      <c r="Q284" s="8" t="s">
        <v>171</v>
      </c>
      <c r="R284" t="s">
        <v>171</v>
      </c>
      <c r="S284" s="8" t="s">
        <v>171</v>
      </c>
      <c r="T284" t="s">
        <v>171</v>
      </c>
      <c r="AA284" t="s">
        <v>171</v>
      </c>
      <c r="AB284" t="s">
        <v>171</v>
      </c>
      <c r="AF284" t="s">
        <v>171</v>
      </c>
      <c r="AG284" t="s">
        <v>171</v>
      </c>
    </row>
    <row r="285" spans="15:33">
      <c r="O285" t="s">
        <v>171</v>
      </c>
      <c r="P285" t="s">
        <v>171</v>
      </c>
      <c r="Q285" s="8" t="s">
        <v>171</v>
      </c>
      <c r="R285" t="s">
        <v>171</v>
      </c>
      <c r="S285" s="8" t="s">
        <v>171</v>
      </c>
      <c r="T285" t="s">
        <v>171</v>
      </c>
      <c r="AA285" t="s">
        <v>171</v>
      </c>
      <c r="AB285" t="s">
        <v>171</v>
      </c>
      <c r="AF285" t="s">
        <v>171</v>
      </c>
      <c r="AG285" t="s">
        <v>171</v>
      </c>
    </row>
    <row r="286" spans="15:33">
      <c r="O286" t="s">
        <v>171</v>
      </c>
      <c r="P286" t="s">
        <v>171</v>
      </c>
      <c r="Q286" s="8" t="s">
        <v>171</v>
      </c>
      <c r="R286" t="s">
        <v>171</v>
      </c>
      <c r="S286" s="8" t="s">
        <v>171</v>
      </c>
      <c r="T286" t="s">
        <v>171</v>
      </c>
      <c r="AA286" t="s">
        <v>171</v>
      </c>
      <c r="AB286" t="s">
        <v>171</v>
      </c>
      <c r="AF286" t="s">
        <v>171</v>
      </c>
      <c r="AG286" t="s">
        <v>171</v>
      </c>
    </row>
    <row r="287" spans="15:33">
      <c r="O287" t="s">
        <v>171</v>
      </c>
      <c r="P287" t="s">
        <v>171</v>
      </c>
      <c r="Q287" s="8" t="s">
        <v>171</v>
      </c>
      <c r="R287" t="s">
        <v>171</v>
      </c>
      <c r="S287" s="8" t="s">
        <v>171</v>
      </c>
      <c r="T287" t="s">
        <v>171</v>
      </c>
      <c r="AA287" t="s">
        <v>171</v>
      </c>
      <c r="AB287" t="s">
        <v>171</v>
      </c>
      <c r="AF287" t="s">
        <v>171</v>
      </c>
      <c r="AG287" t="s">
        <v>171</v>
      </c>
    </row>
    <row r="288" spans="15:33">
      <c r="O288" t="s">
        <v>171</v>
      </c>
      <c r="P288" t="s">
        <v>171</v>
      </c>
      <c r="Q288" s="8" t="s">
        <v>171</v>
      </c>
      <c r="R288" t="s">
        <v>171</v>
      </c>
      <c r="S288" s="8" t="s">
        <v>171</v>
      </c>
      <c r="T288" t="s">
        <v>171</v>
      </c>
      <c r="AA288" t="s">
        <v>171</v>
      </c>
      <c r="AB288" t="s">
        <v>171</v>
      </c>
      <c r="AF288" t="s">
        <v>171</v>
      </c>
      <c r="AG288" t="s">
        <v>171</v>
      </c>
    </row>
    <row r="289" spans="15:33">
      <c r="O289" t="s">
        <v>171</v>
      </c>
      <c r="P289" t="s">
        <v>171</v>
      </c>
      <c r="Q289" s="8" t="s">
        <v>171</v>
      </c>
      <c r="R289" t="s">
        <v>171</v>
      </c>
      <c r="S289" s="8" t="s">
        <v>171</v>
      </c>
      <c r="T289" t="s">
        <v>171</v>
      </c>
      <c r="AA289" t="s">
        <v>171</v>
      </c>
      <c r="AB289" t="s">
        <v>171</v>
      </c>
      <c r="AF289" t="s">
        <v>171</v>
      </c>
      <c r="AG289" t="s">
        <v>171</v>
      </c>
    </row>
    <row r="290" spans="15:33">
      <c r="O290" t="s">
        <v>171</v>
      </c>
      <c r="P290" t="s">
        <v>171</v>
      </c>
      <c r="Q290" s="8" t="s">
        <v>171</v>
      </c>
      <c r="R290" t="s">
        <v>171</v>
      </c>
      <c r="S290" s="8" t="s">
        <v>171</v>
      </c>
      <c r="T290" t="s">
        <v>171</v>
      </c>
      <c r="AA290" t="s">
        <v>171</v>
      </c>
      <c r="AB290" t="s">
        <v>171</v>
      </c>
      <c r="AF290" t="s">
        <v>171</v>
      </c>
      <c r="AG290" t="s">
        <v>171</v>
      </c>
    </row>
    <row r="291" spans="15:33">
      <c r="O291" t="s">
        <v>171</v>
      </c>
      <c r="P291" t="s">
        <v>171</v>
      </c>
      <c r="Q291" s="8" t="s">
        <v>171</v>
      </c>
      <c r="R291" t="s">
        <v>171</v>
      </c>
      <c r="S291" s="8" t="s">
        <v>171</v>
      </c>
      <c r="T291" t="s">
        <v>171</v>
      </c>
      <c r="AA291" t="s">
        <v>171</v>
      </c>
      <c r="AB291" t="s">
        <v>171</v>
      </c>
      <c r="AF291" t="s">
        <v>171</v>
      </c>
      <c r="AG291" t="s">
        <v>171</v>
      </c>
    </row>
    <row r="292" spans="15:33">
      <c r="O292" t="s">
        <v>171</v>
      </c>
      <c r="P292" t="s">
        <v>171</v>
      </c>
      <c r="Q292" s="8" t="s">
        <v>171</v>
      </c>
      <c r="R292" t="s">
        <v>171</v>
      </c>
      <c r="S292" s="8" t="s">
        <v>171</v>
      </c>
      <c r="T292" t="s">
        <v>171</v>
      </c>
      <c r="AA292" t="s">
        <v>171</v>
      </c>
      <c r="AB292" t="s">
        <v>171</v>
      </c>
      <c r="AF292" t="s">
        <v>171</v>
      </c>
      <c r="AG292" t="s">
        <v>171</v>
      </c>
    </row>
    <row r="293" spans="15:33">
      <c r="O293" t="s">
        <v>171</v>
      </c>
      <c r="P293" t="s">
        <v>171</v>
      </c>
      <c r="Q293" s="8" t="s">
        <v>171</v>
      </c>
      <c r="R293" t="s">
        <v>171</v>
      </c>
      <c r="S293" s="8" t="s">
        <v>171</v>
      </c>
      <c r="T293" t="s">
        <v>171</v>
      </c>
      <c r="AA293" t="s">
        <v>171</v>
      </c>
      <c r="AB293" t="s">
        <v>171</v>
      </c>
      <c r="AF293" t="s">
        <v>171</v>
      </c>
      <c r="AG293" t="s">
        <v>171</v>
      </c>
    </row>
    <row r="294" spans="15:33">
      <c r="O294" t="s">
        <v>171</v>
      </c>
      <c r="P294" t="s">
        <v>171</v>
      </c>
      <c r="Q294" s="8" t="s">
        <v>171</v>
      </c>
      <c r="R294" t="s">
        <v>171</v>
      </c>
      <c r="S294" s="8" t="s">
        <v>171</v>
      </c>
      <c r="T294" t="s">
        <v>171</v>
      </c>
      <c r="AA294" t="s">
        <v>171</v>
      </c>
      <c r="AB294" t="s">
        <v>171</v>
      </c>
      <c r="AF294" t="s">
        <v>171</v>
      </c>
      <c r="AG294" t="s">
        <v>171</v>
      </c>
    </row>
    <row r="295" spans="15:33">
      <c r="O295" t="s">
        <v>171</v>
      </c>
      <c r="P295" t="s">
        <v>171</v>
      </c>
      <c r="Q295" s="8" t="s">
        <v>171</v>
      </c>
      <c r="R295" t="s">
        <v>171</v>
      </c>
      <c r="S295" s="8" t="s">
        <v>171</v>
      </c>
      <c r="T295" t="s">
        <v>171</v>
      </c>
      <c r="AA295" t="s">
        <v>171</v>
      </c>
      <c r="AB295" t="s">
        <v>171</v>
      </c>
      <c r="AF295" t="s">
        <v>171</v>
      </c>
      <c r="AG295" t="s">
        <v>171</v>
      </c>
    </row>
    <row r="296" spans="15:33">
      <c r="O296" t="s">
        <v>171</v>
      </c>
      <c r="P296" t="s">
        <v>171</v>
      </c>
      <c r="Q296" s="8" t="s">
        <v>171</v>
      </c>
      <c r="R296" t="s">
        <v>171</v>
      </c>
      <c r="S296" s="8" t="s">
        <v>171</v>
      </c>
      <c r="T296" t="s">
        <v>171</v>
      </c>
      <c r="AA296" t="s">
        <v>171</v>
      </c>
      <c r="AB296" t="s">
        <v>171</v>
      </c>
      <c r="AF296" t="s">
        <v>171</v>
      </c>
      <c r="AG296" t="s">
        <v>171</v>
      </c>
    </row>
    <row r="297" spans="15:33">
      <c r="O297" t="s">
        <v>171</v>
      </c>
      <c r="P297" t="s">
        <v>171</v>
      </c>
      <c r="Q297" s="8" t="s">
        <v>171</v>
      </c>
      <c r="R297" t="s">
        <v>171</v>
      </c>
      <c r="S297" s="8" t="s">
        <v>171</v>
      </c>
      <c r="T297" t="s">
        <v>171</v>
      </c>
      <c r="AA297" t="s">
        <v>171</v>
      </c>
      <c r="AB297" t="s">
        <v>171</v>
      </c>
      <c r="AF297" t="s">
        <v>171</v>
      </c>
      <c r="AG297" t="s">
        <v>171</v>
      </c>
    </row>
    <row r="298" spans="15:33">
      <c r="O298" t="s">
        <v>171</v>
      </c>
      <c r="P298" t="s">
        <v>171</v>
      </c>
      <c r="Q298" s="8" t="s">
        <v>171</v>
      </c>
      <c r="R298" t="s">
        <v>171</v>
      </c>
      <c r="S298" s="8" t="s">
        <v>171</v>
      </c>
      <c r="T298" t="s">
        <v>171</v>
      </c>
      <c r="AA298" t="s">
        <v>171</v>
      </c>
      <c r="AB298" t="s">
        <v>171</v>
      </c>
      <c r="AF298" t="s">
        <v>171</v>
      </c>
      <c r="AG298" t="s">
        <v>171</v>
      </c>
    </row>
    <row r="299" spans="15:33">
      <c r="O299" t="s">
        <v>171</v>
      </c>
      <c r="P299" t="s">
        <v>171</v>
      </c>
      <c r="Q299" s="8" t="s">
        <v>171</v>
      </c>
      <c r="R299" t="s">
        <v>171</v>
      </c>
      <c r="S299" s="8" t="s">
        <v>171</v>
      </c>
      <c r="T299" t="s">
        <v>171</v>
      </c>
      <c r="AA299" t="s">
        <v>171</v>
      </c>
      <c r="AB299" t="s">
        <v>171</v>
      </c>
      <c r="AF299" t="s">
        <v>171</v>
      </c>
      <c r="AG299" t="s">
        <v>171</v>
      </c>
    </row>
    <row r="300" spans="15:33">
      <c r="O300" t="s">
        <v>171</v>
      </c>
      <c r="P300" t="s">
        <v>171</v>
      </c>
      <c r="Q300" s="8" t="s">
        <v>171</v>
      </c>
      <c r="R300" t="s">
        <v>171</v>
      </c>
      <c r="S300" s="8" t="s">
        <v>171</v>
      </c>
      <c r="T300" t="s">
        <v>171</v>
      </c>
      <c r="AA300" t="s">
        <v>171</v>
      </c>
      <c r="AB300" t="s">
        <v>171</v>
      </c>
      <c r="AF300" t="s">
        <v>171</v>
      </c>
      <c r="AG300" t="s">
        <v>171</v>
      </c>
    </row>
    <row r="301" spans="15:33">
      <c r="O301" t="s">
        <v>171</v>
      </c>
      <c r="P301" t="s">
        <v>171</v>
      </c>
      <c r="Q301" s="8" t="s">
        <v>171</v>
      </c>
      <c r="R301" t="s">
        <v>171</v>
      </c>
      <c r="S301" s="8" t="s">
        <v>171</v>
      </c>
      <c r="T301" t="s">
        <v>171</v>
      </c>
      <c r="AA301" t="s">
        <v>171</v>
      </c>
      <c r="AB301" t="s">
        <v>171</v>
      </c>
      <c r="AF301" t="s">
        <v>171</v>
      </c>
      <c r="AG301" t="s">
        <v>171</v>
      </c>
    </row>
    <row r="302" spans="15:33">
      <c r="O302" t="s">
        <v>171</v>
      </c>
      <c r="P302" t="s">
        <v>171</v>
      </c>
      <c r="Q302" s="8" t="s">
        <v>171</v>
      </c>
      <c r="R302" t="s">
        <v>171</v>
      </c>
      <c r="S302" s="8" t="s">
        <v>171</v>
      </c>
      <c r="T302" t="s">
        <v>171</v>
      </c>
      <c r="AA302" t="s">
        <v>171</v>
      </c>
      <c r="AB302" t="s">
        <v>171</v>
      </c>
      <c r="AF302" t="s">
        <v>171</v>
      </c>
      <c r="AG302" t="s">
        <v>171</v>
      </c>
    </row>
    <row r="303" spans="15:33">
      <c r="O303" t="s">
        <v>171</v>
      </c>
      <c r="P303" t="s">
        <v>171</v>
      </c>
      <c r="Q303" s="8" t="s">
        <v>171</v>
      </c>
      <c r="R303" t="s">
        <v>171</v>
      </c>
      <c r="S303" s="8" t="s">
        <v>171</v>
      </c>
      <c r="T303" t="s">
        <v>171</v>
      </c>
      <c r="AA303" t="s">
        <v>171</v>
      </c>
      <c r="AB303" t="s">
        <v>171</v>
      </c>
      <c r="AF303" t="s">
        <v>171</v>
      </c>
      <c r="AG303" t="s">
        <v>171</v>
      </c>
    </row>
    <row r="304" spans="15:33">
      <c r="O304" t="s">
        <v>171</v>
      </c>
      <c r="P304" t="s">
        <v>171</v>
      </c>
      <c r="Q304" s="8" t="s">
        <v>171</v>
      </c>
      <c r="R304" t="s">
        <v>171</v>
      </c>
      <c r="S304" s="8" t="s">
        <v>171</v>
      </c>
      <c r="T304" t="s">
        <v>171</v>
      </c>
      <c r="AA304" t="s">
        <v>171</v>
      </c>
      <c r="AB304" t="s">
        <v>171</v>
      </c>
      <c r="AF304" t="s">
        <v>171</v>
      </c>
      <c r="AG304" t="s">
        <v>171</v>
      </c>
    </row>
    <row r="305" spans="15:33">
      <c r="O305" t="s">
        <v>171</v>
      </c>
      <c r="P305" t="s">
        <v>171</v>
      </c>
      <c r="Q305" s="8" t="s">
        <v>171</v>
      </c>
      <c r="R305" t="s">
        <v>171</v>
      </c>
      <c r="S305" s="8" t="s">
        <v>171</v>
      </c>
      <c r="T305" t="s">
        <v>171</v>
      </c>
      <c r="AA305" t="s">
        <v>171</v>
      </c>
      <c r="AB305" t="s">
        <v>171</v>
      </c>
      <c r="AF305" t="s">
        <v>171</v>
      </c>
      <c r="AG305" t="s">
        <v>171</v>
      </c>
    </row>
    <row r="306" spans="15:33">
      <c r="O306" t="s">
        <v>171</v>
      </c>
      <c r="P306" t="s">
        <v>171</v>
      </c>
      <c r="Q306" s="8" t="s">
        <v>171</v>
      </c>
      <c r="R306" t="s">
        <v>171</v>
      </c>
      <c r="S306" s="8" t="s">
        <v>171</v>
      </c>
      <c r="T306" t="s">
        <v>171</v>
      </c>
      <c r="AA306" t="s">
        <v>171</v>
      </c>
      <c r="AB306" t="s">
        <v>171</v>
      </c>
      <c r="AF306" t="s">
        <v>171</v>
      </c>
      <c r="AG306" t="s">
        <v>171</v>
      </c>
    </row>
    <row r="307" spans="15:33">
      <c r="O307" t="s">
        <v>171</v>
      </c>
      <c r="P307" t="s">
        <v>171</v>
      </c>
      <c r="Q307" s="8" t="s">
        <v>171</v>
      </c>
      <c r="R307" t="s">
        <v>171</v>
      </c>
      <c r="S307" s="8" t="s">
        <v>171</v>
      </c>
      <c r="T307" t="s">
        <v>171</v>
      </c>
      <c r="AA307" t="s">
        <v>171</v>
      </c>
      <c r="AB307" t="s">
        <v>171</v>
      </c>
      <c r="AF307" t="s">
        <v>171</v>
      </c>
      <c r="AG307" t="s">
        <v>171</v>
      </c>
    </row>
    <row r="308" spans="15:33">
      <c r="O308" t="s">
        <v>171</v>
      </c>
      <c r="P308" t="s">
        <v>171</v>
      </c>
      <c r="Q308" s="8" t="s">
        <v>171</v>
      </c>
      <c r="R308" t="s">
        <v>171</v>
      </c>
      <c r="S308" s="8" t="s">
        <v>171</v>
      </c>
      <c r="T308" t="s">
        <v>171</v>
      </c>
      <c r="AA308" t="s">
        <v>171</v>
      </c>
      <c r="AB308" t="s">
        <v>171</v>
      </c>
      <c r="AF308" t="s">
        <v>171</v>
      </c>
      <c r="AG308" t="s">
        <v>171</v>
      </c>
    </row>
    <row r="309" spans="15:33">
      <c r="O309" t="s">
        <v>171</v>
      </c>
      <c r="P309" t="s">
        <v>171</v>
      </c>
      <c r="Q309" s="8" t="s">
        <v>171</v>
      </c>
      <c r="R309" t="s">
        <v>171</v>
      </c>
      <c r="S309" s="8" t="s">
        <v>171</v>
      </c>
      <c r="T309" t="s">
        <v>171</v>
      </c>
      <c r="AA309" t="s">
        <v>171</v>
      </c>
      <c r="AB309" t="s">
        <v>171</v>
      </c>
      <c r="AF309" t="s">
        <v>171</v>
      </c>
      <c r="AG309" t="s">
        <v>171</v>
      </c>
    </row>
    <row r="310" spans="15:33">
      <c r="O310" t="s">
        <v>171</v>
      </c>
      <c r="P310" t="s">
        <v>171</v>
      </c>
      <c r="Q310" s="8" t="s">
        <v>171</v>
      </c>
      <c r="R310" t="s">
        <v>171</v>
      </c>
      <c r="S310" s="8" t="s">
        <v>171</v>
      </c>
      <c r="T310" t="s">
        <v>171</v>
      </c>
      <c r="AA310" t="s">
        <v>171</v>
      </c>
      <c r="AB310" t="s">
        <v>171</v>
      </c>
      <c r="AF310" t="s">
        <v>171</v>
      </c>
      <c r="AG310" t="s">
        <v>171</v>
      </c>
    </row>
    <row r="311" spans="15:33">
      <c r="O311" t="s">
        <v>171</v>
      </c>
      <c r="P311" t="s">
        <v>171</v>
      </c>
      <c r="Q311" s="8" t="s">
        <v>171</v>
      </c>
      <c r="R311" t="s">
        <v>171</v>
      </c>
      <c r="S311" s="8" t="s">
        <v>171</v>
      </c>
      <c r="T311" t="s">
        <v>171</v>
      </c>
      <c r="AA311" t="s">
        <v>171</v>
      </c>
      <c r="AB311" t="s">
        <v>171</v>
      </c>
      <c r="AF311" t="s">
        <v>171</v>
      </c>
      <c r="AG311" t="s">
        <v>171</v>
      </c>
    </row>
    <row r="312" spans="15:33">
      <c r="O312" t="s">
        <v>171</v>
      </c>
      <c r="P312" t="s">
        <v>171</v>
      </c>
      <c r="Q312" s="8" t="s">
        <v>171</v>
      </c>
      <c r="R312" t="s">
        <v>171</v>
      </c>
      <c r="S312" s="8" t="s">
        <v>171</v>
      </c>
      <c r="T312" t="s">
        <v>171</v>
      </c>
      <c r="AA312" t="s">
        <v>171</v>
      </c>
      <c r="AB312" t="s">
        <v>171</v>
      </c>
      <c r="AF312" t="s">
        <v>171</v>
      </c>
      <c r="AG312" t="s">
        <v>171</v>
      </c>
    </row>
    <row r="313" spans="15:33">
      <c r="O313" t="s">
        <v>171</v>
      </c>
      <c r="P313" t="s">
        <v>171</v>
      </c>
      <c r="Q313" s="8" t="s">
        <v>171</v>
      </c>
      <c r="R313" t="s">
        <v>171</v>
      </c>
      <c r="S313" s="8" t="s">
        <v>171</v>
      </c>
      <c r="T313" t="s">
        <v>171</v>
      </c>
      <c r="AA313" t="s">
        <v>171</v>
      </c>
      <c r="AB313" t="s">
        <v>171</v>
      </c>
      <c r="AF313" t="s">
        <v>171</v>
      </c>
      <c r="AG313" t="s">
        <v>171</v>
      </c>
    </row>
    <row r="314" spans="15:33">
      <c r="O314" t="s">
        <v>171</v>
      </c>
      <c r="P314" t="s">
        <v>171</v>
      </c>
      <c r="Q314" s="8" t="s">
        <v>171</v>
      </c>
      <c r="R314" t="s">
        <v>171</v>
      </c>
      <c r="S314" s="8" t="s">
        <v>171</v>
      </c>
      <c r="T314" t="s">
        <v>171</v>
      </c>
      <c r="AA314" t="s">
        <v>171</v>
      </c>
      <c r="AB314" t="s">
        <v>171</v>
      </c>
      <c r="AF314" t="s">
        <v>171</v>
      </c>
      <c r="AG314" t="s">
        <v>171</v>
      </c>
    </row>
    <row r="315" spans="15:33">
      <c r="O315" t="s">
        <v>171</v>
      </c>
      <c r="P315" t="s">
        <v>171</v>
      </c>
      <c r="Q315" s="8" t="s">
        <v>171</v>
      </c>
      <c r="R315" t="s">
        <v>171</v>
      </c>
      <c r="S315" s="8" t="s">
        <v>171</v>
      </c>
      <c r="T315" t="s">
        <v>171</v>
      </c>
      <c r="AA315" t="s">
        <v>171</v>
      </c>
      <c r="AB315" t="s">
        <v>171</v>
      </c>
      <c r="AF315" t="s">
        <v>171</v>
      </c>
      <c r="AG315" t="s">
        <v>171</v>
      </c>
    </row>
    <row r="316" spans="15:33">
      <c r="O316" t="s">
        <v>171</v>
      </c>
      <c r="P316" t="s">
        <v>171</v>
      </c>
      <c r="Q316" s="8" t="s">
        <v>171</v>
      </c>
      <c r="R316" t="s">
        <v>171</v>
      </c>
      <c r="S316" s="8" t="s">
        <v>171</v>
      </c>
      <c r="T316" t="s">
        <v>171</v>
      </c>
      <c r="AA316" t="s">
        <v>171</v>
      </c>
      <c r="AB316" t="s">
        <v>171</v>
      </c>
      <c r="AF316" t="s">
        <v>171</v>
      </c>
      <c r="AG316" t="s">
        <v>171</v>
      </c>
    </row>
    <row r="317" spans="15:33">
      <c r="O317" t="s">
        <v>171</v>
      </c>
      <c r="P317" t="s">
        <v>171</v>
      </c>
      <c r="Q317" s="8" t="s">
        <v>171</v>
      </c>
      <c r="R317" t="s">
        <v>171</v>
      </c>
      <c r="S317" s="8" t="s">
        <v>171</v>
      </c>
      <c r="T317" t="s">
        <v>171</v>
      </c>
      <c r="AA317" t="s">
        <v>171</v>
      </c>
      <c r="AB317" t="s">
        <v>171</v>
      </c>
      <c r="AF317" t="s">
        <v>171</v>
      </c>
      <c r="AG317" t="s">
        <v>171</v>
      </c>
    </row>
    <row r="318" spans="15:33">
      <c r="O318" t="s">
        <v>171</v>
      </c>
      <c r="P318" t="s">
        <v>171</v>
      </c>
      <c r="Q318" s="8" t="s">
        <v>171</v>
      </c>
      <c r="R318" t="s">
        <v>171</v>
      </c>
      <c r="S318" s="8" t="s">
        <v>171</v>
      </c>
      <c r="T318" t="s">
        <v>171</v>
      </c>
      <c r="AA318" t="s">
        <v>171</v>
      </c>
      <c r="AB318" t="s">
        <v>171</v>
      </c>
      <c r="AF318" t="s">
        <v>171</v>
      </c>
      <c r="AG318" t="s">
        <v>171</v>
      </c>
    </row>
    <row r="319" spans="15:33">
      <c r="O319" t="s">
        <v>171</v>
      </c>
      <c r="P319" t="s">
        <v>171</v>
      </c>
      <c r="Q319" s="8" t="s">
        <v>171</v>
      </c>
      <c r="R319" t="s">
        <v>171</v>
      </c>
      <c r="S319" s="8" t="s">
        <v>171</v>
      </c>
      <c r="T319" t="s">
        <v>171</v>
      </c>
      <c r="AA319" t="s">
        <v>171</v>
      </c>
      <c r="AB319" t="s">
        <v>171</v>
      </c>
      <c r="AF319" t="s">
        <v>171</v>
      </c>
      <c r="AG319" t="s">
        <v>171</v>
      </c>
    </row>
    <row r="320" spans="15:33">
      <c r="O320" t="s">
        <v>171</v>
      </c>
      <c r="P320" t="s">
        <v>171</v>
      </c>
      <c r="Q320" s="8" t="s">
        <v>171</v>
      </c>
      <c r="R320" t="s">
        <v>171</v>
      </c>
      <c r="S320" s="8" t="s">
        <v>171</v>
      </c>
      <c r="T320" t="s">
        <v>171</v>
      </c>
      <c r="AA320" t="s">
        <v>171</v>
      </c>
      <c r="AB320" t="s">
        <v>171</v>
      </c>
      <c r="AF320" t="s">
        <v>171</v>
      </c>
      <c r="AG320" t="s">
        <v>171</v>
      </c>
    </row>
    <row r="321" spans="15:33">
      <c r="O321" t="s">
        <v>171</v>
      </c>
      <c r="P321" t="s">
        <v>171</v>
      </c>
      <c r="Q321" s="8" t="s">
        <v>171</v>
      </c>
      <c r="R321" t="s">
        <v>171</v>
      </c>
      <c r="S321" s="8" t="s">
        <v>171</v>
      </c>
      <c r="T321" t="s">
        <v>171</v>
      </c>
      <c r="AA321" t="s">
        <v>171</v>
      </c>
      <c r="AB321" t="s">
        <v>171</v>
      </c>
      <c r="AF321" t="s">
        <v>171</v>
      </c>
      <c r="AG321" t="s">
        <v>171</v>
      </c>
    </row>
    <row r="322" spans="15:33">
      <c r="O322" t="s">
        <v>171</v>
      </c>
      <c r="P322" t="s">
        <v>171</v>
      </c>
      <c r="Q322" s="8" t="s">
        <v>171</v>
      </c>
      <c r="R322" t="s">
        <v>171</v>
      </c>
      <c r="S322" s="8" t="s">
        <v>171</v>
      </c>
      <c r="T322" t="s">
        <v>171</v>
      </c>
      <c r="AA322" t="s">
        <v>171</v>
      </c>
      <c r="AB322" t="s">
        <v>171</v>
      </c>
      <c r="AF322" t="s">
        <v>171</v>
      </c>
      <c r="AG322" t="s">
        <v>171</v>
      </c>
    </row>
    <row r="323" spans="15:33">
      <c r="O323" t="s">
        <v>171</v>
      </c>
      <c r="P323" t="s">
        <v>171</v>
      </c>
      <c r="Q323" s="8" t="s">
        <v>171</v>
      </c>
      <c r="R323" t="s">
        <v>171</v>
      </c>
      <c r="S323" s="8" t="s">
        <v>171</v>
      </c>
      <c r="T323" t="s">
        <v>171</v>
      </c>
      <c r="AA323" t="s">
        <v>171</v>
      </c>
      <c r="AB323" t="s">
        <v>171</v>
      </c>
      <c r="AF323" t="s">
        <v>171</v>
      </c>
      <c r="AG323" t="s">
        <v>171</v>
      </c>
    </row>
    <row r="324" spans="15:33">
      <c r="O324" t="s">
        <v>171</v>
      </c>
      <c r="P324" t="s">
        <v>171</v>
      </c>
      <c r="Q324" s="8" t="s">
        <v>171</v>
      </c>
      <c r="R324" t="s">
        <v>171</v>
      </c>
      <c r="S324" s="8" t="s">
        <v>171</v>
      </c>
      <c r="T324" t="s">
        <v>171</v>
      </c>
      <c r="AA324" t="s">
        <v>171</v>
      </c>
      <c r="AB324" t="s">
        <v>171</v>
      </c>
      <c r="AF324" t="s">
        <v>171</v>
      </c>
      <c r="AG324" t="s">
        <v>171</v>
      </c>
    </row>
    <row r="325" spans="15:33">
      <c r="O325" t="s">
        <v>171</v>
      </c>
      <c r="P325" t="s">
        <v>171</v>
      </c>
      <c r="Q325" s="8" t="s">
        <v>171</v>
      </c>
      <c r="R325" t="s">
        <v>171</v>
      </c>
      <c r="S325" s="8" t="s">
        <v>171</v>
      </c>
      <c r="T325" t="s">
        <v>171</v>
      </c>
      <c r="AA325" t="s">
        <v>171</v>
      </c>
      <c r="AB325" t="s">
        <v>171</v>
      </c>
      <c r="AF325" t="s">
        <v>171</v>
      </c>
      <c r="AG325" t="s">
        <v>171</v>
      </c>
    </row>
    <row r="326" spans="15:33">
      <c r="O326" t="s">
        <v>171</v>
      </c>
      <c r="P326" t="s">
        <v>171</v>
      </c>
      <c r="Q326" s="8" t="s">
        <v>171</v>
      </c>
      <c r="R326" t="s">
        <v>171</v>
      </c>
      <c r="S326" s="8" t="s">
        <v>171</v>
      </c>
      <c r="T326" t="s">
        <v>171</v>
      </c>
      <c r="AA326" t="s">
        <v>171</v>
      </c>
      <c r="AB326" t="s">
        <v>171</v>
      </c>
      <c r="AF326" t="s">
        <v>171</v>
      </c>
      <c r="AG326" t="s">
        <v>171</v>
      </c>
    </row>
    <row r="327" spans="15:33">
      <c r="O327" t="s">
        <v>171</v>
      </c>
      <c r="P327" t="s">
        <v>171</v>
      </c>
      <c r="Q327" s="8" t="s">
        <v>171</v>
      </c>
      <c r="R327" t="s">
        <v>171</v>
      </c>
      <c r="S327" s="8" t="s">
        <v>171</v>
      </c>
      <c r="T327" t="s">
        <v>171</v>
      </c>
      <c r="AA327" t="s">
        <v>171</v>
      </c>
      <c r="AB327" t="s">
        <v>171</v>
      </c>
      <c r="AF327" t="s">
        <v>171</v>
      </c>
      <c r="AG327" t="s">
        <v>171</v>
      </c>
    </row>
    <row r="328" spans="15:33">
      <c r="O328" t="s">
        <v>171</v>
      </c>
      <c r="P328" t="s">
        <v>171</v>
      </c>
      <c r="Q328" s="8" t="s">
        <v>171</v>
      </c>
      <c r="R328" t="s">
        <v>171</v>
      </c>
      <c r="S328" s="8" t="s">
        <v>171</v>
      </c>
      <c r="T328" t="s">
        <v>171</v>
      </c>
      <c r="AA328" t="s">
        <v>171</v>
      </c>
      <c r="AB328" t="s">
        <v>171</v>
      </c>
      <c r="AF328" t="s">
        <v>171</v>
      </c>
      <c r="AG328" t="s">
        <v>171</v>
      </c>
    </row>
    <row r="329" spans="15:33">
      <c r="O329" t="s">
        <v>171</v>
      </c>
      <c r="P329" t="s">
        <v>171</v>
      </c>
      <c r="Q329" s="8" t="s">
        <v>171</v>
      </c>
      <c r="R329" t="s">
        <v>171</v>
      </c>
      <c r="S329" s="8" t="s">
        <v>171</v>
      </c>
      <c r="T329" t="s">
        <v>171</v>
      </c>
      <c r="AA329" t="s">
        <v>171</v>
      </c>
      <c r="AB329" t="s">
        <v>171</v>
      </c>
      <c r="AF329" t="s">
        <v>171</v>
      </c>
      <c r="AG329" t="s">
        <v>171</v>
      </c>
    </row>
    <row r="330" spans="15:33">
      <c r="O330" t="s">
        <v>171</v>
      </c>
      <c r="P330" t="s">
        <v>171</v>
      </c>
      <c r="Q330" s="8" t="s">
        <v>171</v>
      </c>
      <c r="R330" t="s">
        <v>171</v>
      </c>
      <c r="S330" s="8" t="s">
        <v>171</v>
      </c>
      <c r="T330" t="s">
        <v>171</v>
      </c>
      <c r="AA330" t="s">
        <v>171</v>
      </c>
      <c r="AB330" t="s">
        <v>171</v>
      </c>
      <c r="AF330" t="s">
        <v>171</v>
      </c>
      <c r="AG330" t="s">
        <v>171</v>
      </c>
    </row>
    <row r="331" spans="15:33">
      <c r="O331" t="s">
        <v>171</v>
      </c>
      <c r="P331" t="s">
        <v>171</v>
      </c>
      <c r="Q331" s="8" t="s">
        <v>171</v>
      </c>
      <c r="R331" t="s">
        <v>171</v>
      </c>
      <c r="S331" s="8" t="s">
        <v>171</v>
      </c>
      <c r="T331" t="s">
        <v>171</v>
      </c>
      <c r="AA331" t="s">
        <v>171</v>
      </c>
      <c r="AB331" t="s">
        <v>171</v>
      </c>
      <c r="AF331" t="s">
        <v>171</v>
      </c>
      <c r="AG331" t="s">
        <v>171</v>
      </c>
    </row>
    <row r="332" spans="15:33">
      <c r="O332" t="s">
        <v>171</v>
      </c>
      <c r="P332" t="s">
        <v>171</v>
      </c>
      <c r="Q332" s="8" t="s">
        <v>171</v>
      </c>
      <c r="R332" t="s">
        <v>171</v>
      </c>
      <c r="S332" s="8" t="s">
        <v>171</v>
      </c>
      <c r="T332" t="s">
        <v>171</v>
      </c>
      <c r="AA332" t="s">
        <v>171</v>
      </c>
      <c r="AB332" t="s">
        <v>171</v>
      </c>
      <c r="AF332" t="s">
        <v>171</v>
      </c>
      <c r="AG332" t="s">
        <v>171</v>
      </c>
    </row>
    <row r="333" spans="15:33">
      <c r="O333" t="s">
        <v>171</v>
      </c>
      <c r="P333" t="s">
        <v>171</v>
      </c>
      <c r="Q333" s="8" t="s">
        <v>171</v>
      </c>
      <c r="R333" t="s">
        <v>171</v>
      </c>
      <c r="S333" s="8" t="s">
        <v>171</v>
      </c>
      <c r="T333" t="s">
        <v>171</v>
      </c>
      <c r="AA333" t="s">
        <v>171</v>
      </c>
      <c r="AB333" t="s">
        <v>171</v>
      </c>
      <c r="AF333" t="s">
        <v>171</v>
      </c>
      <c r="AG333" t="s">
        <v>171</v>
      </c>
    </row>
    <row r="334" spans="15:33">
      <c r="O334" t="s">
        <v>171</v>
      </c>
      <c r="P334" t="s">
        <v>171</v>
      </c>
      <c r="Q334" s="8" t="s">
        <v>171</v>
      </c>
      <c r="R334" t="s">
        <v>171</v>
      </c>
      <c r="S334" s="8" t="s">
        <v>171</v>
      </c>
      <c r="T334" t="s">
        <v>171</v>
      </c>
      <c r="AA334" t="s">
        <v>171</v>
      </c>
      <c r="AB334" t="s">
        <v>171</v>
      </c>
      <c r="AF334" t="s">
        <v>171</v>
      </c>
      <c r="AG334" t="s">
        <v>171</v>
      </c>
    </row>
    <row r="335" spans="15:33">
      <c r="O335" t="s">
        <v>171</v>
      </c>
      <c r="P335" t="s">
        <v>171</v>
      </c>
      <c r="Q335" s="8" t="s">
        <v>171</v>
      </c>
      <c r="R335" t="s">
        <v>171</v>
      </c>
      <c r="S335" s="8" t="s">
        <v>171</v>
      </c>
      <c r="T335" t="s">
        <v>171</v>
      </c>
      <c r="AA335" t="s">
        <v>171</v>
      </c>
      <c r="AB335" t="s">
        <v>171</v>
      </c>
      <c r="AF335" t="s">
        <v>171</v>
      </c>
      <c r="AG335" t="s">
        <v>171</v>
      </c>
    </row>
    <row r="336" spans="15:33">
      <c r="O336" t="s">
        <v>171</v>
      </c>
      <c r="P336" t="s">
        <v>171</v>
      </c>
      <c r="Q336" s="8" t="s">
        <v>171</v>
      </c>
      <c r="R336" t="s">
        <v>171</v>
      </c>
      <c r="S336" s="8" t="s">
        <v>171</v>
      </c>
      <c r="T336" t="s">
        <v>171</v>
      </c>
      <c r="AA336" t="s">
        <v>171</v>
      </c>
      <c r="AB336" t="s">
        <v>171</v>
      </c>
      <c r="AF336" t="s">
        <v>171</v>
      </c>
      <c r="AG336" t="s">
        <v>171</v>
      </c>
    </row>
    <row r="337" spans="15:33">
      <c r="O337" t="s">
        <v>171</v>
      </c>
      <c r="P337" t="s">
        <v>171</v>
      </c>
      <c r="Q337" s="8" t="s">
        <v>171</v>
      </c>
      <c r="R337" t="s">
        <v>171</v>
      </c>
      <c r="S337" s="8" t="s">
        <v>171</v>
      </c>
      <c r="T337" t="s">
        <v>171</v>
      </c>
      <c r="AA337" t="s">
        <v>171</v>
      </c>
      <c r="AB337" t="s">
        <v>171</v>
      </c>
      <c r="AF337" t="s">
        <v>171</v>
      </c>
      <c r="AG337" t="s">
        <v>171</v>
      </c>
    </row>
    <row r="338" spans="15:33">
      <c r="O338" t="s">
        <v>171</v>
      </c>
      <c r="P338" t="s">
        <v>171</v>
      </c>
      <c r="Q338" s="8" t="s">
        <v>171</v>
      </c>
      <c r="R338" t="s">
        <v>171</v>
      </c>
      <c r="S338" s="8" t="s">
        <v>171</v>
      </c>
      <c r="T338" t="s">
        <v>171</v>
      </c>
      <c r="AA338" t="s">
        <v>171</v>
      </c>
      <c r="AB338" t="s">
        <v>171</v>
      </c>
      <c r="AF338" t="s">
        <v>171</v>
      </c>
      <c r="AG338" t="s">
        <v>171</v>
      </c>
    </row>
    <row r="339" spans="15:33">
      <c r="O339" t="s">
        <v>171</v>
      </c>
      <c r="P339" t="s">
        <v>171</v>
      </c>
      <c r="Q339" s="8" t="s">
        <v>171</v>
      </c>
      <c r="R339" t="s">
        <v>171</v>
      </c>
      <c r="S339" s="8" t="s">
        <v>171</v>
      </c>
      <c r="T339" t="s">
        <v>171</v>
      </c>
      <c r="AA339" t="s">
        <v>171</v>
      </c>
      <c r="AB339" t="s">
        <v>171</v>
      </c>
      <c r="AF339" t="s">
        <v>171</v>
      </c>
      <c r="AG339" t="s">
        <v>171</v>
      </c>
    </row>
    <row r="340" spans="15:33">
      <c r="O340" t="s">
        <v>171</v>
      </c>
      <c r="P340" t="s">
        <v>171</v>
      </c>
      <c r="Q340" s="8" t="s">
        <v>171</v>
      </c>
      <c r="R340" t="s">
        <v>171</v>
      </c>
      <c r="S340" s="8" t="s">
        <v>171</v>
      </c>
      <c r="T340" t="s">
        <v>171</v>
      </c>
      <c r="AA340" t="s">
        <v>171</v>
      </c>
      <c r="AB340" t="s">
        <v>171</v>
      </c>
      <c r="AF340" t="s">
        <v>171</v>
      </c>
      <c r="AG340" t="s">
        <v>171</v>
      </c>
    </row>
    <row r="341" spans="15:33">
      <c r="O341" t="s">
        <v>171</v>
      </c>
      <c r="P341" t="s">
        <v>171</v>
      </c>
      <c r="Q341" s="8" t="s">
        <v>171</v>
      </c>
      <c r="R341" t="s">
        <v>171</v>
      </c>
      <c r="S341" s="8" t="s">
        <v>171</v>
      </c>
      <c r="T341" t="s">
        <v>171</v>
      </c>
      <c r="AA341" t="s">
        <v>171</v>
      </c>
      <c r="AB341" t="s">
        <v>171</v>
      </c>
      <c r="AF341" t="s">
        <v>171</v>
      </c>
      <c r="AG341" t="s">
        <v>171</v>
      </c>
    </row>
    <row r="342" spans="15:33">
      <c r="O342" t="s">
        <v>171</v>
      </c>
      <c r="P342" t="s">
        <v>171</v>
      </c>
      <c r="Q342" s="8" t="s">
        <v>171</v>
      </c>
      <c r="R342" t="s">
        <v>171</v>
      </c>
      <c r="S342" s="8" t="s">
        <v>171</v>
      </c>
      <c r="T342" t="s">
        <v>171</v>
      </c>
      <c r="AA342" t="s">
        <v>171</v>
      </c>
      <c r="AB342" t="s">
        <v>171</v>
      </c>
      <c r="AF342" t="s">
        <v>171</v>
      </c>
      <c r="AG342" t="s">
        <v>171</v>
      </c>
    </row>
    <row r="343" spans="15:33">
      <c r="O343" t="s">
        <v>171</v>
      </c>
      <c r="P343" t="s">
        <v>171</v>
      </c>
      <c r="Q343" s="8" t="s">
        <v>171</v>
      </c>
      <c r="R343" t="s">
        <v>171</v>
      </c>
      <c r="S343" s="8" t="s">
        <v>171</v>
      </c>
      <c r="T343" t="s">
        <v>171</v>
      </c>
      <c r="AA343" t="s">
        <v>171</v>
      </c>
      <c r="AB343" t="s">
        <v>171</v>
      </c>
      <c r="AF343" t="s">
        <v>171</v>
      </c>
      <c r="AG343" t="s">
        <v>171</v>
      </c>
    </row>
    <row r="344" spans="15:33">
      <c r="O344" t="s">
        <v>171</v>
      </c>
      <c r="P344" t="s">
        <v>171</v>
      </c>
      <c r="Q344" s="8" t="s">
        <v>171</v>
      </c>
      <c r="R344" t="s">
        <v>171</v>
      </c>
      <c r="S344" s="8" t="s">
        <v>171</v>
      </c>
      <c r="T344" t="s">
        <v>171</v>
      </c>
      <c r="AA344" t="s">
        <v>171</v>
      </c>
      <c r="AB344" t="s">
        <v>171</v>
      </c>
      <c r="AF344" t="s">
        <v>171</v>
      </c>
      <c r="AG344" t="s">
        <v>171</v>
      </c>
    </row>
    <row r="345" spans="15:33">
      <c r="O345" t="s">
        <v>171</v>
      </c>
      <c r="P345" t="s">
        <v>171</v>
      </c>
      <c r="Q345" s="8" t="s">
        <v>171</v>
      </c>
      <c r="R345" t="s">
        <v>171</v>
      </c>
      <c r="S345" s="8" t="s">
        <v>171</v>
      </c>
      <c r="T345" t="s">
        <v>171</v>
      </c>
      <c r="AA345" t="s">
        <v>171</v>
      </c>
      <c r="AB345" t="s">
        <v>171</v>
      </c>
      <c r="AF345" t="s">
        <v>171</v>
      </c>
      <c r="AG345" t="s">
        <v>171</v>
      </c>
    </row>
    <row r="346" spans="15:33">
      <c r="O346" t="s">
        <v>171</v>
      </c>
      <c r="P346" t="s">
        <v>171</v>
      </c>
      <c r="Q346" s="8" t="s">
        <v>171</v>
      </c>
      <c r="R346" t="s">
        <v>171</v>
      </c>
      <c r="S346" s="8" t="s">
        <v>171</v>
      </c>
      <c r="T346" t="s">
        <v>171</v>
      </c>
      <c r="AA346" t="s">
        <v>171</v>
      </c>
      <c r="AB346" t="s">
        <v>171</v>
      </c>
      <c r="AF346" t="s">
        <v>171</v>
      </c>
      <c r="AG346" t="s">
        <v>171</v>
      </c>
    </row>
    <row r="347" spans="15:33">
      <c r="O347" t="s">
        <v>171</v>
      </c>
      <c r="P347" t="s">
        <v>171</v>
      </c>
      <c r="Q347" s="8" t="s">
        <v>171</v>
      </c>
      <c r="R347" t="s">
        <v>171</v>
      </c>
      <c r="S347" s="8" t="s">
        <v>171</v>
      </c>
      <c r="T347" t="s">
        <v>171</v>
      </c>
      <c r="AA347" t="s">
        <v>171</v>
      </c>
      <c r="AB347" t="s">
        <v>171</v>
      </c>
      <c r="AF347" t="s">
        <v>171</v>
      </c>
      <c r="AG347" t="s">
        <v>171</v>
      </c>
    </row>
    <row r="348" spans="15:33">
      <c r="O348" t="s">
        <v>171</v>
      </c>
      <c r="P348" t="s">
        <v>171</v>
      </c>
      <c r="Q348" s="8" t="s">
        <v>171</v>
      </c>
      <c r="R348" t="s">
        <v>171</v>
      </c>
      <c r="S348" s="8" t="s">
        <v>171</v>
      </c>
      <c r="T348" t="s">
        <v>171</v>
      </c>
      <c r="AA348" t="s">
        <v>171</v>
      </c>
      <c r="AB348" t="s">
        <v>171</v>
      </c>
      <c r="AF348" t="s">
        <v>171</v>
      </c>
      <c r="AG348" t="s">
        <v>171</v>
      </c>
    </row>
    <row r="349" spans="15:33">
      <c r="O349" t="s">
        <v>171</v>
      </c>
      <c r="P349" t="s">
        <v>171</v>
      </c>
      <c r="Q349" s="8" t="s">
        <v>171</v>
      </c>
      <c r="R349" t="s">
        <v>171</v>
      </c>
      <c r="S349" s="8" t="s">
        <v>171</v>
      </c>
      <c r="T349" t="s">
        <v>171</v>
      </c>
      <c r="AA349" t="s">
        <v>171</v>
      </c>
      <c r="AB349" t="s">
        <v>171</v>
      </c>
      <c r="AF349" t="s">
        <v>171</v>
      </c>
      <c r="AG349" t="s">
        <v>171</v>
      </c>
    </row>
    <row r="350" spans="15:33">
      <c r="O350" t="s">
        <v>171</v>
      </c>
      <c r="P350" t="s">
        <v>171</v>
      </c>
      <c r="Q350" s="8" t="s">
        <v>171</v>
      </c>
      <c r="R350" t="s">
        <v>171</v>
      </c>
      <c r="S350" s="8" t="s">
        <v>171</v>
      </c>
      <c r="T350" t="s">
        <v>171</v>
      </c>
      <c r="AA350" t="s">
        <v>171</v>
      </c>
      <c r="AB350" t="s">
        <v>171</v>
      </c>
      <c r="AF350" t="s">
        <v>171</v>
      </c>
      <c r="AG350" t="s">
        <v>171</v>
      </c>
    </row>
    <row r="351" spans="15:33">
      <c r="O351" t="s">
        <v>171</v>
      </c>
      <c r="P351" t="s">
        <v>171</v>
      </c>
      <c r="Q351" s="8" t="s">
        <v>171</v>
      </c>
      <c r="R351" t="s">
        <v>171</v>
      </c>
      <c r="S351" s="8" t="s">
        <v>171</v>
      </c>
      <c r="T351" t="s">
        <v>171</v>
      </c>
      <c r="AA351" t="s">
        <v>171</v>
      </c>
      <c r="AB351" t="s">
        <v>171</v>
      </c>
      <c r="AF351" t="s">
        <v>171</v>
      </c>
      <c r="AG351" t="s">
        <v>171</v>
      </c>
    </row>
    <row r="352" spans="15:33">
      <c r="O352" t="s">
        <v>171</v>
      </c>
      <c r="P352" t="s">
        <v>171</v>
      </c>
      <c r="Q352" s="8" t="s">
        <v>171</v>
      </c>
      <c r="R352" t="s">
        <v>171</v>
      </c>
      <c r="S352" s="8" t="s">
        <v>171</v>
      </c>
      <c r="T352" t="s">
        <v>171</v>
      </c>
      <c r="AA352" t="s">
        <v>171</v>
      </c>
      <c r="AB352" t="s">
        <v>171</v>
      </c>
      <c r="AF352" t="s">
        <v>171</v>
      </c>
      <c r="AG352" t="s">
        <v>171</v>
      </c>
    </row>
    <row r="353" spans="15:33">
      <c r="O353" t="s">
        <v>171</v>
      </c>
      <c r="P353" t="s">
        <v>171</v>
      </c>
      <c r="Q353" s="8" t="s">
        <v>171</v>
      </c>
      <c r="R353" t="s">
        <v>171</v>
      </c>
      <c r="S353" s="8" t="s">
        <v>171</v>
      </c>
      <c r="T353" t="s">
        <v>171</v>
      </c>
      <c r="AA353" t="s">
        <v>171</v>
      </c>
      <c r="AB353" t="s">
        <v>171</v>
      </c>
      <c r="AF353" t="s">
        <v>171</v>
      </c>
      <c r="AG353" t="s">
        <v>171</v>
      </c>
    </row>
    <row r="354" spans="15:33">
      <c r="O354" t="s">
        <v>171</v>
      </c>
      <c r="P354" t="s">
        <v>171</v>
      </c>
      <c r="Q354" s="8" t="s">
        <v>171</v>
      </c>
      <c r="R354" t="s">
        <v>171</v>
      </c>
      <c r="S354" s="8" t="s">
        <v>171</v>
      </c>
      <c r="T354" t="s">
        <v>171</v>
      </c>
      <c r="AA354" t="s">
        <v>171</v>
      </c>
      <c r="AB354" t="s">
        <v>171</v>
      </c>
      <c r="AF354" t="s">
        <v>171</v>
      </c>
      <c r="AG354" t="s">
        <v>171</v>
      </c>
    </row>
    <row r="355" spans="15:33">
      <c r="O355" t="s">
        <v>171</v>
      </c>
      <c r="P355" t="s">
        <v>171</v>
      </c>
      <c r="Q355" s="8" t="s">
        <v>171</v>
      </c>
      <c r="R355" t="s">
        <v>171</v>
      </c>
      <c r="S355" s="8" t="s">
        <v>171</v>
      </c>
      <c r="T355" t="s">
        <v>171</v>
      </c>
      <c r="AA355" t="s">
        <v>171</v>
      </c>
      <c r="AB355" t="s">
        <v>171</v>
      </c>
      <c r="AF355" t="s">
        <v>171</v>
      </c>
      <c r="AG355" t="s">
        <v>171</v>
      </c>
    </row>
    <row r="356" spans="15:33">
      <c r="O356" t="s">
        <v>171</v>
      </c>
      <c r="P356" t="s">
        <v>171</v>
      </c>
      <c r="Q356" s="8" t="s">
        <v>171</v>
      </c>
      <c r="R356" t="s">
        <v>171</v>
      </c>
      <c r="S356" s="8" t="s">
        <v>171</v>
      </c>
      <c r="T356" t="s">
        <v>171</v>
      </c>
      <c r="AA356" t="s">
        <v>171</v>
      </c>
      <c r="AB356" t="s">
        <v>171</v>
      </c>
      <c r="AF356" t="s">
        <v>171</v>
      </c>
      <c r="AG356" t="s">
        <v>171</v>
      </c>
    </row>
    <row r="357" spans="15:33">
      <c r="O357" t="s">
        <v>171</v>
      </c>
      <c r="P357" t="s">
        <v>171</v>
      </c>
      <c r="Q357" s="8" t="s">
        <v>171</v>
      </c>
      <c r="R357" t="s">
        <v>171</v>
      </c>
      <c r="S357" s="8" t="s">
        <v>171</v>
      </c>
      <c r="T357" t="s">
        <v>171</v>
      </c>
      <c r="AA357" t="s">
        <v>171</v>
      </c>
      <c r="AB357" t="s">
        <v>171</v>
      </c>
      <c r="AF357" t="s">
        <v>171</v>
      </c>
      <c r="AG357" t="s">
        <v>171</v>
      </c>
    </row>
    <row r="358" spans="15:33">
      <c r="O358" t="s">
        <v>171</v>
      </c>
      <c r="P358" t="s">
        <v>171</v>
      </c>
      <c r="Q358" s="8" t="s">
        <v>171</v>
      </c>
      <c r="R358" t="s">
        <v>171</v>
      </c>
      <c r="S358" s="8" t="s">
        <v>171</v>
      </c>
      <c r="T358" t="s">
        <v>171</v>
      </c>
      <c r="AA358" t="s">
        <v>171</v>
      </c>
      <c r="AB358" t="s">
        <v>171</v>
      </c>
      <c r="AF358" t="s">
        <v>171</v>
      </c>
      <c r="AG358" t="s">
        <v>171</v>
      </c>
    </row>
    <row r="359" spans="15:33">
      <c r="O359" t="s">
        <v>171</v>
      </c>
      <c r="P359" t="s">
        <v>171</v>
      </c>
      <c r="Q359" s="8" t="s">
        <v>171</v>
      </c>
      <c r="R359" t="s">
        <v>171</v>
      </c>
      <c r="S359" s="8" t="s">
        <v>171</v>
      </c>
      <c r="T359" t="s">
        <v>171</v>
      </c>
      <c r="AA359" t="s">
        <v>171</v>
      </c>
      <c r="AB359" t="s">
        <v>171</v>
      </c>
      <c r="AF359" t="s">
        <v>171</v>
      </c>
      <c r="AG359" t="s">
        <v>171</v>
      </c>
    </row>
    <row r="360" spans="15:33">
      <c r="O360" t="s">
        <v>171</v>
      </c>
      <c r="P360" t="s">
        <v>171</v>
      </c>
      <c r="Q360" s="8" t="s">
        <v>171</v>
      </c>
      <c r="R360" t="s">
        <v>171</v>
      </c>
      <c r="S360" s="8" t="s">
        <v>171</v>
      </c>
      <c r="T360" t="s">
        <v>171</v>
      </c>
      <c r="AA360" t="s">
        <v>171</v>
      </c>
      <c r="AB360" t="s">
        <v>171</v>
      </c>
      <c r="AF360" t="s">
        <v>171</v>
      </c>
      <c r="AG360" t="s">
        <v>171</v>
      </c>
    </row>
    <row r="361" spans="15:33">
      <c r="O361" t="s">
        <v>171</v>
      </c>
      <c r="P361" t="s">
        <v>171</v>
      </c>
      <c r="Q361" s="8" t="s">
        <v>171</v>
      </c>
      <c r="R361" t="s">
        <v>171</v>
      </c>
      <c r="S361" s="8" t="s">
        <v>171</v>
      </c>
      <c r="T361" t="s">
        <v>171</v>
      </c>
      <c r="AA361" t="s">
        <v>171</v>
      </c>
      <c r="AB361" t="s">
        <v>171</v>
      </c>
      <c r="AF361" t="s">
        <v>171</v>
      </c>
      <c r="AG361" t="s">
        <v>171</v>
      </c>
    </row>
    <row r="362" spans="15:33">
      <c r="O362" t="s">
        <v>171</v>
      </c>
      <c r="P362" t="s">
        <v>171</v>
      </c>
      <c r="Q362" s="8" t="s">
        <v>171</v>
      </c>
      <c r="R362" t="s">
        <v>171</v>
      </c>
      <c r="S362" s="8" t="s">
        <v>171</v>
      </c>
      <c r="T362" t="s">
        <v>171</v>
      </c>
      <c r="AA362" t="s">
        <v>171</v>
      </c>
      <c r="AB362" t="s">
        <v>171</v>
      </c>
      <c r="AF362" t="s">
        <v>171</v>
      </c>
      <c r="AG362" t="s">
        <v>171</v>
      </c>
    </row>
    <row r="363" spans="15:33">
      <c r="O363" t="s">
        <v>171</v>
      </c>
      <c r="P363" t="s">
        <v>171</v>
      </c>
      <c r="Q363" s="8" t="s">
        <v>171</v>
      </c>
      <c r="R363" t="s">
        <v>171</v>
      </c>
      <c r="S363" s="8" t="s">
        <v>171</v>
      </c>
      <c r="T363" t="s">
        <v>171</v>
      </c>
      <c r="AA363" t="s">
        <v>171</v>
      </c>
      <c r="AB363" t="s">
        <v>171</v>
      </c>
      <c r="AF363" t="s">
        <v>171</v>
      </c>
      <c r="AG363" t="s">
        <v>171</v>
      </c>
    </row>
    <row r="364" spans="15:33">
      <c r="O364" t="s">
        <v>171</v>
      </c>
      <c r="P364" t="s">
        <v>171</v>
      </c>
      <c r="Q364" s="8" t="s">
        <v>171</v>
      </c>
      <c r="R364" t="s">
        <v>171</v>
      </c>
      <c r="S364" s="8" t="s">
        <v>171</v>
      </c>
      <c r="T364" t="s">
        <v>171</v>
      </c>
      <c r="AA364" t="s">
        <v>171</v>
      </c>
      <c r="AB364" t="s">
        <v>171</v>
      </c>
      <c r="AF364" t="s">
        <v>171</v>
      </c>
      <c r="AG364" t="s">
        <v>171</v>
      </c>
    </row>
    <row r="365" spans="15:33">
      <c r="O365" t="s">
        <v>171</v>
      </c>
      <c r="P365" t="s">
        <v>171</v>
      </c>
      <c r="Q365" s="8" t="s">
        <v>171</v>
      </c>
      <c r="R365" t="s">
        <v>171</v>
      </c>
      <c r="S365" s="8" t="s">
        <v>171</v>
      </c>
      <c r="T365" t="s">
        <v>171</v>
      </c>
      <c r="AA365" t="s">
        <v>171</v>
      </c>
      <c r="AB365" t="s">
        <v>171</v>
      </c>
      <c r="AF365" t="s">
        <v>171</v>
      </c>
      <c r="AG365" t="s">
        <v>171</v>
      </c>
    </row>
    <row r="366" spans="15:33">
      <c r="O366" t="s">
        <v>171</v>
      </c>
      <c r="P366" t="s">
        <v>171</v>
      </c>
      <c r="Q366" s="8" t="s">
        <v>171</v>
      </c>
      <c r="R366" t="s">
        <v>171</v>
      </c>
      <c r="S366" s="8" t="s">
        <v>171</v>
      </c>
      <c r="T366" t="s">
        <v>171</v>
      </c>
      <c r="AA366" t="s">
        <v>171</v>
      </c>
      <c r="AB366" t="s">
        <v>171</v>
      </c>
      <c r="AF366" t="s">
        <v>171</v>
      </c>
      <c r="AG366" t="s">
        <v>171</v>
      </c>
    </row>
    <row r="367" spans="15:33">
      <c r="O367" t="s">
        <v>171</v>
      </c>
      <c r="P367" t="s">
        <v>171</v>
      </c>
      <c r="Q367" s="8" t="s">
        <v>171</v>
      </c>
      <c r="R367" t="s">
        <v>171</v>
      </c>
      <c r="S367" s="8" t="s">
        <v>171</v>
      </c>
      <c r="T367" t="s">
        <v>171</v>
      </c>
      <c r="AA367" t="s">
        <v>171</v>
      </c>
      <c r="AB367" t="s">
        <v>171</v>
      </c>
      <c r="AF367" t="s">
        <v>171</v>
      </c>
      <c r="AG367" t="s">
        <v>171</v>
      </c>
    </row>
    <row r="368" spans="15:33">
      <c r="O368" t="s">
        <v>171</v>
      </c>
      <c r="P368" t="s">
        <v>171</v>
      </c>
      <c r="Q368" s="8" t="s">
        <v>171</v>
      </c>
      <c r="R368" t="s">
        <v>171</v>
      </c>
      <c r="S368" s="8" t="s">
        <v>171</v>
      </c>
      <c r="T368" t="s">
        <v>171</v>
      </c>
      <c r="AA368" t="s">
        <v>171</v>
      </c>
      <c r="AB368" t="s">
        <v>171</v>
      </c>
      <c r="AF368" t="s">
        <v>171</v>
      </c>
      <c r="AG368" t="s">
        <v>171</v>
      </c>
    </row>
    <row r="369" spans="15:33">
      <c r="O369" t="s">
        <v>171</v>
      </c>
      <c r="P369" t="s">
        <v>171</v>
      </c>
      <c r="Q369" s="8" t="s">
        <v>171</v>
      </c>
      <c r="R369" t="s">
        <v>171</v>
      </c>
      <c r="S369" s="8" t="s">
        <v>171</v>
      </c>
      <c r="T369" t="s">
        <v>171</v>
      </c>
      <c r="AA369" t="s">
        <v>171</v>
      </c>
      <c r="AB369" t="s">
        <v>171</v>
      </c>
      <c r="AF369" t="s">
        <v>171</v>
      </c>
      <c r="AG369" t="s">
        <v>171</v>
      </c>
    </row>
    <row r="370" spans="15:33">
      <c r="O370" t="s">
        <v>171</v>
      </c>
      <c r="P370" t="s">
        <v>171</v>
      </c>
      <c r="Q370" s="8" t="s">
        <v>171</v>
      </c>
      <c r="R370" t="s">
        <v>171</v>
      </c>
      <c r="S370" s="8" t="s">
        <v>171</v>
      </c>
      <c r="T370" t="s">
        <v>171</v>
      </c>
      <c r="AA370" t="s">
        <v>171</v>
      </c>
      <c r="AB370" t="s">
        <v>171</v>
      </c>
      <c r="AF370" t="s">
        <v>171</v>
      </c>
      <c r="AG370" t="s">
        <v>171</v>
      </c>
    </row>
    <row r="371" spans="15:33">
      <c r="O371" t="s">
        <v>171</v>
      </c>
      <c r="P371" t="s">
        <v>171</v>
      </c>
      <c r="Q371" s="8" t="s">
        <v>171</v>
      </c>
      <c r="R371" t="s">
        <v>171</v>
      </c>
      <c r="S371" s="8" t="s">
        <v>171</v>
      </c>
      <c r="T371" t="s">
        <v>171</v>
      </c>
      <c r="AA371" t="s">
        <v>171</v>
      </c>
      <c r="AB371" t="s">
        <v>171</v>
      </c>
      <c r="AF371" t="s">
        <v>171</v>
      </c>
      <c r="AG371" t="s">
        <v>171</v>
      </c>
    </row>
    <row r="372" spans="15:33">
      <c r="O372" t="s">
        <v>171</v>
      </c>
      <c r="P372" t="s">
        <v>171</v>
      </c>
      <c r="Q372" s="8" t="s">
        <v>171</v>
      </c>
      <c r="R372" t="s">
        <v>171</v>
      </c>
      <c r="S372" s="8" t="s">
        <v>171</v>
      </c>
      <c r="T372" t="s">
        <v>171</v>
      </c>
      <c r="AA372" t="s">
        <v>171</v>
      </c>
      <c r="AB372" t="s">
        <v>171</v>
      </c>
      <c r="AF372" t="s">
        <v>171</v>
      </c>
      <c r="AG372" t="s">
        <v>171</v>
      </c>
    </row>
    <row r="373" spans="15:33">
      <c r="O373" t="s">
        <v>171</v>
      </c>
      <c r="P373" t="s">
        <v>171</v>
      </c>
      <c r="Q373" s="8" t="s">
        <v>171</v>
      </c>
      <c r="R373" t="s">
        <v>171</v>
      </c>
      <c r="S373" s="8" t="s">
        <v>171</v>
      </c>
      <c r="T373" t="s">
        <v>171</v>
      </c>
      <c r="AA373" t="s">
        <v>171</v>
      </c>
      <c r="AB373" t="s">
        <v>171</v>
      </c>
      <c r="AF373" t="s">
        <v>171</v>
      </c>
      <c r="AG373" t="s">
        <v>171</v>
      </c>
    </row>
    <row r="374" spans="15:33">
      <c r="O374" t="s">
        <v>171</v>
      </c>
      <c r="P374" t="s">
        <v>171</v>
      </c>
      <c r="Q374" s="8" t="s">
        <v>171</v>
      </c>
      <c r="R374" t="s">
        <v>171</v>
      </c>
      <c r="S374" s="8" t="s">
        <v>171</v>
      </c>
      <c r="T374" t="s">
        <v>171</v>
      </c>
      <c r="AA374" t="s">
        <v>171</v>
      </c>
      <c r="AB374" t="s">
        <v>171</v>
      </c>
      <c r="AF374" t="s">
        <v>171</v>
      </c>
      <c r="AG374" t="s">
        <v>171</v>
      </c>
    </row>
    <row r="375" spans="15:33">
      <c r="O375" t="s">
        <v>171</v>
      </c>
      <c r="P375" t="s">
        <v>171</v>
      </c>
      <c r="Q375" s="8" t="s">
        <v>171</v>
      </c>
      <c r="R375" t="s">
        <v>171</v>
      </c>
      <c r="S375" s="8" t="s">
        <v>171</v>
      </c>
      <c r="T375" t="s">
        <v>171</v>
      </c>
      <c r="AA375" t="s">
        <v>171</v>
      </c>
      <c r="AB375" t="s">
        <v>171</v>
      </c>
      <c r="AF375" t="s">
        <v>171</v>
      </c>
      <c r="AG375" t="s">
        <v>171</v>
      </c>
    </row>
    <row r="376" spans="15:33">
      <c r="O376" t="s">
        <v>171</v>
      </c>
      <c r="P376" t="s">
        <v>171</v>
      </c>
      <c r="Q376" s="8" t="s">
        <v>171</v>
      </c>
      <c r="R376" t="s">
        <v>171</v>
      </c>
      <c r="S376" s="8" t="s">
        <v>171</v>
      </c>
      <c r="T376" t="s">
        <v>171</v>
      </c>
      <c r="AA376" t="s">
        <v>171</v>
      </c>
      <c r="AB376" t="s">
        <v>171</v>
      </c>
      <c r="AF376" t="s">
        <v>171</v>
      </c>
      <c r="AG376" t="s">
        <v>171</v>
      </c>
    </row>
    <row r="377" spans="15:33">
      <c r="O377" t="s">
        <v>171</v>
      </c>
      <c r="P377" t="s">
        <v>171</v>
      </c>
      <c r="Q377" s="8" t="s">
        <v>171</v>
      </c>
      <c r="R377" t="s">
        <v>171</v>
      </c>
      <c r="S377" s="8" t="s">
        <v>171</v>
      </c>
      <c r="T377" t="s">
        <v>171</v>
      </c>
      <c r="AA377" t="s">
        <v>171</v>
      </c>
      <c r="AB377" t="s">
        <v>171</v>
      </c>
      <c r="AF377" t="s">
        <v>171</v>
      </c>
      <c r="AG377" t="s">
        <v>171</v>
      </c>
    </row>
    <row r="378" spans="15:33">
      <c r="O378" t="s">
        <v>171</v>
      </c>
      <c r="P378" t="s">
        <v>171</v>
      </c>
      <c r="Q378" s="8" t="s">
        <v>171</v>
      </c>
      <c r="R378" t="s">
        <v>171</v>
      </c>
      <c r="S378" s="8" t="s">
        <v>171</v>
      </c>
      <c r="T378" t="s">
        <v>171</v>
      </c>
      <c r="AA378" t="s">
        <v>171</v>
      </c>
      <c r="AB378" t="s">
        <v>171</v>
      </c>
      <c r="AF378" t="s">
        <v>171</v>
      </c>
      <c r="AG378" t="s">
        <v>171</v>
      </c>
    </row>
    <row r="379" spans="15:33">
      <c r="O379" t="s">
        <v>171</v>
      </c>
      <c r="P379" t="s">
        <v>171</v>
      </c>
      <c r="Q379" s="8" t="s">
        <v>171</v>
      </c>
      <c r="R379" t="s">
        <v>171</v>
      </c>
      <c r="S379" s="8" t="s">
        <v>171</v>
      </c>
      <c r="T379" t="s">
        <v>171</v>
      </c>
      <c r="AA379" t="s">
        <v>171</v>
      </c>
      <c r="AB379" t="s">
        <v>171</v>
      </c>
      <c r="AF379" t="s">
        <v>171</v>
      </c>
      <c r="AG379" t="s">
        <v>171</v>
      </c>
    </row>
    <row r="380" spans="15:33">
      <c r="O380" t="s">
        <v>171</v>
      </c>
      <c r="P380" t="s">
        <v>171</v>
      </c>
      <c r="Q380" s="8" t="s">
        <v>171</v>
      </c>
      <c r="R380" t="s">
        <v>171</v>
      </c>
      <c r="S380" s="8" t="s">
        <v>171</v>
      </c>
      <c r="T380" t="s">
        <v>171</v>
      </c>
      <c r="AA380" t="s">
        <v>171</v>
      </c>
      <c r="AB380" t="s">
        <v>171</v>
      </c>
      <c r="AF380" t="s">
        <v>171</v>
      </c>
      <c r="AG380" t="s">
        <v>171</v>
      </c>
    </row>
    <row r="381" spans="15:33">
      <c r="O381" t="s">
        <v>171</v>
      </c>
      <c r="P381" t="s">
        <v>171</v>
      </c>
      <c r="Q381" s="8" t="s">
        <v>171</v>
      </c>
      <c r="R381" t="s">
        <v>171</v>
      </c>
      <c r="S381" s="8" t="s">
        <v>171</v>
      </c>
      <c r="T381" t="s">
        <v>171</v>
      </c>
      <c r="AA381" t="s">
        <v>171</v>
      </c>
      <c r="AB381" t="s">
        <v>171</v>
      </c>
      <c r="AF381" t="s">
        <v>171</v>
      </c>
      <c r="AG381" t="s">
        <v>171</v>
      </c>
    </row>
    <row r="382" spans="15:33">
      <c r="O382" t="s">
        <v>171</v>
      </c>
      <c r="P382" t="s">
        <v>171</v>
      </c>
      <c r="Q382" s="8" t="s">
        <v>171</v>
      </c>
      <c r="R382" t="s">
        <v>171</v>
      </c>
      <c r="S382" s="8" t="s">
        <v>171</v>
      </c>
      <c r="T382" t="s">
        <v>171</v>
      </c>
      <c r="AA382" t="s">
        <v>171</v>
      </c>
      <c r="AB382" t="s">
        <v>171</v>
      </c>
      <c r="AF382" t="s">
        <v>171</v>
      </c>
      <c r="AG382" t="s">
        <v>171</v>
      </c>
    </row>
    <row r="383" spans="15:33">
      <c r="O383" t="s">
        <v>171</v>
      </c>
      <c r="P383" t="s">
        <v>171</v>
      </c>
      <c r="Q383" s="8" t="s">
        <v>171</v>
      </c>
      <c r="R383" t="s">
        <v>171</v>
      </c>
      <c r="S383" s="8" t="s">
        <v>171</v>
      </c>
      <c r="T383" t="s">
        <v>171</v>
      </c>
      <c r="AA383" t="s">
        <v>171</v>
      </c>
      <c r="AB383" t="s">
        <v>171</v>
      </c>
      <c r="AF383" t="s">
        <v>171</v>
      </c>
      <c r="AG383" t="s">
        <v>171</v>
      </c>
    </row>
    <row r="384" spans="15:33">
      <c r="O384" t="s">
        <v>171</v>
      </c>
      <c r="P384" t="s">
        <v>171</v>
      </c>
      <c r="Q384" s="8" t="s">
        <v>171</v>
      </c>
      <c r="R384" t="s">
        <v>171</v>
      </c>
      <c r="S384" s="8" t="s">
        <v>171</v>
      </c>
      <c r="T384" t="s">
        <v>171</v>
      </c>
      <c r="AA384" t="s">
        <v>171</v>
      </c>
      <c r="AB384" t="s">
        <v>171</v>
      </c>
      <c r="AF384" t="s">
        <v>171</v>
      </c>
      <c r="AG384" t="s">
        <v>171</v>
      </c>
    </row>
    <row r="385" spans="15:33">
      <c r="O385" t="s">
        <v>171</v>
      </c>
      <c r="P385" t="s">
        <v>171</v>
      </c>
      <c r="Q385" s="8" t="s">
        <v>171</v>
      </c>
      <c r="R385" t="s">
        <v>171</v>
      </c>
      <c r="S385" s="8" t="s">
        <v>171</v>
      </c>
      <c r="T385" t="s">
        <v>171</v>
      </c>
      <c r="AA385" t="s">
        <v>171</v>
      </c>
      <c r="AB385" t="s">
        <v>171</v>
      </c>
      <c r="AF385" t="s">
        <v>171</v>
      </c>
      <c r="AG385" t="s">
        <v>171</v>
      </c>
    </row>
    <row r="386" spans="15:33">
      <c r="O386" t="s">
        <v>171</v>
      </c>
      <c r="P386" t="s">
        <v>171</v>
      </c>
      <c r="Q386" s="8" t="s">
        <v>171</v>
      </c>
      <c r="R386" t="s">
        <v>171</v>
      </c>
      <c r="S386" s="8" t="s">
        <v>171</v>
      </c>
      <c r="T386" t="s">
        <v>171</v>
      </c>
      <c r="AA386" t="s">
        <v>171</v>
      </c>
      <c r="AB386" t="s">
        <v>171</v>
      </c>
      <c r="AF386" t="s">
        <v>171</v>
      </c>
      <c r="AG386" t="s">
        <v>171</v>
      </c>
    </row>
    <row r="387" spans="15:33">
      <c r="O387" t="s">
        <v>171</v>
      </c>
      <c r="P387" t="s">
        <v>171</v>
      </c>
      <c r="Q387" s="8" t="s">
        <v>171</v>
      </c>
      <c r="R387" t="s">
        <v>171</v>
      </c>
      <c r="S387" s="8" t="s">
        <v>171</v>
      </c>
      <c r="T387" t="s">
        <v>171</v>
      </c>
      <c r="AA387" t="s">
        <v>171</v>
      </c>
      <c r="AB387" t="s">
        <v>171</v>
      </c>
      <c r="AF387" t="s">
        <v>171</v>
      </c>
      <c r="AG387" t="s">
        <v>171</v>
      </c>
    </row>
    <row r="388" spans="15:33">
      <c r="O388" t="s">
        <v>171</v>
      </c>
      <c r="P388" t="s">
        <v>171</v>
      </c>
      <c r="Q388" s="8" t="s">
        <v>171</v>
      </c>
      <c r="R388" t="s">
        <v>171</v>
      </c>
      <c r="S388" s="8" t="s">
        <v>171</v>
      </c>
      <c r="T388" t="s">
        <v>171</v>
      </c>
      <c r="AA388" t="s">
        <v>171</v>
      </c>
      <c r="AB388" t="s">
        <v>171</v>
      </c>
      <c r="AF388" t="s">
        <v>171</v>
      </c>
      <c r="AG388" t="s">
        <v>171</v>
      </c>
    </row>
    <row r="389" spans="15:33">
      <c r="O389" t="s">
        <v>171</v>
      </c>
      <c r="P389" t="s">
        <v>171</v>
      </c>
      <c r="Q389" s="8" t="s">
        <v>171</v>
      </c>
      <c r="R389" t="s">
        <v>171</v>
      </c>
      <c r="S389" s="8" t="s">
        <v>171</v>
      </c>
      <c r="T389" t="s">
        <v>171</v>
      </c>
      <c r="AA389" t="s">
        <v>171</v>
      </c>
      <c r="AB389" t="s">
        <v>171</v>
      </c>
      <c r="AF389" t="s">
        <v>171</v>
      </c>
      <c r="AG389" t="s">
        <v>171</v>
      </c>
    </row>
    <row r="390" spans="15:33">
      <c r="O390" t="s">
        <v>171</v>
      </c>
      <c r="P390" t="s">
        <v>171</v>
      </c>
      <c r="Q390" s="8" t="s">
        <v>171</v>
      </c>
      <c r="R390" t="s">
        <v>171</v>
      </c>
      <c r="S390" s="8" t="s">
        <v>171</v>
      </c>
      <c r="T390" t="s">
        <v>171</v>
      </c>
      <c r="AA390" t="s">
        <v>171</v>
      </c>
      <c r="AB390" t="s">
        <v>171</v>
      </c>
      <c r="AF390" t="s">
        <v>171</v>
      </c>
      <c r="AG390" t="s">
        <v>171</v>
      </c>
    </row>
    <row r="391" spans="15:33">
      <c r="O391" t="s">
        <v>171</v>
      </c>
      <c r="P391" t="s">
        <v>171</v>
      </c>
      <c r="Q391" s="8" t="s">
        <v>171</v>
      </c>
      <c r="R391" t="s">
        <v>171</v>
      </c>
      <c r="S391" s="8" t="s">
        <v>171</v>
      </c>
      <c r="T391" t="s">
        <v>171</v>
      </c>
      <c r="AA391" t="s">
        <v>171</v>
      </c>
      <c r="AB391" t="s">
        <v>171</v>
      </c>
      <c r="AF391" t="s">
        <v>171</v>
      </c>
      <c r="AG391" t="s">
        <v>171</v>
      </c>
    </row>
    <row r="392" spans="15:33">
      <c r="O392" t="s">
        <v>171</v>
      </c>
      <c r="P392" t="s">
        <v>171</v>
      </c>
      <c r="Q392" s="8" t="s">
        <v>171</v>
      </c>
      <c r="R392" t="s">
        <v>171</v>
      </c>
      <c r="S392" s="8" t="s">
        <v>171</v>
      </c>
      <c r="T392" t="s">
        <v>171</v>
      </c>
      <c r="AA392" t="s">
        <v>171</v>
      </c>
      <c r="AB392" t="s">
        <v>171</v>
      </c>
      <c r="AF392" t="s">
        <v>171</v>
      </c>
      <c r="AG392" t="s">
        <v>171</v>
      </c>
    </row>
    <row r="393" spans="15:33">
      <c r="O393" t="s">
        <v>171</v>
      </c>
      <c r="P393" t="s">
        <v>171</v>
      </c>
      <c r="Q393" s="8" t="s">
        <v>171</v>
      </c>
      <c r="R393" t="s">
        <v>171</v>
      </c>
      <c r="S393" s="8" t="s">
        <v>171</v>
      </c>
      <c r="T393" t="s">
        <v>171</v>
      </c>
      <c r="AA393" t="s">
        <v>171</v>
      </c>
      <c r="AB393" t="s">
        <v>171</v>
      </c>
      <c r="AF393" t="s">
        <v>171</v>
      </c>
      <c r="AG393" t="s">
        <v>171</v>
      </c>
    </row>
    <row r="394" spans="15:33">
      <c r="O394" t="s">
        <v>171</v>
      </c>
      <c r="P394" t="s">
        <v>171</v>
      </c>
      <c r="Q394" s="8" t="s">
        <v>171</v>
      </c>
      <c r="R394" t="s">
        <v>171</v>
      </c>
      <c r="S394" s="8" t="s">
        <v>171</v>
      </c>
      <c r="T394" t="s">
        <v>171</v>
      </c>
      <c r="AA394" t="s">
        <v>171</v>
      </c>
      <c r="AB394" t="s">
        <v>171</v>
      </c>
      <c r="AF394" t="s">
        <v>171</v>
      </c>
      <c r="AG394" t="s">
        <v>171</v>
      </c>
    </row>
    <row r="395" spans="15:33">
      <c r="O395" t="s">
        <v>171</v>
      </c>
      <c r="P395" t="s">
        <v>171</v>
      </c>
      <c r="Q395" s="8" t="s">
        <v>171</v>
      </c>
      <c r="R395" t="s">
        <v>171</v>
      </c>
      <c r="S395" s="8" t="s">
        <v>171</v>
      </c>
      <c r="T395" t="s">
        <v>171</v>
      </c>
      <c r="AA395" t="s">
        <v>171</v>
      </c>
      <c r="AB395" t="s">
        <v>171</v>
      </c>
      <c r="AF395" t="s">
        <v>171</v>
      </c>
      <c r="AG395" t="s">
        <v>171</v>
      </c>
    </row>
  </sheetData>
  <conditionalFormatting sqref="V63:V64 V67:V99 V111:V1048576 R108:R110 V1:V61">
    <cfRule type="cellIs" dxfId="43" priority="31" operator="greaterThan">
      <formula>250</formula>
    </cfRule>
  </conditionalFormatting>
  <conditionalFormatting sqref="V63:V64 V67:V99">
    <cfRule type="cellIs" dxfId="42" priority="30" operator="greaterThan">
      <formula>250</formula>
    </cfRule>
  </conditionalFormatting>
  <conditionalFormatting sqref="U68:U99 U111:U1048576 Q108:Q110 U1">
    <cfRule type="cellIs" dxfId="41" priority="29" operator="greaterThan">
      <formula>15</formula>
    </cfRule>
  </conditionalFormatting>
  <conditionalFormatting sqref="V62">
    <cfRule type="cellIs" dxfId="40" priority="23" operator="greaterThan">
      <formula>250</formula>
    </cfRule>
  </conditionalFormatting>
  <conditionalFormatting sqref="V62">
    <cfRule type="cellIs" dxfId="39" priority="22" operator="greaterThan">
      <formula>250</formula>
    </cfRule>
  </conditionalFormatting>
  <conditionalFormatting sqref="V65">
    <cfRule type="cellIs" dxfId="38" priority="18" operator="greaterThan">
      <formula>250</formula>
    </cfRule>
  </conditionalFormatting>
  <conditionalFormatting sqref="V65">
    <cfRule type="cellIs" dxfId="37" priority="17" operator="greaterThan">
      <formula>250</formula>
    </cfRule>
  </conditionalFormatting>
  <conditionalFormatting sqref="AA109">
    <cfRule type="cellIs" dxfId="36" priority="11" operator="greaterThan">
      <formula>250</formula>
    </cfRule>
  </conditionalFormatting>
  <conditionalFormatting sqref="AA109">
    <cfRule type="cellIs" dxfId="35" priority="10" operator="greaterThan">
      <formula>250</formula>
    </cfRule>
  </conditionalFormatting>
  <conditionalFormatting sqref="AB109">
    <cfRule type="cellIs" dxfId="34" priority="9" operator="greaterThan">
      <formula>250</formula>
    </cfRule>
  </conditionalFormatting>
  <conditionalFormatting sqref="AB109">
    <cfRule type="cellIs" dxfId="33" priority="8" operator="greaterThan">
      <formula>250</formula>
    </cfRule>
  </conditionalFormatting>
  <conditionalFormatting sqref="AA110:AB110">
    <cfRule type="cellIs" dxfId="32" priority="7" operator="greaterThan">
      <formula>250</formula>
    </cfRule>
  </conditionalFormatting>
  <conditionalFormatting sqref="AA110:AB110">
    <cfRule type="cellIs" dxfId="31" priority="6" operator="greaterThan">
      <formula>250</formula>
    </cfRule>
  </conditionalFormatting>
  <conditionalFormatting sqref="U47">
    <cfRule type="cellIs" dxfId="30" priority="5" operator="greaterThan">
      <formula>15</formula>
    </cfRule>
  </conditionalFormatting>
  <conditionalFormatting sqref="U2:U46">
    <cfRule type="cellIs" dxfId="29" priority="4" operator="greaterThan">
      <formula>15</formula>
    </cfRule>
  </conditionalFormatting>
  <conditionalFormatting sqref="U48:U65 U67">
    <cfRule type="cellIs" dxfId="28" priority="3" operator="greaterThan">
      <formula>15</formula>
    </cfRule>
  </conditionalFormatting>
  <conditionalFormatting sqref="V66">
    <cfRule type="cellIs" dxfId="27" priority="2" operator="greaterThan">
      <formula>250</formula>
    </cfRule>
  </conditionalFormatting>
  <conditionalFormatting sqref="U66">
    <cfRule type="cellIs" dxfId="26" priority="1" operator="greaterThan">
      <formula>15</formula>
    </cfRule>
  </conditionalFormatting>
  <hyperlinks>
    <hyperlink ref="B109" r:id="rId1" xr:uid="{00000000-0004-0000-0200-000000000000}"/>
    <hyperlink ref="B110" r:id="rId2" xr:uid="{00000000-0004-0000-0200-000001000000}"/>
    <hyperlink ref="B99" r:id="rId3" xr:uid="{00000000-0004-0000-0200-000002000000}"/>
  </hyperlinks>
  <pageMargins left="0.7" right="0.7" top="0.75" bottom="0.75" header="0.3" footer="0.3"/>
  <pageSetup paperSize="9" orientation="portrait" r:id="rId4"/>
  <legacy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8"/>
  <sheetViews>
    <sheetView topLeftCell="P1" zoomScaleNormal="100" workbookViewId="0">
      <selection activeCell="W16" sqref="W16"/>
    </sheetView>
  </sheetViews>
  <sheetFormatPr baseColWidth="10" defaultColWidth="12" defaultRowHeight="14.85" customHeight="1"/>
  <cols>
    <col min="1" max="1" width="8.109375" style="14" bestFit="1" customWidth="1"/>
    <col min="2" max="2" width="29" style="12" customWidth="1"/>
    <col min="3" max="3" width="16.88671875" style="12" customWidth="1"/>
    <col min="4" max="4" width="19.44140625" style="12" bestFit="1" customWidth="1"/>
    <col min="5" max="5" width="13.6640625" style="12" customWidth="1"/>
    <col min="6" max="6" width="12.5546875" style="12" customWidth="1"/>
    <col min="7" max="7" width="7.6640625" style="12" customWidth="1"/>
    <col min="8" max="8" width="23.44140625" style="12" bestFit="1" customWidth="1"/>
    <col min="9" max="9" width="16.109375" style="13" bestFit="1" customWidth="1"/>
    <col min="10" max="10" width="8.88671875" style="12" customWidth="1"/>
    <col min="11" max="11" width="19" style="12" customWidth="1"/>
    <col min="12" max="12" width="13.33203125" style="12" customWidth="1"/>
    <col min="13" max="13" width="21.33203125" style="12" customWidth="1"/>
    <col min="14" max="14" width="16.109375" style="12" bestFit="1" customWidth="1"/>
    <col min="15" max="15" width="30.6640625" style="13" bestFit="1" customWidth="1"/>
    <col min="16" max="16" width="16.5546875" style="13" bestFit="1" customWidth="1"/>
    <col min="17" max="17" width="15.88671875" style="12" bestFit="1" customWidth="1"/>
    <col min="18" max="18" width="6.109375" style="12" bestFit="1" customWidth="1"/>
    <col min="19" max="19" width="9.6640625" style="12" bestFit="1" customWidth="1"/>
    <col min="20" max="20" width="11.33203125" style="12" bestFit="1" customWidth="1"/>
    <col min="21" max="21" width="19.33203125" style="12" bestFit="1" customWidth="1"/>
    <col min="22" max="22" width="20" style="12" bestFit="1" customWidth="1"/>
    <col min="23" max="23" width="19.33203125" style="12" bestFit="1" customWidth="1"/>
    <col min="24" max="16384" width="12" style="11"/>
  </cols>
  <sheetData>
    <row r="1" spans="1:26" ht="14.85" customHeight="1" thickBot="1">
      <c r="A1" s="14" t="s">
        <v>127</v>
      </c>
      <c r="B1" s="12" t="s">
        <v>128</v>
      </c>
      <c r="C1" s="14" t="s">
        <v>45</v>
      </c>
      <c r="D1" s="12" t="s">
        <v>1</v>
      </c>
      <c r="H1" s="12" t="s">
        <v>274</v>
      </c>
      <c r="I1" s="13" t="s">
        <v>275</v>
      </c>
      <c r="J1" s="12" t="s">
        <v>230</v>
      </c>
      <c r="K1" s="12" t="s">
        <v>311</v>
      </c>
      <c r="N1" s="15"/>
    </row>
    <row r="2" spans="1:26" ht="14.85" customHeight="1">
      <c r="A2" s="58">
        <v>41475</v>
      </c>
      <c r="B2" s="12" t="s">
        <v>129</v>
      </c>
      <c r="C2" s="14" t="s">
        <v>130</v>
      </c>
      <c r="D2" s="12">
        <v>5</v>
      </c>
      <c r="N2" s="196" t="s">
        <v>430</v>
      </c>
      <c r="O2" s="197" t="s">
        <v>431</v>
      </c>
      <c r="P2" s="197" t="s">
        <v>432</v>
      </c>
      <c r="Q2" s="198" t="s">
        <v>230</v>
      </c>
      <c r="R2" s="198" t="s">
        <v>433</v>
      </c>
      <c r="S2" s="207" t="s">
        <v>434</v>
      </c>
      <c r="T2" s="194" t="s">
        <v>463</v>
      </c>
    </row>
    <row r="3" spans="1:26" ht="14.85" customHeight="1">
      <c r="A3" s="58">
        <v>41477</v>
      </c>
      <c r="B3" s="12" t="s">
        <v>129</v>
      </c>
      <c r="C3" s="14" t="s">
        <v>131</v>
      </c>
      <c r="D3" s="12">
        <v>-1</v>
      </c>
      <c r="E3" s="12" t="s">
        <v>78</v>
      </c>
      <c r="N3" s="202" t="s">
        <v>435</v>
      </c>
      <c r="O3" s="203" t="s">
        <v>436</v>
      </c>
      <c r="P3" s="204">
        <v>16776.45</v>
      </c>
      <c r="Q3" s="205" t="s">
        <v>437</v>
      </c>
      <c r="R3" s="205">
        <v>6</v>
      </c>
      <c r="S3" s="209">
        <f>P3/R3</f>
        <v>2796.0750000000003</v>
      </c>
      <c r="T3" s="212">
        <f>P3-3000-3000-2500-2500-2200-3576</f>
        <v>0.4500000000007276</v>
      </c>
      <c r="U3" s="206" t="s">
        <v>464</v>
      </c>
      <c r="V3" s="206" t="s">
        <v>472</v>
      </c>
      <c r="W3" s="218" t="s">
        <v>480</v>
      </c>
      <c r="X3" s="219" t="s">
        <v>481</v>
      </c>
      <c r="Y3" s="219" t="s">
        <v>485</v>
      </c>
      <c r="Z3" s="226" t="s">
        <v>486</v>
      </c>
    </row>
    <row r="4" spans="1:26" ht="14.85" customHeight="1">
      <c r="A4" s="58">
        <v>41477</v>
      </c>
      <c r="B4" s="12" t="s">
        <v>129</v>
      </c>
      <c r="C4" s="14" t="s">
        <v>135</v>
      </c>
      <c r="D4" s="12">
        <v>-1</v>
      </c>
      <c r="E4" s="12" t="s">
        <v>78</v>
      </c>
      <c r="N4" s="202" t="s">
        <v>438</v>
      </c>
      <c r="O4" s="203" t="s">
        <v>439</v>
      </c>
      <c r="P4" s="204">
        <v>4834.3</v>
      </c>
      <c r="Q4" s="205" t="s">
        <v>440</v>
      </c>
      <c r="R4" s="205">
        <v>1</v>
      </c>
      <c r="S4" s="209">
        <f t="shared" ref="S4:S12" si="0">P4/R4</f>
        <v>4834.3</v>
      </c>
      <c r="T4" s="212">
        <f>P4-S4</f>
        <v>0</v>
      </c>
      <c r="U4" s="206" t="s">
        <v>458</v>
      </c>
    </row>
    <row r="5" spans="1:26" ht="14.85" customHeight="1">
      <c r="A5" s="58">
        <v>41477</v>
      </c>
      <c r="B5" s="12" t="s">
        <v>129</v>
      </c>
      <c r="C5" s="61" t="s">
        <v>132</v>
      </c>
      <c r="D5" s="12">
        <v>-1</v>
      </c>
      <c r="E5" s="12" t="s">
        <v>78</v>
      </c>
      <c r="N5" s="199" t="s">
        <v>441</v>
      </c>
      <c r="O5" s="193" t="s">
        <v>442</v>
      </c>
      <c r="P5" s="204">
        <v>4958.5</v>
      </c>
      <c r="Q5" s="205" t="s">
        <v>455</v>
      </c>
      <c r="R5" s="205">
        <v>2</v>
      </c>
      <c r="S5" s="209">
        <f t="shared" si="0"/>
        <v>2479.25</v>
      </c>
      <c r="T5" s="212">
        <f>P5-2480-2480</f>
        <v>-1.5</v>
      </c>
      <c r="U5" s="206" t="s">
        <v>462</v>
      </c>
      <c r="V5" s="206" t="s">
        <v>475</v>
      </c>
    </row>
    <row r="6" spans="1:26" ht="14.85" customHeight="1">
      <c r="A6" s="58">
        <v>41495</v>
      </c>
      <c r="B6" s="12" t="s">
        <v>129</v>
      </c>
      <c r="C6" s="14" t="s">
        <v>125</v>
      </c>
      <c r="D6" s="12">
        <v>-1</v>
      </c>
      <c r="E6" s="12" t="s">
        <v>78</v>
      </c>
      <c r="N6" s="199" t="s">
        <v>443</v>
      </c>
      <c r="O6" s="193" t="s">
        <v>444</v>
      </c>
      <c r="P6" s="195">
        <v>2065.6999999999998</v>
      </c>
      <c r="Q6" s="194" t="s">
        <v>460</v>
      </c>
      <c r="R6" s="194">
        <v>1</v>
      </c>
      <c r="S6" s="208">
        <f t="shared" si="0"/>
        <v>2065.6999999999998</v>
      </c>
      <c r="T6" s="211">
        <f>P6-2000</f>
        <v>65.699999999999818</v>
      </c>
      <c r="U6" s="206" t="s">
        <v>470</v>
      </c>
    </row>
    <row r="7" spans="1:26" ht="14.85" customHeight="1">
      <c r="A7" s="58"/>
      <c r="C7" s="14"/>
      <c r="D7" s="12">
        <v>1</v>
      </c>
      <c r="N7" s="199" t="s">
        <v>445</v>
      </c>
      <c r="O7" s="193" t="s">
        <v>446</v>
      </c>
      <c r="P7" s="204">
        <v>3305.37</v>
      </c>
      <c r="Q7" s="205" t="s">
        <v>376</v>
      </c>
      <c r="R7" s="205">
        <v>2</v>
      </c>
      <c r="S7" s="209">
        <f t="shared" si="0"/>
        <v>1652.6849999999999</v>
      </c>
      <c r="T7" s="212">
        <f>P7-2500-805</f>
        <v>0.36999999999989086</v>
      </c>
      <c r="U7" s="206" t="s">
        <v>461</v>
      </c>
      <c r="V7" s="206" t="s">
        <v>474</v>
      </c>
      <c r="W7" s="206"/>
    </row>
    <row r="8" spans="1:26" ht="14.85" customHeight="1">
      <c r="A8" s="58">
        <v>41529</v>
      </c>
      <c r="C8" s="14" t="s">
        <v>142</v>
      </c>
      <c r="D8" s="12">
        <v>-1</v>
      </c>
      <c r="N8" s="202" t="s">
        <v>447</v>
      </c>
      <c r="O8" s="203" t="s">
        <v>448</v>
      </c>
      <c r="P8" s="204">
        <v>11859</v>
      </c>
      <c r="Q8" s="205" t="s">
        <v>10</v>
      </c>
      <c r="R8" s="205">
        <v>6</v>
      </c>
      <c r="S8" s="209">
        <f t="shared" si="0"/>
        <v>1976.5</v>
      </c>
      <c r="T8" s="212">
        <f>P8-11859</f>
        <v>0</v>
      </c>
      <c r="U8" s="206" t="s">
        <v>471</v>
      </c>
    </row>
    <row r="9" spans="1:26" ht="14.85" customHeight="1">
      <c r="A9" s="58">
        <v>41534</v>
      </c>
      <c r="B9" s="12" t="s">
        <v>129</v>
      </c>
      <c r="C9" s="14" t="s">
        <v>143</v>
      </c>
      <c r="D9" s="12">
        <v>-1</v>
      </c>
      <c r="E9" s="12" t="s">
        <v>78</v>
      </c>
      <c r="N9" s="202" t="s">
        <v>449</v>
      </c>
      <c r="O9" s="203" t="s">
        <v>448</v>
      </c>
      <c r="P9" s="204">
        <v>11859</v>
      </c>
      <c r="Q9" s="205" t="s">
        <v>450</v>
      </c>
      <c r="R9" s="205">
        <v>6</v>
      </c>
      <c r="S9" s="209">
        <f t="shared" si="0"/>
        <v>1976.5</v>
      </c>
      <c r="T9" s="212">
        <f t="shared" ref="T9:T12" si="1">P9-11859</f>
        <v>0</v>
      </c>
      <c r="U9" s="206" t="s">
        <v>471</v>
      </c>
    </row>
    <row r="10" spans="1:26" ht="14.85" customHeight="1">
      <c r="A10" s="58"/>
      <c r="C10" s="14"/>
      <c r="D10" s="12">
        <f>SUM(D2:D9)</f>
        <v>0</v>
      </c>
      <c r="N10" s="202" t="s">
        <v>451</v>
      </c>
      <c r="O10" s="203" t="s">
        <v>448</v>
      </c>
      <c r="P10" s="204">
        <v>11859</v>
      </c>
      <c r="Q10" s="205" t="s">
        <v>452</v>
      </c>
      <c r="R10" s="205">
        <v>6</v>
      </c>
      <c r="S10" s="209">
        <f t="shared" si="0"/>
        <v>1976.5</v>
      </c>
      <c r="T10" s="212">
        <f t="shared" si="1"/>
        <v>0</v>
      </c>
      <c r="U10" s="206" t="s">
        <v>471</v>
      </c>
      <c r="V10" s="206"/>
      <c r="W10" s="206"/>
      <c r="X10" s="219"/>
      <c r="Y10" s="219"/>
    </row>
    <row r="11" spans="1:26" ht="14.85" customHeight="1">
      <c r="A11" s="58"/>
      <c r="B11" s="12" t="s">
        <v>225</v>
      </c>
      <c r="C11" s="14"/>
      <c r="H11" s="105" t="s">
        <v>242</v>
      </c>
      <c r="I11" s="106" t="s">
        <v>243</v>
      </c>
      <c r="J11" s="12" t="s">
        <v>11</v>
      </c>
      <c r="N11" s="199" t="s">
        <v>453</v>
      </c>
      <c r="O11" s="193" t="s">
        <v>448</v>
      </c>
      <c r="P11" s="204">
        <v>11859</v>
      </c>
      <c r="Q11" s="205" t="s">
        <v>459</v>
      </c>
      <c r="R11" s="205">
        <v>6</v>
      </c>
      <c r="S11" s="209">
        <f t="shared" si="0"/>
        <v>1976.5</v>
      </c>
      <c r="T11" s="212">
        <f>P11-2000-2000-2000-2000-2000-2000</f>
        <v>-141</v>
      </c>
      <c r="U11" s="206" t="s">
        <v>465</v>
      </c>
      <c r="V11" s="206" t="s">
        <v>476</v>
      </c>
      <c r="W11" s="206" t="s">
        <v>484</v>
      </c>
      <c r="X11" s="219" t="s">
        <v>487</v>
      </c>
      <c r="Y11" s="219"/>
    </row>
    <row r="12" spans="1:26" ht="14.85" customHeight="1">
      <c r="B12" s="12" t="s">
        <v>222</v>
      </c>
      <c r="C12" s="92">
        <v>15000</v>
      </c>
      <c r="D12" s="12">
        <v>2</v>
      </c>
      <c r="E12" s="18"/>
      <c r="H12" s="107" t="s">
        <v>244</v>
      </c>
      <c r="I12" s="108" t="s">
        <v>245</v>
      </c>
      <c r="J12" s="12" t="s">
        <v>306</v>
      </c>
      <c r="N12" s="202" t="s">
        <v>454</v>
      </c>
      <c r="O12" s="203" t="s">
        <v>448</v>
      </c>
      <c r="P12" s="204">
        <v>11859</v>
      </c>
      <c r="Q12" s="205" t="s">
        <v>12</v>
      </c>
      <c r="R12" s="205">
        <v>6</v>
      </c>
      <c r="S12" s="209">
        <f t="shared" si="0"/>
        <v>1976.5</v>
      </c>
      <c r="T12" s="212">
        <f t="shared" si="1"/>
        <v>0</v>
      </c>
      <c r="U12" s="206" t="s">
        <v>471</v>
      </c>
    </row>
    <row r="13" spans="1:26" ht="14.85" customHeight="1" thickBot="1">
      <c r="B13" s="12" t="s">
        <v>222</v>
      </c>
      <c r="C13" s="14" t="s">
        <v>223</v>
      </c>
      <c r="D13" s="12">
        <v>-1</v>
      </c>
      <c r="E13" s="18"/>
      <c r="H13" s="109" t="s">
        <v>246</v>
      </c>
      <c r="I13" s="108" t="s">
        <v>247</v>
      </c>
      <c r="J13" s="12" t="s">
        <v>296</v>
      </c>
      <c r="N13" s="200"/>
      <c r="O13" s="201" t="s">
        <v>467</v>
      </c>
      <c r="P13" s="204">
        <v>2250</v>
      </c>
      <c r="Q13" s="210" t="s">
        <v>468</v>
      </c>
      <c r="R13" s="210">
        <v>1</v>
      </c>
      <c r="S13" s="209">
        <v>2250</v>
      </c>
      <c r="T13" s="212">
        <f>S13-2250</f>
        <v>0</v>
      </c>
      <c r="U13" s="206" t="s">
        <v>469</v>
      </c>
    </row>
    <row r="14" spans="1:26" ht="14.85" customHeight="1" thickBot="1">
      <c r="A14" s="60"/>
      <c r="B14" s="59" t="s">
        <v>222</v>
      </c>
      <c r="C14" s="95" t="s">
        <v>130</v>
      </c>
      <c r="D14" s="59">
        <v>-1</v>
      </c>
      <c r="E14" s="96"/>
      <c r="H14" s="109" t="s">
        <v>246</v>
      </c>
      <c r="I14" s="108" t="s">
        <v>248</v>
      </c>
      <c r="J14" s="12" t="s">
        <v>298</v>
      </c>
      <c r="N14" s="15"/>
      <c r="O14" s="201" t="s">
        <v>467</v>
      </c>
      <c r="P14" s="204">
        <v>2251</v>
      </c>
      <c r="Q14" s="206" t="s">
        <v>293</v>
      </c>
      <c r="R14" s="206">
        <v>2</v>
      </c>
      <c r="S14" s="213">
        <f>P14/R14</f>
        <v>1125.5</v>
      </c>
      <c r="T14" s="214">
        <f>2251-1250-1000</f>
        <v>1</v>
      </c>
      <c r="U14" s="206"/>
      <c r="V14" s="206" t="s">
        <v>473</v>
      </c>
      <c r="W14" s="206" t="s">
        <v>477</v>
      </c>
    </row>
    <row r="15" spans="1:26" ht="14.85" customHeight="1">
      <c r="B15" s="12" t="s">
        <v>224</v>
      </c>
      <c r="C15" s="92">
        <v>4500</v>
      </c>
      <c r="D15" s="12">
        <v>1</v>
      </c>
      <c r="E15" s="94">
        <f>C12-C15</f>
        <v>10500</v>
      </c>
      <c r="F15" s="20"/>
      <c r="H15" s="110" t="s">
        <v>249</v>
      </c>
      <c r="I15" s="108" t="s">
        <v>250</v>
      </c>
      <c r="J15" s="12" t="s">
        <v>303</v>
      </c>
      <c r="N15" s="15"/>
    </row>
    <row r="16" spans="1:26" ht="14.85" customHeight="1">
      <c r="A16" s="93">
        <v>42346</v>
      </c>
      <c r="B16" s="59" t="s">
        <v>224</v>
      </c>
      <c r="C16" s="60" t="s">
        <v>142</v>
      </c>
      <c r="D16" s="59">
        <v>-1</v>
      </c>
      <c r="E16" s="59" t="s">
        <v>78</v>
      </c>
      <c r="F16" s="12" t="s">
        <v>329</v>
      </c>
      <c r="H16" s="110" t="s">
        <v>249</v>
      </c>
      <c r="I16" s="108" t="s">
        <v>251</v>
      </c>
      <c r="J16" s="12" t="s">
        <v>308</v>
      </c>
      <c r="N16" s="15"/>
    </row>
    <row r="17" spans="1:14" ht="14.85" customHeight="1">
      <c r="B17" s="12" t="s">
        <v>219</v>
      </c>
      <c r="C17" s="92">
        <v>3000</v>
      </c>
      <c r="D17" s="12">
        <v>6</v>
      </c>
      <c r="E17" s="18"/>
      <c r="H17" s="110" t="s">
        <v>249</v>
      </c>
      <c r="I17" s="108" t="s">
        <v>252</v>
      </c>
      <c r="L17" s="12" t="s">
        <v>331</v>
      </c>
      <c r="N17" s="15"/>
    </row>
    <row r="18" spans="1:14" ht="14.85" customHeight="1">
      <c r="A18" s="58">
        <v>42340</v>
      </c>
      <c r="B18" s="12" t="s">
        <v>219</v>
      </c>
      <c r="C18" s="14" t="s">
        <v>220</v>
      </c>
      <c r="D18" s="12">
        <v>-1</v>
      </c>
      <c r="E18" s="12" t="s">
        <v>78</v>
      </c>
      <c r="H18" s="110" t="s">
        <v>249</v>
      </c>
      <c r="I18" s="108" t="s">
        <v>253</v>
      </c>
      <c r="J18" s="12" t="s">
        <v>304</v>
      </c>
      <c r="N18" s="15"/>
    </row>
    <row r="19" spans="1:14" ht="14.85" customHeight="1">
      <c r="A19" s="58">
        <v>42340</v>
      </c>
      <c r="B19" s="12" t="s">
        <v>219</v>
      </c>
      <c r="C19" s="97"/>
      <c r="D19" s="20">
        <v>-1</v>
      </c>
      <c r="E19" s="20" t="s">
        <v>78</v>
      </c>
      <c r="F19" s="20" t="s">
        <v>312</v>
      </c>
      <c r="H19" s="110" t="s">
        <v>249</v>
      </c>
      <c r="I19" s="108" t="s">
        <v>254</v>
      </c>
      <c r="J19" s="12" t="s">
        <v>309</v>
      </c>
      <c r="N19" s="15"/>
    </row>
    <row r="20" spans="1:14" ht="14.85" customHeight="1">
      <c r="A20" s="93">
        <v>42340</v>
      </c>
      <c r="B20" s="59" t="s">
        <v>219</v>
      </c>
      <c r="C20" s="60" t="s">
        <v>143</v>
      </c>
      <c r="D20" s="59">
        <v>-1</v>
      </c>
      <c r="E20" s="59" t="s">
        <v>78</v>
      </c>
      <c r="F20" s="20"/>
      <c r="H20" s="111"/>
      <c r="I20" s="112"/>
      <c r="N20" s="15"/>
    </row>
    <row r="21" spans="1:14" ht="14.85" customHeight="1">
      <c r="A21" s="93">
        <v>42404</v>
      </c>
      <c r="B21" s="59" t="s">
        <v>219</v>
      </c>
      <c r="C21" s="60" t="s">
        <v>276</v>
      </c>
      <c r="D21" s="59">
        <v>-1</v>
      </c>
      <c r="E21" s="59" t="s">
        <v>78</v>
      </c>
      <c r="F21" s="20"/>
      <c r="H21" s="110" t="s">
        <v>249</v>
      </c>
      <c r="I21" s="108" t="s">
        <v>255</v>
      </c>
      <c r="J21" s="12" t="s">
        <v>307</v>
      </c>
      <c r="N21" s="15"/>
    </row>
    <row r="22" spans="1:14" ht="14.85" customHeight="1">
      <c r="A22" s="58"/>
      <c r="C22" s="14"/>
      <c r="F22" s="20"/>
      <c r="H22" s="111"/>
      <c r="I22" s="112"/>
      <c r="N22" s="15"/>
    </row>
    <row r="23" spans="1:14" ht="14.85" customHeight="1">
      <c r="A23" s="93">
        <v>42404</v>
      </c>
      <c r="B23" s="11" t="s">
        <v>221</v>
      </c>
      <c r="C23" s="11" t="s">
        <v>241</v>
      </c>
      <c r="D23" s="11">
        <v>-3</v>
      </c>
      <c r="E23" s="11"/>
      <c r="H23" s="110" t="s">
        <v>249</v>
      </c>
      <c r="I23" s="108" t="s">
        <v>256</v>
      </c>
      <c r="J23" s="12" t="s">
        <v>335</v>
      </c>
      <c r="N23" s="15"/>
    </row>
    <row r="24" spans="1:14" ht="14.85" customHeight="1">
      <c r="B24" s="12" t="s">
        <v>221</v>
      </c>
      <c r="C24" s="92">
        <v>4000</v>
      </c>
      <c r="D24" s="12">
        <v>8</v>
      </c>
      <c r="E24" s="18"/>
      <c r="H24" s="110" t="s">
        <v>249</v>
      </c>
      <c r="I24" s="108" t="s">
        <v>257</v>
      </c>
      <c r="J24" s="12" t="s">
        <v>308</v>
      </c>
      <c r="K24" s="12" t="s">
        <v>310</v>
      </c>
      <c r="N24" s="15"/>
    </row>
    <row r="25" spans="1:14" ht="14.85" customHeight="1">
      <c r="B25" s="12" t="s">
        <v>221</v>
      </c>
      <c r="C25" s="92" t="s">
        <v>229</v>
      </c>
      <c r="D25" s="12">
        <v>-1</v>
      </c>
      <c r="E25" s="18"/>
      <c r="H25" s="110" t="s">
        <v>249</v>
      </c>
      <c r="I25" s="108" t="s">
        <v>258</v>
      </c>
      <c r="J25" s="12" t="s">
        <v>292</v>
      </c>
      <c r="N25" s="15"/>
    </row>
    <row r="26" spans="1:14" ht="14.85" customHeight="1">
      <c r="B26" s="12" t="s">
        <v>221</v>
      </c>
      <c r="C26" s="92" t="s">
        <v>229</v>
      </c>
      <c r="D26" s="12">
        <v>-1</v>
      </c>
      <c r="E26" s="18"/>
      <c r="H26" s="110" t="s">
        <v>249</v>
      </c>
      <c r="I26" s="108" t="s">
        <v>259</v>
      </c>
      <c r="J26" s="114" t="s">
        <v>294</v>
      </c>
      <c r="N26" s="15"/>
    </row>
    <row r="27" spans="1:14" ht="14.85" customHeight="1">
      <c r="A27" s="58"/>
      <c r="C27" s="14"/>
      <c r="H27" s="110" t="s">
        <v>249</v>
      </c>
      <c r="I27" s="108" t="s">
        <v>260</v>
      </c>
      <c r="J27" s="114" t="s">
        <v>302</v>
      </c>
      <c r="N27" s="15"/>
    </row>
    <row r="28" spans="1:14" ht="14.85" customHeight="1">
      <c r="B28" s="12" t="s">
        <v>7</v>
      </c>
      <c r="C28" s="14"/>
      <c r="D28" s="12">
        <f>SUM(D2:D26)</f>
        <v>5</v>
      </c>
      <c r="H28" s="110" t="s">
        <v>249</v>
      </c>
      <c r="I28" s="108" t="s">
        <v>261</v>
      </c>
      <c r="J28" s="114" t="s">
        <v>288</v>
      </c>
      <c r="N28" s="15"/>
    </row>
    <row r="29" spans="1:14" ht="14.85" customHeight="1">
      <c r="C29" s="14"/>
      <c r="H29" s="110" t="s">
        <v>249</v>
      </c>
      <c r="I29" s="108" t="s">
        <v>262</v>
      </c>
      <c r="J29" s="114" t="s">
        <v>290</v>
      </c>
      <c r="N29" s="15"/>
    </row>
    <row r="30" spans="1:14" ht="14.85" customHeight="1">
      <c r="C30" s="14"/>
      <c r="H30" s="110" t="s">
        <v>249</v>
      </c>
      <c r="I30" s="108" t="s">
        <v>263</v>
      </c>
      <c r="J30" s="114" t="s">
        <v>291</v>
      </c>
      <c r="N30" s="15"/>
    </row>
    <row r="31" spans="1:14" ht="14.85" customHeight="1">
      <c r="C31" s="14"/>
      <c r="E31" s="20"/>
      <c r="H31" s="110" t="s">
        <v>249</v>
      </c>
      <c r="I31" s="108" t="s">
        <v>264</v>
      </c>
      <c r="J31" s="114" t="s">
        <v>293</v>
      </c>
      <c r="N31" s="15"/>
    </row>
    <row r="32" spans="1:14" ht="14.85" customHeight="1">
      <c r="C32" s="14"/>
      <c r="E32" s="20"/>
      <c r="H32" s="110" t="s">
        <v>249</v>
      </c>
      <c r="I32" s="108" t="s">
        <v>265</v>
      </c>
      <c r="J32" s="114" t="s">
        <v>295</v>
      </c>
      <c r="N32" s="15"/>
    </row>
    <row r="33" spans="1:14" ht="14.85" customHeight="1">
      <c r="A33" s="58">
        <v>41534</v>
      </c>
      <c r="C33" s="14" t="s">
        <v>144</v>
      </c>
      <c r="E33" s="18" t="s">
        <v>78</v>
      </c>
      <c r="F33" s="20"/>
      <c r="H33" s="110" t="s">
        <v>249</v>
      </c>
      <c r="I33" s="108" t="s">
        <v>266</v>
      </c>
      <c r="J33" s="114" t="s">
        <v>300</v>
      </c>
      <c r="N33" s="15"/>
    </row>
    <row r="34" spans="1:14" ht="14.85" customHeight="1">
      <c r="B34" s="12" t="s">
        <v>136</v>
      </c>
      <c r="C34" s="14"/>
      <c r="D34" s="12">
        <v>1</v>
      </c>
      <c r="E34" s="18"/>
      <c r="H34" s="110" t="s">
        <v>249</v>
      </c>
      <c r="I34" s="108" t="s">
        <v>267</v>
      </c>
      <c r="J34" s="114" t="s">
        <v>289</v>
      </c>
      <c r="N34" s="15"/>
    </row>
    <row r="35" spans="1:14" ht="14.85" customHeight="1">
      <c r="C35" s="14"/>
      <c r="E35" s="18"/>
      <c r="F35" s="20"/>
      <c r="H35" s="110" t="s">
        <v>249</v>
      </c>
      <c r="I35" s="108" t="s">
        <v>268</v>
      </c>
      <c r="J35" s="114" t="s">
        <v>305</v>
      </c>
      <c r="N35" s="15"/>
    </row>
    <row r="36" spans="1:14" ht="14.85" customHeight="1">
      <c r="C36" s="14"/>
      <c r="E36" s="18"/>
      <c r="H36" s="110" t="s">
        <v>249</v>
      </c>
      <c r="I36" s="108" t="s">
        <v>269</v>
      </c>
      <c r="J36" s="114"/>
      <c r="L36" s="12" t="s">
        <v>332</v>
      </c>
      <c r="N36" s="15"/>
    </row>
    <row r="37" spans="1:14" ht="14.85" customHeight="1">
      <c r="C37" s="14"/>
      <c r="E37" s="18"/>
      <c r="F37" s="20"/>
      <c r="H37" s="110" t="s">
        <v>249</v>
      </c>
      <c r="I37" s="108" t="s">
        <v>270</v>
      </c>
      <c r="J37" s="114" t="s">
        <v>301</v>
      </c>
      <c r="N37" s="15"/>
    </row>
    <row r="38" spans="1:14" ht="14.85" customHeight="1">
      <c r="C38" s="14"/>
      <c r="E38" s="18"/>
      <c r="H38" s="110" t="s">
        <v>249</v>
      </c>
      <c r="I38" s="108" t="s">
        <v>271</v>
      </c>
      <c r="J38" s="114" t="s">
        <v>299</v>
      </c>
      <c r="N38" s="15"/>
    </row>
    <row r="39" spans="1:14" ht="14.85" customHeight="1">
      <c r="B39" s="19"/>
      <c r="C39" s="14"/>
      <c r="E39" s="18"/>
      <c r="F39" s="20"/>
      <c r="H39" s="110" t="s">
        <v>249</v>
      </c>
      <c r="I39" s="108" t="s">
        <v>272</v>
      </c>
      <c r="J39" s="12" t="s">
        <v>297</v>
      </c>
      <c r="N39" s="15"/>
    </row>
    <row r="40" spans="1:14" ht="14.85" customHeight="1">
      <c r="C40" s="14"/>
      <c r="E40" s="18"/>
      <c r="F40" s="20"/>
      <c r="H40" s="110" t="s">
        <v>249</v>
      </c>
      <c r="I40" s="108" t="s">
        <v>273</v>
      </c>
      <c r="J40" s="12" t="s">
        <v>330</v>
      </c>
      <c r="L40" s="12" t="s">
        <v>313</v>
      </c>
      <c r="N40" s="15"/>
    </row>
    <row r="41" spans="1:14" ht="14.85" customHeight="1">
      <c r="B41" s="19"/>
      <c r="C41" s="14"/>
      <c r="E41" s="18"/>
      <c r="F41" s="20"/>
      <c r="N41" s="15"/>
    </row>
    <row r="42" spans="1:14" ht="14.85" customHeight="1">
      <c r="C42" s="14"/>
      <c r="E42" s="18"/>
      <c r="F42" s="20"/>
      <c r="N42" s="15"/>
    </row>
    <row r="43" spans="1:14" ht="14.85" customHeight="1">
      <c r="C43" s="14"/>
      <c r="E43" s="18"/>
      <c r="F43" s="19"/>
      <c r="N43" s="15"/>
    </row>
    <row r="44" spans="1:14" ht="14.85" customHeight="1">
      <c r="C44" s="14"/>
      <c r="E44" s="18"/>
      <c r="F44" s="19"/>
      <c r="N44" s="15"/>
    </row>
    <row r="45" spans="1:14" ht="14.85" customHeight="1">
      <c r="B45" s="19"/>
      <c r="C45" s="14"/>
      <c r="E45" s="18"/>
      <c r="F45" s="19"/>
      <c r="N45" s="15"/>
    </row>
    <row r="46" spans="1:14" ht="14.85" customHeight="1">
      <c r="B46" s="19"/>
      <c r="C46" s="14"/>
      <c r="E46" s="18"/>
      <c r="F46" s="20"/>
      <c r="N46" s="15"/>
    </row>
    <row r="47" spans="1:14" ht="14.85" customHeight="1">
      <c r="B47" s="19"/>
      <c r="C47" s="14"/>
      <c r="E47" s="18"/>
      <c r="F47" s="20"/>
      <c r="N47" s="15"/>
    </row>
    <row r="48" spans="1:14" ht="14.85" customHeight="1">
      <c r="B48" s="19"/>
      <c r="C48" s="14"/>
      <c r="E48" s="18"/>
      <c r="F48" s="20"/>
      <c r="N48" s="15"/>
    </row>
    <row r="49" spans="2:14" ht="14.85" customHeight="1">
      <c r="B49" s="19"/>
      <c r="C49" s="14"/>
      <c r="E49" s="18"/>
      <c r="F49" s="20"/>
      <c r="N49" s="15"/>
    </row>
    <row r="50" spans="2:14" ht="14.85" customHeight="1">
      <c r="B50" s="19"/>
      <c r="C50" s="14"/>
      <c r="E50" s="18"/>
      <c r="F50" s="20"/>
      <c r="N50" s="15"/>
    </row>
    <row r="51" spans="2:14" ht="14.85" customHeight="1">
      <c r="B51" s="19"/>
      <c r="C51" s="14"/>
      <c r="E51" s="18"/>
      <c r="N51" s="15"/>
    </row>
    <row r="52" spans="2:14" ht="14.85" customHeight="1">
      <c r="B52" s="19"/>
      <c r="C52" s="14"/>
      <c r="E52" s="18"/>
      <c r="N52" s="15"/>
    </row>
    <row r="53" spans="2:14" ht="14.85" customHeight="1">
      <c r="B53" s="19"/>
      <c r="C53" s="14"/>
      <c r="E53" s="18"/>
      <c r="N53" s="15"/>
    </row>
    <row r="54" spans="2:14" ht="14.85" customHeight="1">
      <c r="B54" s="19"/>
      <c r="C54" s="14"/>
      <c r="E54" s="18"/>
      <c r="N54" s="15"/>
    </row>
    <row r="55" spans="2:14" ht="14.85" customHeight="1">
      <c r="B55" s="19"/>
      <c r="C55" s="14"/>
      <c r="E55" s="18"/>
      <c r="N55" s="15"/>
    </row>
    <row r="56" spans="2:14" ht="14.85" customHeight="1">
      <c r="B56" s="19"/>
      <c r="C56" s="14"/>
      <c r="E56" s="18"/>
      <c r="N56" s="15"/>
    </row>
    <row r="57" spans="2:14" ht="14.85" customHeight="1">
      <c r="B57" s="19"/>
      <c r="C57" s="14"/>
      <c r="E57" s="18"/>
      <c r="N57" s="15"/>
    </row>
    <row r="58" spans="2:14" ht="13.8">
      <c r="B58" s="19"/>
      <c r="C58" s="14"/>
      <c r="E58" s="18"/>
      <c r="N58" s="15"/>
    </row>
    <row r="59" spans="2:14" ht="14.85" customHeight="1">
      <c r="C59" s="14"/>
      <c r="N59" s="15"/>
    </row>
    <row r="60" spans="2:14" ht="14.85" customHeight="1">
      <c r="B60" s="17"/>
      <c r="C60" s="16"/>
      <c r="N60" s="15"/>
    </row>
    <row r="61" spans="2:14" ht="14.85" customHeight="1">
      <c r="N61" s="15"/>
    </row>
    <row r="62" spans="2:14" ht="14.85" customHeight="1">
      <c r="N62" s="15"/>
    </row>
    <row r="63" spans="2:14" ht="14.85" customHeight="1">
      <c r="N63" s="15"/>
    </row>
    <row r="64" spans="2:14" ht="14.85" customHeight="1">
      <c r="N64" s="15"/>
    </row>
    <row r="65" spans="14:14" ht="14.85" customHeight="1">
      <c r="N65" s="15"/>
    </row>
    <row r="66" spans="14:14" ht="14.85" customHeight="1">
      <c r="N66" s="15"/>
    </row>
    <row r="67" spans="14:14" ht="14.85" customHeight="1">
      <c r="N67" s="15"/>
    </row>
    <row r="68" spans="14:14" ht="14.85" customHeight="1">
      <c r="N68" s="15"/>
    </row>
    <row r="69" spans="14:14" ht="14.85" customHeight="1">
      <c r="N69" s="15"/>
    </row>
    <row r="70" spans="14:14" ht="14.85" customHeight="1">
      <c r="N70" s="15"/>
    </row>
    <row r="71" spans="14:14" ht="14.85" customHeight="1">
      <c r="N71" s="15"/>
    </row>
    <row r="72" spans="14:14" ht="14.85" customHeight="1">
      <c r="N72" s="15"/>
    </row>
    <row r="73" spans="14:14" ht="14.85" customHeight="1">
      <c r="N73" s="15"/>
    </row>
    <row r="74" spans="14:14" ht="14.85" customHeight="1">
      <c r="N74" s="15"/>
    </row>
    <row r="75" spans="14:14" ht="14.85" customHeight="1">
      <c r="N75" s="15"/>
    </row>
    <row r="76" spans="14:14" ht="14.85" customHeight="1">
      <c r="N76" s="15"/>
    </row>
    <row r="77" spans="14:14" ht="14.85" customHeight="1">
      <c r="N77" s="15"/>
    </row>
    <row r="78" spans="14:14" ht="14.85" customHeight="1">
      <c r="N78" s="15"/>
    </row>
    <row r="79" spans="14:14" ht="14.85" customHeight="1">
      <c r="N79" s="15"/>
    </row>
    <row r="80" spans="14:14" ht="14.85" customHeight="1">
      <c r="N80" s="15"/>
    </row>
    <row r="81" spans="14:14" ht="14.85" customHeight="1">
      <c r="N81" s="15"/>
    </row>
    <row r="82" spans="14:14" ht="14.85" customHeight="1">
      <c r="N82" s="15"/>
    </row>
    <row r="83" spans="14:14" ht="14.85" customHeight="1">
      <c r="N83" s="15"/>
    </row>
    <row r="84" spans="14:14" ht="14.85" customHeight="1">
      <c r="N84" s="15"/>
    </row>
    <row r="85" spans="14:14" ht="14.85" customHeight="1">
      <c r="N85" s="15"/>
    </row>
    <row r="86" spans="14:14" ht="14.85" customHeight="1">
      <c r="N86" s="15"/>
    </row>
    <row r="87" spans="14:14" ht="14.85" customHeight="1">
      <c r="N87" s="15"/>
    </row>
    <row r="88" spans="14:14" ht="14.85" customHeight="1">
      <c r="N88" s="15"/>
    </row>
    <row r="89" spans="14:14" ht="14.85" customHeight="1">
      <c r="N89" s="15"/>
    </row>
    <row r="90" spans="14:14" ht="14.85" customHeight="1">
      <c r="N90" s="15"/>
    </row>
    <row r="91" spans="14:14" ht="14.85" customHeight="1">
      <c r="N91" s="15"/>
    </row>
    <row r="92" spans="14:14" ht="14.85" customHeight="1">
      <c r="N92" s="15"/>
    </row>
    <row r="93" spans="14:14" ht="14.85" customHeight="1">
      <c r="N93" s="15"/>
    </row>
    <row r="94" spans="14:14" ht="14.85" customHeight="1">
      <c r="N94" s="15"/>
    </row>
    <row r="95" spans="14:14" ht="14.85" customHeight="1">
      <c r="N95" s="15"/>
    </row>
    <row r="96" spans="14:14" ht="14.85" customHeight="1">
      <c r="N96" s="15"/>
    </row>
    <row r="97" spans="14:14" ht="14.85" customHeight="1">
      <c r="N97" s="15"/>
    </row>
    <row r="98" spans="14:14" ht="14.85" customHeight="1">
      <c r="N98" s="15"/>
    </row>
    <row r="99" spans="14:14" ht="14.85" customHeight="1">
      <c r="N99" s="15"/>
    </row>
    <row r="100" spans="14:14" ht="14.85" customHeight="1">
      <c r="N100" s="15"/>
    </row>
    <row r="101" spans="14:14" ht="14.85" customHeight="1">
      <c r="N101" s="15"/>
    </row>
    <row r="102" spans="14:14" ht="14.85" customHeight="1">
      <c r="N102" s="15"/>
    </row>
    <row r="103" spans="14:14" ht="14.85" customHeight="1">
      <c r="N103" s="15"/>
    </row>
    <row r="104" spans="14:14" ht="14.85" customHeight="1">
      <c r="N104" s="15"/>
    </row>
    <row r="105" spans="14:14" ht="14.85" customHeight="1">
      <c r="N105" s="15"/>
    </row>
    <row r="106" spans="14:14" ht="14.85" customHeight="1">
      <c r="N106" s="15"/>
    </row>
    <row r="107" spans="14:14" ht="14.85" customHeight="1">
      <c r="N107" s="15"/>
    </row>
    <row r="108" spans="14:14" ht="14.85" customHeight="1">
      <c r="N108" s="15"/>
    </row>
    <row r="109" spans="14:14" ht="14.85" customHeight="1">
      <c r="N109" s="15"/>
    </row>
    <row r="110" spans="14:14" ht="14.85" customHeight="1">
      <c r="N110" s="15"/>
    </row>
    <row r="111" spans="14:14" ht="14.85" customHeight="1">
      <c r="N111" s="15"/>
    </row>
    <row r="112" spans="14:14" ht="14.85" customHeight="1">
      <c r="N112" s="15"/>
    </row>
    <row r="113" spans="14:14" ht="14.85" customHeight="1">
      <c r="N113" s="15"/>
    </row>
    <row r="114" spans="14:14" ht="14.85" customHeight="1">
      <c r="N114" s="15"/>
    </row>
    <row r="115" spans="14:14" ht="14.85" customHeight="1">
      <c r="N115" s="15"/>
    </row>
    <row r="116" spans="14:14" ht="14.85" customHeight="1">
      <c r="N116" s="15"/>
    </row>
    <row r="117" spans="14:14" ht="14.85" customHeight="1">
      <c r="N117" s="15"/>
    </row>
    <row r="118" spans="14:14" ht="14.85" customHeight="1">
      <c r="N118" s="15"/>
    </row>
    <row r="119" spans="14:14" ht="14.85" customHeight="1">
      <c r="N119" s="15"/>
    </row>
    <row r="120" spans="14:14" ht="14.85" customHeight="1">
      <c r="N120" s="15"/>
    </row>
    <row r="121" spans="14:14" ht="14.85" customHeight="1">
      <c r="N121" s="15"/>
    </row>
    <row r="122" spans="14:14" ht="14.85" customHeight="1">
      <c r="N122" s="15"/>
    </row>
    <row r="123" spans="14:14" ht="14.85" customHeight="1">
      <c r="N123" s="15"/>
    </row>
    <row r="124" spans="14:14" ht="14.85" customHeight="1">
      <c r="N124" s="15"/>
    </row>
    <row r="125" spans="14:14" ht="14.85" customHeight="1">
      <c r="N125" s="15"/>
    </row>
    <row r="126" spans="14:14" ht="14.85" customHeight="1">
      <c r="N126" s="15"/>
    </row>
    <row r="127" spans="14:14" ht="14.85" customHeight="1">
      <c r="N127" s="15"/>
    </row>
    <row r="128" spans="14:14" ht="14.85" customHeight="1">
      <c r="N128" s="15"/>
    </row>
    <row r="129" spans="14:14" ht="14.85" customHeight="1">
      <c r="N129" s="15"/>
    </row>
    <row r="130" spans="14:14" ht="14.85" customHeight="1">
      <c r="N130" s="15"/>
    </row>
    <row r="131" spans="14:14" ht="14.85" customHeight="1">
      <c r="N131" s="15"/>
    </row>
    <row r="132" spans="14:14" ht="14.85" customHeight="1">
      <c r="N132" s="15"/>
    </row>
    <row r="133" spans="14:14" ht="14.85" customHeight="1">
      <c r="N133" s="15"/>
    </row>
    <row r="134" spans="14:14" ht="14.85" customHeight="1">
      <c r="N134" s="15"/>
    </row>
    <row r="135" spans="14:14" ht="14.85" customHeight="1">
      <c r="N135" s="15"/>
    </row>
    <row r="136" spans="14:14" ht="14.85" customHeight="1">
      <c r="N136" s="15"/>
    </row>
    <row r="137" spans="14:14" ht="14.85" customHeight="1">
      <c r="N137" s="15"/>
    </row>
    <row r="138" spans="14:14" ht="14.85" customHeight="1">
      <c r="N138" s="15"/>
    </row>
    <row r="139" spans="14:14" ht="14.85" customHeight="1">
      <c r="N139" s="15"/>
    </row>
    <row r="140" spans="14:14" ht="14.85" customHeight="1">
      <c r="N140" s="15"/>
    </row>
    <row r="141" spans="14:14" ht="14.85" customHeight="1">
      <c r="N141" s="15"/>
    </row>
    <row r="142" spans="14:14" ht="14.85" customHeight="1">
      <c r="N142" s="15"/>
    </row>
    <row r="143" spans="14:14" ht="14.85" customHeight="1">
      <c r="N143" s="15"/>
    </row>
    <row r="144" spans="14:14" ht="14.85" customHeight="1">
      <c r="N144" s="15"/>
    </row>
    <row r="145" spans="14:14" ht="14.85" customHeight="1">
      <c r="N145" s="15"/>
    </row>
    <row r="146" spans="14:14" ht="14.85" customHeight="1">
      <c r="N146" s="15"/>
    </row>
    <row r="147" spans="14:14" ht="14.85" customHeight="1">
      <c r="N147" s="15"/>
    </row>
    <row r="148" spans="14:14" ht="14.85" customHeight="1">
      <c r="N148" s="15"/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paperSize="9" pageOrder="overThenDown" orientation="portrait" useFirstPageNumber="1" horizontalDpi="300" verticalDpi="300" r:id="rId1"/>
  <headerFooter alignWithMargins="0">
    <oddHeader>&amp;C&amp;10&amp;A</oddHeader>
    <oddFooter>&amp;C&amp;10Página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4"/>
  <sheetViews>
    <sheetView tabSelected="1" workbookViewId="0">
      <selection activeCell="A2" sqref="A2:G103"/>
    </sheetView>
  </sheetViews>
  <sheetFormatPr baseColWidth="10" defaultRowHeight="14.4"/>
  <cols>
    <col min="1" max="1" width="4.6640625" customWidth="1"/>
    <col min="2" max="2" width="26.5546875" customWidth="1"/>
    <col min="3" max="3" width="13.5546875" customWidth="1"/>
    <col min="4" max="4" width="4.6640625" customWidth="1"/>
    <col min="5" max="5" width="9.5546875" bestFit="1" customWidth="1"/>
    <col min="6" max="6" width="11.33203125" bestFit="1" customWidth="1"/>
    <col min="7" max="7" width="5.33203125" customWidth="1"/>
  </cols>
  <sheetData>
    <row r="1" spans="1:8">
      <c r="A1" s="24"/>
      <c r="B1" s="24"/>
      <c r="C1" s="24"/>
      <c r="D1" s="28"/>
      <c r="E1" s="27"/>
      <c r="F1" s="24"/>
      <c r="G1" s="25"/>
      <c r="H1" s="26"/>
    </row>
    <row r="2" spans="1:8">
      <c r="A2" s="29"/>
      <c r="B2" s="30"/>
      <c r="C2" s="30"/>
      <c r="D2" s="30"/>
      <c r="E2" s="31"/>
      <c r="F2" s="45"/>
      <c r="G2" s="32"/>
    </row>
    <row r="3" spans="1:8">
      <c r="A3" s="33"/>
      <c r="B3" s="37" t="s">
        <v>84</v>
      </c>
      <c r="C3" s="35">
        <v>2615574150</v>
      </c>
      <c r="E3" s="37" t="s">
        <v>85</v>
      </c>
      <c r="F3" s="50">
        <f>Personal!C$72</f>
        <v>43922</v>
      </c>
      <c r="G3" s="36"/>
    </row>
    <row r="4" spans="1:8">
      <c r="A4" s="33"/>
      <c r="B4" s="37" t="s">
        <v>92</v>
      </c>
      <c r="C4" s="34" t="str">
        <f>VLOOKUP(C3,Personal!A:B,2,FALSE)</f>
        <v>Nicolas Iviglia</v>
      </c>
      <c r="G4" s="38"/>
    </row>
    <row r="5" spans="1:8">
      <c r="A5" s="33"/>
      <c r="B5" s="37" t="s">
        <v>83</v>
      </c>
      <c r="C5" s="37" t="str">
        <f>VLOOKUP(C3,Personal!A:D,4,FALSE)</f>
        <v>TI Empresas Ilimitado</v>
      </c>
      <c r="G5" s="38"/>
    </row>
    <row r="6" spans="1:8">
      <c r="A6" s="33"/>
      <c r="B6" s="52" t="s">
        <v>325</v>
      </c>
      <c r="C6" s="117">
        <f>VLOOKUP(C5,Det_Personal!$P$1:$S$4,2,FALSE)</f>
        <v>300</v>
      </c>
      <c r="G6" s="38"/>
    </row>
    <row r="7" spans="1:8">
      <c r="A7" s="33"/>
      <c r="B7" t="s">
        <v>326</v>
      </c>
      <c r="C7" s="117">
        <f>VLOOKUP(C5,Det_Personal!$P$1:$S$4,4,FALSE)</f>
        <v>300</v>
      </c>
      <c r="D7" s="116"/>
      <c r="G7" s="38"/>
    </row>
    <row r="8" spans="1:8">
      <c r="A8" s="33"/>
      <c r="B8" s="52" t="s">
        <v>358</v>
      </c>
      <c r="C8" s="126">
        <f>VLOOKUP(C5,Det_Personal!$P$1:$T$4,5,FALSE)</f>
        <v>1.2</v>
      </c>
      <c r="D8" s="116"/>
      <c r="G8" s="38"/>
    </row>
    <row r="9" spans="1:8">
      <c r="A9" s="33"/>
      <c r="E9" s="27"/>
      <c r="F9" s="46"/>
      <c r="G9" s="38"/>
    </row>
    <row r="10" spans="1:8">
      <c r="A10" s="33"/>
      <c r="B10" s="37" t="s">
        <v>237</v>
      </c>
      <c r="C10" s="24"/>
      <c r="D10" s="101"/>
      <c r="E10" s="27"/>
      <c r="F10" s="102">
        <f>VLOOKUP(C3,Personal!A:F,5,FALSE)</f>
        <v>1250</v>
      </c>
      <c r="G10" s="39"/>
    </row>
    <row r="11" spans="1:8">
      <c r="A11" s="33"/>
      <c r="B11" s="37" t="s">
        <v>360</v>
      </c>
      <c r="C11" s="24"/>
      <c r="D11" s="101"/>
      <c r="E11" s="27"/>
      <c r="F11" s="102" t="s">
        <v>333</v>
      </c>
      <c r="G11" s="39"/>
    </row>
    <row r="12" spans="1:8">
      <c r="A12" s="33"/>
      <c r="B12" s="37" t="s">
        <v>236</v>
      </c>
      <c r="C12" s="24"/>
      <c r="D12" s="24"/>
      <c r="E12" s="27"/>
      <c r="F12" s="102">
        <f>VLOOKUP(C3,Personal!A:F,6,FALSE)</f>
        <v>0</v>
      </c>
      <c r="G12" s="38"/>
    </row>
    <row r="13" spans="1:8">
      <c r="A13" s="33"/>
      <c r="B13" s="37" t="s">
        <v>285</v>
      </c>
      <c r="C13" s="103"/>
      <c r="D13" s="37"/>
      <c r="E13" s="43"/>
      <c r="F13" s="102">
        <f>VLOOKUP(C3,Personal!A:GM,7,FALSE)/1.321667</f>
        <v>127.32405363832191</v>
      </c>
      <c r="G13" s="38"/>
    </row>
    <row r="14" spans="1:8">
      <c r="A14" s="33"/>
      <c r="B14" s="37" t="s">
        <v>334</v>
      </c>
      <c r="C14" s="103"/>
      <c r="D14" s="37"/>
      <c r="E14" s="43"/>
      <c r="F14" s="102">
        <f>VLOOKUP(C3,Personal!A:I,9,FALSE)</f>
        <v>0</v>
      </c>
      <c r="G14" s="38"/>
    </row>
    <row r="15" spans="1:8">
      <c r="A15" s="33"/>
      <c r="G15" s="39"/>
    </row>
    <row r="16" spans="1:8">
      <c r="A16" s="33"/>
      <c r="B16" s="24" t="s">
        <v>87</v>
      </c>
      <c r="C16" s="24"/>
      <c r="D16" s="24"/>
      <c r="E16" s="27" t="s">
        <v>86</v>
      </c>
      <c r="F16" s="46">
        <f>SUM(F10:F15)</f>
        <v>1377.3240536383219</v>
      </c>
      <c r="G16" s="38"/>
    </row>
    <row r="17" spans="1:8">
      <c r="A17" s="33"/>
      <c r="B17" s="24" t="s">
        <v>89</v>
      </c>
      <c r="C17" s="24"/>
      <c r="D17" s="24"/>
      <c r="E17" s="27" t="s">
        <v>86</v>
      </c>
      <c r="F17" s="46">
        <f>F14*21%</f>
        <v>0</v>
      </c>
      <c r="G17" s="38"/>
    </row>
    <row r="18" spans="1:8">
      <c r="A18" s="33"/>
      <c r="B18" s="24" t="s">
        <v>88</v>
      </c>
      <c r="C18" s="24"/>
      <c r="D18" s="24"/>
      <c r="E18" s="27" t="s">
        <v>86</v>
      </c>
      <c r="F18" s="47">
        <f>SUM(F10:F13)*27%</f>
        <v>371.87749448234695</v>
      </c>
      <c r="G18" s="38"/>
    </row>
    <row r="19" spans="1:8">
      <c r="A19" s="33"/>
      <c r="B19" s="52" t="s">
        <v>238</v>
      </c>
      <c r="C19" s="24"/>
      <c r="D19" s="24"/>
      <c r="E19" s="27" t="s">
        <v>86</v>
      </c>
      <c r="F19" s="46">
        <f>SUM(F10:F13)*4.1667%</f>
        <v>57.388961342947951</v>
      </c>
      <c r="G19" s="38"/>
    </row>
    <row r="20" spans="1:8">
      <c r="A20" s="33"/>
      <c r="B20" s="53" t="s">
        <v>2</v>
      </c>
      <c r="C20" s="40"/>
      <c r="D20" s="40"/>
      <c r="E20" s="42" t="s">
        <v>86</v>
      </c>
      <c r="F20" s="48">
        <f>SUM(F10:F13)*1%</f>
        <v>13.773240536383218</v>
      </c>
      <c r="G20" s="38"/>
    </row>
    <row r="21" spans="1:8">
      <c r="A21" s="33"/>
      <c r="B21" s="37" t="s">
        <v>90</v>
      </c>
      <c r="C21" s="37"/>
      <c r="D21" s="37"/>
      <c r="E21" s="43" t="s">
        <v>86</v>
      </c>
      <c r="F21" s="49">
        <f>SUM(F16:F20)</f>
        <v>1820.36375</v>
      </c>
      <c r="G21" s="38"/>
    </row>
    <row r="22" spans="1:8">
      <c r="A22" s="33"/>
      <c r="B22" s="24"/>
      <c r="C22" s="24"/>
      <c r="D22" s="24"/>
      <c r="E22" s="27"/>
      <c r="F22" s="46"/>
      <c r="G22" s="38"/>
    </row>
    <row r="23" spans="1:8">
      <c r="A23" s="33"/>
      <c r="B23" s="37" t="s">
        <v>91</v>
      </c>
      <c r="C23" s="24"/>
      <c r="D23" s="24"/>
      <c r="E23" s="27"/>
      <c r="F23" s="46"/>
      <c r="G23" s="38"/>
    </row>
    <row r="24" spans="1:8">
      <c r="A24" s="33"/>
      <c r="B24" s="24"/>
      <c r="C24" s="24"/>
      <c r="D24" s="24"/>
      <c r="E24" s="27"/>
      <c r="F24" s="46"/>
      <c r="G24" s="38"/>
    </row>
    <row r="25" spans="1:8">
      <c r="A25" s="41"/>
      <c r="B25" s="40"/>
      <c r="C25" s="40"/>
      <c r="D25" s="40"/>
      <c r="E25" s="42"/>
      <c r="F25" s="48"/>
      <c r="G25" s="44"/>
    </row>
    <row r="26" spans="1:8">
      <c r="A26" s="24"/>
      <c r="B26" s="24"/>
      <c r="C26" s="24"/>
      <c r="D26" s="28"/>
      <c r="E26" s="27"/>
      <c r="F26" s="24"/>
      <c r="G26" s="25"/>
    </row>
    <row r="27" spans="1:8">
      <c r="A27" s="24"/>
      <c r="B27" s="24"/>
      <c r="C27" s="24"/>
      <c r="D27" s="28"/>
      <c r="E27" s="27"/>
      <c r="F27" s="24"/>
      <c r="G27" s="25"/>
      <c r="H27" s="26"/>
    </row>
    <row r="28" spans="1:8">
      <c r="A28" s="29"/>
      <c r="B28" s="30"/>
      <c r="C28" s="30"/>
      <c r="D28" s="30"/>
      <c r="E28" s="31"/>
      <c r="F28" s="45"/>
      <c r="G28" s="32"/>
    </row>
    <row r="29" spans="1:8">
      <c r="A29" s="33"/>
      <c r="B29" s="37" t="s">
        <v>84</v>
      </c>
      <c r="C29" s="35">
        <v>2616408736</v>
      </c>
      <c r="E29" s="37" t="s">
        <v>85</v>
      </c>
      <c r="F29" s="50">
        <f>Personal!C$72</f>
        <v>43922</v>
      </c>
      <c r="G29" s="36"/>
    </row>
    <row r="30" spans="1:8">
      <c r="A30" s="33"/>
      <c r="B30" s="37" t="s">
        <v>92</v>
      </c>
      <c r="C30" s="34" t="s">
        <v>426</v>
      </c>
      <c r="G30" s="38"/>
    </row>
    <row r="31" spans="1:8">
      <c r="A31" s="33"/>
      <c r="B31" s="37" t="s">
        <v>83</v>
      </c>
      <c r="C31" s="37" t="s">
        <v>426</v>
      </c>
      <c r="G31" s="38"/>
    </row>
    <row r="32" spans="1:8">
      <c r="A32" s="33"/>
      <c r="B32" s="52" t="s">
        <v>325</v>
      </c>
      <c r="C32" s="117">
        <v>0</v>
      </c>
      <c r="G32" s="38"/>
    </row>
    <row r="33" spans="1:7">
      <c r="A33" s="33"/>
      <c r="B33" t="s">
        <v>326</v>
      </c>
      <c r="C33" s="117">
        <v>0</v>
      </c>
      <c r="D33" s="116"/>
      <c r="G33" s="38"/>
    </row>
    <row r="34" spans="1:7">
      <c r="A34" s="33"/>
      <c r="B34" s="52" t="s">
        <v>358</v>
      </c>
      <c r="C34" s="126">
        <v>0</v>
      </c>
      <c r="D34" s="116"/>
      <c r="G34" s="38"/>
    </row>
    <row r="35" spans="1:7">
      <c r="A35" s="33"/>
      <c r="E35" s="27"/>
      <c r="F35" s="46"/>
      <c r="G35" s="38"/>
    </row>
    <row r="36" spans="1:7">
      <c r="A36" s="33"/>
      <c r="B36" s="37" t="s">
        <v>237</v>
      </c>
      <c r="C36" s="24"/>
      <c r="D36" s="101"/>
      <c r="E36" s="27"/>
      <c r="F36" s="102">
        <v>0</v>
      </c>
      <c r="G36" s="39"/>
    </row>
    <row r="37" spans="1:7">
      <c r="A37" s="33"/>
      <c r="B37" s="37" t="s">
        <v>360</v>
      </c>
      <c r="C37" s="24"/>
      <c r="D37" s="101"/>
      <c r="E37" s="27"/>
      <c r="F37" s="102" t="s">
        <v>333</v>
      </c>
      <c r="G37" s="39"/>
    </row>
    <row r="38" spans="1:7">
      <c r="A38" s="33"/>
      <c r="B38" s="37" t="s">
        <v>236</v>
      </c>
      <c r="C38" s="24"/>
      <c r="D38" s="24"/>
      <c r="E38" s="27"/>
      <c r="F38" s="102">
        <v>0</v>
      </c>
      <c r="G38" s="38"/>
    </row>
    <row r="39" spans="1:7">
      <c r="A39" s="33"/>
      <c r="B39" s="37" t="s">
        <v>285</v>
      </c>
      <c r="C39" s="103"/>
      <c r="D39" s="37"/>
      <c r="E39" s="43"/>
      <c r="F39" s="102">
        <v>0</v>
      </c>
      <c r="G39" s="38"/>
    </row>
    <row r="40" spans="1:7">
      <c r="A40" s="33"/>
      <c r="B40" s="37" t="s">
        <v>334</v>
      </c>
      <c r="C40" s="103">
        <f>Personal!G71</f>
        <v>0</v>
      </c>
      <c r="D40" s="37"/>
      <c r="E40" s="43"/>
      <c r="F40" s="102">
        <v>0</v>
      </c>
      <c r="G40" s="38"/>
    </row>
    <row r="41" spans="1:7">
      <c r="A41" s="33"/>
      <c r="G41" s="39"/>
    </row>
    <row r="42" spans="1:7">
      <c r="A42" s="33"/>
      <c r="B42" s="24" t="s">
        <v>87</v>
      </c>
      <c r="C42" s="24"/>
      <c r="D42" s="24"/>
      <c r="E42" s="27" t="s">
        <v>86</v>
      </c>
      <c r="F42" s="46">
        <f>SUM(F36:F41)</f>
        <v>0</v>
      </c>
      <c r="G42" s="38"/>
    </row>
    <row r="43" spans="1:7">
      <c r="A43" s="33"/>
      <c r="B43" s="24" t="s">
        <v>89</v>
      </c>
      <c r="C43" s="24"/>
      <c r="D43" s="24"/>
      <c r="E43" s="27" t="s">
        <v>86</v>
      </c>
      <c r="F43" s="46">
        <f>F40*21%</f>
        <v>0</v>
      </c>
      <c r="G43" s="38"/>
    </row>
    <row r="44" spans="1:7">
      <c r="A44" s="33"/>
      <c r="B44" s="24" t="s">
        <v>88</v>
      </c>
      <c r="C44" s="24"/>
      <c r="D44" s="24"/>
      <c r="E44" s="27" t="s">
        <v>86</v>
      </c>
      <c r="F44" s="47">
        <f>SUM(F36:F39)*27%</f>
        <v>0</v>
      </c>
      <c r="G44" s="38"/>
    </row>
    <row r="45" spans="1:7">
      <c r="A45" s="33"/>
      <c r="B45" s="52" t="s">
        <v>238</v>
      </c>
      <c r="C45" s="24"/>
      <c r="D45" s="24"/>
      <c r="E45" s="27" t="s">
        <v>86</v>
      </c>
      <c r="F45" s="46">
        <f>SUM(F36:F39)*4.1667%</f>
        <v>0</v>
      </c>
      <c r="G45" s="38"/>
    </row>
    <row r="46" spans="1:7">
      <c r="A46" s="33"/>
      <c r="B46" s="53" t="s">
        <v>2</v>
      </c>
      <c r="C46" s="40"/>
      <c r="D46" s="40"/>
      <c r="E46" s="42" t="s">
        <v>86</v>
      </c>
      <c r="F46" s="48">
        <f>SUM(F36:F39)*1%</f>
        <v>0</v>
      </c>
      <c r="G46" s="38"/>
    </row>
    <row r="47" spans="1:7">
      <c r="A47" s="33"/>
      <c r="B47" s="37" t="s">
        <v>90</v>
      </c>
      <c r="C47" s="37"/>
      <c r="D47" s="37"/>
      <c r="E47" s="43" t="s">
        <v>86</v>
      </c>
      <c r="F47" s="49">
        <f>SUM(F42:F46)</f>
        <v>0</v>
      </c>
      <c r="G47" s="38"/>
    </row>
    <row r="48" spans="1:7">
      <c r="A48" s="33"/>
      <c r="B48" s="24"/>
      <c r="C48" s="24"/>
      <c r="D48" s="24"/>
      <c r="E48" s="27"/>
      <c r="F48" s="46"/>
      <c r="G48" s="38"/>
    </row>
    <row r="49" spans="1:8">
      <c r="A49" s="33"/>
      <c r="B49" s="37" t="s">
        <v>91</v>
      </c>
      <c r="C49" s="24"/>
      <c r="D49" s="24"/>
      <c r="E49" s="27"/>
      <c r="F49" s="46"/>
      <c r="G49" s="38"/>
    </row>
    <row r="50" spans="1:8">
      <c r="A50" s="33"/>
      <c r="B50" s="24"/>
      <c r="C50" s="24"/>
      <c r="D50" s="24"/>
      <c r="E50" s="27"/>
      <c r="F50" s="46"/>
      <c r="G50" s="38"/>
    </row>
    <row r="51" spans="1:8">
      <c r="A51" s="41"/>
      <c r="B51" s="40"/>
      <c r="C51" s="40"/>
      <c r="D51" s="40"/>
      <c r="E51" s="42"/>
      <c r="F51" s="48"/>
      <c r="G51" s="44"/>
    </row>
    <row r="52" spans="1:8">
      <c r="A52" s="24"/>
      <c r="B52" s="24"/>
      <c r="C52" s="24"/>
      <c r="D52" s="28"/>
      <c r="E52" s="27"/>
      <c r="F52" s="24"/>
      <c r="G52" s="25"/>
    </row>
    <row r="53" spans="1:8">
      <c r="A53" s="24"/>
      <c r="B53" s="24"/>
      <c r="C53" s="24"/>
      <c r="D53" s="28"/>
      <c r="E53" s="27"/>
      <c r="F53" s="24"/>
      <c r="G53" s="25"/>
      <c r="H53" s="26"/>
    </row>
    <row r="54" spans="1:8">
      <c r="A54" s="29"/>
      <c r="B54" s="30"/>
      <c r="C54" s="30"/>
      <c r="D54" s="30"/>
      <c r="E54" s="31"/>
      <c r="F54" s="45"/>
      <c r="G54" s="32"/>
    </row>
    <row r="55" spans="1:8">
      <c r="A55" s="33"/>
      <c r="B55" s="37" t="s">
        <v>84</v>
      </c>
      <c r="C55" s="35">
        <v>2616401259</v>
      </c>
      <c r="E55" s="37" t="s">
        <v>85</v>
      </c>
      <c r="F55" s="50">
        <f>Personal!C$72</f>
        <v>43922</v>
      </c>
      <c r="G55" s="36"/>
    </row>
    <row r="56" spans="1:8">
      <c r="A56" s="33"/>
      <c r="B56" s="37" t="s">
        <v>92</v>
      </c>
      <c r="C56" s="34" t="str">
        <f>VLOOKUP(C55,Personal!A:B,2,FALSE)</f>
        <v>Brunela Pennacchio</v>
      </c>
      <c r="G56" s="38"/>
    </row>
    <row r="57" spans="1:8">
      <c r="A57" s="33"/>
      <c r="B57" s="37" t="s">
        <v>83</v>
      </c>
      <c r="C57" s="37" t="str">
        <f>VLOOKUP(C55,Personal!A:D,4,FALSE)</f>
        <v>TI Empresas Ilimitado</v>
      </c>
      <c r="G57" s="38"/>
    </row>
    <row r="58" spans="1:8">
      <c r="A58" s="33"/>
      <c r="B58" s="52" t="s">
        <v>325</v>
      </c>
      <c r="C58" s="117">
        <f>VLOOKUP(C57,Det_Personal!$P$1:$S$4,2,FALSE)</f>
        <v>300</v>
      </c>
      <c r="G58" s="38"/>
    </row>
    <row r="59" spans="1:8">
      <c r="A59" s="33"/>
      <c r="B59" t="s">
        <v>326</v>
      </c>
      <c r="C59" s="117">
        <f>VLOOKUP(C57,Det_Personal!$P$1:$S$4,4,FALSE)</f>
        <v>300</v>
      </c>
      <c r="D59" s="116"/>
      <c r="G59" s="38"/>
    </row>
    <row r="60" spans="1:8">
      <c r="A60" s="33"/>
      <c r="B60" s="52" t="s">
        <v>358</v>
      </c>
      <c r="C60" s="126">
        <f>VLOOKUP(C57,Det_Personal!$P$1:$T$4,5,FALSE)</f>
        <v>1.2</v>
      </c>
      <c r="D60" s="116"/>
      <c r="G60" s="38"/>
    </row>
    <row r="61" spans="1:8">
      <c r="A61" s="33"/>
      <c r="E61" s="27"/>
      <c r="F61" s="46"/>
      <c r="G61" s="38"/>
    </row>
    <row r="62" spans="1:8">
      <c r="A62" s="33"/>
      <c r="B62" s="37" t="s">
        <v>237</v>
      </c>
      <c r="C62" s="24"/>
      <c r="D62" s="101"/>
      <c r="E62" s="27"/>
      <c r="F62" s="102" t="s">
        <v>333</v>
      </c>
      <c r="G62" s="39"/>
    </row>
    <row r="63" spans="1:8">
      <c r="A63" s="33"/>
      <c r="B63" s="37" t="s">
        <v>360</v>
      </c>
      <c r="C63" s="24"/>
      <c r="D63" s="101"/>
      <c r="E63" s="27"/>
      <c r="F63" s="102" t="s">
        <v>333</v>
      </c>
      <c r="G63" s="39"/>
    </row>
    <row r="64" spans="1:8">
      <c r="A64" s="33"/>
      <c r="B64" s="37" t="s">
        <v>236</v>
      </c>
      <c r="C64" s="24"/>
      <c r="D64" s="24"/>
      <c r="E64" s="27"/>
      <c r="F64" s="102">
        <f>VLOOKUP(C55,Personal!A:F,6,FALSE)</f>
        <v>0</v>
      </c>
      <c r="G64" s="38"/>
    </row>
    <row r="65" spans="1:8">
      <c r="A65" s="33"/>
      <c r="B65" s="37" t="s">
        <v>285</v>
      </c>
      <c r="C65" s="103"/>
      <c r="D65" s="37"/>
      <c r="E65" s="43"/>
      <c r="F65" s="102">
        <f>VLOOKUP(C55,Personal!A:GM,7,FALSE)/1.321667</f>
        <v>0</v>
      </c>
      <c r="G65" s="38"/>
    </row>
    <row r="66" spans="1:8">
      <c r="A66" s="33"/>
      <c r="B66" s="37" t="s">
        <v>334</v>
      </c>
      <c r="C66" s="103">
        <f>Personal!H71</f>
        <v>0</v>
      </c>
      <c r="D66" s="37"/>
      <c r="E66" s="43"/>
      <c r="F66" s="102">
        <f>VLOOKUP(C55,Personal!A:I,9,FALSE)</f>
        <v>0</v>
      </c>
      <c r="G66" s="38"/>
    </row>
    <row r="67" spans="1:8">
      <c r="A67" s="33"/>
      <c r="G67" s="39"/>
    </row>
    <row r="68" spans="1:8">
      <c r="A68" s="33"/>
      <c r="B68" s="24" t="s">
        <v>87</v>
      </c>
      <c r="C68" s="24"/>
      <c r="D68" s="24"/>
      <c r="E68" s="27" t="s">
        <v>86</v>
      </c>
      <c r="F68" s="46">
        <f>SUM(F62:F67)</f>
        <v>0</v>
      </c>
      <c r="G68" s="38"/>
    </row>
    <row r="69" spans="1:8">
      <c r="A69" s="33"/>
      <c r="B69" s="24" t="s">
        <v>89</v>
      </c>
      <c r="C69" s="24"/>
      <c r="D69" s="24"/>
      <c r="E69" s="27" t="s">
        <v>86</v>
      </c>
      <c r="F69" s="46">
        <f>F66*21%</f>
        <v>0</v>
      </c>
      <c r="G69" s="38"/>
    </row>
    <row r="70" spans="1:8">
      <c r="A70" s="33"/>
      <c r="B70" s="24" t="s">
        <v>88</v>
      </c>
      <c r="C70" s="24"/>
      <c r="D70" s="24"/>
      <c r="E70" s="27" t="s">
        <v>86</v>
      </c>
      <c r="F70" s="47">
        <f>SUM(F62:F65)*27%</f>
        <v>0</v>
      </c>
      <c r="G70" s="38"/>
    </row>
    <row r="71" spans="1:8">
      <c r="A71" s="33"/>
      <c r="B71" s="52" t="s">
        <v>238</v>
      </c>
      <c r="C71" s="24"/>
      <c r="D71" s="24"/>
      <c r="E71" s="27" t="s">
        <v>86</v>
      </c>
      <c r="F71" s="46">
        <f>SUM(F62:F65)*4.1667%</f>
        <v>0</v>
      </c>
      <c r="G71" s="38"/>
    </row>
    <row r="72" spans="1:8">
      <c r="A72" s="33"/>
      <c r="B72" s="53" t="s">
        <v>2</v>
      </c>
      <c r="C72" s="40"/>
      <c r="D72" s="40"/>
      <c r="E72" s="42" t="s">
        <v>86</v>
      </c>
      <c r="F72" s="48">
        <f>SUM(F62:F65)*1%</f>
        <v>0</v>
      </c>
      <c r="G72" s="38"/>
    </row>
    <row r="73" spans="1:8">
      <c r="A73" s="33"/>
      <c r="B73" s="37" t="s">
        <v>90</v>
      </c>
      <c r="C73" s="37"/>
      <c r="D73" s="37"/>
      <c r="E73" s="43" t="s">
        <v>86</v>
      </c>
      <c r="F73" s="49">
        <f>SUM(F68:F72)</f>
        <v>0</v>
      </c>
      <c r="G73" s="38"/>
    </row>
    <row r="74" spans="1:8">
      <c r="A74" s="33"/>
      <c r="B74" s="24"/>
      <c r="C74" s="24"/>
      <c r="D74" s="24"/>
      <c r="E74" s="27"/>
      <c r="F74" s="46"/>
      <c r="G74" s="38"/>
    </row>
    <row r="75" spans="1:8">
      <c r="A75" s="33"/>
      <c r="B75" s="37" t="s">
        <v>91</v>
      </c>
      <c r="C75" s="24"/>
      <c r="D75" s="24"/>
      <c r="E75" s="27"/>
      <c r="F75" s="46"/>
      <c r="G75" s="38"/>
    </row>
    <row r="76" spans="1:8">
      <c r="A76" s="33"/>
      <c r="B76" s="24"/>
      <c r="C76" s="24"/>
      <c r="D76" s="24"/>
      <c r="E76" s="27"/>
      <c r="F76" s="46"/>
      <c r="G76" s="38"/>
    </row>
    <row r="77" spans="1:8">
      <c r="A77" s="41"/>
      <c r="B77" s="40"/>
      <c r="C77" s="40"/>
      <c r="D77" s="40"/>
      <c r="E77" s="42"/>
      <c r="F77" s="48"/>
      <c r="G77" s="44"/>
    </row>
    <row r="78" spans="1:8">
      <c r="A78" s="24"/>
      <c r="B78" s="24"/>
      <c r="C78" s="24"/>
      <c r="D78" s="28"/>
      <c r="E78" s="27"/>
      <c r="F78" s="24"/>
      <c r="G78" s="25"/>
    </row>
    <row r="79" spans="1:8">
      <c r="A79" s="24"/>
      <c r="B79" s="24"/>
      <c r="C79" s="24"/>
      <c r="D79" s="28"/>
      <c r="E79" s="27"/>
      <c r="F79" s="24"/>
      <c r="G79" s="25"/>
      <c r="H79" s="26"/>
    </row>
    <row r="80" spans="1:8">
      <c r="A80" s="29"/>
      <c r="B80" s="30"/>
      <c r="C80" s="30"/>
      <c r="D80" s="30"/>
      <c r="E80" s="31"/>
      <c r="F80" s="45"/>
      <c r="G80" s="32"/>
    </row>
    <row r="81" spans="1:7">
      <c r="A81" s="33"/>
      <c r="B81" s="37" t="s">
        <v>84</v>
      </c>
      <c r="C81" s="35">
        <v>2615192638</v>
      </c>
      <c r="E81" s="37" t="s">
        <v>85</v>
      </c>
      <c r="F81" s="50">
        <f>Personal!C$72</f>
        <v>43922</v>
      </c>
      <c r="G81" s="36"/>
    </row>
    <row r="82" spans="1:7">
      <c r="A82" s="33"/>
      <c r="B82" s="37" t="s">
        <v>92</v>
      </c>
      <c r="C82" s="34" t="str">
        <f>VLOOKUP(C81,Personal!A:B,2,FALSE)</f>
        <v>Laura Godoy</v>
      </c>
      <c r="G82" s="38"/>
    </row>
    <row r="83" spans="1:7">
      <c r="A83" s="33"/>
      <c r="B83" s="37" t="s">
        <v>83</v>
      </c>
      <c r="C83" s="37" t="str">
        <f>VLOOKUP(C81,Personal!A:D,4,FALSE)</f>
        <v>TI Empresas Ilimitado</v>
      </c>
      <c r="G83" s="38"/>
    </row>
    <row r="84" spans="1:7">
      <c r="A84" s="33"/>
      <c r="B84" s="52" t="s">
        <v>325</v>
      </c>
      <c r="C84" s="117">
        <f>VLOOKUP(C83,Det_Personal!$P$1:$S$4,2,FALSE)</f>
        <v>300</v>
      </c>
      <c r="G84" s="38"/>
    </row>
    <row r="85" spans="1:7">
      <c r="A85" s="33"/>
      <c r="B85" t="s">
        <v>326</v>
      </c>
      <c r="C85" s="117">
        <f>VLOOKUP(C83,Det_Personal!$P$1:$S$4,4,FALSE)</f>
        <v>300</v>
      </c>
      <c r="D85" s="116"/>
      <c r="G85" s="38"/>
    </row>
    <row r="86" spans="1:7">
      <c r="A86" s="33"/>
      <c r="B86" s="52" t="s">
        <v>358</v>
      </c>
      <c r="C86" s="126">
        <f>VLOOKUP(C83,Det_Personal!$P$1:$T$4,5,FALSE)</f>
        <v>1.2</v>
      </c>
      <c r="D86" s="116"/>
      <c r="G86" s="38"/>
    </row>
    <row r="87" spans="1:7">
      <c r="A87" s="33"/>
      <c r="E87" s="27"/>
      <c r="F87" s="46"/>
      <c r="G87" s="38"/>
    </row>
    <row r="88" spans="1:7">
      <c r="A88" s="33"/>
      <c r="B88" s="37" t="s">
        <v>237</v>
      </c>
      <c r="C88" s="24"/>
      <c r="D88" s="101"/>
      <c r="E88" s="27"/>
      <c r="F88" s="102" t="s">
        <v>333</v>
      </c>
      <c r="G88" s="39"/>
    </row>
    <row r="89" spans="1:7">
      <c r="A89" s="33"/>
      <c r="B89" s="37" t="s">
        <v>360</v>
      </c>
      <c r="C89" s="24"/>
      <c r="D89" s="101"/>
      <c r="E89" s="27"/>
      <c r="F89" s="102" t="s">
        <v>333</v>
      </c>
      <c r="G89" s="39"/>
    </row>
    <row r="90" spans="1:7">
      <c r="A90" s="33"/>
      <c r="B90" s="37" t="s">
        <v>236</v>
      </c>
      <c r="C90" s="24"/>
      <c r="D90" s="24"/>
      <c r="E90" s="27"/>
      <c r="F90" s="102">
        <f>VLOOKUP(C81,Personal!A:F,6,FALSE)</f>
        <v>0</v>
      </c>
      <c r="G90" s="38"/>
    </row>
    <row r="91" spans="1:7">
      <c r="A91" s="33"/>
      <c r="B91" s="37" t="s">
        <v>285</v>
      </c>
      <c r="C91" s="103"/>
      <c r="D91" s="37"/>
      <c r="E91" s="43"/>
      <c r="F91" s="102">
        <f>VLOOKUP(C81,Personal!A:GM,7,FALSE)/1.321667</f>
        <v>0</v>
      </c>
      <c r="G91" s="38"/>
    </row>
    <row r="92" spans="1:7">
      <c r="A92" s="33"/>
      <c r="B92" s="37" t="s">
        <v>334</v>
      </c>
      <c r="C92" s="103"/>
      <c r="D92" s="37"/>
      <c r="E92" s="43"/>
      <c r="F92" s="102">
        <f>VLOOKUP(C81,Personal!A:I,9,FALSE)</f>
        <v>0</v>
      </c>
      <c r="G92" s="38"/>
    </row>
    <row r="93" spans="1:7">
      <c r="A93" s="33"/>
      <c r="G93" s="39"/>
    </row>
    <row r="94" spans="1:7">
      <c r="A94" s="33"/>
      <c r="B94" s="24" t="s">
        <v>87</v>
      </c>
      <c r="C94" s="24"/>
      <c r="D94" s="24"/>
      <c r="E94" s="27" t="s">
        <v>86</v>
      </c>
      <c r="F94" s="46">
        <f>SUM(F88:F93)</f>
        <v>0</v>
      </c>
      <c r="G94" s="38"/>
    </row>
    <row r="95" spans="1:7">
      <c r="A95" s="33"/>
      <c r="B95" s="24" t="s">
        <v>89</v>
      </c>
      <c r="C95" s="24"/>
      <c r="D95" s="24"/>
      <c r="E95" s="27" t="s">
        <v>86</v>
      </c>
      <c r="F95" s="46">
        <f>F92*21%</f>
        <v>0</v>
      </c>
      <c r="G95" s="38"/>
    </row>
    <row r="96" spans="1:7">
      <c r="A96" s="33"/>
      <c r="B96" s="24" t="s">
        <v>88</v>
      </c>
      <c r="C96" s="24"/>
      <c r="D96" s="24"/>
      <c r="E96" s="27" t="s">
        <v>86</v>
      </c>
      <c r="F96" s="47">
        <f>SUM(F88:F91)*27%</f>
        <v>0</v>
      </c>
      <c r="G96" s="38"/>
    </row>
    <row r="97" spans="1:7">
      <c r="A97" s="33"/>
      <c r="B97" s="52" t="s">
        <v>238</v>
      </c>
      <c r="C97" s="24"/>
      <c r="D97" s="24"/>
      <c r="E97" s="27" t="s">
        <v>86</v>
      </c>
      <c r="F97" s="46">
        <f>SUM(F88:F91)*4.1667%</f>
        <v>0</v>
      </c>
      <c r="G97" s="38"/>
    </row>
    <row r="98" spans="1:7">
      <c r="A98" s="33"/>
      <c r="B98" s="53" t="s">
        <v>2</v>
      </c>
      <c r="C98" s="40"/>
      <c r="D98" s="40"/>
      <c r="E98" s="42" t="s">
        <v>86</v>
      </c>
      <c r="F98" s="48">
        <f>SUM(F88:F91)*1%</f>
        <v>0</v>
      </c>
      <c r="G98" s="38"/>
    </row>
    <row r="99" spans="1:7">
      <c r="A99" s="33"/>
      <c r="B99" s="37" t="s">
        <v>90</v>
      </c>
      <c r="C99" s="37"/>
      <c r="D99" s="37"/>
      <c r="E99" s="43" t="s">
        <v>86</v>
      </c>
      <c r="F99" s="49">
        <f>SUM(F94:F98)</f>
        <v>0</v>
      </c>
      <c r="G99" s="38"/>
    </row>
    <row r="100" spans="1:7">
      <c r="A100" s="33"/>
      <c r="B100" s="24"/>
      <c r="C100" s="24"/>
      <c r="D100" s="24"/>
      <c r="E100" s="27"/>
      <c r="F100" s="46"/>
      <c r="G100" s="38"/>
    </row>
    <row r="101" spans="1:7">
      <c r="A101" s="33"/>
      <c r="B101" s="37" t="s">
        <v>91</v>
      </c>
      <c r="C101" s="24"/>
      <c r="D101" s="24"/>
      <c r="E101" s="27"/>
      <c r="F101" s="46"/>
      <c r="G101" s="38"/>
    </row>
    <row r="102" spans="1:7">
      <c r="A102" s="33"/>
      <c r="B102" s="24"/>
      <c r="C102" s="24"/>
      <c r="D102" s="24"/>
      <c r="E102" s="27"/>
      <c r="F102" s="46"/>
      <c r="G102" s="38"/>
    </row>
    <row r="103" spans="1:7">
      <c r="A103" s="41"/>
      <c r="B103" s="40"/>
      <c r="C103" s="40"/>
      <c r="D103" s="40"/>
      <c r="E103" s="42"/>
      <c r="F103" s="48"/>
      <c r="G103" s="44"/>
    </row>
    <row r="104" spans="1:7">
      <c r="A104" s="24"/>
      <c r="B104" s="24"/>
      <c r="C104" s="24"/>
      <c r="D104" s="28"/>
      <c r="E104" s="27"/>
      <c r="F104" s="24"/>
      <c r="G104" s="25"/>
    </row>
  </sheetData>
  <pageMargins left="0.7" right="0.7" top="0.75" bottom="0.75" header="0.3" footer="0.3"/>
  <pageSetup paperSize="12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103"/>
  <sheetViews>
    <sheetView topLeftCell="A88" workbookViewId="0">
      <selection activeCell="A28" sqref="A28:G103"/>
    </sheetView>
  </sheetViews>
  <sheetFormatPr baseColWidth="10" defaultRowHeight="14.4"/>
  <cols>
    <col min="1" max="1" width="4.6640625" customWidth="1"/>
    <col min="2" max="2" width="26.5546875" customWidth="1"/>
    <col min="3" max="3" width="13.5546875" customWidth="1"/>
    <col min="4" max="4" width="4.6640625" customWidth="1"/>
    <col min="5" max="5" width="9.5546875" bestFit="1" customWidth="1"/>
    <col min="6" max="6" width="9.6640625" customWidth="1"/>
    <col min="7" max="7" width="4.6640625" customWidth="1"/>
    <col min="9" max="9" width="10" bestFit="1" customWidth="1"/>
    <col min="10" max="10" width="7.6640625" bestFit="1" customWidth="1"/>
    <col min="11" max="11" width="14.109375" bestFit="1" customWidth="1"/>
    <col min="12" max="12" width="16.5546875" bestFit="1" customWidth="1"/>
    <col min="13" max="13" width="14.6640625" bestFit="1" customWidth="1"/>
    <col min="14" max="14" width="13.109375" bestFit="1" customWidth="1"/>
    <col min="15" max="15" width="13.5546875" bestFit="1" customWidth="1"/>
    <col min="16" max="16" width="27.44140625" bestFit="1" customWidth="1"/>
    <col min="17" max="17" width="10.33203125" bestFit="1" customWidth="1"/>
    <col min="18" max="18" width="13.88671875" bestFit="1" customWidth="1"/>
  </cols>
  <sheetData>
    <row r="1" spans="1:8">
      <c r="A1" s="24"/>
      <c r="B1" s="24"/>
      <c r="C1" s="24"/>
      <c r="D1" s="28"/>
      <c r="E1" s="27"/>
      <c r="F1" s="24"/>
      <c r="G1" s="25"/>
      <c r="H1" s="26"/>
    </row>
    <row r="26" spans="1:8">
      <c r="A26" s="24"/>
      <c r="B26" s="24"/>
      <c r="C26" s="24"/>
      <c r="D26" s="28"/>
      <c r="E26" s="27"/>
      <c r="F26" s="24"/>
      <c r="G26" s="25"/>
    </row>
    <row r="27" spans="1:8">
      <c r="A27" s="24"/>
      <c r="B27" s="24"/>
      <c r="C27" s="24"/>
      <c r="D27" s="28"/>
      <c r="E27" s="27"/>
      <c r="F27" s="24"/>
      <c r="G27" s="25"/>
      <c r="H27" s="26"/>
    </row>
    <row r="28" spans="1:8">
      <c r="A28" s="29"/>
      <c r="B28" s="30"/>
      <c r="C28" s="30"/>
      <c r="D28" s="30"/>
      <c r="E28" s="31"/>
      <c r="F28" s="45"/>
      <c r="G28" s="32"/>
    </row>
    <row r="29" spans="1:8">
      <c r="A29" s="33"/>
      <c r="B29" s="37" t="s">
        <v>84</v>
      </c>
      <c r="C29" s="35">
        <v>2615699626</v>
      </c>
      <c r="E29" s="37" t="s">
        <v>85</v>
      </c>
      <c r="F29" s="50">
        <f>Personal!C$72</f>
        <v>43922</v>
      </c>
      <c r="G29" s="36"/>
    </row>
    <row r="30" spans="1:8">
      <c r="A30" s="33"/>
      <c r="B30" s="37" t="s">
        <v>92</v>
      </c>
      <c r="C30" s="34" t="str">
        <f>VLOOKUP(C29,Personal!A:B,2,FALSE)</f>
        <v>Amadio (hijo)</v>
      </c>
      <c r="G30" s="38"/>
    </row>
    <row r="31" spans="1:8">
      <c r="A31" s="33"/>
      <c r="B31" s="37" t="s">
        <v>83</v>
      </c>
      <c r="C31" s="37" t="str">
        <f>VLOOKUP(C29,Personal!A:D,4,FALSE)</f>
        <v>TI Empresas Ilimitado</v>
      </c>
      <c r="G31" s="38"/>
    </row>
    <row r="32" spans="1:8">
      <c r="A32" s="33"/>
      <c r="B32" s="52" t="s">
        <v>325</v>
      </c>
      <c r="C32" s="117">
        <f>VLOOKUP(C31,Det_Personal!$P$1:$S$4,2,FALSE)</f>
        <v>300</v>
      </c>
      <c r="G32" s="38"/>
    </row>
    <row r="33" spans="1:7">
      <c r="A33" s="33"/>
      <c r="B33" t="s">
        <v>326</v>
      </c>
      <c r="C33" s="117">
        <f>VLOOKUP(C31,Det_Personal!$P$1:$S$4,4,FALSE)</f>
        <v>300</v>
      </c>
      <c r="D33" s="116"/>
      <c r="G33" s="38"/>
    </row>
    <row r="34" spans="1:7">
      <c r="A34" s="33"/>
      <c r="B34" s="52" t="s">
        <v>358</v>
      </c>
      <c r="C34" s="126">
        <f>VLOOKUP(C31,Det_Personal!$P$1:$T$4,5,FALSE)</f>
        <v>1.2</v>
      </c>
      <c r="D34" s="116"/>
      <c r="G34" s="38"/>
    </row>
    <row r="35" spans="1:7">
      <c r="A35" s="33"/>
      <c r="E35" s="27"/>
      <c r="F35" s="46"/>
      <c r="G35" s="38"/>
    </row>
    <row r="36" spans="1:7">
      <c r="A36" s="33"/>
      <c r="B36" s="37" t="s">
        <v>237</v>
      </c>
      <c r="C36" s="24"/>
      <c r="D36" s="101"/>
      <c r="E36" s="27"/>
      <c r="F36" s="102">
        <f>VLOOKUP(C29,Personal!A:F,5,FALSE)</f>
        <v>640</v>
      </c>
      <c r="G36" s="39"/>
    </row>
    <row r="37" spans="1:7">
      <c r="A37" s="33"/>
      <c r="B37" s="37" t="s">
        <v>360</v>
      </c>
      <c r="C37" s="24"/>
      <c r="D37" s="101"/>
      <c r="E37" s="27"/>
      <c r="F37" s="102" t="s">
        <v>333</v>
      </c>
      <c r="G37" s="39"/>
    </row>
    <row r="38" spans="1:7">
      <c r="A38" s="33"/>
      <c r="B38" s="37" t="s">
        <v>236</v>
      </c>
      <c r="C38" s="24"/>
      <c r="D38" s="24"/>
      <c r="E38" s="27"/>
      <c r="F38" s="102">
        <f>VLOOKUP(C29,Personal!A:F,6,FALSE)</f>
        <v>0</v>
      </c>
      <c r="G38" s="38"/>
    </row>
    <row r="39" spans="1:7">
      <c r="A39" s="33"/>
      <c r="B39" s="37" t="s">
        <v>285</v>
      </c>
      <c r="C39" s="103"/>
      <c r="D39" s="37"/>
      <c r="E39" s="43"/>
      <c r="F39" s="102">
        <f>VLOOKUP(C29,Personal!A:G,7,FALSE)/1.321667</f>
        <v>0</v>
      </c>
      <c r="G39" s="38"/>
    </row>
    <row r="40" spans="1:7">
      <c r="A40" s="33"/>
      <c r="B40" s="37" t="s">
        <v>334</v>
      </c>
      <c r="C40" s="103"/>
      <c r="D40" s="37"/>
      <c r="E40" s="43"/>
      <c r="F40" s="102">
        <f>VLOOKUP(C29,Personal!A:I,9,FALSE)</f>
        <v>0</v>
      </c>
      <c r="G40" s="38"/>
    </row>
    <row r="41" spans="1:7">
      <c r="A41" s="33"/>
      <c r="G41" s="39"/>
    </row>
    <row r="42" spans="1:7">
      <c r="A42" s="33"/>
      <c r="B42" s="24" t="s">
        <v>87</v>
      </c>
      <c r="C42" s="24"/>
      <c r="D42" s="24"/>
      <c r="E42" s="27" t="s">
        <v>86</v>
      </c>
      <c r="F42" s="46">
        <f>SUM(F36:F41)</f>
        <v>640</v>
      </c>
      <c r="G42" s="38"/>
    </row>
    <row r="43" spans="1:7">
      <c r="A43" s="33"/>
      <c r="B43" s="24" t="s">
        <v>89</v>
      </c>
      <c r="C43" s="24"/>
      <c r="D43" s="24"/>
      <c r="E43" s="27" t="s">
        <v>86</v>
      </c>
      <c r="F43" s="46">
        <f>F40*21%</f>
        <v>0</v>
      </c>
      <c r="G43" s="38"/>
    </row>
    <row r="44" spans="1:7">
      <c r="A44" s="33"/>
      <c r="B44" s="24" t="s">
        <v>88</v>
      </c>
      <c r="C44" s="24"/>
      <c r="D44" s="24"/>
      <c r="E44" s="27" t="s">
        <v>86</v>
      </c>
      <c r="F44" s="47">
        <f>SUM(F36:F39)*27%</f>
        <v>172.8</v>
      </c>
      <c r="G44" s="38"/>
    </row>
    <row r="45" spans="1:7">
      <c r="A45" s="33"/>
      <c r="B45" s="52" t="s">
        <v>238</v>
      </c>
      <c r="C45" s="24"/>
      <c r="D45" s="24"/>
      <c r="E45" s="27" t="s">
        <v>86</v>
      </c>
      <c r="F45" s="46">
        <f>SUM(F36:F39)*4.1667%</f>
        <v>26.666879999999999</v>
      </c>
      <c r="G45" s="38"/>
    </row>
    <row r="46" spans="1:7">
      <c r="A46" s="33"/>
      <c r="B46" s="53" t="s">
        <v>2</v>
      </c>
      <c r="C46" s="40"/>
      <c r="D46" s="40"/>
      <c r="E46" s="42" t="s">
        <v>86</v>
      </c>
      <c r="F46" s="48">
        <f>SUM(F36:F39)*1%</f>
        <v>6.4</v>
      </c>
      <c r="G46" s="38"/>
    </row>
    <row r="47" spans="1:7">
      <c r="A47" s="33"/>
      <c r="B47" s="37" t="s">
        <v>90</v>
      </c>
      <c r="C47" s="37"/>
      <c r="D47" s="37"/>
      <c r="E47" s="43" t="s">
        <v>86</v>
      </c>
      <c r="F47" s="49">
        <f>SUM(F42:F46)</f>
        <v>845.86687999999992</v>
      </c>
      <c r="G47" s="38"/>
    </row>
    <row r="48" spans="1:7">
      <c r="A48" s="33"/>
      <c r="B48" s="24"/>
      <c r="C48" s="24"/>
      <c r="D48" s="24"/>
      <c r="E48" s="27"/>
      <c r="F48" s="46"/>
      <c r="G48" s="38"/>
    </row>
    <row r="49" spans="1:8">
      <c r="A49" s="33"/>
      <c r="B49" s="37" t="s">
        <v>91</v>
      </c>
      <c r="C49" s="24"/>
      <c r="D49" s="24"/>
      <c r="E49" s="27"/>
      <c r="F49" s="46"/>
      <c r="G49" s="38"/>
    </row>
    <row r="50" spans="1:8">
      <c r="A50" s="33"/>
      <c r="B50" s="24"/>
      <c r="C50" s="24"/>
      <c r="D50" s="24"/>
      <c r="E50" s="27"/>
      <c r="F50" s="46"/>
      <c r="G50" s="38"/>
    </row>
    <row r="51" spans="1:8">
      <c r="A51" s="41"/>
      <c r="B51" s="40"/>
      <c r="C51" s="40"/>
      <c r="D51" s="40"/>
      <c r="E51" s="42"/>
      <c r="F51" s="48"/>
      <c r="G51" s="44"/>
    </row>
    <row r="52" spans="1:8">
      <c r="A52" s="24"/>
      <c r="B52" s="24"/>
      <c r="C52" s="24"/>
      <c r="D52" s="28"/>
      <c r="E52" s="27"/>
      <c r="F52" s="24"/>
      <c r="G52" s="25"/>
    </row>
    <row r="53" spans="1:8">
      <c r="A53" s="24"/>
      <c r="B53" s="24"/>
      <c r="C53" s="24"/>
      <c r="D53" s="28"/>
      <c r="E53" s="27"/>
      <c r="F53" s="24"/>
      <c r="G53" s="25"/>
      <c r="H53" s="26"/>
    </row>
    <row r="54" spans="1:8">
      <c r="A54" s="29"/>
      <c r="B54" s="30"/>
      <c r="C54" s="30"/>
      <c r="D54" s="30"/>
      <c r="E54" s="31"/>
      <c r="F54" s="45"/>
      <c r="G54" s="32"/>
    </row>
    <row r="55" spans="1:8">
      <c r="A55" s="33"/>
      <c r="B55" s="37" t="s">
        <v>84</v>
      </c>
      <c r="C55" s="35">
        <v>2615194826</v>
      </c>
      <c r="E55" s="37" t="s">
        <v>85</v>
      </c>
      <c r="F55" s="50">
        <f>Personal!C$72</f>
        <v>43922</v>
      </c>
      <c r="G55" s="36"/>
    </row>
    <row r="56" spans="1:8">
      <c r="A56" s="33"/>
      <c r="B56" s="37" t="s">
        <v>92</v>
      </c>
      <c r="C56" s="34" t="str">
        <f>VLOOKUP(C55,Personal!A:B,2,FALSE)</f>
        <v>Amadío</v>
      </c>
      <c r="G56" s="38"/>
    </row>
    <row r="57" spans="1:8">
      <c r="A57" s="33"/>
      <c r="B57" s="37" t="s">
        <v>83</v>
      </c>
      <c r="C57" s="37" t="str">
        <f>VLOOKUP(C55,Personal!A:D,4,FALSE)</f>
        <v>TI Empresas Ilimitado</v>
      </c>
      <c r="G57" s="38"/>
    </row>
    <row r="58" spans="1:8">
      <c r="A58" s="33"/>
      <c r="B58" s="52" t="s">
        <v>325</v>
      </c>
      <c r="C58" s="117">
        <f>VLOOKUP(C57,Det_Personal!$P$1:$S$4,2,FALSE)</f>
        <v>300</v>
      </c>
      <c r="G58" s="38"/>
    </row>
    <row r="59" spans="1:8">
      <c r="A59" s="33"/>
      <c r="B59" t="s">
        <v>326</v>
      </c>
      <c r="C59" s="117">
        <f>VLOOKUP(C57,Det_Personal!$P$1:$S$4,4,FALSE)</f>
        <v>300</v>
      </c>
      <c r="D59" s="116"/>
      <c r="G59" s="38"/>
    </row>
    <row r="60" spans="1:8">
      <c r="A60" s="33"/>
      <c r="B60" s="52" t="s">
        <v>358</v>
      </c>
      <c r="C60" s="126">
        <f>VLOOKUP(C57,Det_Personal!$P$1:$T$4,5,FALSE)</f>
        <v>1.2</v>
      </c>
      <c r="D60" s="116"/>
      <c r="G60" s="38"/>
    </row>
    <row r="61" spans="1:8">
      <c r="A61" s="33"/>
      <c r="E61" s="27"/>
      <c r="F61" s="46"/>
      <c r="G61" s="38"/>
    </row>
    <row r="62" spans="1:8">
      <c r="A62" s="33"/>
      <c r="B62" s="37" t="s">
        <v>237</v>
      </c>
      <c r="C62" s="24"/>
      <c r="D62" s="101"/>
      <c r="E62" s="27"/>
      <c r="F62" s="102">
        <f>VLOOKUP(C55,Personal!A:F,5,FALSE)</f>
        <v>640</v>
      </c>
      <c r="G62" s="39"/>
    </row>
    <row r="63" spans="1:8">
      <c r="A63" s="33"/>
      <c r="B63" s="37" t="s">
        <v>360</v>
      </c>
      <c r="C63" s="24"/>
      <c r="D63" s="101"/>
      <c r="E63" s="27"/>
      <c r="F63" s="102" t="s">
        <v>333</v>
      </c>
      <c r="G63" s="39"/>
    </row>
    <row r="64" spans="1:8">
      <c r="A64" s="33"/>
      <c r="B64" s="37" t="s">
        <v>236</v>
      </c>
      <c r="C64" s="24"/>
      <c r="D64" s="24"/>
      <c r="E64" s="27"/>
      <c r="F64" s="102">
        <f>VLOOKUP(C55,Personal!A:F,6,FALSE)</f>
        <v>0</v>
      </c>
      <c r="G64" s="38"/>
    </row>
    <row r="65" spans="1:7">
      <c r="A65" s="33"/>
      <c r="B65" s="37" t="s">
        <v>285</v>
      </c>
      <c r="C65" s="103"/>
      <c r="D65" s="37"/>
      <c r="E65" s="43"/>
      <c r="F65" s="102">
        <f>VLOOKUP(C55,Personal!A:G,7,FALSE)/1.321667</f>
        <v>0</v>
      </c>
      <c r="G65" s="38"/>
    </row>
    <row r="66" spans="1:7">
      <c r="A66" s="33"/>
      <c r="B66" s="37" t="s">
        <v>334</v>
      </c>
      <c r="C66" s="103"/>
      <c r="D66" s="37"/>
      <c r="E66" s="43"/>
      <c r="F66" s="102">
        <f>VLOOKUP(C55,Personal!A:I,9,FALSE)</f>
        <v>0</v>
      </c>
      <c r="G66" s="38"/>
    </row>
    <row r="67" spans="1:7">
      <c r="A67" s="33"/>
      <c r="G67" s="39"/>
    </row>
    <row r="68" spans="1:7">
      <c r="A68" s="33"/>
      <c r="B68" s="24" t="s">
        <v>87</v>
      </c>
      <c r="C68" s="24"/>
      <c r="D68" s="24"/>
      <c r="E68" s="27" t="s">
        <v>86</v>
      </c>
      <c r="F68" s="46">
        <f>SUM(F62:F67)</f>
        <v>640</v>
      </c>
      <c r="G68" s="38"/>
    </row>
    <row r="69" spans="1:7">
      <c r="A69" s="33"/>
      <c r="B69" s="24" t="s">
        <v>89</v>
      </c>
      <c r="C69" s="24"/>
      <c r="D69" s="24"/>
      <c r="E69" s="27" t="s">
        <v>86</v>
      </c>
      <c r="F69" s="46">
        <f>F66*21%</f>
        <v>0</v>
      </c>
      <c r="G69" s="38"/>
    </row>
    <row r="70" spans="1:7">
      <c r="A70" s="33"/>
      <c r="B70" s="24" t="s">
        <v>88</v>
      </c>
      <c r="C70" s="24"/>
      <c r="D70" s="24"/>
      <c r="E70" s="27" t="s">
        <v>86</v>
      </c>
      <c r="F70" s="47">
        <f>SUM(F62:F65)*27%</f>
        <v>172.8</v>
      </c>
      <c r="G70" s="38"/>
    </row>
    <row r="71" spans="1:7">
      <c r="A71" s="33"/>
      <c r="B71" s="52" t="s">
        <v>238</v>
      </c>
      <c r="C71" s="24"/>
      <c r="D71" s="24"/>
      <c r="E71" s="27" t="s">
        <v>86</v>
      </c>
      <c r="F71" s="46">
        <f>SUM(F62:F65)*4.1667%</f>
        <v>26.666879999999999</v>
      </c>
      <c r="G71" s="38"/>
    </row>
    <row r="72" spans="1:7">
      <c r="A72" s="33"/>
      <c r="B72" s="53" t="s">
        <v>2</v>
      </c>
      <c r="C72" s="40"/>
      <c r="D72" s="40"/>
      <c r="E72" s="42" t="s">
        <v>86</v>
      </c>
      <c r="F72" s="48">
        <f>SUM(F62:F65)*1%</f>
        <v>6.4</v>
      </c>
      <c r="G72" s="38"/>
    </row>
    <row r="73" spans="1:7">
      <c r="A73" s="33"/>
      <c r="B73" s="37" t="s">
        <v>90</v>
      </c>
      <c r="C73" s="37"/>
      <c r="D73" s="37"/>
      <c r="E73" s="43" t="s">
        <v>86</v>
      </c>
      <c r="F73" s="49">
        <f>SUM(F68:F72)</f>
        <v>845.86687999999992</v>
      </c>
      <c r="G73" s="38"/>
    </row>
    <row r="74" spans="1:7">
      <c r="A74" s="33"/>
      <c r="B74" s="24"/>
      <c r="C74" s="24"/>
      <c r="D74" s="24"/>
      <c r="E74" s="27"/>
      <c r="F74" s="46"/>
      <c r="G74" s="38"/>
    </row>
    <row r="75" spans="1:7">
      <c r="A75" s="33"/>
      <c r="B75" s="37" t="s">
        <v>91</v>
      </c>
      <c r="C75" s="24"/>
      <c r="D75" s="24"/>
      <c r="E75" s="27"/>
      <c r="F75" s="46"/>
      <c r="G75" s="38"/>
    </row>
    <row r="76" spans="1:7">
      <c r="A76" s="33"/>
      <c r="B76" s="24"/>
      <c r="C76" s="24"/>
      <c r="D76" s="24"/>
      <c r="E76" s="27"/>
      <c r="F76" s="46"/>
      <c r="G76" s="38"/>
    </row>
    <row r="77" spans="1:7">
      <c r="A77" s="41"/>
      <c r="B77" s="40"/>
      <c r="C77" s="40"/>
      <c r="D77" s="40"/>
      <c r="E77" s="42"/>
      <c r="F77" s="48"/>
      <c r="G77" s="44"/>
    </row>
    <row r="78" spans="1:7">
      <c r="A78" s="24"/>
      <c r="B78" s="24"/>
      <c r="C78" s="24"/>
      <c r="D78" s="28"/>
      <c r="E78" s="27"/>
      <c r="F78" s="24"/>
      <c r="G78" s="25"/>
    </row>
    <row r="80" spans="1:7">
      <c r="A80" s="29"/>
      <c r="B80" s="30"/>
      <c r="C80" s="30"/>
      <c r="D80" s="30"/>
      <c r="E80" s="31"/>
      <c r="F80" s="45"/>
      <c r="G80" s="32"/>
    </row>
    <row r="81" spans="1:7">
      <c r="A81" s="33"/>
      <c r="B81" s="37" t="s">
        <v>84</v>
      </c>
      <c r="C81" s="35">
        <v>2613861800</v>
      </c>
      <c r="E81" s="37" t="s">
        <v>85</v>
      </c>
      <c r="F81" s="50">
        <f>Personal!C$72</f>
        <v>43922</v>
      </c>
      <c r="G81" s="36"/>
    </row>
    <row r="82" spans="1:7">
      <c r="A82" s="33"/>
      <c r="B82" s="37" t="s">
        <v>92</v>
      </c>
      <c r="C82" s="34" t="str">
        <f>VLOOKUP(C81,Personal!A:B,2,FALSE)</f>
        <v>Administracion Acc Sur. Gustavo M.</v>
      </c>
      <c r="G82" s="38"/>
    </row>
    <row r="83" spans="1:7">
      <c r="A83" s="33"/>
      <c r="B83" s="37" t="s">
        <v>83</v>
      </c>
      <c r="C83" s="37" t="str">
        <f>VLOOKUP(C81,Personal!A:D,4,FALSE)</f>
        <v>Conexión Total Premium XL</v>
      </c>
      <c r="G83" s="38"/>
    </row>
    <row r="84" spans="1:7">
      <c r="A84" s="33"/>
      <c r="B84" s="52" t="s">
        <v>325</v>
      </c>
      <c r="C84" s="117" t="str">
        <f>VLOOKUP(C83,Det_Personal!$P$1:$S$4,2,FALSE)</f>
        <v>Ilimitado</v>
      </c>
      <c r="G84" s="38"/>
    </row>
    <row r="85" spans="1:7">
      <c r="A85" s="33"/>
      <c r="B85" t="s">
        <v>326</v>
      </c>
      <c r="C85" s="117">
        <f>VLOOKUP(C83,Det_Personal!$P$1:$S$4,4,FALSE)</f>
        <v>5000</v>
      </c>
      <c r="D85" s="116"/>
      <c r="G85" s="38"/>
    </row>
    <row r="86" spans="1:7">
      <c r="A86" s="33"/>
      <c r="B86" s="52" t="s">
        <v>358</v>
      </c>
      <c r="C86" s="126">
        <f>VLOOKUP(C83,Det_Personal!$P$1:$T$4,5,FALSE)</f>
        <v>0</v>
      </c>
      <c r="D86" s="116"/>
      <c r="G86" s="38"/>
    </row>
    <row r="87" spans="1:7">
      <c r="A87" s="33"/>
      <c r="E87" s="27"/>
      <c r="F87" s="46"/>
      <c r="G87" s="38"/>
    </row>
    <row r="88" spans="1:7">
      <c r="A88" s="33"/>
      <c r="B88" s="37" t="s">
        <v>237</v>
      </c>
      <c r="C88" s="24"/>
      <c r="D88" s="101"/>
      <c r="E88" s="27"/>
      <c r="F88" s="102">
        <f>VLOOKUP(C81,Personal!A:F,5,FALSE)</f>
        <v>640</v>
      </c>
      <c r="G88" s="39"/>
    </row>
    <row r="89" spans="1:7">
      <c r="A89" s="33"/>
      <c r="B89" s="37" t="s">
        <v>360</v>
      </c>
      <c r="C89" s="24"/>
      <c r="D89" s="101"/>
      <c r="E89" s="27"/>
      <c r="F89" s="102" t="s">
        <v>333</v>
      </c>
      <c r="G89" s="39"/>
    </row>
    <row r="90" spans="1:7">
      <c r="A90" s="33"/>
      <c r="B90" s="37" t="s">
        <v>236</v>
      </c>
      <c r="C90" s="24"/>
      <c r="D90" s="24"/>
      <c r="E90" s="27"/>
      <c r="F90" s="102">
        <f>VLOOKUP(C81,Personal!A:F,6,FALSE)</f>
        <v>0</v>
      </c>
      <c r="G90" s="38"/>
    </row>
    <row r="91" spans="1:7">
      <c r="A91" s="33"/>
      <c r="B91" s="37" t="s">
        <v>285</v>
      </c>
      <c r="C91" s="103"/>
      <c r="D91" s="37"/>
      <c r="E91" s="43"/>
      <c r="F91" s="102">
        <f>VLOOKUP(C81,Personal!A:G,7,FALSE)/1.321667</f>
        <v>0</v>
      </c>
      <c r="G91" s="38"/>
    </row>
    <row r="92" spans="1:7">
      <c r="A92" s="33"/>
      <c r="B92" s="37" t="s">
        <v>334</v>
      </c>
      <c r="C92" s="103"/>
      <c r="D92" s="37"/>
      <c r="E92" s="43"/>
      <c r="F92" s="102">
        <f>VLOOKUP(C81,Personal!A:I,9,FALSE)</f>
        <v>0</v>
      </c>
      <c r="G92" s="38"/>
    </row>
    <row r="93" spans="1:7">
      <c r="A93" s="33"/>
      <c r="G93" s="39"/>
    </row>
    <row r="94" spans="1:7">
      <c r="A94" s="33"/>
      <c r="B94" s="24" t="s">
        <v>87</v>
      </c>
      <c r="C94" s="24"/>
      <c r="D94" s="24"/>
      <c r="E94" s="27" t="s">
        <v>86</v>
      </c>
      <c r="F94" s="46">
        <f>SUM(F88:F93)</f>
        <v>640</v>
      </c>
      <c r="G94" s="38"/>
    </row>
    <row r="95" spans="1:7">
      <c r="A95" s="33"/>
      <c r="B95" s="24" t="s">
        <v>89</v>
      </c>
      <c r="C95" s="24"/>
      <c r="D95" s="24"/>
      <c r="E95" s="27" t="s">
        <v>86</v>
      </c>
      <c r="F95" s="46">
        <f>F92*21%</f>
        <v>0</v>
      </c>
      <c r="G95" s="38"/>
    </row>
    <row r="96" spans="1:7">
      <c r="A96" s="33"/>
      <c r="B96" s="24" t="s">
        <v>88</v>
      </c>
      <c r="C96" s="24"/>
      <c r="D96" s="24"/>
      <c r="E96" s="27" t="s">
        <v>86</v>
      </c>
      <c r="F96" s="47">
        <f>SUM(F88:F91)*27%</f>
        <v>172.8</v>
      </c>
      <c r="G96" s="38"/>
    </row>
    <row r="97" spans="1:7">
      <c r="A97" s="33"/>
      <c r="B97" s="52" t="s">
        <v>238</v>
      </c>
      <c r="C97" s="24"/>
      <c r="D97" s="24"/>
      <c r="E97" s="27" t="s">
        <v>86</v>
      </c>
      <c r="F97" s="46">
        <f>SUM(F88:F91)*4.1667%</f>
        <v>26.666879999999999</v>
      </c>
      <c r="G97" s="38"/>
    </row>
    <row r="98" spans="1:7">
      <c r="A98" s="33"/>
      <c r="B98" s="53" t="s">
        <v>2</v>
      </c>
      <c r="C98" s="40"/>
      <c r="D98" s="40"/>
      <c r="E98" s="42" t="s">
        <v>86</v>
      </c>
      <c r="F98" s="48">
        <f>SUM(F88:F91)*1%</f>
        <v>6.4</v>
      </c>
      <c r="G98" s="38"/>
    </row>
    <row r="99" spans="1:7">
      <c r="A99" s="33"/>
      <c r="B99" s="37" t="s">
        <v>90</v>
      </c>
      <c r="C99" s="37"/>
      <c r="D99" s="37"/>
      <c r="E99" s="43" t="s">
        <v>86</v>
      </c>
      <c r="F99" s="49">
        <f>SUM(F94:F98)</f>
        <v>845.86687999999992</v>
      </c>
      <c r="G99" s="38"/>
    </row>
    <row r="100" spans="1:7">
      <c r="A100" s="33"/>
      <c r="B100" s="24"/>
      <c r="C100" s="24"/>
      <c r="D100" s="24"/>
      <c r="E100" s="27"/>
      <c r="F100" s="46"/>
      <c r="G100" s="38"/>
    </row>
    <row r="101" spans="1:7">
      <c r="A101" s="33"/>
      <c r="B101" s="37" t="s">
        <v>91</v>
      </c>
      <c r="C101" s="24"/>
      <c r="D101" s="24"/>
      <c r="E101" s="27"/>
      <c r="F101" s="46"/>
      <c r="G101" s="38"/>
    </row>
    <row r="102" spans="1:7">
      <c r="A102" s="33"/>
      <c r="B102" s="24"/>
      <c r="C102" s="24"/>
      <c r="D102" s="24"/>
      <c r="E102" s="27"/>
      <c r="F102" s="46"/>
      <c r="G102" s="38"/>
    </row>
    <row r="103" spans="1:7">
      <c r="A103" s="41"/>
      <c r="B103" s="40"/>
      <c r="C103" s="40"/>
      <c r="D103" s="40"/>
      <c r="E103" s="42"/>
      <c r="F103" s="48"/>
      <c r="G103" s="44"/>
    </row>
  </sheetData>
  <pageMargins left="0.7" right="0.7" top="0.75" bottom="0.75" header="0.3" footer="0.3"/>
  <pageSetup paperSize="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468"/>
  <sheetViews>
    <sheetView zoomScaleNormal="100" workbookViewId="0">
      <selection activeCell="G468" sqref="A2:G468"/>
    </sheetView>
  </sheetViews>
  <sheetFormatPr baseColWidth="10" defaultRowHeight="14.4"/>
  <cols>
    <col min="1" max="1" width="4.6640625" customWidth="1"/>
    <col min="2" max="2" width="26.5546875" customWidth="1"/>
    <col min="3" max="3" width="13.5546875" customWidth="1"/>
    <col min="4" max="4" width="4.6640625" customWidth="1"/>
    <col min="5" max="5" width="9.5546875" bestFit="1" customWidth="1"/>
    <col min="6" max="6" width="11.33203125" bestFit="1" customWidth="1"/>
    <col min="7" max="7" width="4.6640625" customWidth="1"/>
  </cols>
  <sheetData>
    <row r="1" spans="1:8">
      <c r="A1" s="102"/>
      <c r="B1" s="24"/>
      <c r="C1" s="24"/>
      <c r="D1" s="28"/>
      <c r="E1" s="27"/>
      <c r="F1" s="24"/>
      <c r="G1" s="25"/>
      <c r="H1" s="26"/>
    </row>
    <row r="2" spans="1:8">
      <c r="A2" s="29"/>
      <c r="B2" s="30"/>
      <c r="C2" s="30"/>
      <c r="D2" s="30"/>
      <c r="E2" s="31"/>
      <c r="F2" s="45"/>
      <c r="G2" s="32"/>
    </row>
    <row r="3" spans="1:8">
      <c r="A3" s="33"/>
      <c r="B3" s="37" t="s">
        <v>84</v>
      </c>
      <c r="C3" s="35">
        <v>2615194825</v>
      </c>
      <c r="E3" s="37" t="s">
        <v>85</v>
      </c>
      <c r="F3" s="50">
        <f>Personal!C$72</f>
        <v>43922</v>
      </c>
      <c r="G3" s="36"/>
    </row>
    <row r="4" spans="1:8">
      <c r="A4" s="33"/>
      <c r="B4" s="37" t="s">
        <v>92</v>
      </c>
      <c r="C4" s="34" t="s">
        <v>479</v>
      </c>
      <c r="G4" s="38"/>
    </row>
    <row r="5" spans="1:8">
      <c r="A5" s="33"/>
      <c r="B5" s="37" t="s">
        <v>83</v>
      </c>
      <c r="C5" s="37" t="s">
        <v>479</v>
      </c>
      <c r="G5" s="38"/>
    </row>
    <row r="6" spans="1:8">
      <c r="A6" s="33"/>
      <c r="B6" s="52" t="s">
        <v>325</v>
      </c>
      <c r="C6" s="216" t="s">
        <v>479</v>
      </c>
      <c r="G6" s="38"/>
    </row>
    <row r="7" spans="1:8">
      <c r="A7" s="33"/>
      <c r="B7" t="s">
        <v>326</v>
      </c>
      <c r="C7" s="216" t="s">
        <v>479</v>
      </c>
      <c r="D7" s="116"/>
      <c r="G7" s="38"/>
    </row>
    <row r="8" spans="1:8">
      <c r="A8" s="33"/>
      <c r="B8" s="52" t="s">
        <v>358</v>
      </c>
      <c r="C8" s="217" t="s">
        <v>479</v>
      </c>
      <c r="D8" s="116"/>
      <c r="G8" s="38"/>
    </row>
    <row r="9" spans="1:8">
      <c r="A9" s="33"/>
      <c r="E9" s="27"/>
      <c r="F9" s="46"/>
      <c r="G9" s="38"/>
    </row>
    <row r="10" spans="1:8">
      <c r="A10" s="33"/>
      <c r="B10" s="37" t="s">
        <v>237</v>
      </c>
      <c r="C10" s="24"/>
      <c r="D10" s="101"/>
      <c r="E10" s="27"/>
      <c r="F10" s="102">
        <v>0</v>
      </c>
      <c r="G10" s="39"/>
    </row>
    <row r="11" spans="1:8">
      <c r="A11" s="33"/>
      <c r="B11" s="37" t="s">
        <v>360</v>
      </c>
      <c r="C11" s="24"/>
      <c r="D11" s="101"/>
      <c r="E11" s="27"/>
      <c r="F11" s="102" t="s">
        <v>333</v>
      </c>
      <c r="G11" s="39"/>
    </row>
    <row r="12" spans="1:8">
      <c r="A12" s="33"/>
      <c r="B12" s="37" t="s">
        <v>236</v>
      </c>
      <c r="C12" s="24"/>
      <c r="D12" s="24"/>
      <c r="E12" s="27"/>
      <c r="F12" s="102">
        <v>0</v>
      </c>
      <c r="G12" s="38"/>
    </row>
    <row r="13" spans="1:8">
      <c r="A13" s="33"/>
      <c r="B13" s="37" t="s">
        <v>285</v>
      </c>
      <c r="C13" s="103"/>
      <c r="D13" s="37"/>
      <c r="E13" s="43"/>
      <c r="F13" s="102">
        <v>0</v>
      </c>
      <c r="G13" s="38"/>
    </row>
    <row r="14" spans="1:8">
      <c r="A14" s="33"/>
      <c r="B14" s="37" t="s">
        <v>334</v>
      </c>
      <c r="C14" s="103"/>
      <c r="D14" s="37"/>
      <c r="E14" s="43"/>
      <c r="F14" s="102">
        <v>0</v>
      </c>
      <c r="G14" s="38"/>
    </row>
    <row r="15" spans="1:8">
      <c r="A15" s="33"/>
      <c r="G15" s="39"/>
    </row>
    <row r="16" spans="1:8">
      <c r="A16" s="33"/>
      <c r="B16" s="24" t="s">
        <v>87</v>
      </c>
      <c r="C16" s="24"/>
      <c r="D16" s="24"/>
      <c r="E16" s="27" t="s">
        <v>86</v>
      </c>
      <c r="F16" s="46">
        <f>SUM(F10:F15)</f>
        <v>0</v>
      </c>
      <c r="G16" s="38"/>
    </row>
    <row r="17" spans="1:8">
      <c r="A17" s="33"/>
      <c r="B17" s="24" t="s">
        <v>89</v>
      </c>
      <c r="C17" s="24"/>
      <c r="D17" s="24"/>
      <c r="E17" s="27" t="s">
        <v>86</v>
      </c>
      <c r="F17" s="46">
        <f>F14*21%</f>
        <v>0</v>
      </c>
      <c r="G17" s="38"/>
    </row>
    <row r="18" spans="1:8">
      <c r="A18" s="33"/>
      <c r="B18" s="24" t="s">
        <v>88</v>
      </c>
      <c r="C18" s="24"/>
      <c r="D18" s="24"/>
      <c r="E18" s="27" t="s">
        <v>86</v>
      </c>
      <c r="F18" s="47">
        <f>SUM(F10:F13)*27%</f>
        <v>0</v>
      </c>
      <c r="G18" s="38"/>
    </row>
    <row r="19" spans="1:8">
      <c r="A19" s="33"/>
      <c r="B19" s="52" t="s">
        <v>238</v>
      </c>
      <c r="C19" s="24"/>
      <c r="D19" s="24"/>
      <c r="E19" s="27" t="s">
        <v>86</v>
      </c>
      <c r="F19" s="46">
        <f>SUM(F10:F13)*4.1667%</f>
        <v>0</v>
      </c>
      <c r="G19" s="38"/>
    </row>
    <row r="20" spans="1:8">
      <c r="A20" s="33"/>
      <c r="B20" s="53" t="s">
        <v>2</v>
      </c>
      <c r="C20" s="40"/>
      <c r="D20" s="40"/>
      <c r="E20" s="42" t="s">
        <v>86</v>
      </c>
      <c r="F20" s="48">
        <f>SUM(F10:F13)*1%</f>
        <v>0</v>
      </c>
      <c r="G20" s="38"/>
    </row>
    <row r="21" spans="1:8">
      <c r="A21" s="33"/>
      <c r="B21" s="37" t="s">
        <v>90</v>
      </c>
      <c r="C21" s="37"/>
      <c r="D21" s="37"/>
      <c r="E21" s="43" t="s">
        <v>86</v>
      </c>
      <c r="F21" s="49">
        <f>SUM(F16:F20)</f>
        <v>0</v>
      </c>
      <c r="G21" s="38"/>
    </row>
    <row r="22" spans="1:8">
      <c r="A22" s="33"/>
      <c r="B22" s="24"/>
      <c r="C22" s="24"/>
      <c r="D22" s="24"/>
      <c r="E22" s="27"/>
      <c r="F22" s="46"/>
      <c r="G22" s="38"/>
    </row>
    <row r="23" spans="1:8">
      <c r="A23" s="33"/>
      <c r="B23" s="37" t="s">
        <v>91</v>
      </c>
      <c r="C23" s="24"/>
      <c r="D23" s="24"/>
      <c r="E23" s="27"/>
      <c r="F23" s="46"/>
      <c r="G23" s="38"/>
    </row>
    <row r="24" spans="1:8">
      <c r="A24" s="33"/>
      <c r="B24" s="24"/>
      <c r="C24" s="24"/>
      <c r="D24" s="24"/>
      <c r="E24" s="27"/>
      <c r="F24" s="46"/>
      <c r="G24" s="38"/>
    </row>
    <row r="25" spans="1:8">
      <c r="A25" s="41"/>
      <c r="B25" s="40"/>
      <c r="C25" s="40"/>
      <c r="D25" s="40"/>
      <c r="E25" s="42"/>
      <c r="F25" s="48"/>
      <c r="G25" s="44"/>
    </row>
    <row r="26" spans="1:8">
      <c r="A26" s="24"/>
      <c r="B26" s="24"/>
      <c r="C26" s="24"/>
      <c r="D26" s="28"/>
      <c r="E26" s="27"/>
      <c r="F26" s="24"/>
      <c r="G26" s="25"/>
    </row>
    <row r="27" spans="1:8">
      <c r="A27" s="24"/>
      <c r="B27" s="24"/>
      <c r="C27" s="24"/>
      <c r="D27" s="28"/>
      <c r="E27" s="27"/>
      <c r="F27" s="24"/>
      <c r="G27" s="25"/>
      <c r="H27" s="26"/>
    </row>
    <row r="28" spans="1:8">
      <c r="A28" s="29"/>
      <c r="B28" s="30"/>
      <c r="C28" s="30"/>
      <c r="D28" s="30"/>
      <c r="E28" s="31"/>
      <c r="F28" s="45"/>
      <c r="G28" s="32"/>
    </row>
    <row r="29" spans="1:8">
      <c r="A29" s="33"/>
      <c r="B29" s="37" t="s">
        <v>84</v>
      </c>
      <c r="C29" s="35">
        <v>2613861807</v>
      </c>
      <c r="E29" s="37" t="s">
        <v>85</v>
      </c>
      <c r="F29" s="50">
        <f>Personal!C$72</f>
        <v>43922</v>
      </c>
      <c r="G29" s="36"/>
    </row>
    <row r="30" spans="1:8">
      <c r="A30" s="33"/>
      <c r="B30" s="37" t="s">
        <v>92</v>
      </c>
      <c r="C30" s="34" t="str">
        <f>VLOOKUP(C29,Personal!A:B,2,FALSE)</f>
        <v>Alejandro Palacios</v>
      </c>
      <c r="G30" s="38"/>
    </row>
    <row r="31" spans="1:8">
      <c r="A31" s="33"/>
      <c r="B31" s="37" t="s">
        <v>83</v>
      </c>
      <c r="C31" s="37" t="str">
        <f>VLOOKUP(C29,Personal!A:D,4,FALSE)</f>
        <v>TI Black Empresas 2</v>
      </c>
      <c r="G31" s="38"/>
    </row>
    <row r="32" spans="1:8">
      <c r="A32" s="33"/>
      <c r="B32" s="52" t="s">
        <v>325</v>
      </c>
      <c r="C32" s="117">
        <f>VLOOKUP(C31,Det_Personal!$P$1:$S$4,2,FALSE)</f>
        <v>700</v>
      </c>
      <c r="G32" s="38"/>
    </row>
    <row r="33" spans="1:7">
      <c r="A33" s="33"/>
      <c r="B33" t="s">
        <v>326</v>
      </c>
      <c r="C33" s="117">
        <f>VLOOKUP(C31,Det_Personal!$P$1:$S$4,4,FALSE)</f>
        <v>2000</v>
      </c>
      <c r="D33" s="116"/>
      <c r="G33" s="38"/>
    </row>
    <row r="34" spans="1:7">
      <c r="A34" s="33"/>
      <c r="B34" s="52" t="s">
        <v>358</v>
      </c>
      <c r="C34" s="126">
        <f>VLOOKUP(C31,Det_Personal!$P$1:$T$4,5,FALSE)</f>
        <v>1.2</v>
      </c>
      <c r="D34" s="116"/>
      <c r="G34" s="38"/>
    </row>
    <row r="35" spans="1:7">
      <c r="A35" s="33"/>
      <c r="E35" s="27"/>
      <c r="F35" s="46"/>
      <c r="G35" s="38"/>
    </row>
    <row r="36" spans="1:7">
      <c r="A36" s="33"/>
      <c r="B36" s="37" t="s">
        <v>237</v>
      </c>
      <c r="C36" s="24"/>
      <c r="D36" s="101"/>
      <c r="E36" s="27"/>
      <c r="F36" s="102">
        <f>VLOOKUP(C29,Personal!A:F,5,FALSE)</f>
        <v>1610</v>
      </c>
      <c r="G36" s="39"/>
    </row>
    <row r="37" spans="1:7">
      <c r="A37" s="33"/>
      <c r="B37" s="37" t="s">
        <v>360</v>
      </c>
      <c r="C37" s="24"/>
      <c r="D37" s="101"/>
      <c r="E37" s="27"/>
      <c r="F37" s="102" t="s">
        <v>333</v>
      </c>
      <c r="G37" s="39"/>
    </row>
    <row r="38" spans="1:7">
      <c r="A38" s="33"/>
      <c r="B38" s="37" t="s">
        <v>236</v>
      </c>
      <c r="C38" s="24"/>
      <c r="D38" s="24"/>
      <c r="E38" s="27"/>
      <c r="F38" s="102">
        <f>VLOOKUP(C29,Personal!A:F,6,FALSE)</f>
        <v>0</v>
      </c>
      <c r="G38" s="38"/>
    </row>
    <row r="39" spans="1:7">
      <c r="A39" s="33"/>
      <c r="B39" s="37" t="s">
        <v>285</v>
      </c>
      <c r="C39" s="103"/>
      <c r="D39" s="37"/>
      <c r="E39" s="43"/>
      <c r="F39" s="102">
        <f>VLOOKUP(C29,Personal!A:G,7,FALSE)/1.321667</f>
        <v>0</v>
      </c>
      <c r="G39" s="38"/>
    </row>
    <row r="40" spans="1:7">
      <c r="A40" s="33"/>
      <c r="B40" s="37" t="s">
        <v>334</v>
      </c>
      <c r="C40" s="103"/>
      <c r="D40" s="37"/>
      <c r="E40" s="43"/>
      <c r="F40" s="102">
        <f>VLOOKUP(C29,Personal!A:I,9,FALSE)</f>
        <v>0</v>
      </c>
      <c r="G40" s="38"/>
    </row>
    <row r="41" spans="1:7">
      <c r="A41" s="33"/>
      <c r="G41" s="39"/>
    </row>
    <row r="42" spans="1:7">
      <c r="A42" s="33"/>
      <c r="B42" s="24" t="s">
        <v>87</v>
      </c>
      <c r="C42" s="24"/>
      <c r="D42" s="24"/>
      <c r="E42" s="27" t="s">
        <v>86</v>
      </c>
      <c r="F42" s="46">
        <f>SUM(F36:F41)</f>
        <v>1610</v>
      </c>
      <c r="G42" s="38"/>
    </row>
    <row r="43" spans="1:7">
      <c r="A43" s="33"/>
      <c r="B43" s="24" t="s">
        <v>89</v>
      </c>
      <c r="C43" s="24"/>
      <c r="D43" s="24"/>
      <c r="E43" s="27" t="s">
        <v>86</v>
      </c>
      <c r="F43" s="46">
        <f>F40*21%</f>
        <v>0</v>
      </c>
      <c r="G43" s="38"/>
    </row>
    <row r="44" spans="1:7">
      <c r="A44" s="33"/>
      <c r="B44" s="24" t="s">
        <v>88</v>
      </c>
      <c r="C44" s="24"/>
      <c r="D44" s="24"/>
      <c r="E44" s="27" t="s">
        <v>86</v>
      </c>
      <c r="F44" s="47">
        <f>SUM(F36:F39)*27%</f>
        <v>434.70000000000005</v>
      </c>
      <c r="G44" s="38"/>
    </row>
    <row r="45" spans="1:7">
      <c r="A45" s="33"/>
      <c r="B45" s="52" t="s">
        <v>238</v>
      </c>
      <c r="C45" s="24"/>
      <c r="D45" s="24"/>
      <c r="E45" s="27" t="s">
        <v>86</v>
      </c>
      <c r="F45" s="46">
        <f>SUM(F36:F39)*4.1667%</f>
        <v>67.08386999999999</v>
      </c>
      <c r="G45" s="38"/>
    </row>
    <row r="46" spans="1:7">
      <c r="A46" s="33"/>
      <c r="B46" s="53" t="s">
        <v>2</v>
      </c>
      <c r="C46" s="40"/>
      <c r="D46" s="40"/>
      <c r="E46" s="42" t="s">
        <v>86</v>
      </c>
      <c r="F46" s="48">
        <f>SUM(F36:F39)*1%</f>
        <v>16.100000000000001</v>
      </c>
      <c r="G46" s="38"/>
    </row>
    <row r="47" spans="1:7">
      <c r="A47" s="33"/>
      <c r="B47" s="37" t="s">
        <v>90</v>
      </c>
      <c r="C47" s="37"/>
      <c r="D47" s="37"/>
      <c r="E47" s="43" t="s">
        <v>86</v>
      </c>
      <c r="F47" s="49">
        <f>SUM(F42:F46)</f>
        <v>2127.8838700000001</v>
      </c>
      <c r="G47" s="38"/>
    </row>
    <row r="48" spans="1:7">
      <c r="A48" s="33"/>
      <c r="B48" s="24"/>
      <c r="C48" s="24"/>
      <c r="D48" s="24"/>
      <c r="E48" s="27"/>
      <c r="F48" s="46"/>
      <c r="G48" s="38"/>
    </row>
    <row r="49" spans="1:8">
      <c r="A49" s="33"/>
      <c r="B49" s="37" t="s">
        <v>91</v>
      </c>
      <c r="C49" s="24"/>
      <c r="D49" s="24"/>
      <c r="E49" s="27"/>
      <c r="F49" s="46"/>
      <c r="G49" s="38"/>
    </row>
    <row r="50" spans="1:8">
      <c r="A50" s="33"/>
      <c r="B50" s="24"/>
      <c r="C50" s="24"/>
      <c r="D50" s="24"/>
      <c r="E50" s="27"/>
      <c r="F50" s="46"/>
      <c r="G50" s="38"/>
    </row>
    <row r="51" spans="1:8">
      <c r="A51" s="41"/>
      <c r="B51" s="40"/>
      <c r="C51" s="40"/>
      <c r="D51" s="40"/>
      <c r="E51" s="42"/>
      <c r="F51" s="48"/>
      <c r="G51" s="44"/>
    </row>
    <row r="52" spans="1:8">
      <c r="A52" s="24"/>
      <c r="B52" s="24"/>
      <c r="C52" s="24"/>
      <c r="D52" s="28"/>
      <c r="E52" s="27"/>
      <c r="F52" s="24"/>
      <c r="G52" s="25"/>
    </row>
    <row r="53" spans="1:8">
      <c r="A53" s="24"/>
      <c r="B53" s="24"/>
      <c r="C53" s="24"/>
      <c r="D53" s="28"/>
      <c r="E53" s="27"/>
      <c r="F53" s="24"/>
      <c r="G53" s="25"/>
      <c r="H53" s="26"/>
    </row>
    <row r="54" spans="1:8">
      <c r="A54" s="29"/>
      <c r="B54" s="30"/>
      <c r="C54" s="30"/>
      <c r="D54" s="30"/>
      <c r="E54" s="31"/>
      <c r="F54" s="45"/>
      <c r="G54" s="32"/>
    </row>
    <row r="55" spans="1:8">
      <c r="A55" s="33"/>
      <c r="B55" s="37" t="s">
        <v>84</v>
      </c>
      <c r="C55" s="35">
        <v>2614701360</v>
      </c>
      <c r="E55" s="37" t="s">
        <v>85</v>
      </c>
      <c r="F55" s="50">
        <f>Personal!C$72</f>
        <v>43922</v>
      </c>
      <c r="G55" s="36"/>
    </row>
    <row r="56" spans="1:8">
      <c r="A56" s="33"/>
      <c r="B56" s="37" t="s">
        <v>92</v>
      </c>
      <c r="C56" s="34" t="str">
        <f>VLOOKUP(C55,Personal!A:B,2,FALSE)</f>
        <v>Mariano Godoy</v>
      </c>
      <c r="G56" s="38"/>
    </row>
    <row r="57" spans="1:8">
      <c r="A57" s="33"/>
      <c r="B57" s="37" t="s">
        <v>83</v>
      </c>
      <c r="C57" s="37" t="str">
        <f>VLOOKUP(C55,Personal!A:D,4,FALSE)</f>
        <v>TI Black Empresas 2</v>
      </c>
      <c r="G57" s="38"/>
    </row>
    <row r="58" spans="1:8">
      <c r="A58" s="33"/>
      <c r="B58" s="52" t="s">
        <v>325</v>
      </c>
      <c r="C58" s="117">
        <f>VLOOKUP(C57,Det_Personal!$P$1:$S$4,2,FALSE)</f>
        <v>700</v>
      </c>
      <c r="G58" s="38"/>
    </row>
    <row r="59" spans="1:8">
      <c r="A59" s="33"/>
      <c r="B59" t="s">
        <v>326</v>
      </c>
      <c r="C59" s="117">
        <f>VLOOKUP(C57,Det_Personal!$P$1:$S$4,4,FALSE)</f>
        <v>2000</v>
      </c>
      <c r="D59" s="116"/>
      <c r="G59" s="38"/>
    </row>
    <row r="60" spans="1:8">
      <c r="A60" s="33"/>
      <c r="B60" s="52" t="s">
        <v>358</v>
      </c>
      <c r="C60" s="126">
        <f>VLOOKUP(C57,Det_Personal!$P$1:$T$4,5,FALSE)</f>
        <v>1.2</v>
      </c>
      <c r="D60" s="116"/>
      <c r="G60" s="38"/>
    </row>
    <row r="61" spans="1:8">
      <c r="A61" s="33"/>
      <c r="E61" s="27"/>
      <c r="F61" s="46"/>
      <c r="G61" s="38"/>
    </row>
    <row r="62" spans="1:8">
      <c r="A62" s="33"/>
      <c r="B62" s="37" t="s">
        <v>237</v>
      </c>
      <c r="C62" s="24"/>
      <c r="D62" s="101"/>
      <c r="E62" s="27"/>
      <c r="F62" s="102">
        <f>VLOOKUP(C55,Personal!A:F,5,FALSE)</f>
        <v>1610</v>
      </c>
      <c r="G62" s="39"/>
    </row>
    <row r="63" spans="1:8">
      <c r="A63" s="33"/>
      <c r="B63" s="37" t="s">
        <v>360</v>
      </c>
      <c r="C63" s="24"/>
      <c r="D63" s="101"/>
      <c r="E63" s="27"/>
      <c r="F63" s="102" t="s">
        <v>333</v>
      </c>
      <c r="G63" s="39"/>
    </row>
    <row r="64" spans="1:8">
      <c r="A64" s="33"/>
      <c r="B64" s="37" t="s">
        <v>236</v>
      </c>
      <c r="C64" s="24"/>
      <c r="D64" s="24"/>
      <c r="E64" s="27"/>
      <c r="F64" s="102">
        <f>VLOOKUP(C55,Personal!A:F,6,FALSE)</f>
        <v>0</v>
      </c>
      <c r="G64" s="38"/>
    </row>
    <row r="65" spans="1:8">
      <c r="A65" s="33"/>
      <c r="B65" s="37" t="s">
        <v>285</v>
      </c>
      <c r="C65" s="103"/>
      <c r="D65" s="37"/>
      <c r="E65" s="43"/>
      <c r="F65" s="102">
        <f>VLOOKUP(C55,Personal!A:G,7,FALSE)/1.321667</f>
        <v>0</v>
      </c>
      <c r="G65" s="38"/>
    </row>
    <row r="66" spans="1:8">
      <c r="A66" s="33"/>
      <c r="B66" s="37" t="s">
        <v>334</v>
      </c>
      <c r="C66" s="103"/>
      <c r="D66" s="37"/>
      <c r="E66" s="43"/>
      <c r="F66" s="102">
        <f>VLOOKUP(C55,Personal!A:I,9,FALSE)</f>
        <v>0</v>
      </c>
      <c r="G66" s="38"/>
    </row>
    <row r="67" spans="1:8">
      <c r="A67" s="33"/>
      <c r="G67" s="39"/>
    </row>
    <row r="68" spans="1:8">
      <c r="A68" s="33"/>
      <c r="B68" s="24" t="s">
        <v>87</v>
      </c>
      <c r="C68" s="24"/>
      <c r="D68" s="24"/>
      <c r="E68" s="27" t="s">
        <v>86</v>
      </c>
      <c r="F68" s="46">
        <f>SUM(F62:F67)</f>
        <v>1610</v>
      </c>
      <c r="G68" s="38"/>
    </row>
    <row r="69" spans="1:8">
      <c r="A69" s="33"/>
      <c r="B69" s="24" t="s">
        <v>89</v>
      </c>
      <c r="C69" s="24"/>
      <c r="D69" s="24"/>
      <c r="E69" s="27" t="s">
        <v>86</v>
      </c>
      <c r="F69" s="46">
        <f>F66*21%</f>
        <v>0</v>
      </c>
      <c r="G69" s="38"/>
    </row>
    <row r="70" spans="1:8">
      <c r="A70" s="33"/>
      <c r="B70" s="24" t="s">
        <v>88</v>
      </c>
      <c r="C70" s="24"/>
      <c r="D70" s="24"/>
      <c r="E70" s="27" t="s">
        <v>86</v>
      </c>
      <c r="F70" s="47">
        <f>SUM(F62:F65)*27%</f>
        <v>434.70000000000005</v>
      </c>
      <c r="G70" s="38"/>
    </row>
    <row r="71" spans="1:8">
      <c r="A71" s="33"/>
      <c r="B71" s="52" t="s">
        <v>238</v>
      </c>
      <c r="C71" s="24"/>
      <c r="D71" s="24"/>
      <c r="E71" s="27" t="s">
        <v>86</v>
      </c>
      <c r="F71" s="46">
        <f>SUM(F62:F65)*4.1667%</f>
        <v>67.08386999999999</v>
      </c>
      <c r="G71" s="38"/>
    </row>
    <row r="72" spans="1:8">
      <c r="A72" s="33"/>
      <c r="B72" s="53" t="s">
        <v>2</v>
      </c>
      <c r="C72" s="40"/>
      <c r="D72" s="40"/>
      <c r="E72" s="42" t="s">
        <v>86</v>
      </c>
      <c r="F72" s="48">
        <f>SUM(F62:F65)*1%</f>
        <v>16.100000000000001</v>
      </c>
      <c r="G72" s="38"/>
    </row>
    <row r="73" spans="1:8">
      <c r="A73" s="33"/>
      <c r="B73" s="37" t="s">
        <v>90</v>
      </c>
      <c r="C73" s="37"/>
      <c r="D73" s="37"/>
      <c r="E73" s="43" t="s">
        <v>86</v>
      </c>
      <c r="F73" s="49">
        <f>SUM(F68:F72)</f>
        <v>2127.8838700000001</v>
      </c>
      <c r="G73" s="38"/>
    </row>
    <row r="74" spans="1:8">
      <c r="A74" s="33"/>
      <c r="B74" s="24"/>
      <c r="C74" s="24"/>
      <c r="D74" s="24"/>
      <c r="E74" s="27"/>
      <c r="F74" s="46"/>
      <c r="G74" s="38"/>
    </row>
    <row r="75" spans="1:8">
      <c r="A75" s="33"/>
      <c r="B75" s="37" t="s">
        <v>91</v>
      </c>
      <c r="C75" s="24"/>
      <c r="D75" s="24"/>
      <c r="E75" s="27"/>
      <c r="F75" s="46"/>
      <c r="G75" s="38"/>
    </row>
    <row r="76" spans="1:8">
      <c r="A76" s="33"/>
      <c r="B76" s="24"/>
      <c r="C76" s="24"/>
      <c r="D76" s="24"/>
      <c r="E76" s="27"/>
      <c r="F76" s="46"/>
      <c r="G76" s="38"/>
    </row>
    <row r="77" spans="1:8">
      <c r="A77" s="41"/>
      <c r="B77" s="40"/>
      <c r="C77" s="40"/>
      <c r="D77" s="40"/>
      <c r="E77" s="42"/>
      <c r="F77" s="48"/>
      <c r="G77" s="44"/>
    </row>
    <row r="78" spans="1:8">
      <c r="A78" s="24"/>
      <c r="B78" s="24"/>
      <c r="C78" s="24"/>
      <c r="D78" s="28"/>
      <c r="E78" s="27"/>
      <c r="F78" s="24"/>
      <c r="G78" s="25"/>
    </row>
    <row r="79" spans="1:8">
      <c r="A79" s="24"/>
      <c r="B79" s="24"/>
      <c r="C79" s="24"/>
      <c r="D79" s="28"/>
      <c r="E79" s="27"/>
      <c r="F79" s="24"/>
      <c r="G79" s="25"/>
      <c r="H79" s="26"/>
    </row>
    <row r="80" spans="1:8">
      <c r="A80" s="29"/>
      <c r="B80" s="30"/>
      <c r="C80" s="30"/>
      <c r="D80" s="30"/>
      <c r="E80" s="31"/>
      <c r="F80" s="45"/>
      <c r="G80" s="32"/>
    </row>
    <row r="81" spans="1:7">
      <c r="A81" s="33"/>
      <c r="B81" s="37" t="s">
        <v>84</v>
      </c>
      <c r="C81" s="35">
        <v>2615980371</v>
      </c>
      <c r="E81" s="37" t="s">
        <v>85</v>
      </c>
      <c r="F81" s="50">
        <f>Personal!C$72</f>
        <v>43922</v>
      </c>
      <c r="G81" s="36"/>
    </row>
    <row r="82" spans="1:7">
      <c r="A82" s="33"/>
      <c r="B82" s="37" t="s">
        <v>92</v>
      </c>
      <c r="C82" s="34" t="s">
        <v>426</v>
      </c>
      <c r="G82" s="38"/>
    </row>
    <row r="83" spans="1:7">
      <c r="A83" s="33"/>
      <c r="B83" s="37" t="s">
        <v>83</v>
      </c>
      <c r="C83" s="37" t="s">
        <v>426</v>
      </c>
      <c r="G83" s="38"/>
    </row>
    <row r="84" spans="1:7">
      <c r="A84" s="33"/>
      <c r="B84" s="52" t="s">
        <v>325</v>
      </c>
      <c r="C84" s="117">
        <v>0</v>
      </c>
      <c r="G84" s="38"/>
    </row>
    <row r="85" spans="1:7">
      <c r="A85" s="33"/>
      <c r="B85" t="s">
        <v>326</v>
      </c>
      <c r="C85" s="117">
        <v>0</v>
      </c>
      <c r="D85" s="116"/>
      <c r="G85" s="38"/>
    </row>
    <row r="86" spans="1:7">
      <c r="A86" s="33"/>
      <c r="B86" s="52" t="s">
        <v>358</v>
      </c>
      <c r="C86" s="126">
        <v>0</v>
      </c>
      <c r="D86" s="116"/>
      <c r="G86" s="38"/>
    </row>
    <row r="87" spans="1:7">
      <c r="A87" s="33"/>
      <c r="E87" s="27"/>
      <c r="F87" s="46"/>
      <c r="G87" s="38"/>
    </row>
    <row r="88" spans="1:7">
      <c r="A88" s="33"/>
      <c r="B88" s="37" t="s">
        <v>237</v>
      </c>
      <c r="C88" s="24"/>
      <c r="D88" s="101"/>
      <c r="E88" s="27"/>
      <c r="F88" s="102">
        <v>0</v>
      </c>
      <c r="G88" s="39"/>
    </row>
    <row r="89" spans="1:7">
      <c r="A89" s="33"/>
      <c r="B89" s="37" t="s">
        <v>360</v>
      </c>
      <c r="C89" s="24"/>
      <c r="D89" s="101"/>
      <c r="E89" s="27"/>
      <c r="F89" s="102" t="s">
        <v>333</v>
      </c>
      <c r="G89" s="39"/>
    </row>
    <row r="90" spans="1:7">
      <c r="A90" s="33"/>
      <c r="B90" s="37" t="s">
        <v>236</v>
      </c>
      <c r="C90" s="24"/>
      <c r="D90" s="24"/>
      <c r="E90" s="27"/>
      <c r="F90" s="102">
        <v>0</v>
      </c>
      <c r="G90" s="38"/>
    </row>
    <row r="91" spans="1:7">
      <c r="A91" s="33"/>
      <c r="B91" s="37" t="s">
        <v>285</v>
      </c>
      <c r="C91" s="103"/>
      <c r="D91" s="37"/>
      <c r="E91" s="43"/>
      <c r="F91" s="102">
        <v>0</v>
      </c>
      <c r="G91" s="38"/>
    </row>
    <row r="92" spans="1:7">
      <c r="A92" s="33"/>
      <c r="B92" s="37" t="s">
        <v>334</v>
      </c>
      <c r="C92" s="103"/>
      <c r="D92" s="37"/>
      <c r="E92" s="43"/>
      <c r="F92" s="102">
        <v>0</v>
      </c>
      <c r="G92" s="38"/>
    </row>
    <row r="93" spans="1:7">
      <c r="A93" s="33"/>
      <c r="G93" s="39"/>
    </row>
    <row r="94" spans="1:7">
      <c r="A94" s="33"/>
      <c r="B94" s="24" t="s">
        <v>87</v>
      </c>
      <c r="C94" s="24"/>
      <c r="D94" s="24"/>
      <c r="E94" s="27" t="s">
        <v>86</v>
      </c>
      <c r="F94" s="46">
        <f>SUM(F88:F93)</f>
        <v>0</v>
      </c>
      <c r="G94" s="38"/>
    </row>
    <row r="95" spans="1:7">
      <c r="A95" s="33"/>
      <c r="B95" s="24" t="s">
        <v>89</v>
      </c>
      <c r="C95" s="24"/>
      <c r="D95" s="24"/>
      <c r="E95" s="27" t="s">
        <v>86</v>
      </c>
      <c r="F95" s="46">
        <f>F92*21%</f>
        <v>0</v>
      </c>
      <c r="G95" s="38"/>
    </row>
    <row r="96" spans="1:7">
      <c r="A96" s="33"/>
      <c r="B96" s="24" t="s">
        <v>88</v>
      </c>
      <c r="C96" s="24"/>
      <c r="D96" s="24"/>
      <c r="E96" s="27" t="s">
        <v>86</v>
      </c>
      <c r="F96" s="47">
        <f>SUM(F88:F91)*27%</f>
        <v>0</v>
      </c>
      <c r="G96" s="38"/>
    </row>
    <row r="97" spans="1:8">
      <c r="A97" s="33"/>
      <c r="B97" s="52" t="s">
        <v>238</v>
      </c>
      <c r="C97" s="24"/>
      <c r="D97" s="24"/>
      <c r="E97" s="27" t="s">
        <v>86</v>
      </c>
      <c r="F97" s="46">
        <f>SUM(F88:F91)*4.1667%</f>
        <v>0</v>
      </c>
      <c r="G97" s="38"/>
    </row>
    <row r="98" spans="1:8">
      <c r="A98" s="33"/>
      <c r="B98" s="53" t="s">
        <v>2</v>
      </c>
      <c r="C98" s="40"/>
      <c r="D98" s="40"/>
      <c r="E98" s="42" t="s">
        <v>86</v>
      </c>
      <c r="F98" s="48">
        <f>SUM(F88:F91)*1%</f>
        <v>0</v>
      </c>
      <c r="G98" s="38"/>
    </row>
    <row r="99" spans="1:8">
      <c r="A99" s="33"/>
      <c r="B99" s="37" t="s">
        <v>90</v>
      </c>
      <c r="C99" s="37"/>
      <c r="D99" s="37"/>
      <c r="E99" s="43" t="s">
        <v>86</v>
      </c>
      <c r="F99" s="49">
        <f>SUM(F94:F98)</f>
        <v>0</v>
      </c>
      <c r="G99" s="38"/>
    </row>
    <row r="100" spans="1:8">
      <c r="A100" s="33"/>
      <c r="B100" s="24"/>
      <c r="C100" s="24"/>
      <c r="D100" s="24"/>
      <c r="E100" s="27"/>
      <c r="F100" s="46"/>
      <c r="G100" s="38"/>
    </row>
    <row r="101" spans="1:8">
      <c r="A101" s="33"/>
      <c r="B101" s="37" t="s">
        <v>91</v>
      </c>
      <c r="C101" s="24"/>
      <c r="D101" s="24"/>
      <c r="E101" s="27"/>
      <c r="F101" s="46"/>
      <c r="G101" s="38"/>
    </row>
    <row r="102" spans="1:8">
      <c r="A102" s="33"/>
      <c r="B102" s="24"/>
      <c r="C102" s="24"/>
      <c r="D102" s="24"/>
      <c r="E102" s="27"/>
      <c r="F102" s="46"/>
      <c r="G102" s="38"/>
    </row>
    <row r="103" spans="1:8">
      <c r="A103" s="41"/>
      <c r="B103" s="40"/>
      <c r="C103" s="40"/>
      <c r="D103" s="40"/>
      <c r="E103" s="42"/>
      <c r="F103" s="48"/>
      <c r="G103" s="44"/>
    </row>
    <row r="104" spans="1:8">
      <c r="A104" s="24"/>
      <c r="B104" s="24"/>
      <c r="C104" s="24"/>
      <c r="D104" s="28"/>
      <c r="E104" s="27"/>
      <c r="F104" s="24"/>
      <c r="G104" s="25"/>
    </row>
    <row r="105" spans="1:8">
      <c r="A105" s="24"/>
      <c r="B105" s="24"/>
      <c r="C105" s="24"/>
      <c r="D105" s="28"/>
      <c r="E105" s="27"/>
      <c r="F105" s="24"/>
      <c r="G105" s="25"/>
      <c r="H105" s="26"/>
    </row>
    <row r="106" spans="1:8">
      <c r="A106" s="29"/>
      <c r="B106" s="30"/>
      <c r="C106" s="30"/>
      <c r="D106" s="30"/>
      <c r="E106" s="31"/>
      <c r="F106" s="45"/>
      <c r="G106" s="32"/>
    </row>
    <row r="107" spans="1:8">
      <c r="A107" s="33"/>
      <c r="B107" s="37" t="s">
        <v>84</v>
      </c>
      <c r="C107" s="35">
        <v>2616649074</v>
      </c>
      <c r="E107" s="37" t="s">
        <v>85</v>
      </c>
      <c r="F107" s="50">
        <f>Personal!C$72</f>
        <v>43922</v>
      </c>
      <c r="G107" s="36"/>
    </row>
    <row r="108" spans="1:8">
      <c r="A108" s="33"/>
      <c r="B108" s="37" t="s">
        <v>92</v>
      </c>
      <c r="C108" s="34" t="str">
        <f>VLOOKUP(C107,Personal!A:B,2,FALSE)</f>
        <v>Pepi Zambruno</v>
      </c>
      <c r="G108" s="38"/>
    </row>
    <row r="109" spans="1:8">
      <c r="A109" s="33"/>
      <c r="B109" s="37" t="s">
        <v>83</v>
      </c>
      <c r="C109" s="37" t="str">
        <f>VLOOKUP(C107,Personal!A:D,4,FALSE)</f>
        <v>TI Empresas Ilimitado</v>
      </c>
      <c r="G109" s="38"/>
    </row>
    <row r="110" spans="1:8">
      <c r="A110" s="33"/>
      <c r="B110" s="52" t="s">
        <v>325</v>
      </c>
      <c r="C110" s="117">
        <f>VLOOKUP(C109,Det_Personal!$P$1:$S$4,2,FALSE)</f>
        <v>300</v>
      </c>
      <c r="G110" s="38"/>
    </row>
    <row r="111" spans="1:8">
      <c r="A111" s="33"/>
      <c r="B111" t="s">
        <v>326</v>
      </c>
      <c r="C111" s="117">
        <f>VLOOKUP(C109,Det_Personal!$P$1:$S$4,4,FALSE)</f>
        <v>300</v>
      </c>
      <c r="D111" s="116"/>
      <c r="G111" s="38"/>
    </row>
    <row r="112" spans="1:8">
      <c r="A112" s="33"/>
      <c r="B112" s="52" t="s">
        <v>358</v>
      </c>
      <c r="C112" s="126">
        <f>VLOOKUP(C109,Det_Personal!$P$1:$T$4,5,FALSE)</f>
        <v>1.2</v>
      </c>
      <c r="D112" s="116"/>
      <c r="G112" s="38"/>
    </row>
    <row r="113" spans="1:7">
      <c r="A113" s="33"/>
      <c r="E113" s="27"/>
      <c r="F113" s="46"/>
      <c r="G113" s="38"/>
    </row>
    <row r="114" spans="1:7">
      <c r="A114" s="33"/>
      <c r="B114" s="37" t="s">
        <v>237</v>
      </c>
      <c r="C114" s="24"/>
      <c r="D114" s="101"/>
      <c r="E114" s="27"/>
      <c r="F114" s="102">
        <f>VLOOKUP(C107,Personal!A:F,5,FALSE)</f>
        <v>1610</v>
      </c>
      <c r="G114" s="39"/>
    </row>
    <row r="115" spans="1:7">
      <c r="A115" s="33"/>
      <c r="B115" s="37" t="s">
        <v>360</v>
      </c>
      <c r="C115" s="24"/>
      <c r="D115" s="101"/>
      <c r="E115" s="27"/>
      <c r="F115" s="102" t="s">
        <v>333</v>
      </c>
      <c r="G115" s="39"/>
    </row>
    <row r="116" spans="1:7">
      <c r="A116" s="33"/>
      <c r="B116" s="37" t="s">
        <v>236</v>
      </c>
      <c r="C116" s="24"/>
      <c r="D116" s="24"/>
      <c r="E116" s="27"/>
      <c r="F116" s="102">
        <f>VLOOKUP(C107,Personal!A:F,6,FALSE)</f>
        <v>0</v>
      </c>
      <c r="G116" s="38"/>
    </row>
    <row r="117" spans="1:7">
      <c r="A117" s="33"/>
      <c r="B117" s="37" t="s">
        <v>285</v>
      </c>
      <c r="C117" s="103"/>
      <c r="D117" s="37"/>
      <c r="E117" s="43"/>
      <c r="F117" s="102">
        <f>VLOOKUP(C107,Personal!A:G,7,FALSE)/1.321667</f>
        <v>0</v>
      </c>
      <c r="G117" s="38"/>
    </row>
    <row r="118" spans="1:7">
      <c r="A118" s="33"/>
      <c r="B118" s="37" t="s">
        <v>334</v>
      </c>
      <c r="C118" s="103"/>
      <c r="D118" s="37"/>
      <c r="E118" s="43"/>
      <c r="F118" s="102">
        <f>VLOOKUP(C107,Personal!A:I,9,FALSE)</f>
        <v>0</v>
      </c>
      <c r="G118" s="38"/>
    </row>
    <row r="119" spans="1:7">
      <c r="A119" s="33"/>
      <c r="G119" s="39"/>
    </row>
    <row r="120" spans="1:7">
      <c r="A120" s="33"/>
      <c r="B120" s="24" t="s">
        <v>87</v>
      </c>
      <c r="C120" s="24"/>
      <c r="D120" s="24"/>
      <c r="E120" s="27" t="s">
        <v>86</v>
      </c>
      <c r="F120" s="46">
        <f>SUM(F114:F119)</f>
        <v>1610</v>
      </c>
      <c r="G120" s="38"/>
    </row>
    <row r="121" spans="1:7">
      <c r="A121" s="33"/>
      <c r="B121" s="24" t="s">
        <v>89</v>
      </c>
      <c r="C121" s="24"/>
      <c r="D121" s="24"/>
      <c r="E121" s="27" t="s">
        <v>86</v>
      </c>
      <c r="F121" s="46">
        <f>F118*21%</f>
        <v>0</v>
      </c>
      <c r="G121" s="38"/>
    </row>
    <row r="122" spans="1:7">
      <c r="A122" s="33"/>
      <c r="B122" s="24" t="s">
        <v>88</v>
      </c>
      <c r="C122" s="24"/>
      <c r="D122" s="24"/>
      <c r="E122" s="27" t="s">
        <v>86</v>
      </c>
      <c r="F122" s="47">
        <f>SUM(F114:F117)*27%</f>
        <v>434.70000000000005</v>
      </c>
      <c r="G122" s="38"/>
    </row>
    <row r="123" spans="1:7">
      <c r="A123" s="33"/>
      <c r="B123" s="52" t="s">
        <v>238</v>
      </c>
      <c r="C123" s="24"/>
      <c r="D123" s="24"/>
      <c r="E123" s="27" t="s">
        <v>86</v>
      </c>
      <c r="F123" s="46">
        <f>SUM(F114:F117)*4.1667%</f>
        <v>67.08386999999999</v>
      </c>
      <c r="G123" s="38"/>
    </row>
    <row r="124" spans="1:7">
      <c r="A124" s="33"/>
      <c r="B124" s="53" t="s">
        <v>2</v>
      </c>
      <c r="C124" s="40"/>
      <c r="D124" s="40"/>
      <c r="E124" s="42" t="s">
        <v>86</v>
      </c>
      <c r="F124" s="48">
        <f>SUM(F114:F117)*1%</f>
        <v>16.100000000000001</v>
      </c>
      <c r="G124" s="38"/>
    </row>
    <row r="125" spans="1:7">
      <c r="A125" s="33"/>
      <c r="B125" s="37" t="s">
        <v>90</v>
      </c>
      <c r="C125" s="37"/>
      <c r="D125" s="37"/>
      <c r="E125" s="43" t="s">
        <v>86</v>
      </c>
      <c r="F125" s="49">
        <f>SUM(F120:F124)</f>
        <v>2127.8838700000001</v>
      </c>
      <c r="G125" s="38"/>
    </row>
    <row r="126" spans="1:7">
      <c r="A126" s="33"/>
      <c r="B126" s="24"/>
      <c r="C126" s="24"/>
      <c r="D126" s="24"/>
      <c r="E126" s="27"/>
      <c r="F126" s="46"/>
      <c r="G126" s="38"/>
    </row>
    <row r="127" spans="1:7">
      <c r="A127" s="33"/>
      <c r="B127" s="37" t="s">
        <v>91</v>
      </c>
      <c r="C127" s="24"/>
      <c r="D127" s="24"/>
      <c r="E127" s="27"/>
      <c r="F127" s="46"/>
      <c r="G127" s="38"/>
    </row>
    <row r="128" spans="1:7">
      <c r="A128" s="33"/>
      <c r="B128" s="24"/>
      <c r="C128" s="24"/>
      <c r="D128" s="24"/>
      <c r="E128" s="27"/>
      <c r="F128" s="46"/>
      <c r="G128" s="38"/>
    </row>
    <row r="129" spans="1:8">
      <c r="A129" s="41"/>
      <c r="B129" s="40"/>
      <c r="C129" s="40"/>
      <c r="D129" s="40"/>
      <c r="E129" s="42"/>
      <c r="F129" s="48"/>
      <c r="G129" s="44"/>
    </row>
    <row r="130" spans="1:8">
      <c r="A130" s="24"/>
      <c r="B130" s="24"/>
      <c r="C130" s="24"/>
      <c r="D130" s="28"/>
      <c r="E130" s="27"/>
      <c r="F130" s="24"/>
      <c r="G130" s="25"/>
    </row>
    <row r="131" spans="1:8">
      <c r="A131" s="24"/>
      <c r="B131" s="24"/>
      <c r="C131" s="24"/>
      <c r="D131" s="28"/>
      <c r="E131" s="27"/>
      <c r="F131" s="24"/>
      <c r="G131" s="25"/>
      <c r="H131" s="26"/>
    </row>
    <row r="132" spans="1:8">
      <c r="A132" s="29"/>
      <c r="B132" s="30"/>
      <c r="C132" s="30"/>
      <c r="D132" s="30"/>
      <c r="E132" s="31"/>
      <c r="F132" s="45"/>
      <c r="G132" s="32"/>
    </row>
    <row r="133" spans="1:8">
      <c r="A133" s="33"/>
      <c r="B133" s="37" t="s">
        <v>84</v>
      </c>
      <c r="C133" s="35">
        <v>2616648709</v>
      </c>
      <c r="E133" s="37" t="s">
        <v>85</v>
      </c>
      <c r="F133" s="50">
        <f>Personal!C$72</f>
        <v>43922</v>
      </c>
      <c r="G133" s="36"/>
    </row>
    <row r="134" spans="1:8">
      <c r="A134" s="33"/>
      <c r="B134" s="37" t="s">
        <v>92</v>
      </c>
      <c r="C134" s="34" t="s">
        <v>425</v>
      </c>
      <c r="G134" s="38"/>
    </row>
    <row r="135" spans="1:8">
      <c r="A135" s="33"/>
      <c r="B135" s="37" t="s">
        <v>83</v>
      </c>
      <c r="C135" s="37" t="s">
        <v>425</v>
      </c>
      <c r="G135" s="38"/>
    </row>
    <row r="136" spans="1:8">
      <c r="A136" s="33"/>
      <c r="B136" s="52" t="s">
        <v>325</v>
      </c>
      <c r="C136" s="117">
        <v>0</v>
      </c>
      <c r="G136" s="38"/>
    </row>
    <row r="137" spans="1:8">
      <c r="A137" s="33"/>
      <c r="B137" t="s">
        <v>326</v>
      </c>
      <c r="C137" s="117">
        <v>0</v>
      </c>
      <c r="D137" s="116"/>
      <c r="G137" s="38"/>
    </row>
    <row r="138" spans="1:8">
      <c r="A138" s="33"/>
      <c r="B138" s="52" t="s">
        <v>358</v>
      </c>
      <c r="C138" s="126">
        <v>0</v>
      </c>
      <c r="D138" s="116"/>
      <c r="G138" s="38"/>
    </row>
    <row r="139" spans="1:8">
      <c r="A139" s="33"/>
      <c r="E139" s="27"/>
      <c r="F139" s="46"/>
      <c r="G139" s="38"/>
    </row>
    <row r="140" spans="1:8">
      <c r="A140" s="33"/>
      <c r="B140" s="37" t="s">
        <v>237</v>
      </c>
      <c r="C140" s="24"/>
      <c r="D140" s="101"/>
      <c r="E140" s="27"/>
      <c r="F140" s="102">
        <v>0</v>
      </c>
      <c r="G140" s="39"/>
    </row>
    <row r="141" spans="1:8">
      <c r="A141" s="33"/>
      <c r="B141" s="37" t="s">
        <v>360</v>
      </c>
      <c r="C141" s="24"/>
      <c r="D141" s="101"/>
      <c r="E141" s="27"/>
      <c r="F141" s="102">
        <v>0</v>
      </c>
      <c r="G141" s="39"/>
    </row>
    <row r="142" spans="1:8">
      <c r="A142" s="33"/>
      <c r="B142" s="37" t="s">
        <v>236</v>
      </c>
      <c r="C142" s="24"/>
      <c r="D142" s="24"/>
      <c r="E142" s="27"/>
      <c r="F142" s="102">
        <v>0</v>
      </c>
      <c r="G142" s="38"/>
    </row>
    <row r="143" spans="1:8">
      <c r="A143" s="33"/>
      <c r="B143" s="37" t="s">
        <v>285</v>
      </c>
      <c r="C143" s="103"/>
      <c r="D143" s="37"/>
      <c r="E143" s="43"/>
      <c r="F143" s="102">
        <v>0</v>
      </c>
      <c r="G143" s="38"/>
    </row>
    <row r="144" spans="1:8">
      <c r="A144" s="33"/>
      <c r="B144" s="37" t="s">
        <v>334</v>
      </c>
      <c r="C144" s="103"/>
      <c r="D144" s="37"/>
      <c r="E144" s="43"/>
      <c r="F144" s="102">
        <v>0</v>
      </c>
      <c r="G144" s="38"/>
    </row>
    <row r="145" spans="1:8">
      <c r="A145" s="33"/>
      <c r="G145" s="39"/>
    </row>
    <row r="146" spans="1:8">
      <c r="A146" s="33"/>
      <c r="B146" s="24" t="s">
        <v>87</v>
      </c>
      <c r="C146" s="24"/>
      <c r="D146" s="24"/>
      <c r="E146" s="27" t="s">
        <v>86</v>
      </c>
      <c r="F146" s="46">
        <f>SUM(F140:F145)</f>
        <v>0</v>
      </c>
      <c r="G146" s="38"/>
    </row>
    <row r="147" spans="1:8">
      <c r="A147" s="33"/>
      <c r="B147" s="24" t="s">
        <v>89</v>
      </c>
      <c r="C147" s="24"/>
      <c r="D147" s="24"/>
      <c r="E147" s="27" t="s">
        <v>86</v>
      </c>
      <c r="F147" s="46">
        <f>F144*21%</f>
        <v>0</v>
      </c>
      <c r="G147" s="38"/>
    </row>
    <row r="148" spans="1:8">
      <c r="A148" s="33"/>
      <c r="B148" s="24" t="s">
        <v>88</v>
      </c>
      <c r="C148" s="24"/>
      <c r="D148" s="24"/>
      <c r="E148" s="27" t="s">
        <v>86</v>
      </c>
      <c r="F148" s="47">
        <f>SUM(F140:F143)*27%</f>
        <v>0</v>
      </c>
      <c r="G148" s="38"/>
    </row>
    <row r="149" spans="1:8">
      <c r="A149" s="33"/>
      <c r="B149" s="52" t="s">
        <v>238</v>
      </c>
      <c r="C149" s="24"/>
      <c r="D149" s="24"/>
      <c r="E149" s="27" t="s">
        <v>86</v>
      </c>
      <c r="F149" s="46">
        <f>SUM(F140:F143)*4.1667%</f>
        <v>0</v>
      </c>
      <c r="G149" s="38"/>
    </row>
    <row r="150" spans="1:8">
      <c r="A150" s="33"/>
      <c r="B150" s="53" t="s">
        <v>2</v>
      </c>
      <c r="C150" s="40"/>
      <c r="D150" s="40"/>
      <c r="E150" s="42" t="s">
        <v>86</v>
      </c>
      <c r="F150" s="48">
        <f>SUM(F140:F143)*1%</f>
        <v>0</v>
      </c>
      <c r="G150" s="38"/>
    </row>
    <row r="151" spans="1:8">
      <c r="A151" s="33"/>
      <c r="B151" s="37" t="s">
        <v>90</v>
      </c>
      <c r="C151" s="37"/>
      <c r="D151" s="37"/>
      <c r="E151" s="43" t="s">
        <v>86</v>
      </c>
      <c r="F151" s="49">
        <v>0</v>
      </c>
      <c r="G151" s="38"/>
    </row>
    <row r="152" spans="1:8">
      <c r="A152" s="33"/>
      <c r="B152" s="24"/>
      <c r="C152" s="24"/>
      <c r="D152" s="24"/>
      <c r="E152" s="27"/>
      <c r="F152" s="46"/>
      <c r="G152" s="38"/>
    </row>
    <row r="153" spans="1:8">
      <c r="A153" s="33"/>
      <c r="B153" s="37" t="s">
        <v>91</v>
      </c>
      <c r="C153" s="24"/>
      <c r="D153" s="24"/>
      <c r="E153" s="27"/>
      <c r="F153" s="46"/>
      <c r="G153" s="38"/>
    </row>
    <row r="154" spans="1:8">
      <c r="A154" s="33"/>
      <c r="B154" s="24"/>
      <c r="C154" s="24"/>
      <c r="D154" s="24"/>
      <c r="E154" s="27"/>
      <c r="F154" s="46"/>
      <c r="G154" s="38"/>
    </row>
    <row r="155" spans="1:8">
      <c r="A155" s="41"/>
      <c r="B155" s="40"/>
      <c r="C155" s="40"/>
      <c r="D155" s="40"/>
      <c r="E155" s="42"/>
      <c r="F155" s="48"/>
      <c r="G155" s="44"/>
    </row>
    <row r="156" spans="1:8">
      <c r="A156" s="24"/>
      <c r="B156" s="24"/>
      <c r="C156" s="24"/>
      <c r="D156" s="28"/>
      <c r="E156" s="27"/>
      <c r="F156" s="24"/>
      <c r="G156" s="25"/>
    </row>
    <row r="157" spans="1:8">
      <c r="A157" s="24"/>
      <c r="B157" s="24"/>
      <c r="C157" s="24"/>
      <c r="D157" s="28"/>
      <c r="E157" s="27"/>
      <c r="F157" s="24"/>
      <c r="G157" s="25"/>
      <c r="H157" s="26"/>
    </row>
    <row r="158" spans="1:8">
      <c r="A158" s="29"/>
      <c r="B158" s="30"/>
      <c r="C158" s="30"/>
      <c r="D158" s="30"/>
      <c r="E158" s="31"/>
      <c r="F158" s="45"/>
      <c r="G158" s="32"/>
    </row>
    <row r="159" spans="1:8">
      <c r="A159" s="33"/>
      <c r="B159" s="37" t="s">
        <v>84</v>
      </c>
      <c r="C159" s="35">
        <v>2615977221</v>
      </c>
      <c r="E159" s="37" t="s">
        <v>85</v>
      </c>
      <c r="F159" s="50">
        <f>Personal!C$72</f>
        <v>43922</v>
      </c>
      <c r="G159" s="36"/>
    </row>
    <row r="160" spans="1:8">
      <c r="A160" s="33"/>
      <c r="B160" s="37" t="s">
        <v>92</v>
      </c>
      <c r="C160" s="34" t="str">
        <f>VLOOKUP(C159,Personal!A:B,2,FALSE)</f>
        <v>Margarita Nuñez</v>
      </c>
      <c r="G160" s="38"/>
    </row>
    <row r="161" spans="1:7">
      <c r="A161" s="33"/>
      <c r="B161" s="37" t="s">
        <v>83</v>
      </c>
      <c r="C161" s="37" t="str">
        <f>VLOOKUP(C159,Personal!A:D,4,FALSE)</f>
        <v>TI Empresas Ilimitado</v>
      </c>
      <c r="G161" s="38"/>
    </row>
    <row r="162" spans="1:7">
      <c r="A162" s="33"/>
      <c r="B162" s="52" t="s">
        <v>325</v>
      </c>
      <c r="C162" s="117">
        <f>VLOOKUP(C161,Det_Personal!$P$1:$S$4,2,FALSE)</f>
        <v>300</v>
      </c>
      <c r="G162" s="38"/>
    </row>
    <row r="163" spans="1:7">
      <c r="A163" s="33"/>
      <c r="B163" t="s">
        <v>326</v>
      </c>
      <c r="C163" s="117">
        <f>VLOOKUP(C161,Det_Personal!$P$1:$S$4,4,FALSE)</f>
        <v>300</v>
      </c>
      <c r="D163" s="116"/>
      <c r="G163" s="38"/>
    </row>
    <row r="164" spans="1:7">
      <c r="A164" s="33"/>
      <c r="B164" s="52" t="s">
        <v>358</v>
      </c>
      <c r="C164" s="126">
        <f>VLOOKUP(C161,Det_Personal!$P$1:$T$4,5,FALSE)</f>
        <v>1.2</v>
      </c>
      <c r="D164" s="116"/>
      <c r="G164" s="38"/>
    </row>
    <row r="165" spans="1:7">
      <c r="A165" s="33"/>
      <c r="E165" s="27"/>
      <c r="F165" s="46"/>
      <c r="G165" s="38"/>
    </row>
    <row r="166" spans="1:7">
      <c r="A166" s="33"/>
      <c r="B166" s="37" t="s">
        <v>237</v>
      </c>
      <c r="C166" s="24"/>
      <c r="D166" s="101"/>
      <c r="E166" s="27"/>
      <c r="F166" s="102">
        <f>VLOOKUP(C159,Personal!A:F,5,FALSE)</f>
        <v>640</v>
      </c>
      <c r="G166" s="39"/>
    </row>
    <row r="167" spans="1:7">
      <c r="A167" s="33"/>
      <c r="B167" s="37" t="s">
        <v>360</v>
      </c>
      <c r="C167" s="24"/>
      <c r="D167" s="101"/>
      <c r="E167" s="27"/>
      <c r="F167" s="102" t="s">
        <v>333</v>
      </c>
      <c r="G167" s="39"/>
    </row>
    <row r="168" spans="1:7">
      <c r="A168" s="33"/>
      <c r="B168" s="37" t="s">
        <v>236</v>
      </c>
      <c r="C168" s="24"/>
      <c r="D168" s="24"/>
      <c r="E168" s="27"/>
      <c r="F168" s="102">
        <f>VLOOKUP(C159,Personal!A:F,6,FALSE)</f>
        <v>0</v>
      </c>
      <c r="G168" s="38"/>
    </row>
    <row r="169" spans="1:7">
      <c r="A169" s="33"/>
      <c r="B169" s="37" t="s">
        <v>285</v>
      </c>
      <c r="C169" s="103"/>
      <c r="D169" s="37"/>
      <c r="E169" s="43"/>
      <c r="F169" s="102">
        <f>VLOOKUP(C159,Personal!A:G,7,FALSE)/1.321667</f>
        <v>0</v>
      </c>
      <c r="G169" s="38"/>
    </row>
    <row r="170" spans="1:7">
      <c r="A170" s="33"/>
      <c r="B170" s="37" t="s">
        <v>334</v>
      </c>
      <c r="C170" s="103"/>
      <c r="D170" s="37"/>
      <c r="E170" s="43"/>
      <c r="F170" s="102">
        <f>VLOOKUP(C159,Personal!A:I,9,FALSE)</f>
        <v>0</v>
      </c>
      <c r="G170" s="38"/>
    </row>
    <row r="171" spans="1:7">
      <c r="A171" s="33"/>
      <c r="G171" s="39"/>
    </row>
    <row r="172" spans="1:7">
      <c r="A172" s="33"/>
      <c r="B172" s="24" t="s">
        <v>87</v>
      </c>
      <c r="C172" s="24"/>
      <c r="D172" s="24"/>
      <c r="E172" s="27" t="s">
        <v>86</v>
      </c>
      <c r="F172" s="46">
        <f>SUM(F166:F171)</f>
        <v>640</v>
      </c>
      <c r="G172" s="38"/>
    </row>
    <row r="173" spans="1:7">
      <c r="A173" s="33"/>
      <c r="B173" s="24" t="s">
        <v>89</v>
      </c>
      <c r="C173" s="24"/>
      <c r="D173" s="24"/>
      <c r="E173" s="27" t="s">
        <v>86</v>
      </c>
      <c r="F173" s="46">
        <f>F170*21%</f>
        <v>0</v>
      </c>
      <c r="G173" s="38"/>
    </row>
    <row r="174" spans="1:7">
      <c r="A174" s="33"/>
      <c r="B174" s="24" t="s">
        <v>88</v>
      </c>
      <c r="C174" s="24"/>
      <c r="D174" s="24"/>
      <c r="E174" s="27" t="s">
        <v>86</v>
      </c>
      <c r="F174" s="47">
        <f>SUM(F166:F169)*27%</f>
        <v>172.8</v>
      </c>
      <c r="G174" s="38"/>
    </row>
    <row r="175" spans="1:7">
      <c r="A175" s="33"/>
      <c r="B175" s="52" t="s">
        <v>238</v>
      </c>
      <c r="C175" s="24"/>
      <c r="D175" s="24"/>
      <c r="E175" s="27" t="s">
        <v>86</v>
      </c>
      <c r="F175" s="46">
        <f>SUM(F166:F169)*4.1667%</f>
        <v>26.666879999999999</v>
      </c>
      <c r="G175" s="38"/>
    </row>
    <row r="176" spans="1:7">
      <c r="A176" s="33"/>
      <c r="B176" s="53" t="s">
        <v>2</v>
      </c>
      <c r="C176" s="40"/>
      <c r="D176" s="40"/>
      <c r="E176" s="42" t="s">
        <v>86</v>
      </c>
      <c r="F176" s="48">
        <f>SUM(F166:F169)*1%</f>
        <v>6.4</v>
      </c>
      <c r="G176" s="38"/>
    </row>
    <row r="177" spans="1:8">
      <c r="A177" s="33"/>
      <c r="B177" s="37" t="s">
        <v>90</v>
      </c>
      <c r="C177" s="37"/>
      <c r="D177" s="37"/>
      <c r="E177" s="43" t="s">
        <v>86</v>
      </c>
      <c r="F177" s="49">
        <f>SUM(F172:F176)</f>
        <v>845.86687999999992</v>
      </c>
      <c r="G177" s="38"/>
    </row>
    <row r="178" spans="1:8">
      <c r="A178" s="33"/>
      <c r="B178" s="24"/>
      <c r="C178" s="24"/>
      <c r="D178" s="24"/>
      <c r="E178" s="27"/>
      <c r="F178" s="46"/>
      <c r="G178" s="38"/>
    </row>
    <row r="179" spans="1:8">
      <c r="A179" s="33"/>
      <c r="B179" s="37" t="s">
        <v>91</v>
      </c>
      <c r="C179" s="24"/>
      <c r="D179" s="24"/>
      <c r="E179" s="27"/>
      <c r="F179" s="46"/>
      <c r="G179" s="38"/>
    </row>
    <row r="180" spans="1:8">
      <c r="A180" s="33"/>
      <c r="B180" s="24"/>
      <c r="C180" s="24"/>
      <c r="D180" s="24"/>
      <c r="E180" s="27"/>
      <c r="F180" s="46"/>
      <c r="G180" s="38"/>
    </row>
    <row r="181" spans="1:8">
      <c r="A181" s="41"/>
      <c r="B181" s="40"/>
      <c r="C181" s="40"/>
      <c r="D181" s="40"/>
      <c r="E181" s="42"/>
      <c r="F181" s="48"/>
      <c r="G181" s="44"/>
    </row>
    <row r="182" spans="1:8">
      <c r="A182" s="24"/>
      <c r="B182" s="24"/>
      <c r="C182" s="24"/>
      <c r="D182" s="28"/>
      <c r="E182" s="27"/>
      <c r="F182" s="24"/>
      <c r="G182" s="25"/>
    </row>
    <row r="183" spans="1:8">
      <c r="A183" s="24"/>
      <c r="B183" s="24"/>
      <c r="C183" s="24"/>
      <c r="D183" s="28"/>
      <c r="E183" s="27"/>
      <c r="F183" s="24"/>
      <c r="G183" s="25"/>
      <c r="H183" s="26"/>
    </row>
    <row r="184" spans="1:8">
      <c r="A184" s="29"/>
      <c r="B184" s="30"/>
      <c r="C184" s="30"/>
      <c r="D184" s="30"/>
      <c r="E184" s="31"/>
      <c r="F184" s="45"/>
      <c r="G184" s="32"/>
    </row>
    <row r="185" spans="1:8">
      <c r="A185" s="33"/>
      <c r="B185" s="37" t="s">
        <v>84</v>
      </c>
      <c r="C185" s="35">
        <v>2615557588</v>
      </c>
      <c r="E185" s="37" t="s">
        <v>85</v>
      </c>
      <c r="F185" s="50">
        <f>Personal!C$72</f>
        <v>43922</v>
      </c>
      <c r="G185" s="36"/>
    </row>
    <row r="186" spans="1:8">
      <c r="A186" s="33"/>
      <c r="B186" s="37" t="s">
        <v>92</v>
      </c>
      <c r="C186" s="34" t="str">
        <f>VLOOKUP(C185,Personal!A:B,2,FALSE)</f>
        <v>Irupé</v>
      </c>
      <c r="G186" s="38"/>
    </row>
    <row r="187" spans="1:8">
      <c r="A187" s="33"/>
      <c r="B187" s="37" t="s">
        <v>83</v>
      </c>
      <c r="C187" s="37" t="str">
        <f>VLOOKUP(C185,Personal!A:D,4,FALSE)</f>
        <v>TI Empresas Ilimitado</v>
      </c>
      <c r="G187" s="38"/>
    </row>
    <row r="188" spans="1:8">
      <c r="A188" s="33"/>
      <c r="B188" s="52" t="s">
        <v>325</v>
      </c>
      <c r="C188" s="117">
        <f>VLOOKUP(C187,Det_Personal!$P$1:$S$4,2,FALSE)</f>
        <v>300</v>
      </c>
      <c r="G188" s="38"/>
    </row>
    <row r="189" spans="1:8">
      <c r="A189" s="33"/>
      <c r="B189" t="s">
        <v>326</v>
      </c>
      <c r="C189" s="117">
        <f>VLOOKUP(C187,Det_Personal!$P$1:$S$4,4,FALSE)</f>
        <v>300</v>
      </c>
      <c r="D189" s="116"/>
      <c r="G189" s="38"/>
    </row>
    <row r="190" spans="1:8">
      <c r="A190" s="33"/>
      <c r="B190" s="52" t="s">
        <v>358</v>
      </c>
      <c r="C190" s="126">
        <f>VLOOKUP(C187,Det_Personal!$P$1:$T$4,5,FALSE)</f>
        <v>1.2</v>
      </c>
      <c r="D190" s="116"/>
      <c r="G190" s="38"/>
    </row>
    <row r="191" spans="1:8">
      <c r="A191" s="33"/>
      <c r="E191" s="27"/>
      <c r="F191" s="46"/>
      <c r="G191" s="38"/>
    </row>
    <row r="192" spans="1:8">
      <c r="A192" s="33"/>
      <c r="B192" s="37" t="s">
        <v>237</v>
      </c>
      <c r="C192" s="24"/>
      <c r="D192" s="101"/>
      <c r="E192" s="27"/>
      <c r="F192" s="102">
        <f>VLOOKUP(C185,Personal!A:F,5,FALSE)</f>
        <v>1250</v>
      </c>
      <c r="G192" s="39"/>
    </row>
    <row r="193" spans="1:7">
      <c r="A193" s="33"/>
      <c r="B193" s="37" t="s">
        <v>360</v>
      </c>
      <c r="C193" s="24"/>
      <c r="D193" s="101"/>
      <c r="E193" s="27"/>
      <c r="F193" s="102" t="s">
        <v>333</v>
      </c>
      <c r="G193" s="39"/>
    </row>
    <row r="194" spans="1:7">
      <c r="A194" s="33"/>
      <c r="B194" s="37" t="s">
        <v>236</v>
      </c>
      <c r="C194" s="24"/>
      <c r="D194" s="24"/>
      <c r="E194" s="27"/>
      <c r="F194" s="102">
        <f>VLOOKUP(C185,Personal!A:F,6,FALSE)</f>
        <v>0</v>
      </c>
      <c r="G194" s="38"/>
    </row>
    <row r="195" spans="1:7">
      <c r="A195" s="33"/>
      <c r="B195" s="37" t="s">
        <v>285</v>
      </c>
      <c r="C195" s="103"/>
      <c r="D195" s="37"/>
      <c r="E195" s="43"/>
      <c r="F195" s="102">
        <f>VLOOKUP(C185,Personal!A:G,7,FALSE)/1.321667</f>
        <v>0</v>
      </c>
      <c r="G195" s="38"/>
    </row>
    <row r="196" spans="1:7">
      <c r="A196" s="33"/>
      <c r="B196" s="37" t="s">
        <v>334</v>
      </c>
      <c r="C196" s="103"/>
      <c r="D196" s="37"/>
      <c r="E196" s="43"/>
      <c r="F196" s="102">
        <f>VLOOKUP(C185,Personal!A:I,9,FALSE)</f>
        <v>0</v>
      </c>
      <c r="G196" s="38"/>
    </row>
    <row r="197" spans="1:7">
      <c r="A197" s="33"/>
      <c r="G197" s="39"/>
    </row>
    <row r="198" spans="1:7">
      <c r="A198" s="33"/>
      <c r="B198" s="24" t="s">
        <v>87</v>
      </c>
      <c r="C198" s="24"/>
      <c r="D198" s="24"/>
      <c r="E198" s="27" t="s">
        <v>86</v>
      </c>
      <c r="F198" s="46">
        <f>SUM(F192:F197)</f>
        <v>1250</v>
      </c>
      <c r="G198" s="38"/>
    </row>
    <row r="199" spans="1:7">
      <c r="A199" s="33"/>
      <c r="B199" s="24" t="s">
        <v>89</v>
      </c>
      <c r="C199" s="24"/>
      <c r="D199" s="24"/>
      <c r="E199" s="27" t="s">
        <v>86</v>
      </c>
      <c r="F199" s="46">
        <f>F196*21%</f>
        <v>0</v>
      </c>
      <c r="G199" s="38"/>
    </row>
    <row r="200" spans="1:7">
      <c r="A200" s="33"/>
      <c r="B200" s="24" t="s">
        <v>88</v>
      </c>
      <c r="C200" s="24"/>
      <c r="D200" s="24"/>
      <c r="E200" s="27" t="s">
        <v>86</v>
      </c>
      <c r="F200" s="47">
        <f>SUM(F192:F195)*27%</f>
        <v>337.5</v>
      </c>
      <c r="G200" s="38"/>
    </row>
    <row r="201" spans="1:7">
      <c r="A201" s="33"/>
      <c r="B201" s="52" t="s">
        <v>238</v>
      </c>
      <c r="C201" s="24"/>
      <c r="D201" s="24"/>
      <c r="E201" s="27" t="s">
        <v>86</v>
      </c>
      <c r="F201" s="46">
        <f>SUM(F192:F195)*4.1667%</f>
        <v>52.083749999999995</v>
      </c>
      <c r="G201" s="38"/>
    </row>
    <row r="202" spans="1:7">
      <c r="A202" s="33"/>
      <c r="B202" s="53" t="s">
        <v>2</v>
      </c>
      <c r="C202" s="40"/>
      <c r="D202" s="40"/>
      <c r="E202" s="42" t="s">
        <v>86</v>
      </c>
      <c r="F202" s="48">
        <f>SUM(F192:F195)*1%</f>
        <v>12.5</v>
      </c>
      <c r="G202" s="38"/>
    </row>
    <row r="203" spans="1:7">
      <c r="A203" s="33"/>
      <c r="B203" s="37" t="s">
        <v>90</v>
      </c>
      <c r="C203" s="37"/>
      <c r="D203" s="37"/>
      <c r="E203" s="43" t="s">
        <v>86</v>
      </c>
      <c r="F203" s="49">
        <f>SUM(F198:F202)</f>
        <v>1652.08375</v>
      </c>
      <c r="G203" s="38"/>
    </row>
    <row r="204" spans="1:7">
      <c r="A204" s="33"/>
      <c r="B204" s="24"/>
      <c r="C204" s="24"/>
      <c r="D204" s="24"/>
      <c r="E204" s="27"/>
      <c r="F204" s="46"/>
      <c r="G204" s="38"/>
    </row>
    <row r="205" spans="1:7">
      <c r="A205" s="33"/>
      <c r="B205" s="37" t="s">
        <v>91</v>
      </c>
      <c r="C205" s="24"/>
      <c r="D205" s="24"/>
      <c r="E205" s="27"/>
      <c r="F205" s="46"/>
      <c r="G205" s="38"/>
    </row>
    <row r="206" spans="1:7">
      <c r="A206" s="33"/>
      <c r="B206" s="24"/>
      <c r="C206" s="24"/>
      <c r="D206" s="24"/>
      <c r="E206" s="27"/>
      <c r="F206" s="46"/>
      <c r="G206" s="38"/>
    </row>
    <row r="207" spans="1:7">
      <c r="A207" s="41"/>
      <c r="B207" s="40"/>
      <c r="C207" s="40"/>
      <c r="D207" s="40"/>
      <c r="E207" s="42"/>
      <c r="F207" s="48"/>
      <c r="G207" s="44"/>
    </row>
    <row r="208" spans="1:7">
      <c r="A208" s="24"/>
      <c r="B208" s="24"/>
      <c r="C208" s="24"/>
      <c r="D208" s="28"/>
      <c r="E208" s="27"/>
      <c r="F208" s="24"/>
      <c r="G208" s="25"/>
    </row>
    <row r="209" spans="1:8">
      <c r="A209" s="24"/>
      <c r="B209" s="24"/>
      <c r="C209" s="24"/>
      <c r="D209" s="28"/>
      <c r="E209" s="27"/>
      <c r="F209" s="24"/>
      <c r="G209" s="25"/>
      <c r="H209" s="26"/>
    </row>
    <row r="210" spans="1:8">
      <c r="A210" s="29"/>
      <c r="B210" s="30"/>
      <c r="C210" s="30"/>
      <c r="D210" s="30"/>
      <c r="E210" s="31"/>
      <c r="F210" s="45"/>
      <c r="G210" s="32"/>
    </row>
    <row r="211" spans="1:8">
      <c r="A211" s="33"/>
      <c r="B211" s="37" t="s">
        <v>84</v>
      </c>
      <c r="C211" s="35">
        <v>2613861796</v>
      </c>
      <c r="E211" s="37" t="s">
        <v>85</v>
      </c>
      <c r="F211" s="50">
        <f>Personal!C$72</f>
        <v>43922</v>
      </c>
      <c r="G211" s="36"/>
    </row>
    <row r="212" spans="1:8">
      <c r="A212" s="33"/>
      <c r="B212" s="37" t="s">
        <v>92</v>
      </c>
      <c r="C212" s="34" t="str">
        <f>VLOOKUP(C211,Personal!A:B,2,FALSE)</f>
        <v>Veronica Caparotta (hijo)</v>
      </c>
      <c r="G212" s="38"/>
    </row>
    <row r="213" spans="1:8">
      <c r="A213" s="33"/>
      <c r="B213" s="37" t="s">
        <v>83</v>
      </c>
      <c r="C213" s="37" t="str">
        <f>VLOOKUP(C211,Personal!A:D,4,FALSE)</f>
        <v>Conexión Total Premium XL</v>
      </c>
      <c r="G213" s="38"/>
    </row>
    <row r="214" spans="1:8">
      <c r="A214" s="33"/>
      <c r="B214" s="52" t="s">
        <v>325</v>
      </c>
      <c r="C214" s="117" t="str">
        <f>VLOOKUP(C213,Det_Personal!$P$1:$S$4,2,FALSE)</f>
        <v>Ilimitado</v>
      </c>
      <c r="G214" s="38"/>
    </row>
    <row r="215" spans="1:8">
      <c r="A215" s="33"/>
      <c r="B215" t="s">
        <v>326</v>
      </c>
      <c r="C215" s="117">
        <f>VLOOKUP(C213,Det_Personal!$P$1:$S$4,4,FALSE)</f>
        <v>5000</v>
      </c>
      <c r="D215" s="116"/>
      <c r="G215" s="38"/>
    </row>
    <row r="216" spans="1:8">
      <c r="A216" s="33"/>
      <c r="B216" s="52" t="s">
        <v>358</v>
      </c>
      <c r="C216" s="126">
        <f>VLOOKUP(C213,Det_Personal!$P$1:$T$4,5,FALSE)</f>
        <v>0</v>
      </c>
      <c r="D216" s="116"/>
      <c r="G216" s="38"/>
    </row>
    <row r="217" spans="1:8">
      <c r="A217" s="33"/>
      <c r="E217" s="27"/>
      <c r="F217" s="46"/>
      <c r="G217" s="38"/>
    </row>
    <row r="218" spans="1:8">
      <c r="A218" s="33"/>
      <c r="B218" s="37" t="s">
        <v>237</v>
      </c>
      <c r="C218" s="24"/>
      <c r="D218" s="101"/>
      <c r="E218" s="27"/>
      <c r="F218" s="102">
        <f>VLOOKUP(C211,Personal!A:F,5,FALSE)</f>
        <v>1250</v>
      </c>
      <c r="G218" s="39"/>
    </row>
    <row r="219" spans="1:8">
      <c r="A219" s="33"/>
      <c r="B219" s="37" t="s">
        <v>360</v>
      </c>
      <c r="C219" s="24"/>
      <c r="D219" s="101"/>
      <c r="E219" s="27"/>
      <c r="F219" s="102" t="s">
        <v>333</v>
      </c>
      <c r="G219" s="39"/>
    </row>
    <row r="220" spans="1:8">
      <c r="A220" s="33"/>
      <c r="B220" s="37" t="s">
        <v>236</v>
      </c>
      <c r="C220" s="24"/>
      <c r="D220" s="24"/>
      <c r="E220" s="27"/>
      <c r="F220" s="102">
        <f>VLOOKUP(C211,Personal!A:F,6,FALSE)</f>
        <v>0</v>
      </c>
      <c r="G220" s="38"/>
    </row>
    <row r="221" spans="1:8">
      <c r="A221" s="33"/>
      <c r="B221" s="37" t="s">
        <v>285</v>
      </c>
      <c r="C221" s="103"/>
      <c r="D221" s="37"/>
      <c r="E221" s="43"/>
      <c r="F221" s="102">
        <f>VLOOKUP(C211,Personal!A:G,7,FALSE)/1.321667</f>
        <v>0</v>
      </c>
      <c r="G221" s="38"/>
    </row>
    <row r="222" spans="1:8">
      <c r="A222" s="33"/>
      <c r="B222" s="37" t="s">
        <v>334</v>
      </c>
      <c r="C222" s="103"/>
      <c r="D222" s="37"/>
      <c r="E222" s="43"/>
      <c r="F222" s="102">
        <f>VLOOKUP(C211,Personal!A:I,9,FALSE)</f>
        <v>0</v>
      </c>
      <c r="G222" s="38"/>
    </row>
    <row r="223" spans="1:8">
      <c r="A223" s="33"/>
      <c r="G223" s="39"/>
    </row>
    <row r="224" spans="1:8">
      <c r="A224" s="33"/>
      <c r="B224" s="24" t="s">
        <v>87</v>
      </c>
      <c r="C224" s="24"/>
      <c r="D224" s="24"/>
      <c r="E224" s="27" t="s">
        <v>86</v>
      </c>
      <c r="F224" s="46">
        <f>SUM(F218:F223)</f>
        <v>1250</v>
      </c>
      <c r="G224" s="38"/>
    </row>
    <row r="225" spans="1:8">
      <c r="A225" s="33"/>
      <c r="B225" s="24" t="s">
        <v>89</v>
      </c>
      <c r="C225" s="24"/>
      <c r="D225" s="24"/>
      <c r="E225" s="27" t="s">
        <v>86</v>
      </c>
      <c r="F225" s="46">
        <f>F222*21%</f>
        <v>0</v>
      </c>
      <c r="G225" s="38"/>
    </row>
    <row r="226" spans="1:8">
      <c r="A226" s="33"/>
      <c r="B226" s="24" t="s">
        <v>88</v>
      </c>
      <c r="C226" s="24"/>
      <c r="D226" s="24"/>
      <c r="E226" s="27" t="s">
        <v>86</v>
      </c>
      <c r="F226" s="47">
        <f>SUM(F218:F221)*27%</f>
        <v>337.5</v>
      </c>
      <c r="G226" s="38"/>
    </row>
    <row r="227" spans="1:8">
      <c r="A227" s="33"/>
      <c r="B227" s="52" t="s">
        <v>238</v>
      </c>
      <c r="C227" s="24"/>
      <c r="D227" s="24"/>
      <c r="E227" s="27" t="s">
        <v>86</v>
      </c>
      <c r="F227" s="46">
        <f>SUM(F218:F221)*4.1667%</f>
        <v>52.083749999999995</v>
      </c>
      <c r="G227" s="38"/>
    </row>
    <row r="228" spans="1:8">
      <c r="A228" s="33"/>
      <c r="B228" s="53" t="s">
        <v>2</v>
      </c>
      <c r="C228" s="40"/>
      <c r="D228" s="40"/>
      <c r="E228" s="42" t="s">
        <v>86</v>
      </c>
      <c r="F228" s="48">
        <f>SUM(F218:F221)*1%</f>
        <v>12.5</v>
      </c>
      <c r="G228" s="38"/>
    </row>
    <row r="229" spans="1:8">
      <c r="A229" s="33"/>
      <c r="B229" s="37" t="s">
        <v>90</v>
      </c>
      <c r="C229" s="37"/>
      <c r="D229" s="37"/>
      <c r="E229" s="43" t="s">
        <v>86</v>
      </c>
      <c r="F229" s="49">
        <f>SUM(F224:F228)</f>
        <v>1652.08375</v>
      </c>
      <c r="G229" s="38"/>
    </row>
    <row r="230" spans="1:8">
      <c r="A230" s="33"/>
      <c r="B230" s="24"/>
      <c r="C230" s="24"/>
      <c r="D230" s="24"/>
      <c r="E230" s="27"/>
      <c r="F230" s="46"/>
      <c r="G230" s="38"/>
    </row>
    <row r="231" spans="1:8">
      <c r="A231" s="33"/>
      <c r="B231" s="37" t="s">
        <v>91</v>
      </c>
      <c r="C231" s="24"/>
      <c r="D231" s="24"/>
      <c r="E231" s="27"/>
      <c r="F231" s="46"/>
      <c r="G231" s="38"/>
    </row>
    <row r="232" spans="1:8">
      <c r="A232" s="33"/>
      <c r="B232" s="24"/>
      <c r="C232" s="24"/>
      <c r="D232" s="24"/>
      <c r="E232" s="27"/>
      <c r="F232" s="46"/>
      <c r="G232" s="38"/>
    </row>
    <row r="233" spans="1:8">
      <c r="A233" s="41"/>
      <c r="B233" s="40"/>
      <c r="C233" s="40"/>
      <c r="D233" s="40"/>
      <c r="E233" s="42"/>
      <c r="F233" s="48"/>
      <c r="G233" s="44"/>
    </row>
    <row r="234" spans="1:8">
      <c r="A234" s="24"/>
      <c r="B234" s="24"/>
      <c r="C234" s="24"/>
      <c r="D234" s="28"/>
      <c r="E234" s="27"/>
      <c r="F234" s="24"/>
      <c r="G234" s="25"/>
    </row>
    <row r="235" spans="1:8">
      <c r="A235" s="24"/>
      <c r="B235" s="24"/>
      <c r="C235" s="24"/>
      <c r="D235" s="28"/>
      <c r="E235" s="27"/>
      <c r="F235" s="24"/>
      <c r="G235" s="25"/>
      <c r="H235" s="26"/>
    </row>
    <row r="236" spans="1:8">
      <c r="A236" s="29"/>
      <c r="B236" s="30"/>
      <c r="C236" s="30"/>
      <c r="D236" s="30"/>
      <c r="E236" s="31"/>
      <c r="F236" s="45"/>
      <c r="G236" s="32"/>
    </row>
    <row r="237" spans="1:8">
      <c r="A237" s="33"/>
      <c r="B237" s="37" t="s">
        <v>84</v>
      </c>
      <c r="C237" s="35">
        <v>2615462740</v>
      </c>
      <c r="E237" s="37" t="s">
        <v>85</v>
      </c>
      <c r="F237" s="50">
        <f>Personal!C$72</f>
        <v>43922</v>
      </c>
      <c r="G237" s="36"/>
    </row>
    <row r="238" spans="1:8">
      <c r="A238" s="33"/>
      <c r="B238" s="37" t="s">
        <v>92</v>
      </c>
      <c r="C238" s="34" t="str">
        <f>VLOOKUP(C237,Personal!A:B,2,FALSE)</f>
        <v>Mayra Godoy</v>
      </c>
      <c r="G238" s="38"/>
    </row>
    <row r="239" spans="1:8">
      <c r="A239" s="33"/>
      <c r="B239" s="37" t="s">
        <v>83</v>
      </c>
      <c r="C239" s="37" t="str">
        <f>VLOOKUP(C237,Personal!A:D,4,FALSE)</f>
        <v>TI Empresas Ilimitado</v>
      </c>
      <c r="G239" s="38"/>
    </row>
    <row r="240" spans="1:8">
      <c r="A240" s="33"/>
      <c r="B240" s="52" t="s">
        <v>325</v>
      </c>
      <c r="C240" s="117">
        <f>VLOOKUP(C239,Det_Personal!$P$1:$S$4,2,FALSE)</f>
        <v>300</v>
      </c>
      <c r="G240" s="38"/>
    </row>
    <row r="241" spans="1:7">
      <c r="A241" s="33"/>
      <c r="B241" t="s">
        <v>326</v>
      </c>
      <c r="C241" s="117">
        <f>VLOOKUP(C239,Det_Personal!$P$1:$S$4,4,FALSE)</f>
        <v>300</v>
      </c>
      <c r="D241" s="116"/>
      <c r="G241" s="38"/>
    </row>
    <row r="242" spans="1:7">
      <c r="A242" s="33"/>
      <c r="B242" s="52" t="s">
        <v>358</v>
      </c>
      <c r="C242" s="126">
        <f>VLOOKUP(C239,Det_Personal!$P$1:$T$4,5,FALSE)</f>
        <v>1.2</v>
      </c>
      <c r="D242" s="116"/>
      <c r="G242" s="38"/>
    </row>
    <row r="243" spans="1:7">
      <c r="A243" s="33"/>
      <c r="E243" s="27"/>
      <c r="F243" s="46"/>
      <c r="G243" s="38"/>
    </row>
    <row r="244" spans="1:7">
      <c r="A244" s="33"/>
      <c r="B244" s="37" t="s">
        <v>237</v>
      </c>
      <c r="C244" s="24"/>
      <c r="D244" s="101"/>
      <c r="E244" s="27"/>
      <c r="F244" s="102">
        <f>VLOOKUP(C237,Personal!A:F,5,FALSE)</f>
        <v>1610</v>
      </c>
      <c r="G244" s="39"/>
    </row>
    <row r="245" spans="1:7">
      <c r="A245" s="33"/>
      <c r="B245" s="37" t="s">
        <v>360</v>
      </c>
      <c r="C245" s="24"/>
      <c r="D245" s="101"/>
      <c r="E245" s="27"/>
      <c r="F245" s="102" t="s">
        <v>333</v>
      </c>
      <c r="G245" s="39"/>
    </row>
    <row r="246" spans="1:7">
      <c r="A246" s="33"/>
      <c r="B246" s="37" t="s">
        <v>236</v>
      </c>
      <c r="C246" s="24"/>
      <c r="D246" s="24"/>
      <c r="E246" s="27"/>
      <c r="F246" s="102">
        <f>VLOOKUP(C237,Personal!A:F,6,FALSE)</f>
        <v>0</v>
      </c>
      <c r="G246" s="38"/>
    </row>
    <row r="247" spans="1:7">
      <c r="A247" s="33"/>
      <c r="B247" s="37" t="s">
        <v>285</v>
      </c>
      <c r="C247" s="103"/>
      <c r="D247" s="37"/>
      <c r="E247" s="43"/>
      <c r="F247" s="102">
        <f>VLOOKUP(C237,Personal!A:G,7,FALSE)/1.321667</f>
        <v>132.10589354201929</v>
      </c>
      <c r="G247" s="38"/>
    </row>
    <row r="248" spans="1:7">
      <c r="A248" s="33"/>
      <c r="B248" s="37" t="s">
        <v>334</v>
      </c>
      <c r="C248" s="103"/>
      <c r="D248" s="37"/>
      <c r="E248" s="43"/>
      <c r="F248" s="102">
        <f>VLOOKUP(C237,Personal!A:I,9,FALSE)</f>
        <v>0</v>
      </c>
      <c r="G248" s="38"/>
    </row>
    <row r="249" spans="1:7">
      <c r="A249" s="33"/>
      <c r="G249" s="39"/>
    </row>
    <row r="250" spans="1:7">
      <c r="A250" s="33"/>
      <c r="B250" s="24" t="s">
        <v>87</v>
      </c>
      <c r="C250" s="24"/>
      <c r="D250" s="24"/>
      <c r="E250" s="27" t="s">
        <v>86</v>
      </c>
      <c r="F250" s="46">
        <f>SUM(F244:F249)</f>
        <v>1742.1058935420192</v>
      </c>
      <c r="G250" s="38"/>
    </row>
    <row r="251" spans="1:7">
      <c r="A251" s="33"/>
      <c r="B251" s="24" t="s">
        <v>89</v>
      </c>
      <c r="C251" s="24"/>
      <c r="D251" s="24"/>
      <c r="E251" s="27" t="s">
        <v>86</v>
      </c>
      <c r="F251" s="46">
        <f>F248*21%</f>
        <v>0</v>
      </c>
      <c r="G251" s="38"/>
    </row>
    <row r="252" spans="1:7">
      <c r="A252" s="33"/>
      <c r="B252" s="24" t="s">
        <v>88</v>
      </c>
      <c r="C252" s="24"/>
      <c r="D252" s="24"/>
      <c r="E252" s="27" t="s">
        <v>86</v>
      </c>
      <c r="F252" s="47">
        <f>SUM(F244:F247)*27%</f>
        <v>470.36859125634521</v>
      </c>
      <c r="G252" s="38"/>
    </row>
    <row r="253" spans="1:7">
      <c r="A253" s="33"/>
      <c r="B253" s="52" t="s">
        <v>238</v>
      </c>
      <c r="C253" s="24"/>
      <c r="D253" s="24"/>
      <c r="E253" s="27" t="s">
        <v>86</v>
      </c>
      <c r="F253" s="46">
        <f>SUM(F244:F247)*4.1667%</f>
        <v>72.588326266215304</v>
      </c>
      <c r="G253" s="38"/>
    </row>
    <row r="254" spans="1:7">
      <c r="A254" s="33"/>
      <c r="B254" s="53" t="s">
        <v>2</v>
      </c>
      <c r="C254" s="40"/>
      <c r="D254" s="40"/>
      <c r="E254" s="42" t="s">
        <v>86</v>
      </c>
      <c r="F254" s="48">
        <f>SUM(F244:F247)*1%</f>
        <v>17.421058935420191</v>
      </c>
      <c r="G254" s="38"/>
    </row>
    <row r="255" spans="1:7">
      <c r="A255" s="33"/>
      <c r="B255" s="37" t="s">
        <v>90</v>
      </c>
      <c r="C255" s="37"/>
      <c r="D255" s="37"/>
      <c r="E255" s="43" t="s">
        <v>86</v>
      </c>
      <c r="F255" s="49">
        <f>SUM(F250:F254)</f>
        <v>2302.48387</v>
      </c>
      <c r="G255" s="38"/>
    </row>
    <row r="256" spans="1:7">
      <c r="A256" s="33"/>
      <c r="B256" s="24"/>
      <c r="C256" s="24"/>
      <c r="D256" s="24"/>
      <c r="E256" s="27"/>
      <c r="F256" s="46"/>
      <c r="G256" s="38"/>
    </row>
    <row r="257" spans="1:8">
      <c r="A257" s="33"/>
      <c r="B257" s="37" t="s">
        <v>91</v>
      </c>
      <c r="C257" s="24"/>
      <c r="D257" s="24"/>
      <c r="E257" s="27"/>
      <c r="F257" s="46"/>
      <c r="G257" s="38"/>
    </row>
    <row r="258" spans="1:8">
      <c r="A258" s="33"/>
      <c r="B258" s="24"/>
      <c r="C258" s="24"/>
      <c r="D258" s="24"/>
      <c r="E258" s="27"/>
      <c r="F258" s="46"/>
      <c r="G258" s="38"/>
    </row>
    <row r="259" spans="1:8">
      <c r="A259" s="41"/>
      <c r="B259" s="40"/>
      <c r="C259" s="40"/>
      <c r="D259" s="40"/>
      <c r="E259" s="42"/>
      <c r="F259" s="48"/>
      <c r="G259" s="44"/>
    </row>
    <row r="260" spans="1:8">
      <c r="A260" s="24"/>
      <c r="B260" s="24"/>
      <c r="C260" s="24"/>
      <c r="D260" s="28"/>
      <c r="E260" s="27"/>
      <c r="F260" s="24"/>
      <c r="G260" s="25"/>
    </row>
    <row r="261" spans="1:8">
      <c r="A261" s="24"/>
      <c r="B261" s="24"/>
      <c r="C261" s="24"/>
      <c r="D261" s="28"/>
      <c r="E261" s="27"/>
      <c r="F261" s="24"/>
      <c r="G261" s="25"/>
      <c r="H261" s="26"/>
    </row>
    <row r="262" spans="1:8">
      <c r="A262" s="29"/>
      <c r="B262" s="30"/>
      <c r="C262" s="30"/>
      <c r="D262" s="30"/>
      <c r="E262" s="31"/>
      <c r="F262" s="45"/>
      <c r="G262" s="32"/>
    </row>
    <row r="263" spans="1:8">
      <c r="A263" s="33"/>
      <c r="B263" s="37" t="s">
        <v>84</v>
      </c>
      <c r="C263" s="35">
        <v>2615557273</v>
      </c>
      <c r="E263" s="37" t="s">
        <v>85</v>
      </c>
      <c r="F263" s="50">
        <f>Personal!C$72</f>
        <v>43922</v>
      </c>
      <c r="G263" s="36"/>
    </row>
    <row r="264" spans="1:8">
      <c r="A264" s="33"/>
      <c r="B264" s="37" t="s">
        <v>92</v>
      </c>
      <c r="C264" s="34" t="str">
        <f>VLOOKUP(C263,Personal!A:B,2,FALSE)</f>
        <v>Erica Godoy</v>
      </c>
      <c r="G264" s="38"/>
    </row>
    <row r="265" spans="1:8">
      <c r="A265" s="33"/>
      <c r="B265" s="37" t="s">
        <v>83</v>
      </c>
      <c r="C265" s="37" t="str">
        <f>VLOOKUP(C263,Personal!A:D,4,FALSE)</f>
        <v>TI Empresas Ilimitado</v>
      </c>
      <c r="G265" s="38"/>
    </row>
    <row r="266" spans="1:8">
      <c r="A266" s="33"/>
      <c r="B266" s="52" t="s">
        <v>325</v>
      </c>
      <c r="C266" s="117">
        <f>VLOOKUP(C265,Det_Personal!$P$1:$S$4,2,FALSE)</f>
        <v>300</v>
      </c>
      <c r="G266" s="38"/>
    </row>
    <row r="267" spans="1:8">
      <c r="A267" s="33"/>
      <c r="B267" t="s">
        <v>326</v>
      </c>
      <c r="C267" s="117">
        <f>VLOOKUP(C265,Det_Personal!$P$1:$S$4,4,FALSE)</f>
        <v>300</v>
      </c>
      <c r="D267" s="116"/>
      <c r="G267" s="38"/>
    </row>
    <row r="268" spans="1:8">
      <c r="A268" s="33"/>
      <c r="B268" s="52" t="s">
        <v>358</v>
      </c>
      <c r="C268" s="126">
        <f>VLOOKUP(C265,Det_Personal!$P$1:$T$4,5,FALSE)</f>
        <v>1.2</v>
      </c>
      <c r="D268" s="116"/>
      <c r="G268" s="38"/>
    </row>
    <row r="269" spans="1:8">
      <c r="A269" s="33"/>
      <c r="E269" s="27"/>
      <c r="F269" s="46"/>
      <c r="G269" s="38"/>
    </row>
    <row r="270" spans="1:8">
      <c r="A270" s="33"/>
      <c r="B270" s="37" t="s">
        <v>237</v>
      </c>
      <c r="C270" s="24"/>
      <c r="D270" s="101"/>
      <c r="E270" s="27"/>
      <c r="F270" s="102">
        <f>VLOOKUP(C263,Personal!A:F,5,FALSE)</f>
        <v>640</v>
      </c>
      <c r="G270" s="39"/>
    </row>
    <row r="271" spans="1:8">
      <c r="A271" s="33"/>
      <c r="B271" s="37" t="s">
        <v>360</v>
      </c>
      <c r="C271" s="24"/>
      <c r="D271" s="101"/>
      <c r="E271" s="27"/>
      <c r="F271" s="102" t="s">
        <v>333</v>
      </c>
      <c r="G271" s="39"/>
    </row>
    <row r="272" spans="1:8">
      <c r="A272" s="33"/>
      <c r="B272" s="37" t="s">
        <v>236</v>
      </c>
      <c r="C272" s="24"/>
      <c r="D272" s="24"/>
      <c r="E272" s="27"/>
      <c r="F272" s="102">
        <f>VLOOKUP(C263,Personal!A:F,6,FALSE)</f>
        <v>0</v>
      </c>
      <c r="G272" s="38"/>
    </row>
    <row r="273" spans="1:8">
      <c r="A273" s="33"/>
      <c r="B273" s="37" t="s">
        <v>285</v>
      </c>
      <c r="C273" s="103"/>
      <c r="D273" s="37"/>
      <c r="E273" s="43"/>
      <c r="F273" s="102">
        <f>VLOOKUP(C263,Personal!A:G,7,FALSE)/1.321667</f>
        <v>273.13990589157481</v>
      </c>
      <c r="G273" s="38"/>
    </row>
    <row r="274" spans="1:8">
      <c r="A274" s="33"/>
      <c r="B274" s="37" t="s">
        <v>334</v>
      </c>
      <c r="C274" s="103"/>
      <c r="D274" s="37"/>
      <c r="E274" s="43"/>
      <c r="F274" s="102">
        <f>VLOOKUP(C263,Personal!A:I,9,FALSE)</f>
        <v>0</v>
      </c>
      <c r="G274" s="38"/>
    </row>
    <row r="275" spans="1:8">
      <c r="A275" s="33"/>
      <c r="G275" s="39"/>
    </row>
    <row r="276" spans="1:8">
      <c r="A276" s="33"/>
      <c r="B276" s="24" t="s">
        <v>87</v>
      </c>
      <c r="C276" s="24"/>
      <c r="D276" s="24"/>
      <c r="E276" s="27" t="s">
        <v>86</v>
      </c>
      <c r="F276" s="46">
        <f>SUM(F270:F275)</f>
        <v>913.13990589157481</v>
      </c>
      <c r="G276" s="38"/>
    </row>
    <row r="277" spans="1:8">
      <c r="A277" s="33"/>
      <c r="B277" s="24" t="s">
        <v>89</v>
      </c>
      <c r="C277" s="24"/>
      <c r="D277" s="24"/>
      <c r="E277" s="27" t="s">
        <v>86</v>
      </c>
      <c r="F277" s="46">
        <f>F274*21%</f>
        <v>0</v>
      </c>
      <c r="G277" s="38"/>
    </row>
    <row r="278" spans="1:8">
      <c r="A278" s="33"/>
      <c r="B278" s="24" t="s">
        <v>88</v>
      </c>
      <c r="C278" s="24"/>
      <c r="D278" s="24"/>
      <c r="E278" s="27" t="s">
        <v>86</v>
      </c>
      <c r="F278" s="47">
        <f>SUM(F270:F273)*27%</f>
        <v>246.54777459072523</v>
      </c>
      <c r="G278" s="38"/>
    </row>
    <row r="279" spans="1:8">
      <c r="A279" s="33"/>
      <c r="B279" s="52" t="s">
        <v>238</v>
      </c>
      <c r="C279" s="24"/>
      <c r="D279" s="24"/>
      <c r="E279" s="27" t="s">
        <v>86</v>
      </c>
      <c r="F279" s="46">
        <f>SUM(F270:F273)*4.1667%</f>
        <v>38.047800458784245</v>
      </c>
      <c r="G279" s="38"/>
    </row>
    <row r="280" spans="1:8">
      <c r="A280" s="33"/>
      <c r="B280" s="53" t="s">
        <v>2</v>
      </c>
      <c r="C280" s="40"/>
      <c r="D280" s="40"/>
      <c r="E280" s="42" t="s">
        <v>86</v>
      </c>
      <c r="F280" s="48">
        <f>SUM(F270:F273)*1%</f>
        <v>9.1313990589157488</v>
      </c>
      <c r="G280" s="38"/>
    </row>
    <row r="281" spans="1:8">
      <c r="A281" s="33"/>
      <c r="B281" s="37" t="s">
        <v>90</v>
      </c>
      <c r="C281" s="37"/>
      <c r="D281" s="37"/>
      <c r="E281" s="43" t="s">
        <v>86</v>
      </c>
      <c r="F281" s="49">
        <f>SUM(F276:F280)</f>
        <v>1206.86688</v>
      </c>
      <c r="G281" s="38"/>
    </row>
    <row r="282" spans="1:8">
      <c r="A282" s="33"/>
      <c r="B282" s="24"/>
      <c r="C282" s="24"/>
      <c r="D282" s="24"/>
      <c r="E282" s="27"/>
      <c r="F282" s="46"/>
      <c r="G282" s="38"/>
    </row>
    <row r="283" spans="1:8">
      <c r="A283" s="33"/>
      <c r="B283" s="37" t="s">
        <v>91</v>
      </c>
      <c r="C283" s="24"/>
      <c r="D283" s="24"/>
      <c r="E283" s="27"/>
      <c r="F283" s="46"/>
      <c r="G283" s="38"/>
    </row>
    <row r="284" spans="1:8">
      <c r="A284" s="33"/>
      <c r="B284" s="24"/>
      <c r="C284" s="24"/>
      <c r="D284" s="24"/>
      <c r="E284" s="27"/>
      <c r="F284" s="46"/>
      <c r="G284" s="38"/>
    </row>
    <row r="285" spans="1:8">
      <c r="A285" s="41"/>
      <c r="B285" s="40"/>
      <c r="C285" s="40"/>
      <c r="D285" s="40"/>
      <c r="E285" s="42"/>
      <c r="F285" s="48"/>
      <c r="G285" s="44"/>
    </row>
    <row r="286" spans="1:8">
      <c r="A286" s="24"/>
      <c r="B286" s="24"/>
      <c r="C286" s="24"/>
      <c r="D286" s="28"/>
      <c r="E286" s="27"/>
      <c r="F286" s="24"/>
      <c r="G286" s="25"/>
    </row>
    <row r="287" spans="1:8">
      <c r="A287" s="24"/>
      <c r="B287" s="24"/>
      <c r="C287" s="24"/>
      <c r="D287" s="28"/>
      <c r="E287" s="27"/>
      <c r="F287" s="24"/>
      <c r="G287" s="25"/>
      <c r="H287" s="26"/>
    </row>
    <row r="288" spans="1:8">
      <c r="A288" s="29"/>
      <c r="B288" s="30"/>
      <c r="C288" s="30"/>
      <c r="D288" s="30"/>
      <c r="E288" s="31"/>
      <c r="F288" s="45"/>
      <c r="G288" s="32"/>
    </row>
    <row r="289" spans="1:7">
      <c r="A289" s="33"/>
      <c r="B289" s="37" t="s">
        <v>84</v>
      </c>
      <c r="C289" s="35">
        <v>2615756516</v>
      </c>
      <c r="E289" s="37" t="s">
        <v>85</v>
      </c>
      <c r="F289" s="50">
        <f>Personal!C$72</f>
        <v>43922</v>
      </c>
      <c r="G289" s="36"/>
    </row>
    <row r="290" spans="1:7">
      <c r="A290" s="33"/>
      <c r="B290" s="37" t="s">
        <v>92</v>
      </c>
      <c r="C290" s="34" t="str">
        <f>VLOOKUP(C289,Personal!A:B,2,FALSE)</f>
        <v>Mili Zambruno</v>
      </c>
      <c r="G290" s="38"/>
    </row>
    <row r="291" spans="1:7">
      <c r="A291" s="33"/>
      <c r="B291" s="37" t="s">
        <v>83</v>
      </c>
      <c r="C291" s="37" t="str">
        <f>VLOOKUP(C289,Personal!A:D,4,FALSE)</f>
        <v>TI Empresas Ilimitado</v>
      </c>
      <c r="G291" s="38"/>
    </row>
    <row r="292" spans="1:7">
      <c r="A292" s="33"/>
      <c r="B292" s="52" t="s">
        <v>325</v>
      </c>
      <c r="C292" s="117">
        <f>VLOOKUP(C291,Det_Personal!$P$1:$S$4,2,FALSE)</f>
        <v>300</v>
      </c>
      <c r="G292" s="38"/>
    </row>
    <row r="293" spans="1:7">
      <c r="A293" s="33"/>
      <c r="B293" t="s">
        <v>326</v>
      </c>
      <c r="C293" s="117">
        <f>VLOOKUP(C291,Det_Personal!$P$1:$S$4,4,FALSE)</f>
        <v>300</v>
      </c>
      <c r="D293" s="116"/>
      <c r="G293" s="38"/>
    </row>
    <row r="294" spans="1:7">
      <c r="A294" s="33"/>
      <c r="B294" s="52" t="s">
        <v>358</v>
      </c>
      <c r="C294" s="126">
        <f>VLOOKUP(C291,Det_Personal!$P$1:$T$4,5,FALSE)</f>
        <v>1.2</v>
      </c>
      <c r="D294" s="116"/>
      <c r="G294" s="38"/>
    </row>
    <row r="295" spans="1:7">
      <c r="A295" s="33"/>
      <c r="E295" s="27"/>
      <c r="F295" s="46"/>
      <c r="G295" s="38"/>
    </row>
    <row r="296" spans="1:7">
      <c r="A296" s="33"/>
      <c r="B296" s="37" t="s">
        <v>237</v>
      </c>
      <c r="C296" s="24"/>
      <c r="D296" s="101"/>
      <c r="E296" s="27"/>
      <c r="F296" s="102">
        <f>VLOOKUP(C289,Personal!A:F,5,FALSE)</f>
        <v>1610</v>
      </c>
      <c r="G296" s="39"/>
    </row>
    <row r="297" spans="1:7">
      <c r="A297" s="33"/>
      <c r="B297" s="37" t="s">
        <v>360</v>
      </c>
      <c r="C297" s="24"/>
      <c r="D297" s="101"/>
      <c r="E297" s="27"/>
      <c r="F297" s="102" t="s">
        <v>333</v>
      </c>
      <c r="G297" s="39"/>
    </row>
    <row r="298" spans="1:7">
      <c r="A298" s="33"/>
      <c r="B298" s="37" t="s">
        <v>236</v>
      </c>
      <c r="C298" s="24"/>
      <c r="D298" s="24"/>
      <c r="E298" s="27"/>
      <c r="F298" s="102">
        <f>VLOOKUP(C289,Personal!A:F,6,FALSE)</f>
        <v>0</v>
      </c>
      <c r="G298" s="38"/>
    </row>
    <row r="299" spans="1:7">
      <c r="A299" s="33"/>
      <c r="B299" s="37" t="s">
        <v>285</v>
      </c>
      <c r="C299" s="103"/>
      <c r="D299" s="37"/>
      <c r="E299" s="43"/>
      <c r="F299" s="102">
        <f>VLOOKUP(C289,Personal!A:G,7,FALSE)/1.321667</f>
        <v>0</v>
      </c>
      <c r="G299" s="38"/>
    </row>
    <row r="300" spans="1:7">
      <c r="A300" s="33"/>
      <c r="B300" s="37" t="s">
        <v>334</v>
      </c>
      <c r="C300" s="103"/>
      <c r="D300" s="37"/>
      <c r="E300" s="43"/>
      <c r="F300" s="102">
        <f>VLOOKUP(C289,Personal!A:I,9,FALSE)</f>
        <v>0</v>
      </c>
      <c r="G300" s="38"/>
    </row>
    <row r="301" spans="1:7">
      <c r="A301" s="33"/>
      <c r="G301" s="39"/>
    </row>
    <row r="302" spans="1:7">
      <c r="A302" s="33"/>
      <c r="B302" s="24" t="s">
        <v>87</v>
      </c>
      <c r="C302" s="24"/>
      <c r="D302" s="24"/>
      <c r="E302" s="27" t="s">
        <v>86</v>
      </c>
      <c r="F302" s="46">
        <f>SUM(F296:F301)</f>
        <v>1610</v>
      </c>
      <c r="G302" s="38"/>
    </row>
    <row r="303" spans="1:7">
      <c r="A303" s="33"/>
      <c r="B303" s="24" t="s">
        <v>89</v>
      </c>
      <c r="C303" s="24"/>
      <c r="D303" s="24"/>
      <c r="E303" s="27" t="s">
        <v>86</v>
      </c>
      <c r="F303" s="46">
        <f>F300*21%</f>
        <v>0</v>
      </c>
      <c r="G303" s="38"/>
    </row>
    <row r="304" spans="1:7">
      <c r="A304" s="33"/>
      <c r="B304" s="24" t="s">
        <v>88</v>
      </c>
      <c r="C304" s="24"/>
      <c r="D304" s="24"/>
      <c r="E304" s="27" t="s">
        <v>86</v>
      </c>
      <c r="F304" s="47">
        <f>SUM(F296:F299)*27%</f>
        <v>434.70000000000005</v>
      </c>
      <c r="G304" s="38"/>
    </row>
    <row r="305" spans="1:8">
      <c r="A305" s="33"/>
      <c r="B305" s="52" t="s">
        <v>238</v>
      </c>
      <c r="C305" s="24"/>
      <c r="D305" s="24"/>
      <c r="E305" s="27" t="s">
        <v>86</v>
      </c>
      <c r="F305" s="46">
        <f>SUM(F296:F299)*4.1667%</f>
        <v>67.08386999999999</v>
      </c>
      <c r="G305" s="38"/>
    </row>
    <row r="306" spans="1:8">
      <c r="A306" s="33"/>
      <c r="B306" s="53" t="s">
        <v>2</v>
      </c>
      <c r="C306" s="40"/>
      <c r="D306" s="40"/>
      <c r="E306" s="42" t="s">
        <v>86</v>
      </c>
      <c r="F306" s="48">
        <f>SUM(F296:F299)*1%</f>
        <v>16.100000000000001</v>
      </c>
      <c r="G306" s="38"/>
    </row>
    <row r="307" spans="1:8">
      <c r="A307" s="33"/>
      <c r="B307" s="37" t="s">
        <v>90</v>
      </c>
      <c r="C307" s="37"/>
      <c r="D307" s="37"/>
      <c r="E307" s="43" t="s">
        <v>86</v>
      </c>
      <c r="F307" s="49">
        <f>SUM(F302:F306)</f>
        <v>2127.8838700000001</v>
      </c>
      <c r="G307" s="38"/>
    </row>
    <row r="308" spans="1:8">
      <c r="A308" s="33"/>
      <c r="B308" s="24"/>
      <c r="C308" s="24"/>
      <c r="D308" s="24"/>
      <c r="E308" s="27"/>
      <c r="F308" s="46"/>
      <c r="G308" s="38"/>
    </row>
    <row r="309" spans="1:8">
      <c r="A309" s="33"/>
      <c r="B309" s="37" t="s">
        <v>91</v>
      </c>
      <c r="C309" s="24"/>
      <c r="D309" s="24"/>
      <c r="E309" s="27"/>
      <c r="F309" s="46"/>
      <c r="G309" s="38"/>
    </row>
    <row r="310" spans="1:8">
      <c r="A310" s="33"/>
      <c r="B310" s="24"/>
      <c r="C310" s="24"/>
      <c r="D310" s="24"/>
      <c r="E310" s="27"/>
      <c r="F310" s="46"/>
      <c r="G310" s="38"/>
    </row>
    <row r="311" spans="1:8">
      <c r="A311" s="41"/>
      <c r="B311" s="40"/>
      <c r="C311" s="40"/>
      <c r="D311" s="40"/>
      <c r="E311" s="42"/>
      <c r="F311" s="48"/>
      <c r="G311" s="44"/>
    </row>
    <row r="312" spans="1:8">
      <c r="A312" s="24"/>
      <c r="B312" s="24"/>
      <c r="C312" s="24"/>
      <c r="D312" s="28"/>
      <c r="E312" s="27"/>
      <c r="F312" s="24"/>
      <c r="G312" s="25"/>
    </row>
    <row r="313" spans="1:8">
      <c r="A313" s="24"/>
      <c r="B313" s="24"/>
      <c r="C313" s="24"/>
      <c r="D313" s="28"/>
      <c r="E313" s="27"/>
      <c r="F313" s="24"/>
      <c r="G313" s="25"/>
      <c r="H313" s="26"/>
    </row>
    <row r="314" spans="1:8">
      <c r="A314" s="29"/>
      <c r="B314" s="30"/>
      <c r="C314" s="30"/>
      <c r="D314" s="30"/>
      <c r="E314" s="31"/>
      <c r="F314" s="45"/>
      <c r="G314" s="32"/>
    </row>
    <row r="315" spans="1:8">
      <c r="A315" s="33"/>
      <c r="B315" s="37" t="s">
        <v>84</v>
      </c>
      <c r="C315" s="35">
        <v>2615942244</v>
      </c>
      <c r="E315" s="37" t="s">
        <v>85</v>
      </c>
      <c r="F315" s="50">
        <f>Personal!C$72</f>
        <v>43922</v>
      </c>
      <c r="G315" s="36"/>
    </row>
    <row r="316" spans="1:8">
      <c r="A316" s="33"/>
      <c r="B316" s="37" t="s">
        <v>92</v>
      </c>
      <c r="C316" s="34" t="s">
        <v>426</v>
      </c>
      <c r="G316" s="38"/>
    </row>
    <row r="317" spans="1:8">
      <c r="A317" s="33"/>
      <c r="B317" s="37" t="s">
        <v>83</v>
      </c>
      <c r="C317" s="37">
        <v>0</v>
      </c>
      <c r="G317" s="38"/>
    </row>
    <row r="318" spans="1:8">
      <c r="A318" s="33"/>
      <c r="B318" s="52" t="s">
        <v>325</v>
      </c>
      <c r="C318" s="117">
        <v>0</v>
      </c>
      <c r="G318" s="38"/>
    </row>
    <row r="319" spans="1:8">
      <c r="A319" s="33"/>
      <c r="B319" t="s">
        <v>326</v>
      </c>
      <c r="C319" s="117">
        <v>0</v>
      </c>
      <c r="D319" s="116"/>
      <c r="G319" s="38"/>
    </row>
    <row r="320" spans="1:8">
      <c r="A320" s="33"/>
      <c r="B320" s="52" t="s">
        <v>358</v>
      </c>
      <c r="C320" s="126">
        <v>0</v>
      </c>
      <c r="D320" s="116"/>
      <c r="G320" s="38"/>
    </row>
    <row r="321" spans="1:7">
      <c r="A321" s="33"/>
      <c r="E321" s="27"/>
      <c r="F321" s="46"/>
      <c r="G321" s="38"/>
    </row>
    <row r="322" spans="1:7">
      <c r="A322" s="33"/>
      <c r="B322" s="37" t="s">
        <v>237</v>
      </c>
      <c r="C322" s="24"/>
      <c r="D322" s="101"/>
      <c r="E322" s="27"/>
      <c r="F322" s="102">
        <v>0</v>
      </c>
      <c r="G322" s="39"/>
    </row>
    <row r="323" spans="1:7">
      <c r="A323" s="33"/>
      <c r="B323" s="37" t="s">
        <v>360</v>
      </c>
      <c r="C323" s="24"/>
      <c r="D323" s="101"/>
      <c r="E323" s="27"/>
      <c r="F323" s="102">
        <v>0</v>
      </c>
      <c r="G323" s="39"/>
    </row>
    <row r="324" spans="1:7">
      <c r="A324" s="33"/>
      <c r="B324" s="37" t="s">
        <v>236</v>
      </c>
      <c r="C324" s="24"/>
      <c r="D324" s="24"/>
      <c r="E324" s="27"/>
      <c r="F324" s="102">
        <v>0</v>
      </c>
      <c r="G324" s="38"/>
    </row>
    <row r="325" spans="1:7">
      <c r="A325" s="33"/>
      <c r="B325" s="37" t="s">
        <v>285</v>
      </c>
      <c r="C325" s="103"/>
      <c r="D325" s="37"/>
      <c r="E325" s="43"/>
      <c r="F325" s="102">
        <v>0</v>
      </c>
      <c r="G325" s="38"/>
    </row>
    <row r="326" spans="1:7">
      <c r="A326" s="33"/>
      <c r="B326" s="37" t="s">
        <v>334</v>
      </c>
      <c r="C326" s="103"/>
      <c r="D326" s="37"/>
      <c r="E326" s="43"/>
      <c r="F326" s="102">
        <v>0</v>
      </c>
      <c r="G326" s="38"/>
    </row>
    <row r="327" spans="1:7">
      <c r="A327" s="33"/>
      <c r="G327" s="39"/>
    </row>
    <row r="328" spans="1:7">
      <c r="A328" s="33"/>
      <c r="B328" s="24" t="s">
        <v>87</v>
      </c>
      <c r="C328" s="24"/>
      <c r="D328" s="24"/>
      <c r="E328" s="27" t="s">
        <v>86</v>
      </c>
      <c r="F328" s="46">
        <f>SUM(F322:F327)</f>
        <v>0</v>
      </c>
      <c r="G328" s="38"/>
    </row>
    <row r="329" spans="1:7">
      <c r="A329" s="33"/>
      <c r="B329" s="24" t="s">
        <v>89</v>
      </c>
      <c r="C329" s="24"/>
      <c r="D329" s="24"/>
      <c r="E329" s="27" t="s">
        <v>86</v>
      </c>
      <c r="F329" s="46">
        <f>F326*21%</f>
        <v>0</v>
      </c>
      <c r="G329" s="38"/>
    </row>
    <row r="330" spans="1:7">
      <c r="A330" s="33"/>
      <c r="B330" s="24" t="s">
        <v>88</v>
      </c>
      <c r="C330" s="24"/>
      <c r="D330" s="24"/>
      <c r="E330" s="27" t="s">
        <v>86</v>
      </c>
      <c r="F330" s="47">
        <f>SUM(F322:F325)*27%</f>
        <v>0</v>
      </c>
      <c r="G330" s="38"/>
    </row>
    <row r="331" spans="1:7">
      <c r="A331" s="33"/>
      <c r="B331" s="52" t="s">
        <v>238</v>
      </c>
      <c r="C331" s="24"/>
      <c r="D331" s="24"/>
      <c r="E331" s="27" t="s">
        <v>86</v>
      </c>
      <c r="F331" s="46">
        <f>SUM(F322:F325)*4.1667%</f>
        <v>0</v>
      </c>
      <c r="G331" s="38"/>
    </row>
    <row r="332" spans="1:7">
      <c r="A332" s="33"/>
      <c r="B332" s="53" t="s">
        <v>2</v>
      </c>
      <c r="C332" s="40"/>
      <c r="D332" s="40"/>
      <c r="E332" s="42" t="s">
        <v>86</v>
      </c>
      <c r="F332" s="48">
        <f>SUM(F322:F325)*1%</f>
        <v>0</v>
      </c>
      <c r="G332" s="38"/>
    </row>
    <row r="333" spans="1:7">
      <c r="A333" s="33"/>
      <c r="B333" s="37" t="s">
        <v>90</v>
      </c>
      <c r="C333" s="37"/>
      <c r="D333" s="37"/>
      <c r="E333" s="43" t="s">
        <v>86</v>
      </c>
      <c r="F333" s="49">
        <f>SUM(F328:F332)</f>
        <v>0</v>
      </c>
      <c r="G333" s="38"/>
    </row>
    <row r="334" spans="1:7">
      <c r="A334" s="33"/>
      <c r="B334" s="24"/>
      <c r="C334" s="24"/>
      <c r="D334" s="24"/>
      <c r="E334" s="27"/>
      <c r="F334" s="46"/>
      <c r="G334" s="38"/>
    </row>
    <row r="335" spans="1:7">
      <c r="A335" s="33"/>
      <c r="B335" s="37" t="s">
        <v>91</v>
      </c>
      <c r="C335" s="24"/>
      <c r="D335" s="24"/>
      <c r="E335" s="27"/>
      <c r="F335" s="46"/>
      <c r="G335" s="38"/>
    </row>
    <row r="336" spans="1:7">
      <c r="A336" s="33"/>
      <c r="B336" s="24"/>
      <c r="C336" s="24"/>
      <c r="D336" s="24"/>
      <c r="E336" s="27"/>
      <c r="F336" s="46"/>
      <c r="G336" s="38"/>
    </row>
    <row r="337" spans="1:8">
      <c r="A337" s="41"/>
      <c r="B337" s="40"/>
      <c r="C337" s="40"/>
      <c r="D337" s="40"/>
      <c r="E337" s="42"/>
      <c r="F337" s="48"/>
      <c r="G337" s="44"/>
    </row>
    <row r="338" spans="1:8">
      <c r="A338" s="24"/>
      <c r="B338" s="24"/>
      <c r="C338" s="24"/>
      <c r="D338" s="28"/>
      <c r="E338" s="27"/>
      <c r="F338" s="24"/>
      <c r="G338" s="25"/>
    </row>
    <row r="339" spans="1:8">
      <c r="A339" s="24"/>
      <c r="B339" s="24"/>
      <c r="C339" s="24"/>
      <c r="D339" s="28"/>
      <c r="E339" s="27"/>
      <c r="F339" s="24"/>
      <c r="G339" s="25"/>
      <c r="H339" s="26"/>
    </row>
    <row r="340" spans="1:8">
      <c r="A340" s="29"/>
      <c r="B340" s="30"/>
      <c r="C340" s="30"/>
      <c r="D340" s="30"/>
      <c r="E340" s="31"/>
      <c r="F340" s="45"/>
      <c r="G340" s="32"/>
    </row>
    <row r="341" spans="1:8">
      <c r="A341" s="33"/>
      <c r="B341" s="37" t="s">
        <v>84</v>
      </c>
      <c r="C341" s="35">
        <v>2615968803</v>
      </c>
      <c r="E341" s="37" t="s">
        <v>85</v>
      </c>
      <c r="F341" s="50">
        <f>Personal!C$72</f>
        <v>43922</v>
      </c>
      <c r="G341" s="36"/>
    </row>
    <row r="342" spans="1:8">
      <c r="A342" s="33"/>
      <c r="B342" s="37" t="s">
        <v>92</v>
      </c>
      <c r="C342" s="34" t="s">
        <v>427</v>
      </c>
      <c r="G342" s="38"/>
    </row>
    <row r="343" spans="1:8">
      <c r="A343" s="33"/>
      <c r="B343" s="37" t="s">
        <v>83</v>
      </c>
      <c r="C343" s="37" t="s">
        <v>427</v>
      </c>
      <c r="G343" s="38"/>
    </row>
    <row r="344" spans="1:8">
      <c r="A344" s="33"/>
      <c r="B344" s="52" t="s">
        <v>325</v>
      </c>
      <c r="C344" s="117">
        <v>0</v>
      </c>
      <c r="G344" s="38"/>
    </row>
    <row r="345" spans="1:8">
      <c r="A345" s="33"/>
      <c r="B345" t="s">
        <v>326</v>
      </c>
      <c r="C345" s="117">
        <v>0</v>
      </c>
      <c r="D345" s="116"/>
      <c r="G345" s="38"/>
    </row>
    <row r="346" spans="1:8">
      <c r="A346" s="33"/>
      <c r="B346" s="52" t="s">
        <v>358</v>
      </c>
      <c r="C346" s="126">
        <v>0</v>
      </c>
      <c r="D346" s="116"/>
      <c r="G346" s="38"/>
    </row>
    <row r="347" spans="1:8">
      <c r="A347" s="33"/>
      <c r="E347" s="27"/>
      <c r="F347" s="46"/>
      <c r="G347" s="38"/>
    </row>
    <row r="348" spans="1:8">
      <c r="A348" s="33"/>
      <c r="B348" s="37" t="s">
        <v>237</v>
      </c>
      <c r="C348" s="24"/>
      <c r="D348" s="101"/>
      <c r="E348" s="27"/>
      <c r="F348" s="102">
        <v>0</v>
      </c>
      <c r="G348" s="39"/>
    </row>
    <row r="349" spans="1:8">
      <c r="A349" s="33"/>
      <c r="B349" s="37" t="s">
        <v>360</v>
      </c>
      <c r="C349" s="24"/>
      <c r="D349" s="101"/>
      <c r="E349" s="27"/>
      <c r="F349" s="102">
        <v>0</v>
      </c>
      <c r="G349" s="39"/>
    </row>
    <row r="350" spans="1:8">
      <c r="A350" s="33"/>
      <c r="B350" s="37" t="s">
        <v>236</v>
      </c>
      <c r="C350" s="24"/>
      <c r="D350" s="24"/>
      <c r="E350" s="27"/>
      <c r="F350" s="102">
        <v>0</v>
      </c>
      <c r="G350" s="38"/>
    </row>
    <row r="351" spans="1:8">
      <c r="A351" s="33"/>
      <c r="B351" s="37" t="s">
        <v>285</v>
      </c>
      <c r="C351" s="103"/>
      <c r="D351" s="37"/>
      <c r="E351" s="43"/>
      <c r="F351" s="102">
        <v>0</v>
      </c>
      <c r="G351" s="38"/>
    </row>
    <row r="352" spans="1:8">
      <c r="A352" s="33"/>
      <c r="B352" s="37" t="s">
        <v>334</v>
      </c>
      <c r="C352" s="103"/>
      <c r="D352" s="37"/>
      <c r="E352" s="43"/>
      <c r="F352" s="102">
        <v>0</v>
      </c>
      <c r="G352" s="38"/>
    </row>
    <row r="353" spans="1:8">
      <c r="A353" s="33"/>
      <c r="G353" s="39"/>
    </row>
    <row r="354" spans="1:8">
      <c r="A354" s="33"/>
      <c r="B354" s="24" t="s">
        <v>87</v>
      </c>
      <c r="C354" s="24"/>
      <c r="D354" s="24"/>
      <c r="E354" s="27" t="s">
        <v>86</v>
      </c>
      <c r="F354" s="46">
        <f>SUM(F348:F353)</f>
        <v>0</v>
      </c>
      <c r="G354" s="38"/>
    </row>
    <row r="355" spans="1:8">
      <c r="A355" s="33"/>
      <c r="B355" s="24" t="s">
        <v>89</v>
      </c>
      <c r="C355" s="24"/>
      <c r="D355" s="24"/>
      <c r="E355" s="27" t="s">
        <v>86</v>
      </c>
      <c r="F355" s="46">
        <f>F352*21%</f>
        <v>0</v>
      </c>
      <c r="G355" s="38"/>
    </row>
    <row r="356" spans="1:8">
      <c r="A356" s="33"/>
      <c r="B356" s="24" t="s">
        <v>88</v>
      </c>
      <c r="C356" s="24"/>
      <c r="D356" s="24"/>
      <c r="E356" s="27" t="s">
        <v>86</v>
      </c>
      <c r="F356" s="47">
        <f>SUM(F348:F351)*27%</f>
        <v>0</v>
      </c>
      <c r="G356" s="38"/>
    </row>
    <row r="357" spans="1:8">
      <c r="A357" s="33"/>
      <c r="B357" s="52" t="s">
        <v>238</v>
      </c>
      <c r="C357" s="24"/>
      <c r="D357" s="24"/>
      <c r="E357" s="27" t="s">
        <v>86</v>
      </c>
      <c r="F357" s="46">
        <f>SUM(F348:F351)*4.1667%</f>
        <v>0</v>
      </c>
      <c r="G357" s="38"/>
    </row>
    <row r="358" spans="1:8">
      <c r="A358" s="33"/>
      <c r="B358" s="53" t="s">
        <v>2</v>
      </c>
      <c r="C358" s="40"/>
      <c r="D358" s="40"/>
      <c r="E358" s="42" t="s">
        <v>86</v>
      </c>
      <c r="F358" s="48">
        <f>SUM(F348:F351)*1%</f>
        <v>0</v>
      </c>
      <c r="G358" s="38"/>
    </row>
    <row r="359" spans="1:8">
      <c r="A359" s="33"/>
      <c r="B359" s="37" t="s">
        <v>90</v>
      </c>
      <c r="C359" s="37"/>
      <c r="D359" s="37"/>
      <c r="E359" s="43" t="s">
        <v>86</v>
      </c>
      <c r="F359" s="49">
        <f>SUM(F354:F358)</f>
        <v>0</v>
      </c>
      <c r="G359" s="38"/>
    </row>
    <row r="360" spans="1:8">
      <c r="A360" s="33"/>
      <c r="B360" s="24"/>
      <c r="C360" s="24"/>
      <c r="D360" s="24"/>
      <c r="E360" s="27"/>
      <c r="F360" s="46"/>
      <c r="G360" s="38"/>
    </row>
    <row r="361" spans="1:8">
      <c r="A361" s="33"/>
      <c r="B361" s="37" t="s">
        <v>384</v>
      </c>
      <c r="C361" s="24"/>
      <c r="D361" s="24"/>
      <c r="E361" s="27"/>
      <c r="F361" s="46"/>
      <c r="G361" s="38"/>
    </row>
    <row r="362" spans="1:8">
      <c r="A362" s="33"/>
      <c r="B362" s="24"/>
      <c r="C362" s="24"/>
      <c r="D362" s="24"/>
      <c r="E362" s="27"/>
      <c r="F362" s="46"/>
      <c r="G362" s="38"/>
    </row>
    <row r="363" spans="1:8">
      <c r="A363" s="41"/>
      <c r="B363" s="40"/>
      <c r="C363" s="40"/>
      <c r="D363" s="40"/>
      <c r="E363" s="42"/>
      <c r="F363" s="48"/>
      <c r="G363" s="44"/>
    </row>
    <row r="364" spans="1:8">
      <c r="A364" s="24"/>
      <c r="B364" s="24"/>
      <c r="C364" s="24"/>
      <c r="D364" s="28"/>
      <c r="E364" s="27"/>
      <c r="F364" s="24"/>
      <c r="G364" s="25"/>
    </row>
    <row r="365" spans="1:8">
      <c r="A365" s="24"/>
      <c r="B365" s="24"/>
      <c r="C365" s="24"/>
      <c r="D365" s="28"/>
      <c r="E365" s="27"/>
      <c r="F365" s="24"/>
      <c r="G365" s="25"/>
      <c r="H365" s="26"/>
    </row>
    <row r="366" spans="1:8">
      <c r="A366" s="29"/>
      <c r="B366" s="30"/>
      <c r="C366" s="30"/>
      <c r="D366" s="30"/>
      <c r="E366" s="31"/>
      <c r="F366" s="45"/>
      <c r="G366" s="32"/>
    </row>
    <row r="367" spans="1:8">
      <c r="A367" s="33"/>
      <c r="B367" s="37" t="s">
        <v>84</v>
      </c>
      <c r="C367" s="35">
        <v>2615186053</v>
      </c>
      <c r="E367" s="37" t="s">
        <v>85</v>
      </c>
      <c r="F367" s="50">
        <f>Personal!C$72</f>
        <v>43922</v>
      </c>
      <c r="G367" s="36"/>
    </row>
    <row r="368" spans="1:8">
      <c r="A368" s="33"/>
      <c r="B368" s="37" t="s">
        <v>92</v>
      </c>
      <c r="C368" s="34" t="str">
        <f>VLOOKUP(C367,Personal!A:B,2,FALSE)</f>
        <v>Américo Agüero</v>
      </c>
      <c r="G368" s="38"/>
    </row>
    <row r="369" spans="1:7">
      <c r="A369" s="33"/>
      <c r="B369" s="37" t="s">
        <v>83</v>
      </c>
      <c r="C369" s="37" t="str">
        <f>VLOOKUP(C367,Personal!A:D,4,FALSE)</f>
        <v>TI Empresas Ilimitado</v>
      </c>
      <c r="G369" s="38"/>
    </row>
    <row r="370" spans="1:7">
      <c r="A370" s="33"/>
      <c r="B370" s="52" t="s">
        <v>325</v>
      </c>
      <c r="C370" s="117">
        <f>VLOOKUP(C369,Det_Personal!$P$1:$S$4,2,FALSE)</f>
        <v>300</v>
      </c>
      <c r="G370" s="38"/>
    </row>
    <row r="371" spans="1:7">
      <c r="A371" s="33"/>
      <c r="B371" t="s">
        <v>326</v>
      </c>
      <c r="C371" s="117">
        <f>VLOOKUP(C369,Det_Personal!$P$1:$S$4,4,FALSE)</f>
        <v>300</v>
      </c>
      <c r="D371" s="116"/>
      <c r="G371" s="38"/>
    </row>
    <row r="372" spans="1:7">
      <c r="A372" s="33"/>
      <c r="B372" s="52" t="s">
        <v>358</v>
      </c>
      <c r="C372" s="126">
        <f>VLOOKUP(C369,Det_Personal!$P$1:$T$4,5,FALSE)</f>
        <v>1.2</v>
      </c>
      <c r="D372" s="116"/>
      <c r="G372" s="38"/>
    </row>
    <row r="373" spans="1:7">
      <c r="A373" s="33"/>
      <c r="E373" s="27"/>
      <c r="F373" s="46"/>
      <c r="G373" s="38"/>
    </row>
    <row r="374" spans="1:7">
      <c r="A374" s="33"/>
      <c r="B374" s="37" t="s">
        <v>237</v>
      </c>
      <c r="C374" s="24"/>
      <c r="D374" s="101"/>
      <c r="E374" s="27"/>
      <c r="F374" s="102" t="s">
        <v>333</v>
      </c>
      <c r="G374" s="39"/>
    </row>
    <row r="375" spans="1:7">
      <c r="A375" s="33"/>
      <c r="B375" s="37" t="s">
        <v>360</v>
      </c>
      <c r="C375" s="24"/>
      <c r="D375" s="101"/>
      <c r="E375" s="27"/>
      <c r="F375" s="102" t="s">
        <v>333</v>
      </c>
      <c r="G375" s="39"/>
    </row>
    <row r="376" spans="1:7">
      <c r="A376" s="33"/>
      <c r="B376" s="37" t="s">
        <v>236</v>
      </c>
      <c r="C376" s="24"/>
      <c r="D376" s="24"/>
      <c r="E376" s="27"/>
      <c r="F376" s="102">
        <f>VLOOKUP(C367,Personal!A:F,6,FALSE)</f>
        <v>6.58</v>
      </c>
      <c r="G376" s="38"/>
    </row>
    <row r="377" spans="1:7">
      <c r="A377" s="33"/>
      <c r="B377" s="37" t="s">
        <v>285</v>
      </c>
      <c r="C377" s="103"/>
      <c r="D377" s="37"/>
      <c r="E377" s="43"/>
      <c r="F377" s="102">
        <f>VLOOKUP(C367,Personal!A:G,7,FALSE)/1.321667</f>
        <v>0</v>
      </c>
      <c r="G377" s="38"/>
    </row>
    <row r="378" spans="1:7">
      <c r="A378" s="33"/>
      <c r="B378" s="37" t="s">
        <v>334</v>
      </c>
      <c r="C378" s="103"/>
      <c r="D378" s="37"/>
      <c r="E378" s="43"/>
      <c r="F378" s="102">
        <f>VLOOKUP(C367,Personal!A:I,9,FALSE)</f>
        <v>0</v>
      </c>
      <c r="G378" s="38"/>
    </row>
    <row r="379" spans="1:7">
      <c r="A379" s="33"/>
      <c r="G379" s="39"/>
    </row>
    <row r="380" spans="1:7">
      <c r="A380" s="33"/>
      <c r="B380" s="24" t="s">
        <v>87</v>
      </c>
      <c r="C380" s="24"/>
      <c r="D380" s="24"/>
      <c r="E380" s="27" t="s">
        <v>86</v>
      </c>
      <c r="F380" s="46">
        <f>SUM(F374:F379)</f>
        <v>6.58</v>
      </c>
      <c r="G380" s="38"/>
    </row>
    <row r="381" spans="1:7">
      <c r="A381" s="33"/>
      <c r="B381" s="24" t="s">
        <v>89</v>
      </c>
      <c r="C381" s="24"/>
      <c r="D381" s="24"/>
      <c r="E381" s="27" t="s">
        <v>86</v>
      </c>
      <c r="F381" s="46">
        <f>F378*21%</f>
        <v>0</v>
      </c>
      <c r="G381" s="38"/>
    </row>
    <row r="382" spans="1:7">
      <c r="A382" s="33"/>
      <c r="B382" s="24" t="s">
        <v>88</v>
      </c>
      <c r="C382" s="24"/>
      <c r="D382" s="24"/>
      <c r="E382" s="27" t="s">
        <v>86</v>
      </c>
      <c r="F382" s="47">
        <f>SUM(F374:F377)*27%</f>
        <v>1.7766000000000002</v>
      </c>
      <c r="G382" s="38"/>
    </row>
    <row r="383" spans="1:7">
      <c r="A383" s="33"/>
      <c r="B383" s="52" t="s">
        <v>238</v>
      </c>
      <c r="C383" s="24"/>
      <c r="D383" s="24"/>
      <c r="E383" s="27" t="s">
        <v>86</v>
      </c>
      <c r="F383" s="46">
        <f>SUM(F374:F377)*4.1667%</f>
        <v>0.27416885999999996</v>
      </c>
      <c r="G383" s="38"/>
    </row>
    <row r="384" spans="1:7">
      <c r="A384" s="33"/>
      <c r="B384" s="53" t="s">
        <v>2</v>
      </c>
      <c r="C384" s="40"/>
      <c r="D384" s="40"/>
      <c r="E384" s="42" t="s">
        <v>86</v>
      </c>
      <c r="F384" s="48">
        <f>SUM(F374:F377)*1%</f>
        <v>6.5799999999999997E-2</v>
      </c>
      <c r="G384" s="38"/>
    </row>
    <row r="385" spans="1:8">
      <c r="A385" s="33"/>
      <c r="B385" s="37" t="s">
        <v>90</v>
      </c>
      <c r="C385" s="37"/>
      <c r="D385" s="37"/>
      <c r="E385" s="43" t="s">
        <v>86</v>
      </c>
      <c r="F385" s="49">
        <f>SUM(F380:F384)</f>
        <v>8.6965688599999993</v>
      </c>
      <c r="G385" s="38"/>
    </row>
    <row r="386" spans="1:8">
      <c r="A386" s="33"/>
      <c r="B386" s="24"/>
      <c r="C386" s="24"/>
      <c r="D386" s="24"/>
      <c r="E386" s="27"/>
      <c r="F386" s="46"/>
      <c r="G386" s="38"/>
    </row>
    <row r="387" spans="1:8">
      <c r="A387" s="33"/>
      <c r="B387" s="37" t="s">
        <v>91</v>
      </c>
      <c r="C387" s="24"/>
      <c r="D387" s="24"/>
      <c r="E387" s="27"/>
      <c r="F387" s="46"/>
      <c r="G387" s="38"/>
    </row>
    <row r="388" spans="1:8">
      <c r="A388" s="33"/>
      <c r="B388" s="24"/>
      <c r="C388" s="24"/>
      <c r="D388" s="24"/>
      <c r="E388" s="27"/>
      <c r="F388" s="46"/>
      <c r="G388" s="38"/>
    </row>
    <row r="389" spans="1:8">
      <c r="A389" s="41"/>
      <c r="B389" s="40"/>
      <c r="C389" s="40"/>
      <c r="D389" s="40"/>
      <c r="E389" s="42"/>
      <c r="F389" s="48"/>
      <c r="G389" s="44"/>
    </row>
    <row r="390" spans="1:8">
      <c r="A390" s="24"/>
      <c r="B390" s="24"/>
      <c r="C390" s="24"/>
      <c r="D390" s="28"/>
      <c r="E390" s="27"/>
      <c r="F390" s="24"/>
      <c r="G390" s="25"/>
    </row>
    <row r="391" spans="1:8">
      <c r="A391" s="24"/>
      <c r="B391" s="24"/>
      <c r="C391" s="24"/>
      <c r="D391" s="28"/>
      <c r="E391" s="27"/>
      <c r="F391" s="24"/>
      <c r="G391" s="25"/>
      <c r="H391" s="26"/>
    </row>
    <row r="392" spans="1:8">
      <c r="A392" s="29"/>
      <c r="B392" s="30"/>
      <c r="C392" s="30"/>
      <c r="D392" s="30"/>
      <c r="E392" s="31"/>
      <c r="F392" s="45"/>
      <c r="G392" s="32"/>
    </row>
    <row r="393" spans="1:8">
      <c r="A393" s="33"/>
      <c r="B393" s="37" t="s">
        <v>84</v>
      </c>
      <c r="C393" s="35">
        <v>2615968889</v>
      </c>
      <c r="E393" s="37" t="s">
        <v>85</v>
      </c>
      <c r="F393" s="50">
        <f>Personal!C$72</f>
        <v>43922</v>
      </c>
      <c r="G393" s="36"/>
    </row>
    <row r="394" spans="1:8">
      <c r="A394" s="33"/>
      <c r="B394" s="37" t="s">
        <v>92</v>
      </c>
      <c r="C394" s="34" t="str">
        <f>VLOOKUP(C393,Personal!A:B,2,FALSE)</f>
        <v>Emiliano Chirino</v>
      </c>
      <c r="G394" s="38"/>
    </row>
    <row r="395" spans="1:8">
      <c r="A395" s="33"/>
      <c r="B395" s="37" t="s">
        <v>83</v>
      </c>
      <c r="C395" s="37" t="str">
        <f>VLOOKUP(C393,Personal!A:D,4,FALSE)</f>
        <v>TI Empresas Ilimitado</v>
      </c>
      <c r="G395" s="38"/>
    </row>
    <row r="396" spans="1:8">
      <c r="A396" s="33"/>
      <c r="B396" s="52" t="s">
        <v>325</v>
      </c>
      <c r="C396" s="117">
        <f>VLOOKUP(C395,Det_Personal!$P$1:$S$5,2,FALSE)</f>
        <v>300</v>
      </c>
      <c r="G396" s="38"/>
    </row>
    <row r="397" spans="1:8">
      <c r="A397" s="33"/>
      <c r="B397" t="s">
        <v>326</v>
      </c>
      <c r="C397" s="117">
        <f>VLOOKUP(C395,Det_Personal!$P$1:$S$5,4,FALSE)</f>
        <v>300</v>
      </c>
      <c r="D397" s="116"/>
      <c r="G397" s="38"/>
    </row>
    <row r="398" spans="1:8">
      <c r="A398" s="33"/>
      <c r="B398" s="52" t="s">
        <v>358</v>
      </c>
      <c r="C398" s="126">
        <f>VLOOKUP(C395,Det_Personal!$P$1:$T$5,5,FALSE)</f>
        <v>1.2</v>
      </c>
      <c r="D398" s="116"/>
      <c r="G398" s="38"/>
    </row>
    <row r="399" spans="1:8">
      <c r="A399" s="33"/>
      <c r="E399" s="27"/>
      <c r="F399" s="46"/>
      <c r="G399" s="38"/>
    </row>
    <row r="400" spans="1:8">
      <c r="A400" s="33"/>
      <c r="B400" s="37" t="s">
        <v>237</v>
      </c>
      <c r="C400" s="24"/>
      <c r="D400" s="101"/>
      <c r="E400" s="27"/>
      <c r="F400" s="102" t="s">
        <v>333</v>
      </c>
      <c r="G400" s="39"/>
    </row>
    <row r="401" spans="1:7">
      <c r="A401" s="33"/>
      <c r="B401" s="37" t="s">
        <v>360</v>
      </c>
      <c r="C401" s="24"/>
      <c r="D401" s="101"/>
      <c r="E401" s="27"/>
      <c r="F401" s="102" t="s">
        <v>333</v>
      </c>
      <c r="G401" s="39"/>
    </row>
    <row r="402" spans="1:7">
      <c r="A402" s="33"/>
      <c r="B402" s="37" t="s">
        <v>236</v>
      </c>
      <c r="C402" s="24"/>
      <c r="D402" s="24"/>
      <c r="E402" s="27"/>
      <c r="F402" s="102">
        <f>VLOOKUP(C393,Personal!A:F,6,FALSE)</f>
        <v>0</v>
      </c>
      <c r="G402" s="38"/>
    </row>
    <row r="403" spans="1:7">
      <c r="A403" s="33"/>
      <c r="B403" s="37" t="s">
        <v>285</v>
      </c>
      <c r="C403" s="103"/>
      <c r="D403" s="37"/>
      <c r="E403" s="43"/>
      <c r="F403" s="102">
        <f>VLOOKUP(C393,Personal!A:G,7,FALSE)/1.321667</f>
        <v>0</v>
      </c>
      <c r="G403" s="38"/>
    </row>
    <row r="404" spans="1:7">
      <c r="A404" s="33"/>
      <c r="B404" s="37" t="s">
        <v>334</v>
      </c>
      <c r="C404" s="103"/>
      <c r="D404" s="37"/>
      <c r="E404" s="43"/>
      <c r="F404" s="102">
        <f>VLOOKUP(C393,Personal!A:I,9,FALSE)</f>
        <v>0</v>
      </c>
      <c r="G404" s="38"/>
    </row>
    <row r="405" spans="1:7">
      <c r="A405" s="33"/>
      <c r="G405" s="39"/>
    </row>
    <row r="406" spans="1:7">
      <c r="A406" s="33"/>
      <c r="B406" s="24" t="s">
        <v>87</v>
      </c>
      <c r="C406" s="24"/>
      <c r="D406" s="24"/>
      <c r="E406" s="27" t="s">
        <v>86</v>
      </c>
      <c r="F406" s="46">
        <f>SUM(F400:F405)</f>
        <v>0</v>
      </c>
      <c r="G406" s="38"/>
    </row>
    <row r="407" spans="1:7">
      <c r="A407" s="33"/>
      <c r="B407" s="24" t="s">
        <v>89</v>
      </c>
      <c r="C407" s="24"/>
      <c r="D407" s="24"/>
      <c r="E407" s="27" t="s">
        <v>86</v>
      </c>
      <c r="F407" s="46">
        <f>F404*21%</f>
        <v>0</v>
      </c>
      <c r="G407" s="38"/>
    </row>
    <row r="408" spans="1:7">
      <c r="A408" s="33"/>
      <c r="B408" s="24" t="s">
        <v>88</v>
      </c>
      <c r="C408" s="24"/>
      <c r="D408" s="24"/>
      <c r="E408" s="27" t="s">
        <v>86</v>
      </c>
      <c r="F408" s="47">
        <f>SUM(F400:F403)*27%</f>
        <v>0</v>
      </c>
      <c r="G408" s="38"/>
    </row>
    <row r="409" spans="1:7">
      <c r="A409" s="33"/>
      <c r="B409" s="52" t="s">
        <v>238</v>
      </c>
      <c r="C409" s="24"/>
      <c r="D409" s="24"/>
      <c r="E409" s="27" t="s">
        <v>86</v>
      </c>
      <c r="F409" s="46">
        <f>SUM(F400:F403)*4.1667%</f>
        <v>0</v>
      </c>
      <c r="G409" s="38"/>
    </row>
    <row r="410" spans="1:7">
      <c r="A410" s="33"/>
      <c r="B410" s="53" t="s">
        <v>2</v>
      </c>
      <c r="C410" s="40"/>
      <c r="D410" s="40"/>
      <c r="E410" s="42" t="s">
        <v>86</v>
      </c>
      <c r="F410" s="48">
        <f>SUM(F400:F403)*1%</f>
        <v>0</v>
      </c>
      <c r="G410" s="38"/>
    </row>
    <row r="411" spans="1:7">
      <c r="A411" s="33"/>
      <c r="B411" s="37" t="s">
        <v>90</v>
      </c>
      <c r="C411" s="37"/>
      <c r="D411" s="37"/>
      <c r="E411" s="43" t="s">
        <v>86</v>
      </c>
      <c r="F411" s="49">
        <f>SUM(F406:F410)</f>
        <v>0</v>
      </c>
      <c r="G411" s="38"/>
    </row>
    <row r="412" spans="1:7">
      <c r="A412" s="33"/>
      <c r="B412" s="24"/>
      <c r="C412" s="24"/>
      <c r="D412" s="24"/>
      <c r="E412" s="27"/>
      <c r="F412" s="46"/>
      <c r="G412" s="38"/>
    </row>
    <row r="413" spans="1:7">
      <c r="A413" s="33"/>
      <c r="B413" s="37" t="s">
        <v>91</v>
      </c>
      <c r="C413" s="24"/>
      <c r="D413" s="24"/>
      <c r="E413" s="27"/>
      <c r="F413" s="46"/>
      <c r="G413" s="38"/>
    </row>
    <row r="414" spans="1:7">
      <c r="A414" s="33"/>
      <c r="B414" s="24"/>
      <c r="C414" s="24"/>
      <c r="D414" s="24"/>
      <c r="E414" s="27"/>
      <c r="F414" s="46"/>
      <c r="G414" s="38"/>
    </row>
    <row r="415" spans="1:7">
      <c r="A415" s="41"/>
      <c r="B415" s="40"/>
      <c r="C415" s="40"/>
      <c r="D415" s="40"/>
      <c r="E415" s="42"/>
      <c r="F415" s="48"/>
      <c r="G415" s="44"/>
    </row>
    <row r="416" spans="1:7">
      <c r="A416" s="24"/>
      <c r="B416" s="24"/>
      <c r="C416" s="24"/>
      <c r="D416" s="28"/>
      <c r="E416" s="27"/>
      <c r="F416" s="24"/>
      <c r="G416" s="25"/>
    </row>
    <row r="417" spans="1:8">
      <c r="A417" s="24"/>
      <c r="B417" s="24"/>
      <c r="C417" s="24"/>
      <c r="D417" s="28"/>
      <c r="E417" s="27"/>
      <c r="F417" s="24"/>
      <c r="G417" s="25"/>
      <c r="H417" s="26"/>
    </row>
    <row r="418" spans="1:8">
      <c r="A418" s="29"/>
      <c r="B418" s="30"/>
      <c r="C418" s="30"/>
      <c r="D418" s="30"/>
      <c r="E418" s="31"/>
      <c r="F418" s="45"/>
      <c r="G418" s="32"/>
    </row>
    <row r="419" spans="1:8">
      <c r="A419" s="33"/>
      <c r="B419" s="37" t="s">
        <v>84</v>
      </c>
      <c r="C419" s="35">
        <v>2615968886</v>
      </c>
      <c r="E419" s="37" t="s">
        <v>85</v>
      </c>
      <c r="F419" s="50">
        <f>Personal!C$72</f>
        <v>43922</v>
      </c>
      <c r="G419" s="36"/>
    </row>
    <row r="420" spans="1:8">
      <c r="A420" s="33"/>
      <c r="B420" s="37" t="s">
        <v>92</v>
      </c>
      <c r="C420" s="34" t="s">
        <v>425</v>
      </c>
      <c r="G420" s="38"/>
    </row>
    <row r="421" spans="1:8">
      <c r="A421" s="33"/>
      <c r="B421" s="37" t="s">
        <v>83</v>
      </c>
      <c r="C421" s="37" t="s">
        <v>425</v>
      </c>
      <c r="G421" s="38"/>
    </row>
    <row r="422" spans="1:8">
      <c r="A422" s="33"/>
      <c r="B422" s="52" t="s">
        <v>325</v>
      </c>
      <c r="C422" s="117">
        <v>0</v>
      </c>
      <c r="G422" s="38"/>
    </row>
    <row r="423" spans="1:8">
      <c r="A423" s="33"/>
      <c r="B423" t="s">
        <v>326</v>
      </c>
      <c r="C423" s="117">
        <v>0</v>
      </c>
      <c r="D423" s="116"/>
      <c r="G423" s="38"/>
    </row>
    <row r="424" spans="1:8">
      <c r="A424" s="33"/>
      <c r="B424" s="52" t="s">
        <v>358</v>
      </c>
      <c r="C424" s="126">
        <v>0</v>
      </c>
      <c r="D424" s="116"/>
      <c r="G424" s="38"/>
    </row>
    <row r="425" spans="1:8">
      <c r="A425" s="33"/>
      <c r="E425" s="27"/>
      <c r="F425" s="46"/>
      <c r="G425" s="38"/>
    </row>
    <row r="426" spans="1:8">
      <c r="A426" s="33"/>
      <c r="B426" s="37" t="s">
        <v>237</v>
      </c>
      <c r="C426" s="24"/>
      <c r="D426" s="101"/>
      <c r="E426" s="27"/>
      <c r="F426" s="102">
        <v>0</v>
      </c>
      <c r="G426" s="39"/>
    </row>
    <row r="427" spans="1:8">
      <c r="A427" s="33"/>
      <c r="B427" s="37" t="s">
        <v>360</v>
      </c>
      <c r="C427" s="24"/>
      <c r="D427" s="101"/>
      <c r="E427" s="27"/>
      <c r="F427" s="102">
        <v>0</v>
      </c>
      <c r="G427" s="39"/>
    </row>
    <row r="428" spans="1:8">
      <c r="A428" s="33"/>
      <c r="B428" s="37" t="s">
        <v>236</v>
      </c>
      <c r="C428" s="24"/>
      <c r="D428" s="24"/>
      <c r="E428" s="27"/>
      <c r="F428" s="102">
        <v>0</v>
      </c>
      <c r="G428" s="38"/>
    </row>
    <row r="429" spans="1:8">
      <c r="A429" s="33"/>
      <c r="B429" s="37" t="s">
        <v>285</v>
      </c>
      <c r="C429" s="103"/>
      <c r="D429" s="37"/>
      <c r="E429" s="43"/>
      <c r="F429" s="102">
        <v>0</v>
      </c>
      <c r="G429" s="38"/>
    </row>
    <row r="430" spans="1:8">
      <c r="A430" s="33"/>
      <c r="B430" s="37" t="s">
        <v>334</v>
      </c>
      <c r="C430" s="103"/>
      <c r="D430" s="37"/>
      <c r="E430" s="43"/>
      <c r="F430" s="102">
        <v>0</v>
      </c>
      <c r="G430" s="38"/>
    </row>
    <row r="431" spans="1:8">
      <c r="A431" s="33"/>
      <c r="G431" s="39"/>
    </row>
    <row r="432" spans="1:8">
      <c r="A432" s="33"/>
      <c r="B432" s="24" t="s">
        <v>87</v>
      </c>
      <c r="C432" s="24"/>
      <c r="D432" s="24"/>
      <c r="E432" s="27" t="s">
        <v>86</v>
      </c>
      <c r="F432" s="46">
        <f>SUM(F426:F431)</f>
        <v>0</v>
      </c>
      <c r="G432" s="38"/>
    </row>
    <row r="433" spans="1:7">
      <c r="A433" s="33"/>
      <c r="B433" s="24" t="s">
        <v>89</v>
      </c>
      <c r="C433" s="24"/>
      <c r="D433" s="24"/>
      <c r="E433" s="27" t="s">
        <v>86</v>
      </c>
      <c r="F433" s="46">
        <f>F430*21%</f>
        <v>0</v>
      </c>
      <c r="G433" s="38"/>
    </row>
    <row r="434" spans="1:7">
      <c r="A434" s="33"/>
      <c r="B434" s="24" t="s">
        <v>88</v>
      </c>
      <c r="C434" s="24"/>
      <c r="D434" s="24"/>
      <c r="E434" s="27" t="s">
        <v>86</v>
      </c>
      <c r="F434" s="47">
        <f>SUM(F426:F429)*27%</f>
        <v>0</v>
      </c>
      <c r="G434" s="38"/>
    </row>
    <row r="435" spans="1:7">
      <c r="A435" s="33"/>
      <c r="B435" s="52" t="s">
        <v>238</v>
      </c>
      <c r="C435" s="24"/>
      <c r="D435" s="24"/>
      <c r="E435" s="27" t="s">
        <v>86</v>
      </c>
      <c r="F435" s="46">
        <f>SUM(F426:F429)*4.1667%</f>
        <v>0</v>
      </c>
      <c r="G435" s="38"/>
    </row>
    <row r="436" spans="1:7">
      <c r="A436" s="33"/>
      <c r="B436" s="53" t="s">
        <v>2</v>
      </c>
      <c r="C436" s="40"/>
      <c r="D436" s="40"/>
      <c r="E436" s="42" t="s">
        <v>86</v>
      </c>
      <c r="F436" s="48">
        <f>SUM(F426:F429)*1%</f>
        <v>0</v>
      </c>
      <c r="G436" s="38"/>
    </row>
    <row r="437" spans="1:7">
      <c r="A437" s="33"/>
      <c r="B437" s="37" t="s">
        <v>90</v>
      </c>
      <c r="C437" s="37"/>
      <c r="D437" s="37"/>
      <c r="E437" s="43" t="s">
        <v>86</v>
      </c>
      <c r="F437" s="49">
        <f>SUM(F432:F436)</f>
        <v>0</v>
      </c>
      <c r="G437" s="38"/>
    </row>
    <row r="438" spans="1:7">
      <c r="A438" s="33"/>
      <c r="B438" s="24"/>
      <c r="C438" s="24"/>
      <c r="D438" s="24"/>
      <c r="E438" s="27"/>
      <c r="F438" s="46"/>
      <c r="G438" s="38"/>
    </row>
    <row r="439" spans="1:7">
      <c r="A439" s="33"/>
      <c r="B439" s="37" t="s">
        <v>91</v>
      </c>
      <c r="C439" s="24"/>
      <c r="D439" s="24"/>
      <c r="E439" s="27"/>
      <c r="F439" s="46"/>
      <c r="G439" s="38"/>
    </row>
    <row r="440" spans="1:7">
      <c r="A440" s="33"/>
      <c r="B440" s="24"/>
      <c r="C440" s="24"/>
      <c r="D440" s="24"/>
      <c r="E440" s="27"/>
      <c r="F440" s="46"/>
      <c r="G440" s="38"/>
    </row>
    <row r="441" spans="1:7">
      <c r="A441" s="41"/>
      <c r="B441" s="40"/>
      <c r="C441" s="40"/>
      <c r="D441" s="40"/>
      <c r="E441" s="42"/>
      <c r="F441" s="48"/>
      <c r="G441" s="44"/>
    </row>
    <row r="442" spans="1:7">
      <c r="A442" s="24"/>
      <c r="B442" s="24"/>
      <c r="C442" s="24"/>
      <c r="D442" s="28"/>
      <c r="E442" s="27"/>
      <c r="F442" s="24"/>
      <c r="G442" s="25"/>
    </row>
    <row r="445" spans="1:7">
      <c r="A445" s="29"/>
      <c r="B445" s="30"/>
      <c r="C445" s="30"/>
      <c r="D445" s="30"/>
      <c r="E445" s="31"/>
      <c r="F445" s="45"/>
      <c r="G445" s="32"/>
    </row>
    <row r="446" spans="1:7">
      <c r="A446" s="33"/>
      <c r="B446" s="37" t="s">
        <v>84</v>
      </c>
      <c r="C446" s="35">
        <v>2616912694</v>
      </c>
      <c r="E446" s="37" t="s">
        <v>85</v>
      </c>
      <c r="F446" s="50">
        <f>Personal!C$72</f>
        <v>43922</v>
      </c>
      <c r="G446" s="36"/>
    </row>
    <row r="447" spans="1:7">
      <c r="A447" s="33"/>
      <c r="B447" s="37" t="s">
        <v>92</v>
      </c>
      <c r="C447" s="34" t="str">
        <f>VLOOKUP(C446,Personal!A:B,2,FALSE)</f>
        <v xml:space="preserve">Carlos Vazquez </v>
      </c>
      <c r="G447" s="38"/>
    </row>
    <row r="448" spans="1:7">
      <c r="A448" s="33"/>
      <c r="B448" s="37" t="s">
        <v>83</v>
      </c>
      <c r="C448" s="37" t="str">
        <f>VLOOKUP(C446,Personal!A:D,4,FALSE)</f>
        <v>TI Empresas Ilimitado</v>
      </c>
      <c r="G448" s="38"/>
    </row>
    <row r="449" spans="1:7">
      <c r="A449" s="33"/>
      <c r="B449" s="52" t="s">
        <v>325</v>
      </c>
      <c r="C449" s="117">
        <f>VLOOKUP(C448,Det_Personal!$P$1:$S$4,2,FALSE)</f>
        <v>300</v>
      </c>
      <c r="G449" s="38"/>
    </row>
    <row r="450" spans="1:7">
      <c r="A450" s="33"/>
      <c r="B450" t="s">
        <v>326</v>
      </c>
      <c r="C450" s="117">
        <f>VLOOKUP(C448,Det_Personal!$P$1:$S$4,4,FALSE)</f>
        <v>300</v>
      </c>
      <c r="D450" s="116"/>
      <c r="G450" s="38"/>
    </row>
    <row r="451" spans="1:7">
      <c r="A451" s="33"/>
      <c r="B451" s="52" t="s">
        <v>358</v>
      </c>
      <c r="C451" s="126">
        <f>VLOOKUP(C448,Det_Personal!$P$1:$T$4,5,FALSE)</f>
        <v>1.2</v>
      </c>
      <c r="D451" s="116"/>
      <c r="G451" s="38"/>
    </row>
    <row r="452" spans="1:7">
      <c r="A452" s="33"/>
      <c r="E452" s="27"/>
      <c r="F452" s="46"/>
      <c r="G452" s="38"/>
    </row>
    <row r="453" spans="1:7">
      <c r="A453" s="33"/>
      <c r="B453" s="37" t="s">
        <v>237</v>
      </c>
      <c r="C453" s="24"/>
      <c r="D453" s="101"/>
      <c r="E453" s="27"/>
      <c r="F453" s="102" t="s">
        <v>333</v>
      </c>
      <c r="G453" s="39"/>
    </row>
    <row r="454" spans="1:7">
      <c r="A454" s="33"/>
      <c r="B454" s="37" t="s">
        <v>360</v>
      </c>
      <c r="C454" s="24"/>
      <c r="D454" s="101"/>
      <c r="E454" s="27"/>
      <c r="F454" s="102" t="s">
        <v>333</v>
      </c>
      <c r="G454" s="39"/>
    </row>
    <row r="455" spans="1:7">
      <c r="A455" s="33"/>
      <c r="B455" s="37" t="s">
        <v>236</v>
      </c>
      <c r="C455" s="24"/>
      <c r="D455" s="24"/>
      <c r="E455" s="27"/>
      <c r="F455" s="102">
        <f>VLOOKUP(C446,Personal!A:F,6,FALSE)</f>
        <v>0</v>
      </c>
      <c r="G455" s="38"/>
    </row>
    <row r="456" spans="1:7">
      <c r="A456" s="33"/>
      <c r="B456" s="37" t="s">
        <v>285</v>
      </c>
      <c r="C456" s="103"/>
      <c r="D456" s="37"/>
      <c r="E456" s="43"/>
      <c r="F456" s="102">
        <f>VLOOKUP(C446,Personal!A:G,7,FALSE)/1.321667</f>
        <v>0</v>
      </c>
      <c r="G456" s="38"/>
    </row>
    <row r="457" spans="1:7">
      <c r="A457" s="33"/>
      <c r="B457" s="37" t="s">
        <v>334</v>
      </c>
      <c r="C457" s="103"/>
      <c r="D457" s="37"/>
      <c r="E457" s="43"/>
      <c r="F457" s="102">
        <f>VLOOKUP(C446,Personal!A:I,9,FALSE)</f>
        <v>0</v>
      </c>
      <c r="G457" s="38"/>
    </row>
    <row r="458" spans="1:7">
      <c r="A458" s="33"/>
      <c r="G458" s="39"/>
    </row>
    <row r="459" spans="1:7">
      <c r="A459" s="33"/>
      <c r="B459" s="24" t="s">
        <v>87</v>
      </c>
      <c r="C459" s="24"/>
      <c r="D459" s="24"/>
      <c r="E459" s="27" t="s">
        <v>86</v>
      </c>
      <c r="F459" s="46">
        <f>SUM(F453:F458)</f>
        <v>0</v>
      </c>
      <c r="G459" s="38"/>
    </row>
    <row r="460" spans="1:7">
      <c r="A460" s="33"/>
      <c r="B460" s="24" t="s">
        <v>89</v>
      </c>
      <c r="C460" s="24"/>
      <c r="D460" s="24"/>
      <c r="E460" s="27" t="s">
        <v>86</v>
      </c>
      <c r="F460" s="46">
        <f>F457*21%</f>
        <v>0</v>
      </c>
      <c r="G460" s="38"/>
    </row>
    <row r="461" spans="1:7">
      <c r="A461" s="33"/>
      <c r="B461" s="24" t="s">
        <v>88</v>
      </c>
      <c r="C461" s="24"/>
      <c r="D461" s="24"/>
      <c r="E461" s="27" t="s">
        <v>86</v>
      </c>
      <c r="F461" s="47">
        <f>SUM(F453:F456)*27%</f>
        <v>0</v>
      </c>
      <c r="G461" s="38"/>
    </row>
    <row r="462" spans="1:7">
      <c r="A462" s="33"/>
      <c r="B462" s="52" t="s">
        <v>238</v>
      </c>
      <c r="C462" s="24"/>
      <c r="D462" s="24"/>
      <c r="E462" s="27" t="s">
        <v>86</v>
      </c>
      <c r="F462" s="46">
        <f>SUM(F453:F456)*4.1667%</f>
        <v>0</v>
      </c>
      <c r="G462" s="38"/>
    </row>
    <row r="463" spans="1:7">
      <c r="A463" s="33"/>
      <c r="B463" s="53" t="s">
        <v>2</v>
      </c>
      <c r="C463" s="40"/>
      <c r="D463" s="40"/>
      <c r="E463" s="42" t="s">
        <v>86</v>
      </c>
      <c r="F463" s="48">
        <f>SUM(F453:F456)*1%</f>
        <v>0</v>
      </c>
      <c r="G463" s="38"/>
    </row>
    <row r="464" spans="1:7">
      <c r="A464" s="33"/>
      <c r="B464" s="37" t="s">
        <v>90</v>
      </c>
      <c r="C464" s="37"/>
      <c r="D464" s="37"/>
      <c r="E464" s="43" t="s">
        <v>86</v>
      </c>
      <c r="F464" s="49">
        <f>SUM(F459:F463)</f>
        <v>0</v>
      </c>
      <c r="G464" s="38"/>
    </row>
    <row r="465" spans="1:7">
      <c r="A465" s="33"/>
      <c r="B465" s="24"/>
      <c r="C465" s="24"/>
      <c r="D465" s="24"/>
      <c r="E465" s="27"/>
      <c r="F465" s="46"/>
      <c r="G465" s="38"/>
    </row>
    <row r="466" spans="1:7">
      <c r="A466" s="33"/>
      <c r="B466" s="37" t="s">
        <v>91</v>
      </c>
      <c r="C466" s="24"/>
      <c r="D466" s="24"/>
      <c r="E466" s="27"/>
      <c r="F466" s="46"/>
      <c r="G466" s="38"/>
    </row>
    <row r="467" spans="1:7">
      <c r="A467" s="33"/>
      <c r="B467" s="24"/>
      <c r="C467" s="24"/>
      <c r="D467" s="24"/>
      <c r="E467" s="27"/>
      <c r="F467" s="46"/>
      <c r="G467" s="38"/>
    </row>
    <row r="468" spans="1:7">
      <c r="A468" s="41"/>
      <c r="B468" s="40"/>
      <c r="C468" s="40"/>
      <c r="D468" s="40"/>
      <c r="E468" s="42"/>
      <c r="F468" s="48"/>
      <c r="G468" s="44"/>
    </row>
  </sheetData>
  <pageMargins left="0.7" right="0.7" top="0.75" bottom="0.75" header="0.3" footer="0.3"/>
  <pageSetup paperSize="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3:I14"/>
  <sheetViews>
    <sheetView workbookViewId="0">
      <selection activeCell="B2" sqref="B2:F16"/>
    </sheetView>
  </sheetViews>
  <sheetFormatPr baseColWidth="10" defaultRowHeight="14.4"/>
  <cols>
    <col min="2" max="2" width="30.33203125" customWidth="1"/>
    <col min="3" max="3" width="11.88671875" bestFit="1" customWidth="1"/>
    <col min="5" max="5" width="18.5546875" bestFit="1" customWidth="1"/>
    <col min="7" max="7" width="12" bestFit="1" customWidth="1"/>
  </cols>
  <sheetData>
    <row r="3" spans="2:9">
      <c r="B3" t="s">
        <v>403</v>
      </c>
      <c r="C3" t="s">
        <v>287</v>
      </c>
      <c r="E3" s="7" t="s">
        <v>418</v>
      </c>
      <c r="F3" s="7">
        <v>0</v>
      </c>
    </row>
    <row r="4" spans="2:9">
      <c r="B4" t="s">
        <v>64</v>
      </c>
      <c r="C4" s="2">
        <f>(Personal!E74)-(C7+C6+C5)+F6</f>
        <v>60618.368431140014</v>
      </c>
      <c r="E4" s="7" t="s">
        <v>419</v>
      </c>
      <c r="F4" s="7">
        <v>0</v>
      </c>
    </row>
    <row r="5" spans="2:9">
      <c r="B5" s="143" t="s">
        <v>63</v>
      </c>
      <c r="C5" s="2">
        <f>SUMIF(Personal!C2:C57,Tabla5[[#This Row],[Plan de cuentas]],Personal!L2:L57)</f>
        <v>8511.2599999999984</v>
      </c>
      <c r="E5" s="7" t="s">
        <v>420</v>
      </c>
      <c r="F5" s="7">
        <v>0</v>
      </c>
      <c r="G5" s="3"/>
    </row>
    <row r="6" spans="2:9">
      <c r="B6" t="s">
        <v>404</v>
      </c>
      <c r="C6" s="2">
        <f>'Marcelo C'!F21+'Marcelo C'!F47+'Marcelo C'!F73+'Marcelo C'!F99+'Marcelo C'!F125+'Marcelo C'!F151+'Marcelo C'!F177+'Marcelo C'!F203+'Marcelo C'!F229+'Marcelo C'!F255+'Marcelo C'!F281+'Marcelo C'!F307+'Marcelo C'!F359+'Marcelo C'!F385+'Marcelo C'!F411+Brunela!F99+Brunela!F73+Brunela!F47+Brunela!F21+F3</f>
        <v>17999.980928859997</v>
      </c>
      <c r="E6" s="235" t="s">
        <v>510</v>
      </c>
      <c r="G6" s="3"/>
    </row>
    <row r="7" spans="2:9">
      <c r="B7" t="s">
        <v>405</v>
      </c>
      <c r="C7" s="2">
        <f>'Marcelo C'!F464+'Rodrigo M'!F47+'Rodrigo M'!F73+'Rodrigo M'!F99+F4</f>
        <v>2537.6006399999997</v>
      </c>
      <c r="E7" s="157"/>
      <c r="F7" s="157"/>
    </row>
    <row r="8" spans="2:9">
      <c r="B8" t="s">
        <v>287</v>
      </c>
      <c r="C8" s="2">
        <f>SUM(Tabla5[total])</f>
        <v>89667.21</v>
      </c>
    </row>
    <row r="9" spans="2:9">
      <c r="C9" s="157"/>
      <c r="F9" s="182"/>
    </row>
    <row r="10" spans="2:9">
      <c r="F10" s="182"/>
      <c r="I10" s="182"/>
    </row>
    <row r="11" spans="2:9">
      <c r="F11" s="182"/>
      <c r="I11" s="182"/>
    </row>
    <row r="12" spans="2:9">
      <c r="E12" s="182"/>
      <c r="F12" s="182"/>
      <c r="G12" s="182"/>
    </row>
    <row r="13" spans="2:9">
      <c r="E13" s="182"/>
      <c r="F13" s="182"/>
    </row>
    <row r="14" spans="2:9">
      <c r="E14" s="182"/>
      <c r="F14" s="182"/>
    </row>
  </sheetData>
  <pageMargins left="0.7" right="0.7" top="0.75" bottom="0.75" header="0.3" footer="0.3"/>
  <pageSetup paperSize="9" scale="91" orientation="portrait" horizontalDpi="4294967295" verticalDpi="4294967295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"/>
  <sheetViews>
    <sheetView workbookViewId="0">
      <selection activeCell="K11" sqref="K11"/>
    </sheetView>
  </sheetViews>
  <sheetFormatPr baseColWidth="10" defaultRowHeight="14.4"/>
  <cols>
    <col min="1" max="3" width="11" bestFit="1" customWidth="1"/>
    <col min="4" max="4" width="14.33203125" bestFit="1" customWidth="1"/>
    <col min="5" max="5" width="14.6640625" bestFit="1" customWidth="1"/>
    <col min="6" max="6" width="15.109375" customWidth="1"/>
    <col min="7" max="12" width="11" bestFit="1" customWidth="1"/>
  </cols>
  <sheetData>
    <row r="1" spans="1:12">
      <c r="A1" s="275" t="s">
        <v>9</v>
      </c>
      <c r="B1" s="277"/>
      <c r="C1" s="276"/>
      <c r="D1" s="180" t="s">
        <v>12</v>
      </c>
      <c r="E1" s="179" t="s">
        <v>11</v>
      </c>
      <c r="F1" s="179" t="s">
        <v>19</v>
      </c>
      <c r="G1" s="173" t="s">
        <v>406</v>
      </c>
      <c r="H1" s="173"/>
      <c r="I1" s="275" t="s">
        <v>14</v>
      </c>
      <c r="J1" s="276"/>
      <c r="K1" s="173" t="s">
        <v>407</v>
      </c>
      <c r="L1" s="173" t="s">
        <v>408</v>
      </c>
    </row>
    <row r="2" spans="1:12" s="223" customFormat="1">
      <c r="A2" s="222">
        <v>2615462740</v>
      </c>
      <c r="B2" s="223">
        <v>2615557588</v>
      </c>
      <c r="C2" s="223">
        <v>2615977221</v>
      </c>
      <c r="D2" s="223">
        <v>2615756516</v>
      </c>
      <c r="E2" s="223">
        <v>2616649074</v>
      </c>
      <c r="F2" s="223">
        <v>2615186053</v>
      </c>
      <c r="G2" s="224">
        <v>2613861807</v>
      </c>
      <c r="H2" s="224">
        <v>2613861796</v>
      </c>
      <c r="I2" s="224">
        <v>2614701360</v>
      </c>
      <c r="J2" s="223">
        <v>2615557273</v>
      </c>
      <c r="K2" s="224">
        <v>2613861799</v>
      </c>
      <c r="L2" s="223">
        <v>2615123926</v>
      </c>
    </row>
    <row r="3" spans="1:12">
      <c r="A3" s="174" t="s">
        <v>409</v>
      </c>
      <c r="B3" s="175" t="s">
        <v>137</v>
      </c>
      <c r="C3" s="176" t="s">
        <v>410</v>
      </c>
      <c r="D3" s="176" t="s">
        <v>411</v>
      </c>
      <c r="E3" s="174" t="s">
        <v>412</v>
      </c>
      <c r="F3" s="174" t="s">
        <v>413</v>
      </c>
      <c r="G3" s="178" t="s">
        <v>414</v>
      </c>
      <c r="H3" s="178" t="s">
        <v>421</v>
      </c>
      <c r="I3" s="174" t="s">
        <v>415</v>
      </c>
      <c r="J3" s="176" t="s">
        <v>416</v>
      </c>
      <c r="K3" s="177"/>
      <c r="L3" s="177"/>
    </row>
    <row r="4" spans="1:12">
      <c r="A4" s="2">
        <f>VLOOKUP(Hoja2!A2,Personal!$A$1:$M$59,13,FALSE)</f>
        <v>2302.4838699999996</v>
      </c>
      <c r="B4" s="2">
        <f>VLOOKUP(Hoja2!B2,Personal!$A$1:$M$59,13,FALSE)</f>
        <v>1652.08375</v>
      </c>
      <c r="C4" s="2">
        <f>VLOOKUP(Hoja2!C2,Personal!$A$1:$M$59,13,FALSE)</f>
        <v>845.86687999999992</v>
      </c>
      <c r="D4" s="2">
        <f>VLOOKUP(Hoja2!D2,Personal!$A$1:$M$59,13,FALSE)</f>
        <v>2127.8838699999997</v>
      </c>
      <c r="E4" s="2">
        <f>VLOOKUP(Hoja2!E2,Personal!$A$1:$M$59,13,FALSE)</f>
        <v>2127.8838699999997</v>
      </c>
      <c r="F4" s="2">
        <f>VLOOKUP(Hoja2!F2,Personal!$A$1:$M$59,13,FALSE)</f>
        <v>0</v>
      </c>
      <c r="G4" s="2">
        <f>VLOOKUP(Hoja2!G2,Personal!$A$1:$M$59,13,FALSE)</f>
        <v>2127.8838699999997</v>
      </c>
      <c r="H4" s="2">
        <f>VLOOKUP(Hoja2!H2,Personal!$A$1:$M$59,13,FALSE)</f>
        <v>1652.08375</v>
      </c>
      <c r="I4" s="2">
        <f>VLOOKUP(Hoja2!I2,Personal!$A$1:$M$59,13,FALSE)</f>
        <v>2127.8838699999997</v>
      </c>
      <c r="J4" s="2">
        <f>VLOOKUP(Hoja2!J2,Personal!$A$1:$M$59,13,FALSE)</f>
        <v>1206.86688</v>
      </c>
      <c r="K4" s="2">
        <f>VLOOKUP(Hoja2!K2,Personal!$A$1:$M$59,13,FALSE)</f>
        <v>0</v>
      </c>
      <c r="L4" s="2">
        <f>VLOOKUP(Hoja2!L2,Personal!$A$1:$M$59,13,FALSE)</f>
        <v>0</v>
      </c>
    </row>
    <row r="6" spans="1:12" ht="86.4" customHeight="1">
      <c r="B6" s="119"/>
      <c r="D6" s="119"/>
      <c r="F6" s="119"/>
      <c r="K6" s="119"/>
    </row>
  </sheetData>
  <mergeCells count="2">
    <mergeCell ref="I1:J1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Personal</vt:lpstr>
      <vt:lpstr>Det_Personal</vt:lpstr>
      <vt:lpstr>Claro</vt:lpstr>
      <vt:lpstr>Equipos</vt:lpstr>
      <vt:lpstr>Brunela</vt:lpstr>
      <vt:lpstr>Rodrigo M</vt:lpstr>
      <vt:lpstr>Marcelo C</vt:lpstr>
      <vt:lpstr>Hoja1</vt:lpstr>
      <vt:lpstr>Hoja2</vt:lpstr>
      <vt:lpstr>movistar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</dc:creator>
  <cp:lastModifiedBy>emiliano chirino</cp:lastModifiedBy>
  <cp:lastPrinted>2020-05-12T14:12:24Z</cp:lastPrinted>
  <dcterms:created xsi:type="dcterms:W3CDTF">2012-07-24T14:11:52Z</dcterms:created>
  <dcterms:modified xsi:type="dcterms:W3CDTF">2020-05-12T14:12:35Z</dcterms:modified>
</cp:coreProperties>
</file>