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GitHub\SpiCy-BEXUS\motherboard\Hardware\Calculations\"/>
    </mc:Choice>
  </mc:AlternateContent>
  <xr:revisionPtr revIDLastSave="0" documentId="13_ncr:1_{2A1C20E4-A24C-47B6-B842-CB69BC6A6E0D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N16" i="1"/>
  <c r="R17" i="1"/>
  <c r="Q17" i="1"/>
  <c r="Q7" i="1"/>
  <c r="R7" i="1" s="1"/>
  <c r="L16" i="1"/>
  <c r="L14" i="1"/>
  <c r="M14" i="1" s="1"/>
  <c r="N14" i="1" s="1"/>
  <c r="L7" i="1"/>
  <c r="H19" i="1"/>
  <c r="I19" i="1"/>
  <c r="Q15" i="1"/>
  <c r="R15" i="1"/>
  <c r="R14" i="1"/>
  <c r="Q14" i="1"/>
  <c r="R13" i="1"/>
  <c r="Q13" i="1"/>
  <c r="R12" i="1"/>
  <c r="Q12" i="1"/>
  <c r="R11" i="1"/>
  <c r="Q11" i="1"/>
  <c r="Q10" i="1"/>
  <c r="R9" i="1"/>
  <c r="Q9" i="1"/>
  <c r="R8" i="1"/>
  <c r="Q8" i="1"/>
  <c r="Q16" i="1"/>
  <c r="R16" i="1"/>
  <c r="N7" i="1" l="1"/>
  <c r="I7" i="1" s="1"/>
  <c r="D6" i="1" s="1"/>
  <c r="M7" i="1"/>
  <c r="H7" i="1" s="1"/>
  <c r="C6" i="1" s="1"/>
</calcChain>
</file>

<file path=xl/sharedStrings.xml><?xml version="1.0" encoding="utf-8"?>
<sst xmlns="http://schemas.openxmlformats.org/spreadsheetml/2006/main" count="69" uniqueCount="56">
  <si>
    <t>Power calculations</t>
  </si>
  <si>
    <t>Component</t>
  </si>
  <si>
    <t>Description</t>
  </si>
  <si>
    <t>Power_load</t>
  </si>
  <si>
    <t>Power_idle</t>
  </si>
  <si>
    <t>Vbatt</t>
  </si>
  <si>
    <t>LDO uC</t>
  </si>
  <si>
    <t>LDO Lan/SD</t>
  </si>
  <si>
    <t>LDO Extern</t>
  </si>
  <si>
    <t>Power consumer</t>
  </si>
  <si>
    <t>Power provider</t>
  </si>
  <si>
    <t>Efficiency</t>
  </si>
  <si>
    <t>micro  Sd</t>
  </si>
  <si>
    <t>ethernet controller</t>
  </si>
  <si>
    <t>Rp2040</t>
  </si>
  <si>
    <t>kigsman 8GB</t>
  </si>
  <si>
    <t>Describtion</t>
  </si>
  <si>
    <t>Voltage converter</t>
  </si>
  <si>
    <t>APTD2012LCGCK</t>
  </si>
  <si>
    <t>APTD2012LSURCK</t>
  </si>
  <si>
    <t>wrong battery polarity detection LED</t>
  </si>
  <si>
    <t>W25Q128JVS</t>
  </si>
  <si>
    <t>Flash</t>
  </si>
  <si>
    <t>INA240A3EDRQ1</t>
  </si>
  <si>
    <t>NCP1117ST33T3G</t>
  </si>
  <si>
    <t>TMUX1108PWR</t>
  </si>
  <si>
    <t>Mux NTCs</t>
  </si>
  <si>
    <t>TLV9002QDRQ1</t>
  </si>
  <si>
    <t>OpAmp NTCs</t>
  </si>
  <si>
    <t>CD4097B</t>
  </si>
  <si>
    <t>MUX OXY</t>
  </si>
  <si>
    <t>Light sensor</t>
  </si>
  <si>
    <t>LM4040BIM3-3.0_NOPB</t>
  </si>
  <si>
    <t>V_Ref uC</t>
  </si>
  <si>
    <t>V_Ref NTCs</t>
  </si>
  <si>
    <t>Heater Mosfet</t>
  </si>
  <si>
    <t>Microcontroller</t>
  </si>
  <si>
    <t>Variables:</t>
  </si>
  <si>
    <t>VSYS[V]</t>
  </si>
  <si>
    <t>OXY</t>
  </si>
  <si>
    <t>Power_load incl. efficiency</t>
  </si>
  <si>
    <t>Power_idle incl. Efficiency</t>
  </si>
  <si>
    <t>Power_load incl. Efficiency</t>
  </si>
  <si>
    <t>green LED + Resistor</t>
  </si>
  <si>
    <t>W5500</t>
  </si>
  <si>
    <t>doesn´t matter</t>
  </si>
  <si>
    <t>All 6 Oxygen Sensor. Under load: alway just one, P_load = P_one_load + 5 * Pidle</t>
  </si>
  <si>
    <t>Kapton Heaters</t>
  </si>
  <si>
    <t xml:space="preserve"> -&gt;</t>
  </si>
  <si>
    <t>Voltage stabiliser</t>
  </si>
  <si>
    <t>Buck converter Vsys</t>
  </si>
  <si>
    <t>Buck converter Vheat</t>
  </si>
  <si>
    <t xml:space="preserve"> - all values in W</t>
  </si>
  <si>
    <t>DONGKER 280W/12A</t>
  </si>
  <si>
    <t>Heater[W]</t>
  </si>
  <si>
    <t>LM2596S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</si>
</sst>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5" borderId="2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 wrapText="1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5" borderId="7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/>
    </xf>
    <xf numFmtId="0" fontId="0" fillId="5" borderId="14" xfId="0" applyFill="1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9" xfId="0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0" fontId="0" fillId="3" borderId="42" xfId="0" applyFill="1" applyBorder="1" applyAlignment="1">
      <alignment vertical="center" wrapText="1"/>
    </xf>
    <xf numFmtId="0" fontId="0" fillId="0" borderId="0" xfId="0"/>
    <xf numFmtId="0" fontId="0" fillId="3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29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32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4" borderId="33" xfId="0" applyFill="1" applyBorder="1" applyAlignment="1">
      <alignment vertical="center" wrapText="1"/>
    </xf>
    <xf numFmtId="0" fontId="0" fillId="4" borderId="27" xfId="0" applyFill="1" applyBorder="1" applyAlignment="1">
      <alignment vertical="center" wrapText="1"/>
    </xf>
    <xf numFmtId="0" fontId="0" fillId="4" borderId="34" xfId="0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0" fillId="4" borderId="26" xfId="0" applyFill="1" applyBorder="1" applyAlignment="1">
      <alignment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R85"/>
  <sheetViews>
    <sheetView tabSelected="1" zoomScale="69" zoomScaleNormal="55" workbookViewId="0">
      <selection activeCell="F28" sqref="F28"/>
    </sheetView>
  </sheetViews>
  <sheetFormatPr baseColWidth="10" defaultColWidth="11.453125" defaultRowHeight="14.5" x14ac:dyDescent="0.35"/>
  <cols>
    <col min="2" max="2" width="13.36328125" bestFit="1" customWidth="1"/>
    <col min="3" max="3" width="11.90625" customWidth="1"/>
    <col min="4" max="4" width="11.81640625" bestFit="1" customWidth="1"/>
    <col min="5" max="5" width="13.90625" bestFit="1" customWidth="1"/>
    <col min="6" max="6" width="11.90625" bestFit="1" customWidth="1"/>
    <col min="7" max="7" width="9.08984375" bestFit="1" customWidth="1"/>
    <col min="8" max="9" width="11.81640625" bestFit="1" customWidth="1"/>
    <col min="10" max="10" width="16.08984375" bestFit="1" customWidth="1"/>
    <col min="11" max="11" width="10.90625" bestFit="1" customWidth="1"/>
    <col min="12" max="12" width="9.08984375" bestFit="1" customWidth="1"/>
    <col min="13" max="14" width="12.54296875" bestFit="1" customWidth="1"/>
    <col min="15" max="15" width="21.08984375" bestFit="1" customWidth="1"/>
    <col min="16" max="16" width="33.7265625" bestFit="1" customWidth="1"/>
    <col min="17" max="17" width="10.6328125" bestFit="1" customWidth="1"/>
    <col min="18" max="18" width="10.08984375" bestFit="1" customWidth="1"/>
  </cols>
  <sheetData>
    <row r="1" spans="2:18" x14ac:dyDescent="0.35">
      <c r="C1" s="1"/>
      <c r="D1" s="1"/>
      <c r="E1" s="1"/>
      <c r="F1" s="1"/>
      <c r="G1" s="1"/>
      <c r="H1" s="1"/>
    </row>
    <row r="2" spans="2:18" ht="28.5" x14ac:dyDescent="0.65">
      <c r="B2" s="25" t="s">
        <v>0</v>
      </c>
      <c r="E2" s="26" t="s">
        <v>52</v>
      </c>
    </row>
    <row r="3" spans="2:18" ht="15" thickBot="1" x14ac:dyDescent="0.4"/>
    <row r="4" spans="2:18" ht="29.5" thickBot="1" x14ac:dyDescent="0.4">
      <c r="B4" s="22" t="s">
        <v>10</v>
      </c>
      <c r="C4" s="23"/>
      <c r="D4" s="23"/>
      <c r="E4" s="23" t="s">
        <v>17</v>
      </c>
      <c r="F4" s="23"/>
      <c r="G4" s="23"/>
      <c r="H4" s="23"/>
      <c r="I4" s="23"/>
      <c r="J4" s="23" t="s">
        <v>49</v>
      </c>
      <c r="K4" s="23"/>
      <c r="L4" s="23"/>
      <c r="M4" s="23"/>
      <c r="N4" s="23"/>
      <c r="O4" s="23" t="s">
        <v>9</v>
      </c>
      <c r="P4" s="23"/>
      <c r="Q4" s="23"/>
      <c r="R4" s="24"/>
    </row>
    <row r="5" spans="2:18" ht="44" thickBot="1" x14ac:dyDescent="0.4">
      <c r="B5" s="15" t="s">
        <v>1</v>
      </c>
      <c r="C5" s="16" t="s">
        <v>3</v>
      </c>
      <c r="D5" s="16" t="s">
        <v>4</v>
      </c>
      <c r="E5" s="17" t="s">
        <v>1</v>
      </c>
      <c r="F5" s="17" t="s">
        <v>16</v>
      </c>
      <c r="G5" s="17" t="s">
        <v>11</v>
      </c>
      <c r="H5" s="17" t="s">
        <v>42</v>
      </c>
      <c r="I5" s="17" t="s">
        <v>41</v>
      </c>
      <c r="J5" s="18" t="s">
        <v>1</v>
      </c>
      <c r="K5" s="19" t="s">
        <v>16</v>
      </c>
      <c r="L5" s="19" t="s">
        <v>11</v>
      </c>
      <c r="M5" s="19" t="s">
        <v>40</v>
      </c>
      <c r="N5" s="19" t="s">
        <v>41</v>
      </c>
      <c r="O5" s="20" t="s">
        <v>1</v>
      </c>
      <c r="P5" s="20" t="s">
        <v>2</v>
      </c>
      <c r="Q5" s="20" t="s">
        <v>3</v>
      </c>
      <c r="R5" s="21" t="s">
        <v>4</v>
      </c>
    </row>
    <row r="6" spans="2:18" ht="29.5" thickBot="1" x14ac:dyDescent="0.4">
      <c r="B6" s="27" t="s">
        <v>5</v>
      </c>
      <c r="C6" s="28">
        <f>H7+H19</f>
        <v>35.024539094598154</v>
      </c>
      <c r="D6" s="28">
        <f>I7+I19</f>
        <v>0.53395335134956123</v>
      </c>
      <c r="E6" s="43" t="s">
        <v>48</v>
      </c>
      <c r="F6" s="44"/>
      <c r="G6" s="44"/>
      <c r="H6" s="44"/>
      <c r="I6" s="44"/>
      <c r="J6" s="44"/>
      <c r="K6" s="44"/>
      <c r="L6" s="44"/>
      <c r="M6" s="44"/>
      <c r="N6" s="45"/>
      <c r="O6" s="29" t="s">
        <v>19</v>
      </c>
      <c r="P6" s="30" t="s">
        <v>20</v>
      </c>
      <c r="Q6" s="30" t="s">
        <v>45</v>
      </c>
      <c r="R6" s="31" t="s">
        <v>45</v>
      </c>
    </row>
    <row r="7" spans="2:18" ht="43.5" x14ac:dyDescent="0.35">
      <c r="B7" s="56"/>
      <c r="C7" s="57"/>
      <c r="D7" s="58"/>
      <c r="E7" s="32" t="s">
        <v>55</v>
      </c>
      <c r="F7" s="33" t="s">
        <v>50</v>
      </c>
      <c r="G7" s="33">
        <v>0.9</v>
      </c>
      <c r="H7" s="33">
        <f>(M7+M14+M16)*1/G7+(3.3*0.001*0.012)</f>
        <v>2.4158038424242423</v>
      </c>
      <c r="I7" s="33">
        <f>(N7+N14+N16)*1/G7+(3.3*0.001*0.012)</f>
        <v>0.53391375134956121</v>
      </c>
      <c r="J7" s="34" t="s">
        <v>24</v>
      </c>
      <c r="K7" s="35" t="s">
        <v>6</v>
      </c>
      <c r="L7" s="35">
        <f>3.3/C23</f>
        <v>0.54999999999999993</v>
      </c>
      <c r="M7" s="35">
        <f>SUM(Q7:Q13)*1/L7</f>
        <v>0.34418781818181821</v>
      </c>
      <c r="N7" s="35">
        <f>SUM(R7:R13)*1/L7</f>
        <v>0.31418181818181812</v>
      </c>
      <c r="O7" s="8" t="s">
        <v>14</v>
      </c>
      <c r="P7" s="3" t="s">
        <v>36</v>
      </c>
      <c r="Q7" s="3">
        <f>3.3*0.028</f>
        <v>9.2399999999999996E-2</v>
      </c>
      <c r="R7" s="36">
        <f>Q7</f>
        <v>9.2399999999999996E-2</v>
      </c>
    </row>
    <row r="8" spans="2:18" x14ac:dyDescent="0.35">
      <c r="B8" s="59"/>
      <c r="C8" s="60"/>
      <c r="D8" s="61"/>
      <c r="E8" s="50"/>
      <c r="F8" s="51"/>
      <c r="G8" s="51"/>
      <c r="H8" s="51"/>
      <c r="I8" s="51"/>
      <c r="J8" s="65"/>
      <c r="K8" s="66"/>
      <c r="L8" s="66"/>
      <c r="M8" s="66"/>
      <c r="N8" s="67"/>
      <c r="O8" s="37" t="s">
        <v>18</v>
      </c>
      <c r="P8" s="2" t="s">
        <v>43</v>
      </c>
      <c r="Q8" s="2">
        <f>3.3*0.002</f>
        <v>6.6E-3</v>
      </c>
      <c r="R8" s="38">
        <f>Q8</f>
        <v>6.6E-3</v>
      </c>
    </row>
    <row r="9" spans="2:18" x14ac:dyDescent="0.35">
      <c r="B9" s="59"/>
      <c r="C9" s="60"/>
      <c r="D9" s="61"/>
      <c r="E9" s="52"/>
      <c r="F9" s="53"/>
      <c r="G9" s="53"/>
      <c r="H9" s="53"/>
      <c r="I9" s="53"/>
      <c r="J9" s="68"/>
      <c r="K9" s="69"/>
      <c r="L9" s="69"/>
      <c r="M9" s="69"/>
      <c r="N9" s="70"/>
      <c r="O9" s="9" t="s">
        <v>21</v>
      </c>
      <c r="P9" s="2" t="s">
        <v>22</v>
      </c>
      <c r="Q9" s="4">
        <f>3.3*0.025</f>
        <v>8.2500000000000004E-2</v>
      </c>
      <c r="R9" s="38">
        <f>0.02*3.3</f>
        <v>6.6000000000000003E-2</v>
      </c>
    </row>
    <row r="10" spans="2:18" x14ac:dyDescent="0.35">
      <c r="B10" s="59"/>
      <c r="C10" s="60"/>
      <c r="D10" s="61"/>
      <c r="E10" s="52"/>
      <c r="F10" s="53"/>
      <c r="G10" s="53"/>
      <c r="H10" s="53"/>
      <c r="I10" s="53"/>
      <c r="J10" s="68"/>
      <c r="K10" s="69"/>
      <c r="L10" s="69"/>
      <c r="M10" s="69"/>
      <c r="N10" s="70"/>
      <c r="O10" s="10" t="s">
        <v>25</v>
      </c>
      <c r="P10" s="2" t="s">
        <v>26</v>
      </c>
      <c r="Q10" s="2">
        <f>0.000001*3.3</f>
        <v>3.2999999999999997E-6</v>
      </c>
      <c r="R10" s="38"/>
    </row>
    <row r="11" spans="2:18" x14ac:dyDescent="0.35">
      <c r="B11" s="59"/>
      <c r="C11" s="60"/>
      <c r="D11" s="61"/>
      <c r="E11" s="52"/>
      <c r="F11" s="53"/>
      <c r="G11" s="53"/>
      <c r="H11" s="53"/>
      <c r="I11" s="53"/>
      <c r="J11" s="68"/>
      <c r="K11" s="69"/>
      <c r="L11" s="69"/>
      <c r="M11" s="69"/>
      <c r="N11" s="70"/>
      <c r="O11" s="10" t="s">
        <v>27</v>
      </c>
      <c r="P11" s="2" t="s">
        <v>28</v>
      </c>
      <c r="Q11" s="2">
        <f>3.3*0.002</f>
        <v>6.6E-3</v>
      </c>
      <c r="R11" s="38">
        <f>Q11</f>
        <v>6.6E-3</v>
      </c>
    </row>
    <row r="12" spans="2:18" x14ac:dyDescent="0.35">
      <c r="B12" s="59"/>
      <c r="C12" s="60"/>
      <c r="D12" s="61"/>
      <c r="E12" s="52"/>
      <c r="F12" s="53"/>
      <c r="G12" s="53"/>
      <c r="H12" s="53"/>
      <c r="I12" s="53"/>
      <c r="J12" s="68"/>
      <c r="K12" s="69"/>
      <c r="L12" s="69"/>
      <c r="M12" s="69"/>
      <c r="N12" s="70"/>
      <c r="O12" s="9" t="s">
        <v>32</v>
      </c>
      <c r="P12" s="2" t="s">
        <v>33</v>
      </c>
      <c r="Q12" s="2">
        <f>(3.3-3)^2/150</f>
        <v>5.999999999999993E-4</v>
      </c>
      <c r="R12" s="38">
        <f>Q12</f>
        <v>5.999999999999993E-4</v>
      </c>
    </row>
    <row r="13" spans="2:18" ht="15" thickBot="1" x14ac:dyDescent="0.4">
      <c r="B13" s="59"/>
      <c r="C13" s="60"/>
      <c r="D13" s="61"/>
      <c r="E13" s="52"/>
      <c r="F13" s="53"/>
      <c r="G13" s="53"/>
      <c r="H13" s="53"/>
      <c r="I13" s="53"/>
      <c r="J13" s="71"/>
      <c r="K13" s="72"/>
      <c r="L13" s="72"/>
      <c r="M13" s="72"/>
      <c r="N13" s="73"/>
      <c r="O13" s="12" t="s">
        <v>32</v>
      </c>
      <c r="P13" s="5" t="s">
        <v>34</v>
      </c>
      <c r="Q13" s="5">
        <f>Q12</f>
        <v>5.999999999999993E-4</v>
      </c>
      <c r="R13" s="14">
        <f>Q13</f>
        <v>5.999999999999993E-4</v>
      </c>
    </row>
    <row r="14" spans="2:18" x14ac:dyDescent="0.35">
      <c r="B14" s="59"/>
      <c r="C14" s="60"/>
      <c r="D14" s="61"/>
      <c r="E14" s="52"/>
      <c r="F14" s="53"/>
      <c r="G14" s="53"/>
      <c r="H14" s="53"/>
      <c r="I14" s="53"/>
      <c r="J14" s="39" t="s">
        <v>24</v>
      </c>
      <c r="K14" s="35" t="s">
        <v>7</v>
      </c>
      <c r="L14" s="35">
        <f>3.3/C23</f>
        <v>0.54999999999999993</v>
      </c>
      <c r="M14" s="35">
        <f>SUM(Q14:Q16)*1/L14</f>
        <v>1.83</v>
      </c>
      <c r="N14" s="35">
        <f>SUM(R14:R16)*1/M14</f>
        <v>5.7704918032786878E-2</v>
      </c>
      <c r="O14" s="8" t="s">
        <v>44</v>
      </c>
      <c r="P14" s="3" t="s">
        <v>13</v>
      </c>
      <c r="Q14" s="3">
        <f>3.3*0.132</f>
        <v>0.43559999999999999</v>
      </c>
      <c r="R14" s="36">
        <f>3.3*0.013</f>
        <v>4.2899999999999994E-2</v>
      </c>
    </row>
    <row r="15" spans="2:18" ht="15" thickBot="1" x14ac:dyDescent="0.4">
      <c r="B15" s="59"/>
      <c r="C15" s="60"/>
      <c r="D15" s="61"/>
      <c r="E15" s="52"/>
      <c r="F15" s="53"/>
      <c r="G15" s="53"/>
      <c r="H15" s="53"/>
      <c r="I15" s="53"/>
      <c r="J15" s="74"/>
      <c r="K15" s="75"/>
      <c r="L15" s="75"/>
      <c r="M15" s="75"/>
      <c r="N15" s="76"/>
      <c r="O15" s="12" t="s">
        <v>15</v>
      </c>
      <c r="P15" s="5" t="s">
        <v>12</v>
      </c>
      <c r="Q15" s="5">
        <f>3.3*0.15</f>
        <v>0.49499999999999994</v>
      </c>
      <c r="R15" s="14">
        <f>3.3*0.001</f>
        <v>3.3E-3</v>
      </c>
    </row>
    <row r="16" spans="2:18" ht="41.5" customHeight="1" x14ac:dyDescent="0.35">
      <c r="B16" s="59"/>
      <c r="C16" s="60"/>
      <c r="D16" s="61"/>
      <c r="E16" s="52"/>
      <c r="F16" s="53"/>
      <c r="G16" s="53"/>
      <c r="H16" s="53"/>
      <c r="I16" s="53"/>
      <c r="J16" s="39" t="s">
        <v>24</v>
      </c>
      <c r="K16" s="35" t="s">
        <v>8</v>
      </c>
      <c r="L16" s="35">
        <f>3.3/C23</f>
        <v>0.54999999999999993</v>
      </c>
      <c r="M16" s="35">
        <v>0</v>
      </c>
      <c r="N16" s="35">
        <f>SUM(R16:R18)*1/L16</f>
        <v>0.1086</v>
      </c>
      <c r="O16" s="13" t="s">
        <v>39</v>
      </c>
      <c r="P16" s="3" t="s">
        <v>46</v>
      </c>
      <c r="Q16" s="3">
        <f>5*(3.3*0.003)+(3.3*0.008)</f>
        <v>7.5899999999999995E-2</v>
      </c>
      <c r="R16" s="36">
        <f>6*(3.3*0.003)</f>
        <v>5.9399999999999994E-2</v>
      </c>
    </row>
    <row r="17" spans="2:18" x14ac:dyDescent="0.35">
      <c r="B17" s="59"/>
      <c r="C17" s="60"/>
      <c r="D17" s="61"/>
      <c r="E17" s="52"/>
      <c r="F17" s="53"/>
      <c r="G17" s="53"/>
      <c r="H17" s="53"/>
      <c r="I17" s="53"/>
      <c r="J17" s="77"/>
      <c r="K17" s="66"/>
      <c r="L17" s="66"/>
      <c r="M17" s="66"/>
      <c r="N17" s="67"/>
      <c r="O17" s="10" t="s">
        <v>29</v>
      </c>
      <c r="P17" s="4" t="s">
        <v>30</v>
      </c>
      <c r="Q17" s="2">
        <f>0.0001*3.3</f>
        <v>3.3E-4</v>
      </c>
      <c r="R17" s="38">
        <f>Q17</f>
        <v>3.3E-4</v>
      </c>
    </row>
    <row r="18" spans="2:18" ht="15" thickBot="1" x14ac:dyDescent="0.4">
      <c r="B18" s="59"/>
      <c r="C18" s="60"/>
      <c r="D18" s="61"/>
      <c r="E18" s="54"/>
      <c r="F18" s="55"/>
      <c r="G18" s="55"/>
      <c r="H18" s="55"/>
      <c r="I18" s="55"/>
      <c r="J18" s="78"/>
      <c r="K18" s="72"/>
      <c r="L18" s="72"/>
      <c r="M18" s="72"/>
      <c r="N18" s="73"/>
      <c r="O18" s="11"/>
      <c r="P18" s="40" t="s">
        <v>31</v>
      </c>
      <c r="Q18" s="40"/>
      <c r="R18" s="41"/>
    </row>
    <row r="19" spans="2:18" ht="43.5" x14ac:dyDescent="0.35">
      <c r="B19" s="59"/>
      <c r="C19" s="60"/>
      <c r="D19" s="61"/>
      <c r="E19" s="32" t="s">
        <v>53</v>
      </c>
      <c r="F19" s="33" t="s">
        <v>51</v>
      </c>
      <c r="G19" s="33">
        <v>0.92</v>
      </c>
      <c r="H19" s="33">
        <f>SUM(Q19:Q20)*1/G19+(3.3*0.001*0.012)</f>
        <v>32.608735252173915</v>
      </c>
      <c r="I19" s="42">
        <f>SUM(R19:R20)*1/G19+(3.3*0.001*0.012)</f>
        <v>3.96E-5</v>
      </c>
      <c r="J19" s="79" t="s">
        <v>48</v>
      </c>
      <c r="K19" s="80"/>
      <c r="L19" s="80"/>
      <c r="M19" s="80"/>
      <c r="N19" s="81"/>
      <c r="O19" s="8" t="s">
        <v>23</v>
      </c>
      <c r="P19" s="3" t="s">
        <v>35</v>
      </c>
      <c r="Q19" s="6">
        <v>0</v>
      </c>
      <c r="R19" s="7">
        <v>0</v>
      </c>
    </row>
    <row r="20" spans="2:18" ht="15" thickBot="1" x14ac:dyDescent="0.4">
      <c r="B20" s="62"/>
      <c r="C20" s="63"/>
      <c r="D20" s="64"/>
      <c r="E20" s="46"/>
      <c r="F20" s="47"/>
      <c r="G20" s="47"/>
      <c r="H20" s="47"/>
      <c r="I20" s="48"/>
      <c r="J20" s="82"/>
      <c r="K20" s="83"/>
      <c r="L20" s="83"/>
      <c r="M20" s="83"/>
      <c r="N20" s="84"/>
      <c r="O20" s="40"/>
      <c r="P20" s="40" t="s">
        <v>47</v>
      </c>
      <c r="Q20" s="40">
        <f>C24*6</f>
        <v>30</v>
      </c>
      <c r="R20" s="41">
        <v>0</v>
      </c>
    </row>
    <row r="22" spans="2:18" x14ac:dyDescent="0.35">
      <c r="B22" t="s">
        <v>37</v>
      </c>
    </row>
    <row r="23" spans="2:18" x14ac:dyDescent="0.35">
      <c r="B23" t="s">
        <v>38</v>
      </c>
      <c r="C23">
        <v>6</v>
      </c>
    </row>
    <row r="24" spans="2:18" x14ac:dyDescent="0.35">
      <c r="B24" t="s">
        <v>54</v>
      </c>
      <c r="C24">
        <v>5</v>
      </c>
    </row>
    <row r="64" spans="5:8" x14ac:dyDescent="0.35">
      <c r="E64" s="49"/>
      <c r="F64" s="49"/>
      <c r="G64" s="49"/>
      <c r="H64" s="49"/>
    </row>
    <row r="65" spans="3:15" x14ac:dyDescent="0.35">
      <c r="E65" s="49"/>
      <c r="F65" s="49"/>
      <c r="G65" s="49"/>
      <c r="H65" s="49"/>
      <c r="L65" s="49"/>
      <c r="M65" s="49"/>
      <c r="N65" s="49"/>
      <c r="O65" s="49"/>
    </row>
    <row r="66" spans="3:15" x14ac:dyDescent="0.35">
      <c r="E66" s="49"/>
      <c r="F66" s="49"/>
      <c r="G66" s="49"/>
      <c r="H66" s="49"/>
      <c r="L66" s="49"/>
      <c r="M66" s="49"/>
      <c r="N66" s="49"/>
      <c r="O66" s="49"/>
    </row>
    <row r="67" spans="3:15" x14ac:dyDescent="0.35">
      <c r="L67" s="49"/>
      <c r="M67" s="49"/>
      <c r="N67" s="49"/>
      <c r="O67" s="49"/>
    </row>
    <row r="68" spans="3:15" x14ac:dyDescent="0.35">
      <c r="C68" s="49"/>
      <c r="D68" s="49"/>
      <c r="E68" s="49"/>
      <c r="F68" s="49"/>
      <c r="G68" s="49"/>
      <c r="L68" s="49"/>
      <c r="M68" s="49"/>
      <c r="N68" s="49"/>
      <c r="O68" s="49"/>
    </row>
    <row r="69" spans="3:15" x14ac:dyDescent="0.35">
      <c r="C69" s="49"/>
      <c r="D69" s="49"/>
      <c r="E69" s="49"/>
      <c r="F69" s="49"/>
      <c r="G69" s="49"/>
      <c r="L69" s="49"/>
      <c r="M69" s="49"/>
      <c r="N69" s="49"/>
      <c r="O69" s="49"/>
    </row>
    <row r="70" spans="3:15" x14ac:dyDescent="0.35">
      <c r="C70" s="49"/>
      <c r="D70" s="49"/>
      <c r="E70" s="49"/>
      <c r="F70" s="49"/>
      <c r="G70" s="49"/>
      <c r="L70" s="49"/>
      <c r="M70" s="49"/>
      <c r="N70" s="49"/>
      <c r="O70" s="49"/>
    </row>
    <row r="71" spans="3:15" x14ac:dyDescent="0.35">
      <c r="C71" s="49"/>
      <c r="D71" s="49"/>
      <c r="E71" s="49"/>
      <c r="F71" s="49"/>
      <c r="G71" s="49"/>
      <c r="L71" s="49"/>
      <c r="M71" s="49"/>
      <c r="N71" s="49"/>
      <c r="O71" s="49"/>
    </row>
    <row r="72" spans="3:15" x14ac:dyDescent="0.35">
      <c r="C72" s="49"/>
      <c r="D72" s="49"/>
      <c r="E72" s="49"/>
      <c r="F72" s="49"/>
      <c r="G72" s="49"/>
      <c r="L72" s="49"/>
      <c r="M72" s="49"/>
      <c r="N72" s="49"/>
      <c r="O72" s="49"/>
    </row>
    <row r="73" spans="3:15" x14ac:dyDescent="0.35">
      <c r="C73" s="49"/>
      <c r="D73" s="49"/>
      <c r="E73" s="49"/>
      <c r="F73" s="49"/>
      <c r="G73" s="49"/>
      <c r="L73" s="49"/>
      <c r="M73" s="49"/>
      <c r="N73" s="49"/>
      <c r="O73" s="49"/>
    </row>
    <row r="74" spans="3:15" x14ac:dyDescent="0.35">
      <c r="C74" s="49"/>
      <c r="D74" s="49"/>
      <c r="E74" s="49"/>
      <c r="F74" s="49"/>
      <c r="G74" s="49"/>
      <c r="L74" s="49"/>
      <c r="M74" s="49"/>
      <c r="N74" s="49"/>
      <c r="O74" s="49"/>
    </row>
    <row r="75" spans="3:15" x14ac:dyDescent="0.35">
      <c r="C75" s="49"/>
      <c r="D75" s="49"/>
      <c r="E75" s="49"/>
      <c r="F75" s="49"/>
      <c r="G75" s="49"/>
      <c r="L75" s="49"/>
      <c r="M75" s="49"/>
      <c r="N75" s="49"/>
      <c r="O75" s="49"/>
    </row>
    <row r="76" spans="3:15" x14ac:dyDescent="0.35">
      <c r="C76" s="49"/>
      <c r="D76" s="49"/>
      <c r="E76" s="49"/>
      <c r="F76" s="49"/>
      <c r="G76" s="49"/>
      <c r="L76" s="49"/>
      <c r="M76" s="49"/>
      <c r="N76" s="49"/>
      <c r="O76" s="49"/>
    </row>
    <row r="77" spans="3:15" x14ac:dyDescent="0.35">
      <c r="C77" s="49"/>
      <c r="D77" s="49"/>
      <c r="E77" s="49"/>
      <c r="F77" s="49"/>
      <c r="G77" s="49"/>
      <c r="L77" s="49"/>
      <c r="M77" s="49"/>
      <c r="N77" s="49"/>
      <c r="O77" s="49"/>
    </row>
    <row r="78" spans="3:15" x14ac:dyDescent="0.35">
      <c r="C78" s="49"/>
      <c r="D78" s="49"/>
      <c r="E78" s="49"/>
      <c r="F78" s="49"/>
      <c r="G78" s="49"/>
      <c r="L78" s="49"/>
      <c r="M78" s="49"/>
      <c r="N78" s="49"/>
      <c r="O78" s="49"/>
    </row>
    <row r="79" spans="3:15" x14ac:dyDescent="0.35">
      <c r="C79" s="49"/>
      <c r="D79" s="49"/>
      <c r="E79" s="49"/>
      <c r="F79" s="49"/>
      <c r="G79" s="49"/>
      <c r="L79" s="49"/>
      <c r="M79" s="49"/>
      <c r="N79" s="49"/>
      <c r="O79" s="49"/>
    </row>
    <row r="80" spans="3:15" x14ac:dyDescent="0.35">
      <c r="C80" s="49"/>
      <c r="D80" s="49"/>
      <c r="E80" s="49"/>
      <c r="F80" s="49"/>
      <c r="G80" s="49"/>
      <c r="L80" s="49"/>
      <c r="M80" s="49"/>
      <c r="N80" s="49"/>
      <c r="O80" s="49"/>
    </row>
    <row r="81" spans="3:15" x14ac:dyDescent="0.35">
      <c r="C81" s="49"/>
      <c r="D81" s="49"/>
      <c r="E81" s="49"/>
      <c r="F81" s="49"/>
      <c r="G81" s="49"/>
      <c r="L81" s="49"/>
      <c r="M81" s="49"/>
      <c r="N81" s="49"/>
      <c r="O81" s="49"/>
    </row>
    <row r="82" spans="3:15" x14ac:dyDescent="0.35">
      <c r="C82" s="49"/>
      <c r="D82" s="49"/>
      <c r="E82" s="49"/>
      <c r="F82" s="49"/>
      <c r="G82" s="49"/>
      <c r="L82" s="49"/>
      <c r="M82" s="49"/>
      <c r="N82" s="49"/>
      <c r="O82" s="49"/>
    </row>
    <row r="83" spans="3:15" x14ac:dyDescent="0.35">
      <c r="C83" s="49"/>
      <c r="D83" s="49"/>
      <c r="E83" s="49"/>
      <c r="F83" s="49"/>
      <c r="G83" s="49"/>
      <c r="L83" s="49"/>
      <c r="M83" s="49"/>
      <c r="N83" s="49"/>
      <c r="O83" s="49"/>
    </row>
    <row r="84" spans="3:15" x14ac:dyDescent="0.35">
      <c r="C84" s="49"/>
      <c r="D84" s="49"/>
      <c r="E84" s="49"/>
      <c r="F84" s="49"/>
      <c r="G84" s="49"/>
      <c r="L84" s="49"/>
      <c r="M84" s="49"/>
      <c r="N84" s="49"/>
      <c r="O84" s="49"/>
    </row>
    <row r="85" spans="3:15" x14ac:dyDescent="0.35">
      <c r="C85" s="49"/>
      <c r="D85" s="49"/>
      <c r="E85" s="49"/>
      <c r="F85" s="49"/>
      <c r="G85" s="49"/>
      <c r="L85" s="49"/>
      <c r="M85" s="49"/>
      <c r="N85" s="49"/>
      <c r="O85" s="49"/>
    </row>
  </sheetData>
  <mergeCells count="11">
    <mergeCell ref="E6:N6"/>
    <mergeCell ref="E20:I20"/>
    <mergeCell ref="L65:O85"/>
    <mergeCell ref="C68:G85"/>
    <mergeCell ref="E64:H66"/>
    <mergeCell ref="E8:I18"/>
    <mergeCell ref="B7:D20"/>
    <mergeCell ref="J8:N13"/>
    <mergeCell ref="J15:N15"/>
    <mergeCell ref="J17:N18"/>
    <mergeCell ref="J19:N20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2024-08-21T19:20:32Z</dcterms:modified>
</cp:coreProperties>
</file>