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fisch106\surfdrive - Fischer, E.A.J. (Egil)@surfdrive.surf.nl\Projecten\ConjugationLossOffPlasmid\data\"/>
    </mc:Choice>
  </mc:AlternateContent>
  <xr:revisionPtr revIDLastSave="0" documentId="13_ncr:1_{74F0B2C0-D0C0-4EC9-8867-63E17F7ACA11}" xr6:coauthVersionLast="47" xr6:coauthVersionMax="47" xr10:uidLastSave="{00000000-0000-0000-0000-000000000000}"/>
  <bookViews>
    <workbookView xWindow="-120" yWindow="-120" windowWidth="29040" windowHeight="15840" xr2:uid="{3E299B59-4C0A-A948-9F57-8935496A7AD1}"/>
  </bookViews>
  <sheets>
    <sheet name="Growth_rates_for_R" sheetId="5" r:id="rId1"/>
    <sheet name="Donor1" sheetId="1" r:id="rId2"/>
    <sheet name="For_R" sheetId="4" r:id="rId3"/>
    <sheet name="Donor2" sheetId="2" r:id="rId4"/>
    <sheet name="Growth_rat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5" i="1"/>
  <c r="G48" i="1"/>
  <c r="F48" i="1"/>
  <c r="G47" i="1"/>
  <c r="F47" i="1"/>
  <c r="G46" i="1"/>
  <c r="F46" i="1"/>
  <c r="C46" i="1" l="1"/>
  <c r="D6" i="2"/>
  <c r="W23" i="1"/>
  <c r="V23" i="1"/>
  <c r="U23" i="1"/>
  <c r="W22" i="1"/>
  <c r="V22" i="1"/>
  <c r="U22" i="1"/>
  <c r="W21" i="1"/>
  <c r="V21" i="1"/>
  <c r="U21" i="1"/>
  <c r="J15" i="1"/>
  <c r="I15" i="1"/>
  <c r="S23" i="1"/>
  <c r="R23" i="1"/>
  <c r="S22" i="1"/>
  <c r="R22" i="1"/>
  <c r="S21" i="1"/>
  <c r="R21" i="1"/>
  <c r="Q83" i="2"/>
  <c r="S79" i="2"/>
  <c r="Q78" i="2"/>
  <c r="R66" i="2"/>
  <c r="Q46" i="2"/>
  <c r="R30" i="2"/>
  <c r="R29" i="2"/>
  <c r="S24" i="2"/>
  <c r="R14" i="2"/>
  <c r="I55" i="2"/>
  <c r="S55" i="2" s="1"/>
  <c r="G30" i="2"/>
  <c r="F30" i="2"/>
  <c r="G29" i="2"/>
  <c r="H29" i="2" s="1"/>
  <c r="V29" i="2" s="1"/>
  <c r="F29" i="2"/>
  <c r="G28" i="2"/>
  <c r="F28" i="2"/>
  <c r="R28" i="2" s="1"/>
  <c r="G20" i="2"/>
  <c r="H20" i="2" s="1"/>
  <c r="V20" i="2" s="1"/>
  <c r="F20" i="2"/>
  <c r="R20" i="2" s="1"/>
  <c r="J13" i="2"/>
  <c r="I13" i="2"/>
  <c r="S13" i="2" s="1"/>
  <c r="G14" i="2"/>
  <c r="G13" i="2"/>
  <c r="H13" i="2" s="1"/>
  <c r="V13" i="2" s="1"/>
  <c r="G12" i="2"/>
  <c r="F12" i="2"/>
  <c r="R12" i="2" s="1"/>
  <c r="F14" i="2"/>
  <c r="F13" i="2"/>
  <c r="R13" i="2" s="1"/>
  <c r="N12" i="2"/>
  <c r="J83" i="2"/>
  <c r="K83" i="2" s="1"/>
  <c r="W83" i="2" s="1"/>
  <c r="I83" i="2"/>
  <c r="S83" i="2" s="1"/>
  <c r="G83" i="2"/>
  <c r="F83" i="2"/>
  <c r="N81" i="2" s="1"/>
  <c r="D83" i="2"/>
  <c r="E83" i="2" s="1"/>
  <c r="U83" i="2" s="1"/>
  <c r="C83" i="2"/>
  <c r="J82" i="2"/>
  <c r="I82" i="2"/>
  <c r="G82" i="2"/>
  <c r="H82" i="2" s="1"/>
  <c r="V82" i="2" s="1"/>
  <c r="F82" i="2"/>
  <c r="R82" i="2" s="1"/>
  <c r="D82" i="2"/>
  <c r="E82" i="2" s="1"/>
  <c r="U82" i="2" s="1"/>
  <c r="C82" i="2"/>
  <c r="Q82" i="2" s="1"/>
  <c r="J81" i="2"/>
  <c r="K81" i="2" s="1"/>
  <c r="W81" i="2" s="1"/>
  <c r="I81" i="2"/>
  <c r="S81" i="2" s="1"/>
  <c r="H81" i="2"/>
  <c r="V81" i="2" s="1"/>
  <c r="G81" i="2"/>
  <c r="F81" i="2"/>
  <c r="R81" i="2" s="1"/>
  <c r="D81" i="2"/>
  <c r="C81" i="2"/>
  <c r="Q81" i="2" s="1"/>
  <c r="J79" i="2"/>
  <c r="I79" i="2"/>
  <c r="G79" i="2"/>
  <c r="F79" i="2"/>
  <c r="R79" i="2" s="1"/>
  <c r="E79" i="2"/>
  <c r="U79" i="2" s="1"/>
  <c r="D79" i="2"/>
  <c r="C79" i="2"/>
  <c r="Q79" i="2" s="1"/>
  <c r="J78" i="2"/>
  <c r="I78" i="2"/>
  <c r="G78" i="2"/>
  <c r="F78" i="2"/>
  <c r="E78" i="2"/>
  <c r="U78" i="2" s="1"/>
  <c r="D78" i="2"/>
  <c r="C78" i="2"/>
  <c r="J77" i="2"/>
  <c r="K77" i="2" s="1"/>
  <c r="W77" i="2" s="1"/>
  <c r="I77" i="2"/>
  <c r="G77" i="2"/>
  <c r="F77" i="2"/>
  <c r="R77" i="2" s="1"/>
  <c r="D77" i="2"/>
  <c r="E77" i="2" s="1"/>
  <c r="U77" i="2" s="1"/>
  <c r="C77" i="2"/>
  <c r="Q77" i="2" s="1"/>
  <c r="J75" i="2"/>
  <c r="K75" i="2" s="1"/>
  <c r="W75" i="2" s="1"/>
  <c r="I75" i="2"/>
  <c r="S75" i="2" s="1"/>
  <c r="G75" i="2"/>
  <c r="F75" i="2"/>
  <c r="R75" i="2" s="1"/>
  <c r="D75" i="2"/>
  <c r="C75" i="2"/>
  <c r="Q75" i="2" s="1"/>
  <c r="J74" i="2"/>
  <c r="I74" i="2"/>
  <c r="G74" i="2"/>
  <c r="F74" i="2"/>
  <c r="N73" i="2" s="1"/>
  <c r="D74" i="2"/>
  <c r="C74" i="2"/>
  <c r="Q74" i="2" s="1"/>
  <c r="J73" i="2"/>
  <c r="K73" i="2" s="1"/>
  <c r="W73" i="2" s="1"/>
  <c r="I73" i="2"/>
  <c r="G73" i="2"/>
  <c r="H73" i="2" s="1"/>
  <c r="V73" i="2" s="1"/>
  <c r="F73" i="2"/>
  <c r="R73" i="2" s="1"/>
  <c r="D73" i="2"/>
  <c r="E73" i="2" s="1"/>
  <c r="U73" i="2" s="1"/>
  <c r="C73" i="2"/>
  <c r="Q73" i="2" s="1"/>
  <c r="J71" i="2"/>
  <c r="I71" i="2"/>
  <c r="S71" i="2" s="1"/>
  <c r="G71" i="2"/>
  <c r="H71" i="2" s="1"/>
  <c r="V71" i="2" s="1"/>
  <c r="F71" i="2"/>
  <c r="R71" i="2" s="1"/>
  <c r="D71" i="2"/>
  <c r="C71" i="2"/>
  <c r="Q71" i="2" s="1"/>
  <c r="J70" i="2"/>
  <c r="I70" i="2"/>
  <c r="S70" i="2" s="1"/>
  <c r="G70" i="2"/>
  <c r="F70" i="2"/>
  <c r="R70" i="2" s="1"/>
  <c r="E70" i="2"/>
  <c r="U70" i="2" s="1"/>
  <c r="D70" i="2"/>
  <c r="C70" i="2"/>
  <c r="Q70" i="2" s="1"/>
  <c r="J69" i="2"/>
  <c r="K69" i="2" s="1"/>
  <c r="W69" i="2" s="1"/>
  <c r="I69" i="2"/>
  <c r="S69" i="2" s="1"/>
  <c r="G69" i="2"/>
  <c r="F69" i="2"/>
  <c r="D69" i="2"/>
  <c r="E69" i="2" s="1"/>
  <c r="U69" i="2" s="1"/>
  <c r="C69" i="2"/>
  <c r="Q69" i="2" s="1"/>
  <c r="J67" i="2"/>
  <c r="K67" i="2" s="1"/>
  <c r="W67" i="2" s="1"/>
  <c r="I67" i="2"/>
  <c r="S67" i="2" s="1"/>
  <c r="G67" i="2"/>
  <c r="H67" i="2" s="1"/>
  <c r="V67" i="2" s="1"/>
  <c r="F67" i="2"/>
  <c r="R67" i="2" s="1"/>
  <c r="D67" i="2"/>
  <c r="C67" i="2"/>
  <c r="Q67" i="2" s="1"/>
  <c r="J66" i="2"/>
  <c r="K66" i="2" s="1"/>
  <c r="W66" i="2" s="1"/>
  <c r="I66" i="2"/>
  <c r="S66" i="2" s="1"/>
  <c r="G66" i="2"/>
  <c r="H66" i="2" s="1"/>
  <c r="V66" i="2" s="1"/>
  <c r="F66" i="2"/>
  <c r="D66" i="2"/>
  <c r="E66" i="2" s="1"/>
  <c r="U66" i="2" s="1"/>
  <c r="C66" i="2"/>
  <c r="Q66" i="2" s="1"/>
  <c r="J65" i="2"/>
  <c r="I65" i="2"/>
  <c r="H65" i="2"/>
  <c r="V65" i="2" s="1"/>
  <c r="G65" i="2"/>
  <c r="F65" i="2"/>
  <c r="R65" i="2" s="1"/>
  <c r="D65" i="2"/>
  <c r="C65" i="2"/>
  <c r="J63" i="2"/>
  <c r="K63" i="2" s="1"/>
  <c r="W63" i="2" s="1"/>
  <c r="I63" i="2"/>
  <c r="S63" i="2" s="1"/>
  <c r="G63" i="2"/>
  <c r="F63" i="2"/>
  <c r="R63" i="2" s="1"/>
  <c r="E63" i="2"/>
  <c r="U63" i="2" s="1"/>
  <c r="D63" i="2"/>
  <c r="C63" i="2"/>
  <c r="Q63" i="2" s="1"/>
  <c r="J62" i="2"/>
  <c r="I62" i="2"/>
  <c r="G62" i="2"/>
  <c r="F62" i="2"/>
  <c r="E62" i="2"/>
  <c r="U62" i="2" s="1"/>
  <c r="D62" i="2"/>
  <c r="C62" i="2"/>
  <c r="Q62" i="2" s="1"/>
  <c r="J61" i="2"/>
  <c r="I61" i="2"/>
  <c r="O61" i="2" s="1"/>
  <c r="G61" i="2"/>
  <c r="H61" i="2" s="1"/>
  <c r="V61" i="2" s="1"/>
  <c r="F61" i="2"/>
  <c r="R61" i="2" s="1"/>
  <c r="D61" i="2"/>
  <c r="C61" i="2"/>
  <c r="Q61" i="2" s="1"/>
  <c r="J59" i="2"/>
  <c r="K59" i="2" s="1"/>
  <c r="W59" i="2" s="1"/>
  <c r="I59" i="2"/>
  <c r="S59" i="2" s="1"/>
  <c r="G59" i="2"/>
  <c r="H59" i="2" s="1"/>
  <c r="V59" i="2" s="1"/>
  <c r="F59" i="2"/>
  <c r="R59" i="2" s="1"/>
  <c r="D59" i="2"/>
  <c r="E59" i="2" s="1"/>
  <c r="U59" i="2" s="1"/>
  <c r="C59" i="2"/>
  <c r="Q59" i="2" s="1"/>
  <c r="J58" i="2"/>
  <c r="I58" i="2"/>
  <c r="G58" i="2"/>
  <c r="F58" i="2"/>
  <c r="N57" i="2" s="1"/>
  <c r="D58" i="2"/>
  <c r="C58" i="2"/>
  <c r="J57" i="2"/>
  <c r="K57" i="2" s="1"/>
  <c r="W57" i="2" s="1"/>
  <c r="I57" i="2"/>
  <c r="S57" i="2" s="1"/>
  <c r="G57" i="2"/>
  <c r="H57" i="2" s="1"/>
  <c r="V57" i="2" s="1"/>
  <c r="F57" i="2"/>
  <c r="R57" i="2" s="1"/>
  <c r="D57" i="2"/>
  <c r="E57" i="2" s="1"/>
  <c r="U57" i="2" s="1"/>
  <c r="C57" i="2"/>
  <c r="Q57" i="2" s="1"/>
  <c r="J55" i="2"/>
  <c r="K55" i="2" s="1"/>
  <c r="W55" i="2" s="1"/>
  <c r="G55" i="2"/>
  <c r="F55" i="2"/>
  <c r="R55" i="2" s="1"/>
  <c r="D55" i="2"/>
  <c r="E55" i="2" s="1"/>
  <c r="U55" i="2" s="1"/>
  <c r="C55" i="2"/>
  <c r="Q55" i="2" s="1"/>
  <c r="J54" i="2"/>
  <c r="K54" i="2" s="1"/>
  <c r="W54" i="2" s="1"/>
  <c r="I54" i="2"/>
  <c r="S54" i="2" s="1"/>
  <c r="G54" i="2"/>
  <c r="F54" i="2"/>
  <c r="R54" i="2" s="1"/>
  <c r="D54" i="2"/>
  <c r="C54" i="2"/>
  <c r="Q54" i="2" s="1"/>
  <c r="J53" i="2"/>
  <c r="I53" i="2"/>
  <c r="G53" i="2"/>
  <c r="F53" i="2"/>
  <c r="D53" i="2"/>
  <c r="E53" i="2" s="1"/>
  <c r="U53" i="2" s="1"/>
  <c r="C53" i="2"/>
  <c r="J51" i="2"/>
  <c r="K51" i="2" s="1"/>
  <c r="W51" i="2" s="1"/>
  <c r="I51" i="2"/>
  <c r="S51" i="2" s="1"/>
  <c r="G51" i="2"/>
  <c r="H51" i="2" s="1"/>
  <c r="V51" i="2" s="1"/>
  <c r="F51" i="2"/>
  <c r="R51" i="2" s="1"/>
  <c r="D51" i="2"/>
  <c r="C51" i="2"/>
  <c r="Q51" i="2" s="1"/>
  <c r="J50" i="2"/>
  <c r="K50" i="2" s="1"/>
  <c r="W50" i="2" s="1"/>
  <c r="I50" i="2"/>
  <c r="S50" i="2" s="1"/>
  <c r="G50" i="2"/>
  <c r="F50" i="2"/>
  <c r="R50" i="2" s="1"/>
  <c r="D50" i="2"/>
  <c r="E50" i="2" s="1"/>
  <c r="U50" i="2" s="1"/>
  <c r="C50" i="2"/>
  <c r="Q50" i="2" s="1"/>
  <c r="J49" i="2"/>
  <c r="K49" i="2" s="1"/>
  <c r="W49" i="2" s="1"/>
  <c r="I49" i="2"/>
  <c r="H49" i="2"/>
  <c r="V49" i="2" s="1"/>
  <c r="G49" i="2"/>
  <c r="F49" i="2"/>
  <c r="R49" i="2" s="1"/>
  <c r="E49" i="2"/>
  <c r="U49" i="2" s="1"/>
  <c r="D49" i="2"/>
  <c r="C49" i="2"/>
  <c r="Q49" i="2" s="1"/>
  <c r="J47" i="2"/>
  <c r="K47" i="2" s="1"/>
  <c r="W47" i="2" s="1"/>
  <c r="I47" i="2"/>
  <c r="S47" i="2" s="1"/>
  <c r="G47" i="2"/>
  <c r="F47" i="2"/>
  <c r="R47" i="2" s="1"/>
  <c r="D47" i="2"/>
  <c r="C47" i="2"/>
  <c r="Q47" i="2" s="1"/>
  <c r="J46" i="2"/>
  <c r="I46" i="2"/>
  <c r="S46" i="2" s="1"/>
  <c r="G46" i="2"/>
  <c r="H46" i="2" s="1"/>
  <c r="V46" i="2" s="1"/>
  <c r="F46" i="2"/>
  <c r="R46" i="2" s="1"/>
  <c r="D46" i="2"/>
  <c r="E46" i="2" s="1"/>
  <c r="U46" i="2" s="1"/>
  <c r="C46" i="2"/>
  <c r="J45" i="2"/>
  <c r="K45" i="2" s="1"/>
  <c r="W45" i="2" s="1"/>
  <c r="I45" i="2"/>
  <c r="G45" i="2"/>
  <c r="H45" i="2" s="1"/>
  <c r="V45" i="2" s="1"/>
  <c r="F45" i="2"/>
  <c r="R45" i="2" s="1"/>
  <c r="D45" i="2"/>
  <c r="C45" i="2"/>
  <c r="E45" i="2" s="1"/>
  <c r="U45" i="2" s="1"/>
  <c r="J42" i="2"/>
  <c r="I42" i="2"/>
  <c r="S42" i="2" s="1"/>
  <c r="G42" i="2"/>
  <c r="F42" i="2"/>
  <c r="D42" i="2"/>
  <c r="E42" i="2" s="1"/>
  <c r="U42" i="2" s="1"/>
  <c r="C42" i="2"/>
  <c r="Q42" i="2" s="1"/>
  <c r="J41" i="2"/>
  <c r="I41" i="2"/>
  <c r="S41" i="2" s="1"/>
  <c r="G41" i="2"/>
  <c r="F41" i="2"/>
  <c r="R41" i="2" s="1"/>
  <c r="D41" i="2"/>
  <c r="C41" i="2"/>
  <c r="J40" i="2"/>
  <c r="K40" i="2" s="1"/>
  <c r="W40" i="2" s="1"/>
  <c r="I40" i="2"/>
  <c r="G40" i="2"/>
  <c r="H40" i="2" s="1"/>
  <c r="V40" i="2" s="1"/>
  <c r="F40" i="2"/>
  <c r="N40" i="2" s="1"/>
  <c r="D40" i="2"/>
  <c r="E40" i="2" s="1"/>
  <c r="U40" i="2" s="1"/>
  <c r="C40" i="2"/>
  <c r="Q40" i="2" s="1"/>
  <c r="J38" i="2"/>
  <c r="I38" i="2"/>
  <c r="S38" i="2" s="1"/>
  <c r="G38" i="2"/>
  <c r="H38" i="2" s="1"/>
  <c r="V38" i="2" s="1"/>
  <c r="F38" i="2"/>
  <c r="R38" i="2" s="1"/>
  <c r="D38" i="2"/>
  <c r="C38" i="2"/>
  <c r="Q38" i="2" s="1"/>
  <c r="J37" i="2"/>
  <c r="K37" i="2" s="1"/>
  <c r="W37" i="2" s="1"/>
  <c r="I37" i="2"/>
  <c r="S37" i="2" s="1"/>
  <c r="G37" i="2"/>
  <c r="F37" i="2"/>
  <c r="R37" i="2" s="1"/>
  <c r="E37" i="2"/>
  <c r="U37" i="2" s="1"/>
  <c r="D37" i="2"/>
  <c r="C37" i="2"/>
  <c r="Q37" i="2" s="1"/>
  <c r="J36" i="2"/>
  <c r="K36" i="2" s="1"/>
  <c r="W36" i="2" s="1"/>
  <c r="I36" i="2"/>
  <c r="G36" i="2"/>
  <c r="F36" i="2"/>
  <c r="E36" i="2"/>
  <c r="U36" i="2" s="1"/>
  <c r="D36" i="2"/>
  <c r="C36" i="2"/>
  <c r="M36" i="2" s="1"/>
  <c r="J34" i="2"/>
  <c r="K34" i="2" s="1"/>
  <c r="W34" i="2" s="1"/>
  <c r="I34" i="2"/>
  <c r="S34" i="2" s="1"/>
  <c r="G34" i="2"/>
  <c r="H34" i="2" s="1"/>
  <c r="V34" i="2" s="1"/>
  <c r="F34" i="2"/>
  <c r="R34" i="2" s="1"/>
  <c r="D34" i="2"/>
  <c r="E34" i="2" s="1"/>
  <c r="U34" i="2" s="1"/>
  <c r="C34" i="2"/>
  <c r="Q34" i="2" s="1"/>
  <c r="J33" i="2"/>
  <c r="I33" i="2"/>
  <c r="G33" i="2"/>
  <c r="H33" i="2" s="1"/>
  <c r="V33" i="2" s="1"/>
  <c r="F33" i="2"/>
  <c r="R33" i="2" s="1"/>
  <c r="D33" i="2"/>
  <c r="C33" i="2"/>
  <c r="J32" i="2"/>
  <c r="K32" i="2" s="1"/>
  <c r="W32" i="2" s="1"/>
  <c r="I32" i="2"/>
  <c r="G32" i="2"/>
  <c r="F32" i="2"/>
  <c r="R32" i="2" s="1"/>
  <c r="D32" i="2"/>
  <c r="E32" i="2" s="1"/>
  <c r="U32" i="2" s="1"/>
  <c r="C32" i="2"/>
  <c r="Q32" i="2" s="1"/>
  <c r="J30" i="2"/>
  <c r="I30" i="2"/>
  <c r="S30" i="2" s="1"/>
  <c r="H30" i="2"/>
  <c r="V30" i="2" s="1"/>
  <c r="D30" i="2"/>
  <c r="E30" i="2" s="1"/>
  <c r="U30" i="2" s="1"/>
  <c r="C30" i="2"/>
  <c r="Q30" i="2" s="1"/>
  <c r="J29" i="2"/>
  <c r="K29" i="2" s="1"/>
  <c r="W29" i="2" s="1"/>
  <c r="I29" i="2"/>
  <c r="S29" i="2" s="1"/>
  <c r="D29" i="2"/>
  <c r="E29" i="2" s="1"/>
  <c r="U29" i="2" s="1"/>
  <c r="C29" i="2"/>
  <c r="Q29" i="2" s="1"/>
  <c r="J28" i="2"/>
  <c r="I28" i="2"/>
  <c r="H28" i="2"/>
  <c r="V28" i="2" s="1"/>
  <c r="N28" i="2"/>
  <c r="D28" i="2"/>
  <c r="C28" i="2"/>
  <c r="J26" i="2"/>
  <c r="K26" i="2" s="1"/>
  <c r="W26" i="2" s="1"/>
  <c r="I26" i="2"/>
  <c r="S26" i="2" s="1"/>
  <c r="G26" i="2"/>
  <c r="F26" i="2"/>
  <c r="R26" i="2" s="1"/>
  <c r="D26" i="2"/>
  <c r="E26" i="2" s="1"/>
  <c r="U26" i="2" s="1"/>
  <c r="C26" i="2"/>
  <c r="Q26" i="2" s="1"/>
  <c r="J25" i="2"/>
  <c r="I25" i="2"/>
  <c r="S25" i="2" s="1"/>
  <c r="G25" i="2"/>
  <c r="H25" i="2" s="1"/>
  <c r="V25" i="2" s="1"/>
  <c r="F25" i="2"/>
  <c r="R25" i="2" s="1"/>
  <c r="D25" i="2"/>
  <c r="E25" i="2" s="1"/>
  <c r="U25" i="2" s="1"/>
  <c r="C25" i="2"/>
  <c r="Q25" i="2" s="1"/>
  <c r="J24" i="2"/>
  <c r="K24" i="2" s="1"/>
  <c r="W24" i="2" s="1"/>
  <c r="I24" i="2"/>
  <c r="G24" i="2"/>
  <c r="H24" i="2" s="1"/>
  <c r="V24" i="2" s="1"/>
  <c r="F24" i="2"/>
  <c r="R24" i="2" s="1"/>
  <c r="D24" i="2"/>
  <c r="C24" i="2"/>
  <c r="J22" i="2"/>
  <c r="K22" i="2" s="1"/>
  <c r="W22" i="2" s="1"/>
  <c r="I22" i="2"/>
  <c r="S22" i="2" s="1"/>
  <c r="G22" i="2"/>
  <c r="F22" i="2"/>
  <c r="D22" i="2"/>
  <c r="E22" i="2" s="1"/>
  <c r="U22" i="2" s="1"/>
  <c r="C22" i="2"/>
  <c r="Q22" i="2" s="1"/>
  <c r="J21" i="2"/>
  <c r="K21" i="2" s="1"/>
  <c r="W21" i="2" s="1"/>
  <c r="I21" i="2"/>
  <c r="S21" i="2" s="1"/>
  <c r="G21" i="2"/>
  <c r="F21" i="2"/>
  <c r="R21" i="2" s="1"/>
  <c r="D21" i="2"/>
  <c r="C21" i="2"/>
  <c r="J20" i="2"/>
  <c r="I20" i="2"/>
  <c r="O20" i="2" s="1"/>
  <c r="D20" i="2"/>
  <c r="E20" i="2" s="1"/>
  <c r="U20" i="2" s="1"/>
  <c r="C20" i="2"/>
  <c r="Q20" i="2" s="1"/>
  <c r="J18" i="2"/>
  <c r="I18" i="2"/>
  <c r="S18" i="2" s="1"/>
  <c r="G18" i="2"/>
  <c r="H18" i="2" s="1"/>
  <c r="V18" i="2" s="1"/>
  <c r="F18" i="2"/>
  <c r="D18" i="2"/>
  <c r="C18" i="2"/>
  <c r="Q18" i="2" s="1"/>
  <c r="J17" i="2"/>
  <c r="I17" i="2"/>
  <c r="S17" i="2" s="1"/>
  <c r="G17" i="2"/>
  <c r="F17" i="2"/>
  <c r="R17" i="2" s="1"/>
  <c r="E17" i="2"/>
  <c r="U17" i="2" s="1"/>
  <c r="D17" i="2"/>
  <c r="C17" i="2"/>
  <c r="Q17" i="2" s="1"/>
  <c r="J16" i="2"/>
  <c r="I16" i="2"/>
  <c r="G16" i="2"/>
  <c r="F16" i="2"/>
  <c r="D16" i="2"/>
  <c r="C16" i="2"/>
  <c r="Q16" i="2" s="1"/>
  <c r="J14" i="2"/>
  <c r="I14" i="2"/>
  <c r="S14" i="2" s="1"/>
  <c r="H14" i="2"/>
  <c r="V14" i="2" s="1"/>
  <c r="D14" i="2"/>
  <c r="E14" i="2" s="1"/>
  <c r="U14" i="2" s="1"/>
  <c r="C14" i="2"/>
  <c r="Q14" i="2" s="1"/>
  <c r="K13" i="2"/>
  <c r="W13" i="2" s="1"/>
  <c r="D13" i="2"/>
  <c r="E13" i="2" s="1"/>
  <c r="U13" i="2" s="1"/>
  <c r="C13" i="2"/>
  <c r="Q13" i="2" s="1"/>
  <c r="J12" i="2"/>
  <c r="I12" i="2"/>
  <c r="D12" i="2"/>
  <c r="E12" i="2" s="1"/>
  <c r="U12" i="2" s="1"/>
  <c r="C12" i="2"/>
  <c r="Q12" i="2" s="1"/>
  <c r="J10" i="2"/>
  <c r="K10" i="2" s="1"/>
  <c r="W10" i="2" s="1"/>
  <c r="I10" i="2"/>
  <c r="S10" i="2" s="1"/>
  <c r="G10" i="2"/>
  <c r="H10" i="2" s="1"/>
  <c r="V10" i="2" s="1"/>
  <c r="F10" i="2"/>
  <c r="R10" i="2" s="1"/>
  <c r="D10" i="2"/>
  <c r="C10" i="2"/>
  <c r="Q10" i="2" s="1"/>
  <c r="J9" i="2"/>
  <c r="I9" i="2"/>
  <c r="S9" i="2" s="1"/>
  <c r="G9" i="2"/>
  <c r="H9" i="2" s="1"/>
  <c r="V9" i="2" s="1"/>
  <c r="F9" i="2"/>
  <c r="R9" i="2" s="1"/>
  <c r="E9" i="2"/>
  <c r="U9" i="2" s="1"/>
  <c r="D9" i="2"/>
  <c r="C9" i="2"/>
  <c r="Q9" i="2" s="1"/>
  <c r="J8" i="2"/>
  <c r="K8" i="2" s="1"/>
  <c r="W8" i="2" s="1"/>
  <c r="I8" i="2"/>
  <c r="G8" i="2"/>
  <c r="F8" i="2"/>
  <c r="R8" i="2" s="1"/>
  <c r="D8" i="2"/>
  <c r="E8" i="2" s="1"/>
  <c r="U8" i="2" s="1"/>
  <c r="C8" i="2"/>
  <c r="Q8" i="2" s="1"/>
  <c r="J6" i="2"/>
  <c r="I6" i="2"/>
  <c r="G6" i="2"/>
  <c r="H6" i="2" s="1"/>
  <c r="V6" i="2" s="1"/>
  <c r="F6" i="2"/>
  <c r="R6" i="2" s="1"/>
  <c r="C6" i="2"/>
  <c r="Q6" i="2" s="1"/>
  <c r="J5" i="2"/>
  <c r="K5" i="2" s="1"/>
  <c r="W5" i="2" s="1"/>
  <c r="I5" i="2"/>
  <c r="S5" i="2" s="1"/>
  <c r="G5" i="2"/>
  <c r="H5" i="2" s="1"/>
  <c r="V5" i="2" s="1"/>
  <c r="F5" i="2"/>
  <c r="R5" i="2" s="1"/>
  <c r="D5" i="2"/>
  <c r="C5" i="2"/>
  <c r="Q5" i="2" s="1"/>
  <c r="J4" i="2"/>
  <c r="K4" i="2" s="1"/>
  <c r="W4" i="2" s="1"/>
  <c r="I4" i="2"/>
  <c r="S4" i="2" s="1"/>
  <c r="G4" i="2"/>
  <c r="F4" i="2"/>
  <c r="D4" i="2"/>
  <c r="E4" i="2" s="1"/>
  <c r="U4" i="2" s="1"/>
  <c r="C4" i="2"/>
  <c r="Q4" i="2" s="1"/>
  <c r="M81" i="2"/>
  <c r="M77" i="2"/>
  <c r="M73" i="2"/>
  <c r="M69" i="2"/>
  <c r="M61" i="2"/>
  <c r="O57" i="2"/>
  <c r="M49" i="2"/>
  <c r="M45" i="2"/>
  <c r="M40" i="2"/>
  <c r="M32" i="2"/>
  <c r="M28" i="2"/>
  <c r="M16" i="2"/>
  <c r="M12" i="2"/>
  <c r="N4" i="2"/>
  <c r="J84" i="1"/>
  <c r="K84" i="1" s="1"/>
  <c r="W84" i="1" s="1"/>
  <c r="I84" i="1"/>
  <c r="S84" i="1" s="1"/>
  <c r="G84" i="1"/>
  <c r="F84" i="1"/>
  <c r="R84" i="1" s="1"/>
  <c r="D84" i="1"/>
  <c r="C84" i="1"/>
  <c r="Q84" i="1" s="1"/>
  <c r="J83" i="1"/>
  <c r="K83" i="1" s="1"/>
  <c r="W83" i="1" s="1"/>
  <c r="I83" i="1"/>
  <c r="S83" i="1" s="1"/>
  <c r="G83" i="1"/>
  <c r="F83" i="1"/>
  <c r="D83" i="1"/>
  <c r="E83" i="1" s="1"/>
  <c r="U83" i="1" s="1"/>
  <c r="C83" i="1"/>
  <c r="Q83" i="1" s="1"/>
  <c r="J82" i="1"/>
  <c r="I82" i="1"/>
  <c r="G82" i="1"/>
  <c r="H82" i="1" s="1"/>
  <c r="V82" i="1" s="1"/>
  <c r="F82" i="1"/>
  <c r="R82" i="1" s="1"/>
  <c r="D82" i="1"/>
  <c r="E82" i="1" s="1"/>
  <c r="U82" i="1" s="1"/>
  <c r="C82" i="1"/>
  <c r="K80" i="1"/>
  <c r="W80" i="1" s="1"/>
  <c r="J80" i="1"/>
  <c r="I80" i="1"/>
  <c r="S80" i="1" s="1"/>
  <c r="G80" i="1"/>
  <c r="H80" i="1" s="1"/>
  <c r="V80" i="1" s="1"/>
  <c r="F80" i="1"/>
  <c r="R80" i="1" s="1"/>
  <c r="D80" i="1"/>
  <c r="C80" i="1"/>
  <c r="Q80" i="1" s="1"/>
  <c r="J79" i="1"/>
  <c r="K79" i="1" s="1"/>
  <c r="W79" i="1" s="1"/>
  <c r="I79" i="1"/>
  <c r="S79" i="1" s="1"/>
  <c r="G79" i="1"/>
  <c r="F79" i="1"/>
  <c r="D79" i="1"/>
  <c r="C79" i="1"/>
  <c r="J78" i="1"/>
  <c r="K78" i="1" s="1"/>
  <c r="W78" i="1" s="1"/>
  <c r="I78" i="1"/>
  <c r="G78" i="1"/>
  <c r="H78" i="1" s="1"/>
  <c r="V78" i="1" s="1"/>
  <c r="F78" i="1"/>
  <c r="R78" i="1" s="1"/>
  <c r="D78" i="1"/>
  <c r="E78" i="1" s="1"/>
  <c r="U78" i="1" s="1"/>
  <c r="C78" i="1"/>
  <c r="J76" i="1"/>
  <c r="K76" i="1" s="1"/>
  <c r="W76" i="1" s="1"/>
  <c r="I76" i="1"/>
  <c r="S76" i="1" s="1"/>
  <c r="G76" i="1"/>
  <c r="F76" i="1"/>
  <c r="R76" i="1" s="1"/>
  <c r="D76" i="1"/>
  <c r="E76" i="1" s="1"/>
  <c r="U76" i="1" s="1"/>
  <c r="C76" i="1"/>
  <c r="Q76" i="1" s="1"/>
  <c r="J75" i="1"/>
  <c r="I75" i="1"/>
  <c r="G75" i="1"/>
  <c r="H75" i="1" s="1"/>
  <c r="V75" i="1" s="1"/>
  <c r="F75" i="1"/>
  <c r="R75" i="1" s="1"/>
  <c r="D75" i="1"/>
  <c r="C75" i="1"/>
  <c r="Q75" i="1" s="1"/>
  <c r="J74" i="1"/>
  <c r="I74" i="1"/>
  <c r="S74" i="1" s="1"/>
  <c r="G74" i="1"/>
  <c r="F74" i="1"/>
  <c r="E74" i="1"/>
  <c r="U74" i="1" s="1"/>
  <c r="D74" i="1"/>
  <c r="C74" i="1"/>
  <c r="J72" i="1"/>
  <c r="K72" i="1" s="1"/>
  <c r="W72" i="1" s="1"/>
  <c r="I72" i="1"/>
  <c r="S72" i="1" s="1"/>
  <c r="G72" i="1"/>
  <c r="F72" i="1"/>
  <c r="R72" i="1" s="1"/>
  <c r="D72" i="1"/>
  <c r="C72" i="1"/>
  <c r="Q72" i="1" s="1"/>
  <c r="J71" i="1"/>
  <c r="I71" i="1"/>
  <c r="H71" i="1"/>
  <c r="V71" i="1" s="1"/>
  <c r="G71" i="1"/>
  <c r="F71" i="1"/>
  <c r="R71" i="1" s="1"/>
  <c r="D71" i="1"/>
  <c r="C71" i="1"/>
  <c r="N70" i="1"/>
  <c r="K70" i="1"/>
  <c r="W70" i="1" s="1"/>
  <c r="J70" i="1"/>
  <c r="I70" i="1"/>
  <c r="S70" i="1" s="1"/>
  <c r="G70" i="1"/>
  <c r="F70" i="1"/>
  <c r="R70" i="1" s="1"/>
  <c r="D70" i="1"/>
  <c r="C70" i="1"/>
  <c r="J68" i="1"/>
  <c r="I68" i="1"/>
  <c r="S68" i="1" s="1"/>
  <c r="G68" i="1"/>
  <c r="H68" i="1" s="1"/>
  <c r="V68" i="1" s="1"/>
  <c r="F68" i="1"/>
  <c r="R68" i="1" s="1"/>
  <c r="D68" i="1"/>
  <c r="C68" i="1"/>
  <c r="Q68" i="1" s="1"/>
  <c r="J67" i="1"/>
  <c r="I67" i="1"/>
  <c r="S67" i="1" s="1"/>
  <c r="G67" i="1"/>
  <c r="F67" i="1"/>
  <c r="D67" i="1"/>
  <c r="C67" i="1"/>
  <c r="J66" i="1"/>
  <c r="I66" i="1"/>
  <c r="G66" i="1"/>
  <c r="F66" i="1"/>
  <c r="R66" i="1" s="1"/>
  <c r="D66" i="1"/>
  <c r="E66" i="1" s="1"/>
  <c r="U66" i="1" s="1"/>
  <c r="C66" i="1"/>
  <c r="J64" i="1"/>
  <c r="I64" i="1"/>
  <c r="S64" i="1" s="1"/>
  <c r="G64" i="1"/>
  <c r="H64" i="1" s="1"/>
  <c r="V64" i="1" s="1"/>
  <c r="F64" i="1"/>
  <c r="R64" i="1" s="1"/>
  <c r="D64" i="1"/>
  <c r="C64" i="1"/>
  <c r="Q64" i="1" s="1"/>
  <c r="J63" i="1"/>
  <c r="I63" i="1"/>
  <c r="G63" i="1"/>
  <c r="F63" i="1"/>
  <c r="D63" i="1"/>
  <c r="C63" i="1"/>
  <c r="Q63" i="1" s="1"/>
  <c r="J62" i="1"/>
  <c r="K62" i="1" s="1"/>
  <c r="W62" i="1" s="1"/>
  <c r="I62" i="1"/>
  <c r="S62" i="1" s="1"/>
  <c r="G62" i="1"/>
  <c r="F62" i="1"/>
  <c r="R62" i="1" s="1"/>
  <c r="D62" i="1"/>
  <c r="C62" i="1"/>
  <c r="J60" i="1"/>
  <c r="I60" i="1"/>
  <c r="S60" i="1" s="1"/>
  <c r="G60" i="1"/>
  <c r="F60" i="1"/>
  <c r="D60" i="1"/>
  <c r="C60" i="1"/>
  <c r="Q60" i="1" s="1"/>
  <c r="J59" i="1"/>
  <c r="I59" i="1"/>
  <c r="S59" i="1" s="1"/>
  <c r="G59" i="1"/>
  <c r="H59" i="1" s="1"/>
  <c r="V59" i="1" s="1"/>
  <c r="F59" i="1"/>
  <c r="R59" i="1" s="1"/>
  <c r="D59" i="1"/>
  <c r="C59" i="1"/>
  <c r="Q59" i="1" s="1"/>
  <c r="O58" i="1"/>
  <c r="J58" i="1"/>
  <c r="K58" i="1" s="1"/>
  <c r="W58" i="1" s="1"/>
  <c r="I58" i="1"/>
  <c r="S58" i="1" s="1"/>
  <c r="G58" i="1"/>
  <c r="H58" i="1" s="1"/>
  <c r="V58" i="1" s="1"/>
  <c r="F58" i="1"/>
  <c r="D58" i="1"/>
  <c r="C58" i="1"/>
  <c r="J56" i="1"/>
  <c r="I56" i="1"/>
  <c r="S56" i="1" s="1"/>
  <c r="G56" i="1"/>
  <c r="F56" i="1"/>
  <c r="D56" i="1"/>
  <c r="E56" i="1" s="1"/>
  <c r="U56" i="1" s="1"/>
  <c r="C56" i="1"/>
  <c r="Q56" i="1" s="1"/>
  <c r="J55" i="1"/>
  <c r="I55" i="1"/>
  <c r="G55" i="1"/>
  <c r="H55" i="1" s="1"/>
  <c r="V55" i="1" s="1"/>
  <c r="F55" i="1"/>
  <c r="R55" i="1" s="1"/>
  <c r="D55" i="1"/>
  <c r="C55" i="1"/>
  <c r="J54" i="1"/>
  <c r="I54" i="1"/>
  <c r="G54" i="1"/>
  <c r="H54" i="1" s="1"/>
  <c r="V54" i="1" s="1"/>
  <c r="F54" i="1"/>
  <c r="R54" i="1" s="1"/>
  <c r="D54" i="1"/>
  <c r="C54" i="1"/>
  <c r="J52" i="1"/>
  <c r="K52" i="1" s="1"/>
  <c r="W52" i="1" s="1"/>
  <c r="I52" i="1"/>
  <c r="S52" i="1" s="1"/>
  <c r="G52" i="1"/>
  <c r="F52" i="1"/>
  <c r="R52" i="1" s="1"/>
  <c r="D52" i="1"/>
  <c r="C52" i="1"/>
  <c r="Q52" i="1" s="1"/>
  <c r="J51" i="1"/>
  <c r="I51" i="1"/>
  <c r="S51" i="1" s="1"/>
  <c r="G51" i="1"/>
  <c r="F51" i="1"/>
  <c r="D51" i="1"/>
  <c r="C51" i="1"/>
  <c r="J50" i="1"/>
  <c r="I50" i="1"/>
  <c r="G50" i="1"/>
  <c r="H50" i="1" s="1"/>
  <c r="V50" i="1" s="1"/>
  <c r="F50" i="1"/>
  <c r="R50" i="1" s="1"/>
  <c r="D50" i="1"/>
  <c r="C50" i="1"/>
  <c r="J48" i="1"/>
  <c r="K48" i="1" s="1"/>
  <c r="W48" i="1" s="1"/>
  <c r="I48" i="1"/>
  <c r="S48" i="1" s="1"/>
  <c r="R48" i="1"/>
  <c r="D48" i="1"/>
  <c r="E48" i="1" s="1"/>
  <c r="U48" i="1" s="1"/>
  <c r="C48" i="1"/>
  <c r="Q48" i="1" s="1"/>
  <c r="J47" i="1"/>
  <c r="I47" i="1"/>
  <c r="H47" i="1"/>
  <c r="V47" i="1" s="1"/>
  <c r="D47" i="1"/>
  <c r="C47" i="1"/>
  <c r="Q47" i="1" s="1"/>
  <c r="J46" i="1"/>
  <c r="K46" i="1" s="1"/>
  <c r="W46" i="1" s="1"/>
  <c r="I46" i="1"/>
  <c r="S46" i="1" s="1"/>
  <c r="H46" i="1"/>
  <c r="V46" i="1" s="1"/>
  <c r="R46" i="1"/>
  <c r="D46" i="1"/>
  <c r="J43" i="1"/>
  <c r="K43" i="1" s="1"/>
  <c r="W43" i="1" s="1"/>
  <c r="I43" i="1"/>
  <c r="S43" i="1" s="1"/>
  <c r="G43" i="1"/>
  <c r="F43" i="1"/>
  <c r="D43" i="1"/>
  <c r="C43" i="1"/>
  <c r="Q43" i="1" s="1"/>
  <c r="J42" i="1"/>
  <c r="I42" i="1"/>
  <c r="S42" i="1" s="1"/>
  <c r="G42" i="1"/>
  <c r="H42" i="1" s="1"/>
  <c r="V42" i="1" s="1"/>
  <c r="F42" i="1"/>
  <c r="R42" i="1" s="1"/>
  <c r="D42" i="1"/>
  <c r="C42" i="1"/>
  <c r="Q42" i="1" s="1"/>
  <c r="J41" i="1"/>
  <c r="I41" i="1"/>
  <c r="S41" i="1" s="1"/>
  <c r="G41" i="1"/>
  <c r="F41" i="1"/>
  <c r="D41" i="1"/>
  <c r="C41" i="1"/>
  <c r="J39" i="1"/>
  <c r="I39" i="1"/>
  <c r="S39" i="1" s="1"/>
  <c r="G39" i="1"/>
  <c r="H39" i="1" s="1"/>
  <c r="V39" i="1" s="1"/>
  <c r="F39" i="1"/>
  <c r="R39" i="1" s="1"/>
  <c r="D39" i="1"/>
  <c r="C39" i="1"/>
  <c r="Q39" i="1" s="1"/>
  <c r="J38" i="1"/>
  <c r="K38" i="1" s="1"/>
  <c r="W38" i="1" s="1"/>
  <c r="I38" i="1"/>
  <c r="S38" i="1" s="1"/>
  <c r="G38" i="1"/>
  <c r="H38" i="1" s="1"/>
  <c r="V38" i="1" s="1"/>
  <c r="F38" i="1"/>
  <c r="R38" i="1" s="1"/>
  <c r="D38" i="1"/>
  <c r="C38" i="1"/>
  <c r="N37" i="1"/>
  <c r="J37" i="1"/>
  <c r="I37" i="1"/>
  <c r="G37" i="1"/>
  <c r="F37" i="1"/>
  <c r="R37" i="1" s="1"/>
  <c r="D37" i="1"/>
  <c r="C37" i="1"/>
  <c r="J35" i="1"/>
  <c r="K35" i="1" s="1"/>
  <c r="W35" i="1" s="1"/>
  <c r="I35" i="1"/>
  <c r="S35" i="1" s="1"/>
  <c r="G35" i="1"/>
  <c r="F35" i="1"/>
  <c r="R35" i="1" s="1"/>
  <c r="D35" i="1"/>
  <c r="E35" i="1" s="1"/>
  <c r="U35" i="1" s="1"/>
  <c r="C35" i="1"/>
  <c r="Q35" i="1" s="1"/>
  <c r="J34" i="1"/>
  <c r="I34" i="1"/>
  <c r="G34" i="1"/>
  <c r="H34" i="1" s="1"/>
  <c r="V34" i="1" s="1"/>
  <c r="F34" i="1"/>
  <c r="R34" i="1" s="1"/>
  <c r="D34" i="1"/>
  <c r="C34" i="1"/>
  <c r="J33" i="1"/>
  <c r="K33" i="1" s="1"/>
  <c r="W33" i="1" s="1"/>
  <c r="I33" i="1"/>
  <c r="G33" i="1"/>
  <c r="F33" i="1"/>
  <c r="R33" i="1" s="1"/>
  <c r="D33" i="1"/>
  <c r="E33" i="1" s="1"/>
  <c r="U33" i="1" s="1"/>
  <c r="C33" i="1"/>
  <c r="K31" i="1"/>
  <c r="W31" i="1" s="1"/>
  <c r="J31" i="1"/>
  <c r="I31" i="1"/>
  <c r="S31" i="1" s="1"/>
  <c r="G31" i="1"/>
  <c r="F31" i="1"/>
  <c r="D31" i="1"/>
  <c r="E31" i="1" s="1"/>
  <c r="U31" i="1" s="1"/>
  <c r="C31" i="1"/>
  <c r="Q31" i="1" s="1"/>
  <c r="J30" i="1"/>
  <c r="I30" i="1"/>
  <c r="G30" i="1"/>
  <c r="F30" i="1"/>
  <c r="D30" i="1"/>
  <c r="C30" i="1"/>
  <c r="Q30" i="1" s="1"/>
  <c r="J29" i="1"/>
  <c r="K29" i="1" s="1"/>
  <c r="W29" i="1" s="1"/>
  <c r="I29" i="1"/>
  <c r="S29" i="1" s="1"/>
  <c r="G29" i="1"/>
  <c r="F29" i="1"/>
  <c r="R29" i="1" s="1"/>
  <c r="D29" i="1"/>
  <c r="C29" i="1"/>
  <c r="J27" i="1"/>
  <c r="I27" i="1"/>
  <c r="S27" i="1" s="1"/>
  <c r="G27" i="1"/>
  <c r="F27" i="1"/>
  <c r="D27" i="1"/>
  <c r="C27" i="1"/>
  <c r="Q27" i="1" s="1"/>
  <c r="J26" i="1"/>
  <c r="K26" i="1" s="1"/>
  <c r="W26" i="1" s="1"/>
  <c r="I26" i="1"/>
  <c r="S26" i="1" s="1"/>
  <c r="G26" i="1"/>
  <c r="F26" i="1"/>
  <c r="R26" i="1" s="1"/>
  <c r="D26" i="1"/>
  <c r="E26" i="1" s="1"/>
  <c r="U26" i="1" s="1"/>
  <c r="C26" i="1"/>
  <c r="Q26" i="1" s="1"/>
  <c r="O25" i="1"/>
  <c r="J25" i="1"/>
  <c r="I25" i="1"/>
  <c r="G25" i="1"/>
  <c r="F25" i="1"/>
  <c r="D25" i="1"/>
  <c r="C25" i="1"/>
  <c r="Q25" i="1" s="1"/>
  <c r="D23" i="1"/>
  <c r="C23" i="1"/>
  <c r="Q23" i="1" s="1"/>
  <c r="C22" i="1"/>
  <c r="O21" i="1"/>
  <c r="N21" i="1"/>
  <c r="C21" i="1"/>
  <c r="Q21" i="1" s="1"/>
  <c r="J19" i="1"/>
  <c r="I19" i="1"/>
  <c r="G19" i="1"/>
  <c r="F19" i="1"/>
  <c r="D19" i="1"/>
  <c r="C19" i="1"/>
  <c r="J18" i="1"/>
  <c r="I18" i="1"/>
  <c r="G18" i="1"/>
  <c r="H18" i="1" s="1"/>
  <c r="V18" i="1" s="1"/>
  <c r="F18" i="1"/>
  <c r="R18" i="1" s="1"/>
  <c r="D18" i="1"/>
  <c r="C18" i="1"/>
  <c r="Q18" i="1" s="1"/>
  <c r="K17" i="1"/>
  <c r="W17" i="1" s="1"/>
  <c r="J17" i="1"/>
  <c r="I17" i="1"/>
  <c r="S17" i="1" s="1"/>
  <c r="G17" i="1"/>
  <c r="F17" i="1"/>
  <c r="D17" i="1"/>
  <c r="E17" i="1" s="1"/>
  <c r="U17" i="1" s="1"/>
  <c r="C17" i="1"/>
  <c r="G15" i="1"/>
  <c r="F15" i="1"/>
  <c r="R15" i="1" s="1"/>
  <c r="D15" i="1"/>
  <c r="E15" i="1" s="1"/>
  <c r="U15" i="1" s="1"/>
  <c r="C15" i="1"/>
  <c r="Q15" i="1" s="1"/>
  <c r="J14" i="1"/>
  <c r="I14" i="1"/>
  <c r="S14" i="1" s="1"/>
  <c r="G14" i="1"/>
  <c r="H14" i="1" s="1"/>
  <c r="V14" i="1" s="1"/>
  <c r="F14" i="1"/>
  <c r="R14" i="1" s="1"/>
  <c r="D14" i="1"/>
  <c r="E14" i="1" s="1"/>
  <c r="U14" i="1" s="1"/>
  <c r="C14" i="1"/>
  <c r="Q14" i="1" s="1"/>
  <c r="J13" i="1"/>
  <c r="I13" i="1"/>
  <c r="S13" i="1" s="1"/>
  <c r="G13" i="1"/>
  <c r="F13" i="1"/>
  <c r="R13" i="1" s="1"/>
  <c r="D13" i="1"/>
  <c r="C13" i="1"/>
  <c r="J11" i="1"/>
  <c r="K11" i="1" s="1"/>
  <c r="W11" i="1" s="1"/>
  <c r="I11" i="1"/>
  <c r="S11" i="1" s="1"/>
  <c r="G11" i="1"/>
  <c r="F11" i="1"/>
  <c r="R11" i="1" s="1"/>
  <c r="D11" i="1"/>
  <c r="E11" i="1" s="1"/>
  <c r="U11" i="1" s="1"/>
  <c r="C11" i="1"/>
  <c r="Q11" i="1" s="1"/>
  <c r="J10" i="1"/>
  <c r="K10" i="1" s="1"/>
  <c r="W10" i="1" s="1"/>
  <c r="I10" i="1"/>
  <c r="S10" i="1" s="1"/>
  <c r="G10" i="1"/>
  <c r="F10" i="1"/>
  <c r="R10" i="1" s="1"/>
  <c r="D10" i="1"/>
  <c r="C10" i="1"/>
  <c r="J9" i="1"/>
  <c r="K9" i="1" s="1"/>
  <c r="W9" i="1" s="1"/>
  <c r="I9" i="1"/>
  <c r="G9" i="1"/>
  <c r="H9" i="1" s="1"/>
  <c r="V9" i="1" s="1"/>
  <c r="F9" i="1"/>
  <c r="D9" i="1"/>
  <c r="E9" i="1" s="1"/>
  <c r="U9" i="1" s="1"/>
  <c r="C9" i="1"/>
  <c r="Q9" i="1" s="1"/>
  <c r="J7" i="1"/>
  <c r="I7" i="1"/>
  <c r="S7" i="1" s="1"/>
  <c r="G7" i="1"/>
  <c r="F7" i="1"/>
  <c r="D7" i="1"/>
  <c r="C7" i="1"/>
  <c r="J6" i="1"/>
  <c r="I6" i="1"/>
  <c r="G6" i="1"/>
  <c r="F6" i="1"/>
  <c r="D6" i="1"/>
  <c r="C6" i="1"/>
  <c r="N5" i="1"/>
  <c r="J5" i="1"/>
  <c r="K5" i="1" s="1"/>
  <c r="W5" i="1" s="1"/>
  <c r="I5" i="1"/>
  <c r="S5" i="1" s="1"/>
  <c r="G5" i="1"/>
  <c r="F5" i="1"/>
  <c r="R5" i="1" s="1"/>
  <c r="D5" i="1"/>
  <c r="C5" i="1"/>
  <c r="K63" i="1" l="1"/>
  <c r="W63" i="1" s="1"/>
  <c r="S63" i="1"/>
  <c r="R7" i="1"/>
  <c r="H7" i="1"/>
  <c r="V7" i="1" s="1"/>
  <c r="K37" i="1"/>
  <c r="W37" i="1" s="1"/>
  <c r="S37" i="1"/>
  <c r="E55" i="1"/>
  <c r="U55" i="1" s="1"/>
  <c r="Q55" i="1"/>
  <c r="N62" i="1"/>
  <c r="R63" i="1"/>
  <c r="Q67" i="1"/>
  <c r="E67" i="1"/>
  <c r="U67" i="1" s="1"/>
  <c r="O74" i="1"/>
  <c r="K33" i="2"/>
  <c r="W33" i="2" s="1"/>
  <c r="S33" i="2"/>
  <c r="N41" i="1"/>
  <c r="R41" i="1"/>
  <c r="Q54" i="1"/>
  <c r="M54" i="1"/>
  <c r="M5" i="1"/>
  <c r="Q6" i="1"/>
  <c r="M21" i="1"/>
  <c r="Q22" i="1"/>
  <c r="K30" i="1"/>
  <c r="W30" i="1" s="1"/>
  <c r="S30" i="1"/>
  <c r="E7" i="1"/>
  <c r="U7" i="1" s="1"/>
  <c r="Q7" i="1"/>
  <c r="N9" i="1"/>
  <c r="R9" i="1"/>
  <c r="M13" i="1"/>
  <c r="Q13" i="1"/>
  <c r="H15" i="1"/>
  <c r="V15" i="1" s="1"/>
  <c r="N17" i="1"/>
  <c r="R19" i="1"/>
  <c r="E27" i="1"/>
  <c r="U27" i="1" s="1"/>
  <c r="H29" i="1"/>
  <c r="V29" i="1" s="1"/>
  <c r="N54" i="1"/>
  <c r="R56" i="1"/>
  <c r="H63" i="1"/>
  <c r="V63" i="1" s="1"/>
  <c r="K64" i="1"/>
  <c r="W64" i="1" s="1"/>
  <c r="O70" i="1"/>
  <c r="S71" i="1"/>
  <c r="M74" i="1"/>
  <c r="Q74" i="1"/>
  <c r="O78" i="1"/>
  <c r="S78" i="1"/>
  <c r="M82" i="1"/>
  <c r="Q82" i="1"/>
  <c r="N82" i="1"/>
  <c r="R83" i="1"/>
  <c r="H84" i="1"/>
  <c r="V84" i="1" s="1"/>
  <c r="E16" i="2"/>
  <c r="U16" i="2" s="1"/>
  <c r="E61" i="2"/>
  <c r="U61" i="2" s="1"/>
  <c r="N61" i="2"/>
  <c r="R62" i="2"/>
  <c r="H63" i="2"/>
  <c r="V63" i="2" s="1"/>
  <c r="O65" i="2"/>
  <c r="S65" i="2"/>
  <c r="N69" i="2"/>
  <c r="R69" i="2"/>
  <c r="H70" i="2"/>
  <c r="V70" i="2" s="1"/>
  <c r="E74" i="2"/>
  <c r="U74" i="2" s="1"/>
  <c r="R16" i="2"/>
  <c r="H16" i="2"/>
  <c r="V16" i="2" s="1"/>
  <c r="O28" i="2"/>
  <c r="S28" i="2"/>
  <c r="H41" i="1"/>
  <c r="V41" i="1" s="1"/>
  <c r="Q24" i="2"/>
  <c r="M24" i="2"/>
  <c r="Q41" i="2"/>
  <c r="E41" i="2"/>
  <c r="U41" i="2" s="1"/>
  <c r="K82" i="2"/>
  <c r="W82" i="2" s="1"/>
  <c r="S82" i="2"/>
  <c r="N66" i="1"/>
  <c r="R67" i="1"/>
  <c r="K34" i="1"/>
  <c r="W34" i="1" s="1"/>
  <c r="S34" i="1"/>
  <c r="E38" i="1"/>
  <c r="U38" i="1" s="1"/>
  <c r="Q38" i="1"/>
  <c r="E39" i="1"/>
  <c r="U39" i="1" s="1"/>
  <c r="E46" i="1"/>
  <c r="U46" i="1" s="1"/>
  <c r="Q46" i="1"/>
  <c r="E47" i="1"/>
  <c r="U47" i="1" s="1"/>
  <c r="H48" i="1"/>
  <c r="V48" i="1" s="1"/>
  <c r="O50" i="1"/>
  <c r="S50" i="1"/>
  <c r="E54" i="1"/>
  <c r="U54" i="1" s="1"/>
  <c r="E60" i="1"/>
  <c r="U60" i="1" s="1"/>
  <c r="H62" i="1"/>
  <c r="V62" i="1" s="1"/>
  <c r="H67" i="1"/>
  <c r="V67" i="1" s="1"/>
  <c r="E79" i="1"/>
  <c r="U79" i="1" s="1"/>
  <c r="Q79" i="1"/>
  <c r="E6" i="2"/>
  <c r="U6" i="2" s="1"/>
  <c r="H8" i="2"/>
  <c r="V8" i="2" s="1"/>
  <c r="Q5" i="1"/>
  <c r="U5" i="1"/>
  <c r="H17" i="1"/>
  <c r="V17" i="1" s="1"/>
  <c r="R17" i="1"/>
  <c r="H31" i="1"/>
  <c r="V31" i="1" s="1"/>
  <c r="R31" i="1"/>
  <c r="H33" i="1"/>
  <c r="V33" i="1" s="1"/>
  <c r="Q37" i="1"/>
  <c r="M37" i="1"/>
  <c r="K56" i="1"/>
  <c r="W56" i="1" s="1"/>
  <c r="R60" i="1"/>
  <c r="H60" i="1"/>
  <c r="V60" i="1" s="1"/>
  <c r="M70" i="1"/>
  <c r="Q70" i="1"/>
  <c r="E71" i="1"/>
  <c r="U71" i="1" s="1"/>
  <c r="Q71" i="1"/>
  <c r="E72" i="1"/>
  <c r="U72" i="1" s="1"/>
  <c r="N74" i="1"/>
  <c r="R74" i="1"/>
  <c r="N36" i="2"/>
  <c r="R36" i="2"/>
  <c r="H36" i="2"/>
  <c r="V36" i="2" s="1"/>
  <c r="H55" i="2"/>
  <c r="V55" i="2" s="1"/>
  <c r="Q58" i="2"/>
  <c r="E58" i="2"/>
  <c r="U58" i="2" s="1"/>
  <c r="O17" i="1"/>
  <c r="S18" i="1"/>
  <c r="H26" i="1"/>
  <c r="V26" i="1" s="1"/>
  <c r="E51" i="1"/>
  <c r="U51" i="1" s="1"/>
  <c r="Q51" i="1"/>
  <c r="E52" i="1"/>
  <c r="U52" i="1" s="1"/>
  <c r="O54" i="1"/>
  <c r="S55" i="1"/>
  <c r="M58" i="1"/>
  <c r="E58" i="1"/>
  <c r="U58" i="1" s="1"/>
  <c r="Q58" i="1"/>
  <c r="E64" i="1"/>
  <c r="U64" i="1" s="1"/>
  <c r="E70" i="1"/>
  <c r="U70" i="1" s="1"/>
  <c r="H74" i="1"/>
  <c r="V74" i="1" s="1"/>
  <c r="S75" i="1"/>
  <c r="K75" i="1"/>
  <c r="W75" i="1" s="1"/>
  <c r="N78" i="1"/>
  <c r="R79" i="1"/>
  <c r="O82" i="1"/>
  <c r="S82" i="1"/>
  <c r="O12" i="2"/>
  <c r="S12" i="2"/>
  <c r="K16" i="2"/>
  <c r="W16" i="2" s="1"/>
  <c r="N77" i="2"/>
  <c r="R78" i="2"/>
  <c r="H79" i="2"/>
  <c r="V79" i="2" s="1"/>
  <c r="M9" i="1"/>
  <c r="Q10" i="1"/>
  <c r="K27" i="1"/>
  <c r="W27" i="1" s="1"/>
  <c r="K7" i="1"/>
  <c r="W7" i="1" s="1"/>
  <c r="E10" i="1"/>
  <c r="U10" i="1" s="1"/>
  <c r="N29" i="1"/>
  <c r="R30" i="1"/>
  <c r="O41" i="1"/>
  <c r="E43" i="1"/>
  <c r="U43" i="1" s="1"/>
  <c r="K47" i="1"/>
  <c r="W47" i="1" s="1"/>
  <c r="S47" i="1"/>
  <c r="K54" i="1"/>
  <c r="W54" i="1" s="1"/>
  <c r="S54" i="1"/>
  <c r="O66" i="1"/>
  <c r="S66" i="1"/>
  <c r="H79" i="1"/>
  <c r="V79" i="1" s="1"/>
  <c r="K82" i="1"/>
  <c r="W82" i="1" s="1"/>
  <c r="M8" i="2"/>
  <c r="O4" i="2"/>
  <c r="S6" i="2"/>
  <c r="E10" i="2"/>
  <c r="U10" i="2" s="1"/>
  <c r="K12" i="2"/>
  <c r="W12" i="2" s="1"/>
  <c r="E28" i="2"/>
  <c r="U28" i="2" s="1"/>
  <c r="Q28" i="2"/>
  <c r="H78" i="2"/>
  <c r="V78" i="2" s="1"/>
  <c r="M4" i="2"/>
  <c r="E5" i="2"/>
  <c r="U5" i="2" s="1"/>
  <c r="S16" i="2"/>
  <c r="O16" i="2"/>
  <c r="E33" i="2"/>
  <c r="U33" i="2" s="1"/>
  <c r="Q33" i="2"/>
  <c r="K14" i="1"/>
  <c r="W14" i="1" s="1"/>
  <c r="N25" i="1"/>
  <c r="R25" i="1"/>
  <c r="H5" i="1"/>
  <c r="V5" i="1" s="1"/>
  <c r="O5" i="1"/>
  <c r="S6" i="1"/>
  <c r="E19" i="1"/>
  <c r="U19" i="1" s="1"/>
  <c r="Q19" i="1"/>
  <c r="K25" i="1"/>
  <c r="W25" i="1" s="1"/>
  <c r="S25" i="1"/>
  <c r="H30" i="1"/>
  <c r="V30" i="1" s="1"/>
  <c r="E34" i="1"/>
  <c r="U34" i="1" s="1"/>
  <c r="Q34" i="1"/>
  <c r="H37" i="1"/>
  <c r="V37" i="1" s="1"/>
  <c r="K39" i="1"/>
  <c r="W39" i="1" s="1"/>
  <c r="H43" i="1"/>
  <c r="V43" i="1" s="1"/>
  <c r="R43" i="1"/>
  <c r="M50" i="1"/>
  <c r="Q50" i="1"/>
  <c r="N50" i="1"/>
  <c r="R51" i="1"/>
  <c r="H52" i="1"/>
  <c r="V52" i="1" s="1"/>
  <c r="N58" i="1"/>
  <c r="R58" i="1"/>
  <c r="K60" i="1"/>
  <c r="W60" i="1" s="1"/>
  <c r="K66" i="1"/>
  <c r="W66" i="1" s="1"/>
  <c r="E68" i="1"/>
  <c r="U68" i="1" s="1"/>
  <c r="E84" i="1"/>
  <c r="U84" i="1" s="1"/>
  <c r="M57" i="2"/>
  <c r="H4" i="2"/>
  <c r="V4" i="2" s="1"/>
  <c r="R4" i="2"/>
  <c r="K6" i="2"/>
  <c r="W6" i="2" s="1"/>
  <c r="N16" i="2"/>
  <c r="R18" i="2"/>
  <c r="M20" i="2"/>
  <c r="Q21" i="2"/>
  <c r="N20" i="2"/>
  <c r="R22" i="2"/>
  <c r="O49" i="2"/>
  <c r="S49" i="2"/>
  <c r="R53" i="2"/>
  <c r="H53" i="2"/>
  <c r="V53" i="2" s="1"/>
  <c r="N53" i="2"/>
  <c r="E75" i="2"/>
  <c r="U75" i="2" s="1"/>
  <c r="O81" i="2"/>
  <c r="O24" i="2"/>
  <c r="K25" i="2"/>
  <c r="W25" i="2" s="1"/>
  <c r="K30" i="2"/>
  <c r="W30" i="2" s="1"/>
  <c r="H37" i="2"/>
  <c r="V37" i="2" s="1"/>
  <c r="K38" i="2"/>
  <c r="W38" i="2" s="1"/>
  <c r="H42" i="2"/>
  <c r="V42" i="2" s="1"/>
  <c r="K46" i="2"/>
  <c r="W46" i="2" s="1"/>
  <c r="E51" i="2"/>
  <c r="U51" i="2" s="1"/>
  <c r="H54" i="2"/>
  <c r="V54" i="2" s="1"/>
  <c r="H62" i="2"/>
  <c r="V62" i="2" s="1"/>
  <c r="K65" i="2"/>
  <c r="W65" i="2" s="1"/>
  <c r="E67" i="2"/>
  <c r="U67" i="2" s="1"/>
  <c r="H69" i="2"/>
  <c r="V69" i="2" s="1"/>
  <c r="K71" i="2"/>
  <c r="W71" i="2" s="1"/>
  <c r="H77" i="2"/>
  <c r="V77" i="2" s="1"/>
  <c r="S61" i="2"/>
  <c r="H22" i="2"/>
  <c r="V22" i="2" s="1"/>
  <c r="E6" i="1"/>
  <c r="U6" i="1" s="1"/>
  <c r="O9" i="1"/>
  <c r="U13" i="1"/>
  <c r="M17" i="1"/>
  <c r="Q17" i="1"/>
  <c r="E18" i="1"/>
  <c r="U18" i="1" s="1"/>
  <c r="H19" i="1"/>
  <c r="V19" i="1" s="1"/>
  <c r="H27" i="1"/>
  <c r="V27" i="1" s="1"/>
  <c r="M33" i="1"/>
  <c r="Q33" i="1"/>
  <c r="N33" i="1"/>
  <c r="H35" i="1"/>
  <c r="V35" i="1" s="1"/>
  <c r="O37" i="1"/>
  <c r="M41" i="1"/>
  <c r="Q41" i="1"/>
  <c r="E42" i="1"/>
  <c r="U42" i="1" s="1"/>
  <c r="O46" i="1"/>
  <c r="E50" i="1"/>
  <c r="U50" i="1" s="1"/>
  <c r="H51" i="1"/>
  <c r="V51" i="1" s="1"/>
  <c r="K55" i="1"/>
  <c r="W55" i="1" s="1"/>
  <c r="E59" i="1"/>
  <c r="U59" i="1" s="1"/>
  <c r="H70" i="1"/>
  <c r="V70" i="1" s="1"/>
  <c r="H72" i="1"/>
  <c r="V72" i="1" s="1"/>
  <c r="K74" i="1"/>
  <c r="W74" i="1" s="1"/>
  <c r="M78" i="1"/>
  <c r="E80" i="1"/>
  <c r="U80" i="1" s="1"/>
  <c r="H83" i="1"/>
  <c r="V83" i="1" s="1"/>
  <c r="K9" i="2"/>
  <c r="W9" i="2" s="1"/>
  <c r="H17" i="2"/>
  <c r="V17" i="2" s="1"/>
  <c r="K18" i="2"/>
  <c r="W18" i="2" s="1"/>
  <c r="H21" i="2"/>
  <c r="V21" i="2" s="1"/>
  <c r="O45" i="2"/>
  <c r="S45" i="2"/>
  <c r="K62" i="2"/>
  <c r="W62" i="2" s="1"/>
  <c r="O69" i="2"/>
  <c r="K70" i="2"/>
  <c r="W70" i="2" s="1"/>
  <c r="H75" i="2"/>
  <c r="V75" i="2" s="1"/>
  <c r="O77" i="2"/>
  <c r="S77" i="2"/>
  <c r="K78" i="2"/>
  <c r="W78" i="2" s="1"/>
  <c r="K79" i="2"/>
  <c r="W79" i="2" s="1"/>
  <c r="R42" i="2"/>
  <c r="S9" i="1"/>
  <c r="H6" i="1"/>
  <c r="V6" i="1" s="1"/>
  <c r="N13" i="1"/>
  <c r="K19" i="1"/>
  <c r="W19" i="1" s="1"/>
  <c r="S19" i="1"/>
  <c r="M25" i="1"/>
  <c r="O29" i="1"/>
  <c r="K51" i="1"/>
  <c r="W51" i="1" s="1"/>
  <c r="O62" i="1"/>
  <c r="M66" i="1"/>
  <c r="Q66" i="1"/>
  <c r="O8" i="2"/>
  <c r="K17" i="2"/>
  <c r="W17" i="2" s="1"/>
  <c r="O36" i="2"/>
  <c r="O53" i="2"/>
  <c r="S53" i="2"/>
  <c r="M65" i="2"/>
  <c r="S78" i="2"/>
  <c r="R83" i="2"/>
  <c r="H41" i="2"/>
  <c r="V41" i="2" s="1"/>
  <c r="K42" i="2"/>
  <c r="W42" i="2" s="1"/>
  <c r="E47" i="2"/>
  <c r="U47" i="2" s="1"/>
  <c r="H58" i="2"/>
  <c r="V58" i="2" s="1"/>
  <c r="K61" i="2"/>
  <c r="W61" i="2" s="1"/>
  <c r="E65" i="2"/>
  <c r="U65" i="2" s="1"/>
  <c r="H74" i="2"/>
  <c r="V74" i="2" s="1"/>
  <c r="E81" i="2"/>
  <c r="U81" i="2" s="1"/>
  <c r="H83" i="2"/>
  <c r="V83" i="2" s="1"/>
  <c r="Q36" i="2"/>
  <c r="Q45" i="2"/>
  <c r="R58" i="2"/>
  <c r="S62" i="2"/>
  <c r="Q78" i="1"/>
  <c r="N45" i="2"/>
  <c r="H50" i="2"/>
  <c r="V50" i="2" s="1"/>
  <c r="K53" i="2"/>
  <c r="W53" i="2" s="1"/>
  <c r="K58" i="2"/>
  <c r="W58" i="2" s="1"/>
  <c r="E71" i="2"/>
  <c r="U71" i="2" s="1"/>
  <c r="K74" i="2"/>
  <c r="W74" i="2" s="1"/>
  <c r="S74" i="2"/>
  <c r="S8" i="2"/>
  <c r="R40" i="2"/>
  <c r="S58" i="2"/>
  <c r="R74" i="2"/>
  <c r="E24" i="2"/>
  <c r="U24" i="2" s="1"/>
  <c r="H26" i="2"/>
  <c r="V26" i="2" s="1"/>
  <c r="K28" i="2"/>
  <c r="W28" i="2" s="1"/>
  <c r="H32" i="2"/>
  <c r="V32" i="2" s="1"/>
  <c r="E38" i="2"/>
  <c r="U38" i="2" s="1"/>
  <c r="K6" i="1"/>
  <c r="W6" i="1" s="1"/>
  <c r="H10" i="1"/>
  <c r="V10" i="1" s="1"/>
  <c r="H11" i="1"/>
  <c r="V11" i="1" s="1"/>
  <c r="K13" i="1"/>
  <c r="W13" i="1" s="1"/>
  <c r="K18" i="1"/>
  <c r="W18" i="1" s="1"/>
  <c r="H25" i="1"/>
  <c r="V25" i="1" s="1"/>
  <c r="E29" i="1"/>
  <c r="U29" i="1" s="1"/>
  <c r="Q29" i="1"/>
  <c r="E30" i="1"/>
  <c r="U30" i="1" s="1"/>
  <c r="O33" i="1"/>
  <c r="S33" i="1"/>
  <c r="E37" i="1"/>
  <c r="U37" i="1" s="1"/>
  <c r="K41" i="1"/>
  <c r="W41" i="1" s="1"/>
  <c r="K42" i="1"/>
  <c r="W42" i="1" s="1"/>
  <c r="N46" i="1"/>
  <c r="R47" i="1"/>
  <c r="K50" i="1"/>
  <c r="W50" i="1" s="1"/>
  <c r="H56" i="1"/>
  <c r="V56" i="1" s="1"/>
  <c r="K59" i="1"/>
  <c r="W59" i="1" s="1"/>
  <c r="E62" i="1"/>
  <c r="U62" i="1" s="1"/>
  <c r="Q62" i="1"/>
  <c r="E63" i="1"/>
  <c r="U63" i="1" s="1"/>
  <c r="H66" i="1"/>
  <c r="V66" i="1" s="1"/>
  <c r="K67" i="1"/>
  <c r="W67" i="1" s="1"/>
  <c r="K68" i="1"/>
  <c r="W68" i="1" s="1"/>
  <c r="K71" i="1"/>
  <c r="W71" i="1" s="1"/>
  <c r="E75" i="1"/>
  <c r="U75" i="1" s="1"/>
  <c r="H76" i="1"/>
  <c r="V76" i="1" s="1"/>
  <c r="N8" i="2"/>
  <c r="K14" i="2"/>
  <c r="W14" i="2" s="1"/>
  <c r="E18" i="2"/>
  <c r="U18" i="2" s="1"/>
  <c r="K20" i="2"/>
  <c r="W20" i="2" s="1"/>
  <c r="N24" i="2"/>
  <c r="O32" i="2"/>
  <c r="O40" i="2"/>
  <c r="K41" i="2"/>
  <c r="W41" i="2" s="1"/>
  <c r="M53" i="2"/>
  <c r="Q53" i="2"/>
  <c r="E54" i="2"/>
  <c r="U54" i="2" s="1"/>
  <c r="O73" i="2"/>
  <c r="S73" i="2"/>
  <c r="S20" i="2"/>
  <c r="S32" i="2"/>
  <c r="S36" i="2"/>
  <c r="S40" i="2"/>
  <c r="Q65" i="2"/>
  <c r="R6" i="1"/>
  <c r="R27" i="1"/>
  <c r="K15" i="1"/>
  <c r="W15" i="1" s="1"/>
  <c r="S15" i="1"/>
  <c r="O13" i="1"/>
  <c r="H12" i="2"/>
  <c r="V12" i="2" s="1"/>
  <c r="H47" i="2"/>
  <c r="V47" i="2" s="1"/>
  <c r="E21" i="2"/>
  <c r="U21" i="2" s="1"/>
  <c r="N32" i="2"/>
  <c r="N49" i="2"/>
  <c r="N65" i="2"/>
  <c r="H13" i="1"/>
  <c r="V13" i="1" s="1"/>
  <c r="E25" i="1"/>
  <c r="U25" i="1" s="1"/>
  <c r="E41" i="1"/>
  <c r="U41" i="1" s="1"/>
  <c r="M29" i="1"/>
  <c r="M46" i="1"/>
  <c r="M62" i="1"/>
</calcChain>
</file>

<file path=xl/sharedStrings.xml><?xml version="1.0" encoding="utf-8"?>
<sst xmlns="http://schemas.openxmlformats.org/spreadsheetml/2006/main" count="1788" uniqueCount="85">
  <si>
    <t>Na=Non Antibiotic</t>
  </si>
  <si>
    <t>CFx =Cefotaxime</t>
  </si>
  <si>
    <t>PP%= Ratio of Plasmid harboring cells</t>
  </si>
  <si>
    <t>Time 0 there is a 1:100 dilution</t>
  </si>
  <si>
    <t>Strain</t>
  </si>
  <si>
    <t>T0</t>
  </si>
  <si>
    <t>T1</t>
  </si>
  <si>
    <t>T2</t>
  </si>
  <si>
    <t>Average CFU</t>
  </si>
  <si>
    <t>Human</t>
  </si>
  <si>
    <t>MH1</t>
  </si>
  <si>
    <t>Na</t>
  </si>
  <si>
    <t>CFX</t>
  </si>
  <si>
    <t>P%</t>
  </si>
  <si>
    <t>Replicate</t>
  </si>
  <si>
    <t>mh1</t>
  </si>
  <si>
    <t>JH2</t>
  </si>
  <si>
    <t>jh2</t>
  </si>
  <si>
    <t>3H1</t>
  </si>
  <si>
    <t>3h1</t>
  </si>
  <si>
    <t>3H4</t>
  </si>
  <si>
    <t>3h4</t>
  </si>
  <si>
    <t>4H1</t>
  </si>
  <si>
    <t>4h1</t>
  </si>
  <si>
    <t>5H1</t>
  </si>
  <si>
    <t>5h1</t>
  </si>
  <si>
    <t>5H4</t>
  </si>
  <si>
    <t>4Cu</t>
  </si>
  <si>
    <t>5_Cu</t>
  </si>
  <si>
    <t>5Cu</t>
  </si>
  <si>
    <t>8Cu</t>
  </si>
  <si>
    <t>Broiler</t>
  </si>
  <si>
    <t>1B1</t>
  </si>
  <si>
    <t>1B4</t>
  </si>
  <si>
    <t>1B6</t>
  </si>
  <si>
    <t>1B8</t>
  </si>
  <si>
    <t>2B1</t>
  </si>
  <si>
    <t>2B7</t>
  </si>
  <si>
    <t>2b7</t>
  </si>
  <si>
    <t>3B6</t>
  </si>
  <si>
    <t>4B1</t>
  </si>
  <si>
    <t>4b1</t>
  </si>
  <si>
    <t>4B3</t>
  </si>
  <si>
    <t>4b3</t>
  </si>
  <si>
    <t>5B1</t>
  </si>
  <si>
    <t>CFU by Replicate</t>
  </si>
  <si>
    <t>Probability by replicate</t>
  </si>
  <si>
    <t>Donor 1</t>
  </si>
  <si>
    <t>Relative_Fitness</t>
  </si>
  <si>
    <t>Donor2</t>
  </si>
  <si>
    <t>1B1-T</t>
  </si>
  <si>
    <t>MH1-T</t>
  </si>
  <si>
    <t>1B4-T</t>
  </si>
  <si>
    <t>JH2-T</t>
  </si>
  <si>
    <t>1B6-T</t>
  </si>
  <si>
    <t>3H1-T</t>
  </si>
  <si>
    <t>1B8-T</t>
  </si>
  <si>
    <t>3H4-T</t>
  </si>
  <si>
    <t>4H1-T</t>
  </si>
  <si>
    <t>5H1-T</t>
  </si>
  <si>
    <t>5H4-T</t>
  </si>
  <si>
    <t>2B1-T</t>
  </si>
  <si>
    <t>2B7-T</t>
  </si>
  <si>
    <t>3B6-T</t>
  </si>
  <si>
    <t>4B1-T</t>
  </si>
  <si>
    <t>4B3-T</t>
  </si>
  <si>
    <t>5B1-T</t>
  </si>
  <si>
    <t>D1</t>
  </si>
  <si>
    <t>D2</t>
  </si>
  <si>
    <t xml:space="preserve"> D1 </t>
  </si>
  <si>
    <t>Growth rates</t>
  </si>
  <si>
    <t xml:space="preserve">D2 </t>
  </si>
  <si>
    <t>Strain_ID</t>
  </si>
  <si>
    <t>Time</t>
  </si>
  <si>
    <t>Donor</t>
  </si>
  <si>
    <t>1D</t>
  </si>
  <si>
    <t>Origin</t>
  </si>
  <si>
    <t>4H</t>
  </si>
  <si>
    <t>5H</t>
  </si>
  <si>
    <t>8H</t>
  </si>
  <si>
    <t>2D</t>
  </si>
  <si>
    <t>Nax</t>
  </si>
  <si>
    <t xml:space="preserve">1D </t>
  </si>
  <si>
    <t>Growth rates 1D</t>
  </si>
  <si>
    <t>Growth rates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</si>
</sst>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name val="Arial"/>
      <family val="2"/>
    </font>
    <font>
      <sz val="12"/>
      <color indexed="8"/>
      <name val="Calibri"/>
      <family val="2"/>
    </font>
    <font>
      <sz val="12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8237-A282-4972-ABBC-3B7AEBE47BFF}">
  <dimension ref="A1:D36"/>
  <sheetViews>
    <sheetView tabSelected="1" workbookViewId="0">
      <selection activeCell="A2" sqref="A2"/>
    </sheetView>
  </sheetViews>
  <sheetFormatPr defaultColWidth="10.875" defaultRowHeight="15.75" x14ac:dyDescent="0.25"/>
  <cols>
    <col min="1" max="1" width="14.625" style="9" bestFit="1" customWidth="1"/>
    <col min="2" max="2" width="14" style="9" bestFit="1" customWidth="1"/>
    <col min="3" max="3" width="14.375" style="9" bestFit="1" customWidth="1"/>
    <col min="4" max="4" width="12.125" style="9" bestFit="1" customWidth="1"/>
    <col min="5" max="7" width="10.875" style="9"/>
    <col min="8" max="8" width="14.5" style="9" bestFit="1" customWidth="1"/>
    <col min="9" max="16384" width="10.875" style="9"/>
  </cols>
  <sheetData>
    <row r="1" spans="1:4" s="2" customFormat="1" x14ac:dyDescent="0.25">
      <c r="A1" s="2" t="s">
        <v>82</v>
      </c>
      <c r="B1" s="2" t="s">
        <v>83</v>
      </c>
      <c r="C1" s="2" t="s">
        <v>80</v>
      </c>
      <c r="D1" s="2" t="s">
        <v>84</v>
      </c>
    </row>
    <row r="2" spans="1:4" x14ac:dyDescent="0.25">
      <c r="A2" s="9" t="s">
        <v>10</v>
      </c>
      <c r="B2" s="4">
        <v>0.59551402499999995</v>
      </c>
      <c r="C2" s="9" t="s">
        <v>10</v>
      </c>
      <c r="D2" s="9">
        <v>0.59551402499999995</v>
      </c>
    </row>
    <row r="3" spans="1:4" x14ac:dyDescent="0.25">
      <c r="A3" s="9" t="s">
        <v>51</v>
      </c>
      <c r="B3" s="4">
        <v>0.58079437999999994</v>
      </c>
      <c r="C3" s="9" t="s">
        <v>51</v>
      </c>
      <c r="D3" s="9">
        <v>0.52822172000000001</v>
      </c>
    </row>
    <row r="4" spans="1:4" x14ac:dyDescent="0.25">
      <c r="A4" s="9" t="s">
        <v>16</v>
      </c>
      <c r="B4" s="4">
        <v>0.59624202999999998</v>
      </c>
      <c r="C4" s="9" t="s">
        <v>16</v>
      </c>
      <c r="D4" s="9">
        <v>0.58444854000000002</v>
      </c>
    </row>
    <row r="5" spans="1:4" x14ac:dyDescent="0.25">
      <c r="A5" s="9" t="s">
        <v>53</v>
      </c>
      <c r="B5" s="4">
        <v>0.48739102999999995</v>
      </c>
      <c r="C5" s="9" t="s">
        <v>53</v>
      </c>
      <c r="D5" s="9">
        <v>0.44913719999999996</v>
      </c>
    </row>
    <row r="6" spans="1:4" x14ac:dyDescent="0.25">
      <c r="A6" s="9" t="s">
        <v>18</v>
      </c>
      <c r="B6" s="4">
        <v>0.60946968000000001</v>
      </c>
      <c r="C6" s="9" t="s">
        <v>18</v>
      </c>
      <c r="D6" s="9">
        <v>0.60946968000000001</v>
      </c>
    </row>
    <row r="7" spans="1:4" x14ac:dyDescent="0.25">
      <c r="A7" s="9" t="s">
        <v>55</v>
      </c>
      <c r="B7" s="4">
        <v>0.52706907000000003</v>
      </c>
      <c r="C7" s="9" t="s">
        <v>55</v>
      </c>
      <c r="D7" s="9">
        <v>0.49666955999999995</v>
      </c>
    </row>
    <row r="8" spans="1:4" x14ac:dyDescent="0.25">
      <c r="A8" s="9" t="s">
        <v>20</v>
      </c>
      <c r="B8" s="4">
        <v>0.59613740000000004</v>
      </c>
      <c r="C8" s="9" t="s">
        <v>20</v>
      </c>
      <c r="D8" s="9">
        <v>0.59613740000000004</v>
      </c>
    </row>
    <row r="9" spans="1:4" x14ac:dyDescent="0.25">
      <c r="A9" s="9" t="s">
        <v>57</v>
      </c>
      <c r="B9" s="4">
        <v>0.55500648500000005</v>
      </c>
      <c r="C9" s="9" t="s">
        <v>57</v>
      </c>
      <c r="D9" s="9">
        <v>0.48799210000000004</v>
      </c>
    </row>
    <row r="10" spans="1:4" x14ac:dyDescent="0.25">
      <c r="A10" s="9" t="s">
        <v>22</v>
      </c>
      <c r="B10" s="9">
        <v>0.60823751999999998</v>
      </c>
      <c r="C10" s="9" t="s">
        <v>22</v>
      </c>
      <c r="D10" s="9">
        <v>0.60823751999999998</v>
      </c>
    </row>
    <row r="11" spans="1:4" x14ac:dyDescent="0.25">
      <c r="A11" s="9" t="s">
        <v>58</v>
      </c>
      <c r="B11" s="9">
        <v>0.55986276000000001</v>
      </c>
      <c r="C11" s="9" t="s">
        <v>58</v>
      </c>
      <c r="D11" s="9">
        <v>0.45427699999999999</v>
      </c>
    </row>
    <row r="12" spans="1:4" x14ac:dyDescent="0.25">
      <c r="A12" s="9" t="s">
        <v>24</v>
      </c>
      <c r="B12" s="4">
        <v>0.58638473999999996</v>
      </c>
      <c r="C12" s="9" t="s">
        <v>24</v>
      </c>
      <c r="D12" s="9">
        <v>0.58638473999999996</v>
      </c>
    </row>
    <row r="13" spans="1:4" x14ac:dyDescent="0.25">
      <c r="A13" s="9" t="s">
        <v>59</v>
      </c>
      <c r="B13" s="4">
        <v>0.49757943999999998</v>
      </c>
      <c r="C13" s="9" t="s">
        <v>59</v>
      </c>
      <c r="D13" s="9">
        <v>0.51392300000000002</v>
      </c>
    </row>
    <row r="14" spans="1:4" x14ac:dyDescent="0.25">
      <c r="A14" s="9" t="s">
        <v>26</v>
      </c>
      <c r="B14" s="4">
        <v>0.51325811999999993</v>
      </c>
      <c r="C14" s="9" t="s">
        <v>26</v>
      </c>
      <c r="D14" s="9">
        <v>0.51325811999999993</v>
      </c>
    </row>
    <row r="15" spans="1:4" x14ac:dyDescent="0.25">
      <c r="A15" s="9" t="s">
        <v>60</v>
      </c>
      <c r="B15" s="4">
        <v>0.47203523000000003</v>
      </c>
      <c r="C15" s="9" t="s">
        <v>60</v>
      </c>
      <c r="D15" s="9">
        <v>0.50462832294668181</v>
      </c>
    </row>
    <row r="16" spans="1:4" x14ac:dyDescent="0.25">
      <c r="A16" s="9" t="s">
        <v>32</v>
      </c>
      <c r="B16" s="4">
        <v>0.59523915000000005</v>
      </c>
      <c r="C16" s="9" t="s">
        <v>32</v>
      </c>
      <c r="D16" s="9">
        <v>0.59523915000000005</v>
      </c>
    </row>
    <row r="17" spans="1:4" x14ac:dyDescent="0.25">
      <c r="A17" s="9" t="s">
        <v>50</v>
      </c>
      <c r="B17" s="4">
        <v>0.60156298499999994</v>
      </c>
      <c r="C17" s="9" t="s">
        <v>50</v>
      </c>
      <c r="D17" s="9">
        <v>0.57064966000000006</v>
      </c>
    </row>
    <row r="18" spans="1:4" x14ac:dyDescent="0.25">
      <c r="A18" s="9" t="s">
        <v>33</v>
      </c>
      <c r="B18" s="4">
        <v>0.57286915000000005</v>
      </c>
      <c r="C18" s="9" t="s">
        <v>33</v>
      </c>
      <c r="D18" s="9">
        <v>0.57286915000000005</v>
      </c>
    </row>
    <row r="19" spans="1:4" x14ac:dyDescent="0.25">
      <c r="A19" s="9" t="s">
        <v>52</v>
      </c>
      <c r="B19" s="4">
        <v>0.53980274000000006</v>
      </c>
      <c r="C19" s="9" t="s">
        <v>52</v>
      </c>
      <c r="D19" s="9">
        <v>0.54822409999999999</v>
      </c>
    </row>
    <row r="20" spans="1:4" x14ac:dyDescent="0.25">
      <c r="A20" s="9" t="s">
        <v>34</v>
      </c>
      <c r="B20" s="4">
        <v>0.61795802500000008</v>
      </c>
      <c r="C20" s="9" t="s">
        <v>34</v>
      </c>
      <c r="D20" s="9">
        <v>0.61795802500000008</v>
      </c>
    </row>
    <row r="21" spans="1:4" x14ac:dyDescent="0.25">
      <c r="A21" s="9" t="s">
        <v>54</v>
      </c>
      <c r="B21" s="4">
        <v>0.60488254500000005</v>
      </c>
      <c r="C21" s="9" t="s">
        <v>54</v>
      </c>
      <c r="D21" s="9">
        <v>0.57998994000000004</v>
      </c>
    </row>
    <row r="22" spans="1:4" x14ac:dyDescent="0.25">
      <c r="A22" s="9" t="s">
        <v>35</v>
      </c>
      <c r="B22" s="4">
        <v>0.58850577500000001</v>
      </c>
      <c r="C22" s="9" t="s">
        <v>35</v>
      </c>
      <c r="D22" s="9">
        <v>0.58850577500000001</v>
      </c>
    </row>
    <row r="23" spans="1:4" x14ac:dyDescent="0.25">
      <c r="A23" s="9" t="s">
        <v>56</v>
      </c>
      <c r="B23" s="4">
        <v>0.571532025</v>
      </c>
      <c r="C23" s="9" t="s">
        <v>56</v>
      </c>
      <c r="D23" s="9">
        <v>0.55238100000000001</v>
      </c>
    </row>
    <row r="24" spans="1:4" x14ac:dyDescent="0.25">
      <c r="A24" s="9" t="s">
        <v>36</v>
      </c>
      <c r="B24" s="4">
        <v>0.59926263499999999</v>
      </c>
      <c r="C24" s="9" t="s">
        <v>36</v>
      </c>
      <c r="D24" s="9">
        <v>0.59926263499999999</v>
      </c>
    </row>
    <row r="25" spans="1:4" x14ac:dyDescent="0.25">
      <c r="A25" s="9" t="s">
        <v>61</v>
      </c>
      <c r="B25" s="4">
        <v>0.55648133499999997</v>
      </c>
      <c r="C25" s="9" t="s">
        <v>61</v>
      </c>
      <c r="D25" s="9">
        <v>0.45536687999999997</v>
      </c>
    </row>
    <row r="26" spans="1:4" x14ac:dyDescent="0.25">
      <c r="A26" s="9" t="s">
        <v>37</v>
      </c>
      <c r="B26" s="4">
        <v>0.51651912</v>
      </c>
      <c r="C26" s="9" t="s">
        <v>37</v>
      </c>
      <c r="D26" s="9">
        <v>0.51651912</v>
      </c>
    </row>
    <row r="27" spans="1:4" x14ac:dyDescent="0.25">
      <c r="A27" s="9" t="s">
        <v>62</v>
      </c>
      <c r="B27" s="4">
        <v>0.54499279</v>
      </c>
      <c r="C27" s="9" t="s">
        <v>62</v>
      </c>
      <c r="D27" s="9">
        <v>0.34426323000000003</v>
      </c>
    </row>
    <row r="28" spans="1:4" x14ac:dyDescent="0.25">
      <c r="A28" s="9" t="s">
        <v>39</v>
      </c>
      <c r="B28" s="4">
        <v>0.50911023</v>
      </c>
      <c r="C28" s="9" t="s">
        <v>39</v>
      </c>
      <c r="D28" s="9">
        <v>0.50911023</v>
      </c>
    </row>
    <row r="29" spans="1:4" x14ac:dyDescent="0.25">
      <c r="A29" s="9" t="s">
        <v>63</v>
      </c>
      <c r="B29" s="4">
        <v>0.51171243</v>
      </c>
      <c r="C29" s="9" t="s">
        <v>63</v>
      </c>
      <c r="D29" s="9">
        <v>0.48121082999999998</v>
      </c>
    </row>
    <row r="30" spans="1:4" x14ac:dyDescent="0.25">
      <c r="A30" s="9" t="s">
        <v>40</v>
      </c>
      <c r="B30" s="4">
        <v>0.73883024999999991</v>
      </c>
      <c r="C30" s="9" t="s">
        <v>40</v>
      </c>
      <c r="D30" s="9">
        <v>0.73883024999999991</v>
      </c>
    </row>
    <row r="31" spans="1:4" x14ac:dyDescent="0.25">
      <c r="A31" s="9" t="s">
        <v>64</v>
      </c>
      <c r="B31" s="4">
        <v>0.53615151999999999</v>
      </c>
      <c r="C31" s="9" t="s">
        <v>64</v>
      </c>
      <c r="D31" s="9">
        <v>0.36527943999999996</v>
      </c>
    </row>
    <row r="32" spans="1:4" x14ac:dyDescent="0.25">
      <c r="A32" s="9" t="s">
        <v>42</v>
      </c>
      <c r="B32" s="5">
        <v>0.53022426</v>
      </c>
      <c r="C32" s="9" t="s">
        <v>42</v>
      </c>
      <c r="D32" s="9">
        <v>0.53022426</v>
      </c>
    </row>
    <row r="33" spans="1:4" x14ac:dyDescent="0.25">
      <c r="A33" s="9" t="s">
        <v>65</v>
      </c>
      <c r="B33" s="9">
        <v>0.50698131000000002</v>
      </c>
      <c r="C33" s="9" t="s">
        <v>65</v>
      </c>
      <c r="D33" s="9">
        <v>0.41318286000000004</v>
      </c>
    </row>
    <row r="34" spans="1:4" x14ac:dyDescent="0.25">
      <c r="A34" s="9" t="s">
        <v>44</v>
      </c>
      <c r="B34" s="4">
        <v>0.64383287999999994</v>
      </c>
      <c r="C34" s="9" t="s">
        <v>44</v>
      </c>
      <c r="D34" s="9">
        <v>0.64383287999999994</v>
      </c>
    </row>
    <row r="35" spans="1:4" x14ac:dyDescent="0.25">
      <c r="A35" s="9" t="s">
        <v>66</v>
      </c>
      <c r="B35" s="4">
        <v>0.61554216499999992</v>
      </c>
      <c r="C35" s="9" t="s">
        <v>66</v>
      </c>
      <c r="D35" s="9">
        <v>0.59741325999999995</v>
      </c>
    </row>
    <row r="36" spans="1:4" x14ac:dyDescent="0.25">
      <c r="A36" s="6" t="s">
        <v>67</v>
      </c>
      <c r="B36" s="7">
        <v>0.58700357999999997</v>
      </c>
      <c r="C36" s="6" t="s">
        <v>68</v>
      </c>
      <c r="D36" s="6">
        <v>0.56553099000000007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D68AB-7F59-6546-9AB6-A8126B2671CB}">
  <dimension ref="A1:W84"/>
  <sheetViews>
    <sheetView workbookViewId="0">
      <selection activeCell="C1" sqref="C1"/>
    </sheetView>
  </sheetViews>
  <sheetFormatPr defaultColWidth="10.875" defaultRowHeight="15.75" x14ac:dyDescent="0.25"/>
  <cols>
    <col min="1" max="3" width="10.875" style="1"/>
    <col min="4" max="4" width="11.125" style="1" bestFit="1" customWidth="1"/>
    <col min="5" max="16384" width="10.875" style="1"/>
  </cols>
  <sheetData>
    <row r="1" spans="1:23" x14ac:dyDescent="0.25">
      <c r="C1" s="1" t="s">
        <v>0</v>
      </c>
      <c r="E1" s="1" t="s">
        <v>1</v>
      </c>
      <c r="G1" s="1" t="s">
        <v>2</v>
      </c>
    </row>
    <row r="2" spans="1:23" x14ac:dyDescent="0.25">
      <c r="M2" s="1" t="s">
        <v>3</v>
      </c>
    </row>
    <row r="3" spans="1:23" x14ac:dyDescent="0.25">
      <c r="B3" s="2" t="s">
        <v>4</v>
      </c>
      <c r="C3" s="11" t="s">
        <v>5</v>
      </c>
      <c r="D3" s="11"/>
      <c r="E3" s="11"/>
      <c r="F3" s="11" t="s">
        <v>6</v>
      </c>
      <c r="G3" s="11"/>
      <c r="H3" s="11"/>
      <c r="I3" s="11" t="s">
        <v>7</v>
      </c>
      <c r="J3" s="11"/>
      <c r="K3" s="11"/>
      <c r="M3" s="11" t="s">
        <v>8</v>
      </c>
      <c r="N3" s="11"/>
      <c r="O3" s="11"/>
      <c r="Q3" s="11" t="s">
        <v>45</v>
      </c>
      <c r="R3" s="11"/>
      <c r="S3" s="11"/>
      <c r="U3" s="11" t="s">
        <v>46</v>
      </c>
      <c r="V3" s="11"/>
      <c r="W3" s="11"/>
    </row>
    <row r="4" spans="1:23" s="2" customFormat="1" x14ac:dyDescent="0.25">
      <c r="A4" s="2" t="s">
        <v>9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11</v>
      </c>
      <c r="G4" s="2" t="s">
        <v>12</v>
      </c>
      <c r="H4" s="2" t="s">
        <v>13</v>
      </c>
      <c r="I4" s="2" t="s">
        <v>11</v>
      </c>
      <c r="J4" s="2" t="s">
        <v>12</v>
      </c>
      <c r="K4" s="2" t="s">
        <v>13</v>
      </c>
      <c r="M4" s="2">
        <v>0</v>
      </c>
      <c r="N4" s="2">
        <v>1</v>
      </c>
      <c r="O4" s="2">
        <v>2</v>
      </c>
      <c r="P4" s="1"/>
      <c r="Q4" s="2">
        <v>0</v>
      </c>
      <c r="R4" s="2">
        <v>1</v>
      </c>
      <c r="S4" s="2">
        <v>2</v>
      </c>
      <c r="U4" s="2">
        <v>0</v>
      </c>
      <c r="V4" s="2">
        <v>1</v>
      </c>
      <c r="W4" s="2">
        <v>2</v>
      </c>
    </row>
    <row r="5" spans="1:23" x14ac:dyDescent="0.25">
      <c r="A5" s="10" t="s">
        <v>14</v>
      </c>
      <c r="B5" s="1">
        <v>1</v>
      </c>
      <c r="C5" s="1">
        <f>(41*10^5)/0.09</f>
        <v>45555555.55555556</v>
      </c>
      <c r="D5" s="1">
        <f>(40*10^5)/0.09</f>
        <v>44444444.444444448</v>
      </c>
      <c r="E5" s="1">
        <f>D5/C5</f>
        <v>0.97560975609756095</v>
      </c>
      <c r="F5" s="1">
        <f>(88*10^4)/0.09</f>
        <v>9777777.777777778</v>
      </c>
      <c r="G5" s="1">
        <f>(73*10^4)/0.09</f>
        <v>8111111.111111111</v>
      </c>
      <c r="H5" s="1">
        <f>G5/F5</f>
        <v>0.82954545454545447</v>
      </c>
      <c r="I5" s="1">
        <f>(85*10^5)/0.09</f>
        <v>94444444.444444448</v>
      </c>
      <c r="J5" s="1">
        <f>(66*10^5)/0.09</f>
        <v>73333333.333333343</v>
      </c>
      <c r="K5" s="1">
        <f>J5/I5</f>
        <v>0.77647058823529425</v>
      </c>
      <c r="L5" s="1" t="s">
        <v>15</v>
      </c>
      <c r="M5" s="1">
        <f>AVERAGE(C5:C7)/100</f>
        <v>437037.03703703708</v>
      </c>
      <c r="N5" s="1">
        <f>AVERAGE(F5:F7)</f>
        <v>10481481.481481483</v>
      </c>
      <c r="O5" s="1">
        <f>AVERAGE(I5:I7)</f>
        <v>95555555.555555567</v>
      </c>
      <c r="P5" s="1">
        <v>1</v>
      </c>
      <c r="Q5" s="1">
        <f>C5/100</f>
        <v>455555.55555555562</v>
      </c>
      <c r="R5" s="1">
        <f>F5</f>
        <v>9777777.777777778</v>
      </c>
      <c r="S5" s="1">
        <f>I5</f>
        <v>94444444.444444448</v>
      </c>
      <c r="T5" s="1">
        <v>1</v>
      </c>
      <c r="U5" s="1">
        <f>E5</f>
        <v>0.97560975609756095</v>
      </c>
      <c r="V5" s="1">
        <f>H5</f>
        <v>0.82954545454545447</v>
      </c>
      <c r="W5" s="1">
        <f>K5</f>
        <v>0.77647058823529425</v>
      </c>
    </row>
    <row r="6" spans="1:23" x14ac:dyDescent="0.25">
      <c r="A6" s="10"/>
      <c r="B6" s="1">
        <v>2</v>
      </c>
      <c r="C6" s="1">
        <f>(39*10^5)/0.09</f>
        <v>43333333.333333336</v>
      </c>
      <c r="D6" s="1">
        <f>(37*10^5)/0.09</f>
        <v>41111111.111111112</v>
      </c>
      <c r="E6" s="1">
        <f>D6/C6</f>
        <v>0.94871794871794868</v>
      </c>
      <c r="F6" s="1">
        <f>(130*10^4)/0.09</f>
        <v>14444444.444444446</v>
      </c>
      <c r="G6" s="1">
        <f>(99*10^4)/0.09</f>
        <v>11000000</v>
      </c>
      <c r="H6" s="1">
        <f>G6/F6</f>
        <v>0.7615384615384615</v>
      </c>
      <c r="I6" s="1">
        <f>(89*10^5)/0.09</f>
        <v>98888888.888888896</v>
      </c>
      <c r="J6" s="1">
        <f>(62*10^5)/0.09</f>
        <v>68888888.888888896</v>
      </c>
      <c r="K6" s="1">
        <f>J6/I6</f>
        <v>0.6966292134831461</v>
      </c>
      <c r="P6" s="1">
        <v>2</v>
      </c>
      <c r="Q6" s="1">
        <f t="shared" ref="Q6:Q7" si="0">C6/100</f>
        <v>433333.33333333337</v>
      </c>
      <c r="R6" s="1">
        <f t="shared" ref="R6:R7" si="1">F6</f>
        <v>14444444.444444446</v>
      </c>
      <c r="S6" s="1">
        <f t="shared" ref="S6:S7" si="2">I6</f>
        <v>98888888.888888896</v>
      </c>
      <c r="T6" s="1">
        <v>2</v>
      </c>
      <c r="U6" s="1">
        <f t="shared" ref="U6:U7" si="3">E6</f>
        <v>0.94871794871794868</v>
      </c>
      <c r="V6" s="1">
        <f t="shared" ref="V6:V7" si="4">H6</f>
        <v>0.7615384615384615</v>
      </c>
      <c r="W6" s="1">
        <f t="shared" ref="W6:W7" si="5">K6</f>
        <v>0.6966292134831461</v>
      </c>
    </row>
    <row r="7" spans="1:23" x14ac:dyDescent="0.25">
      <c r="A7" s="10"/>
      <c r="B7" s="1">
        <v>3</v>
      </c>
      <c r="C7" s="1">
        <f>(38*10^5)/0.09</f>
        <v>42222222.222222224</v>
      </c>
      <c r="D7" s="1">
        <f>(36*10^5)/0.09</f>
        <v>40000000</v>
      </c>
      <c r="E7" s="1">
        <f t="shared" ref="E7" si="6">D7/C7</f>
        <v>0.94736842105263153</v>
      </c>
      <c r="F7" s="1">
        <f>(65*10^4)/0.09</f>
        <v>7222222.2222222229</v>
      </c>
      <c r="G7" s="1">
        <f>(47*10^4)/0.09</f>
        <v>5222222.222222222</v>
      </c>
      <c r="H7" s="1">
        <f t="shared" ref="H7" si="7">G7/F7</f>
        <v>0.72307692307692295</v>
      </c>
      <c r="I7" s="1">
        <f>(84*10^5)/0.09</f>
        <v>93333333.333333343</v>
      </c>
      <c r="J7" s="1">
        <f>(81*10^5)/0.09</f>
        <v>90000000</v>
      </c>
      <c r="K7" s="1">
        <f t="shared" ref="K7" si="8">J7/I7</f>
        <v>0.96428571428571419</v>
      </c>
      <c r="P7" s="1">
        <v>3</v>
      </c>
      <c r="Q7" s="1">
        <f t="shared" si="0"/>
        <v>422222.22222222225</v>
      </c>
      <c r="R7" s="1">
        <f t="shared" si="1"/>
        <v>7222222.2222222229</v>
      </c>
      <c r="S7" s="1">
        <f t="shared" si="2"/>
        <v>93333333.333333343</v>
      </c>
      <c r="T7" s="1">
        <v>3</v>
      </c>
      <c r="U7" s="1">
        <f t="shared" si="3"/>
        <v>0.94736842105263153</v>
      </c>
      <c r="V7" s="1">
        <f t="shared" si="4"/>
        <v>0.72307692307692295</v>
      </c>
      <c r="W7" s="1">
        <f t="shared" si="5"/>
        <v>0.96428571428571419</v>
      </c>
    </row>
    <row r="8" spans="1:23" s="2" customFormat="1" x14ac:dyDescent="0.25">
      <c r="B8" s="2" t="s">
        <v>16</v>
      </c>
      <c r="C8" s="2" t="s">
        <v>11</v>
      </c>
      <c r="D8" s="2" t="s">
        <v>12</v>
      </c>
      <c r="E8" s="2" t="s">
        <v>13</v>
      </c>
      <c r="F8" s="2" t="s">
        <v>11</v>
      </c>
      <c r="G8" s="2" t="s">
        <v>12</v>
      </c>
      <c r="H8" s="2" t="s">
        <v>13</v>
      </c>
      <c r="I8" s="2" t="s">
        <v>11</v>
      </c>
      <c r="J8" s="2" t="s">
        <v>12</v>
      </c>
      <c r="K8" s="2" t="s">
        <v>13</v>
      </c>
      <c r="M8" s="2">
        <v>0</v>
      </c>
      <c r="N8" s="2">
        <v>1</v>
      </c>
      <c r="O8" s="2">
        <v>2</v>
      </c>
      <c r="P8" s="1"/>
      <c r="Q8" s="2">
        <v>0</v>
      </c>
      <c r="R8" s="2">
        <v>1</v>
      </c>
      <c r="S8" s="2">
        <v>2</v>
      </c>
      <c r="U8" s="2">
        <v>0</v>
      </c>
      <c r="V8" s="2">
        <v>1</v>
      </c>
      <c r="W8" s="2">
        <v>2</v>
      </c>
    </row>
    <row r="9" spans="1:23" x14ac:dyDescent="0.25">
      <c r="A9" s="10" t="s">
        <v>14</v>
      </c>
      <c r="B9" s="1">
        <v>1</v>
      </c>
      <c r="C9" s="1">
        <f>(119*10^5)/0.09</f>
        <v>132222222.22222222</v>
      </c>
      <c r="D9" s="1">
        <f>(34*10^5)/0.09</f>
        <v>37777777.777777776</v>
      </c>
      <c r="E9" s="1">
        <f>D9/C9</f>
        <v>0.2857142857142857</v>
      </c>
      <c r="F9" s="1">
        <f>(64*10^4)/0.09</f>
        <v>7111111.111111111</v>
      </c>
      <c r="G9" s="1">
        <f>(13*10^3)/0.09</f>
        <v>144444.44444444444</v>
      </c>
      <c r="H9" s="1">
        <f>G9/F9</f>
        <v>2.0312500000000001E-2</v>
      </c>
      <c r="I9" s="1">
        <f>(108*10^5)/0.09</f>
        <v>120000000</v>
      </c>
      <c r="J9" s="1">
        <f>(7*10^5)/0.09</f>
        <v>7777777.777777778</v>
      </c>
      <c r="K9" s="1">
        <f>J9/I9</f>
        <v>6.4814814814814811E-2</v>
      </c>
      <c r="L9" s="1" t="s">
        <v>17</v>
      </c>
      <c r="M9" s="1">
        <f>AVERAGE(C9:C11)/100</f>
        <v>1233333.3333333333</v>
      </c>
      <c r="N9" s="1">
        <f>AVERAGE(F9:F11)</f>
        <v>14185185.185185185</v>
      </c>
      <c r="O9" s="1">
        <f>AVERAGE(I9:I11)</f>
        <v>252592592.59259263</v>
      </c>
      <c r="P9" s="1">
        <v>1</v>
      </c>
      <c r="Q9" s="1">
        <f>C9/100</f>
        <v>1322222.2222222222</v>
      </c>
      <c r="R9" s="1">
        <f>F9</f>
        <v>7111111.111111111</v>
      </c>
      <c r="S9" s="1">
        <f>I9</f>
        <v>120000000</v>
      </c>
      <c r="T9" s="1">
        <v>1</v>
      </c>
      <c r="U9" s="1">
        <f>E9</f>
        <v>0.2857142857142857</v>
      </c>
      <c r="V9" s="1">
        <f>H9</f>
        <v>2.0312500000000001E-2</v>
      </c>
      <c r="W9" s="1">
        <f>K9</f>
        <v>6.4814814814814811E-2</v>
      </c>
    </row>
    <row r="10" spans="1:23" x14ac:dyDescent="0.25">
      <c r="A10" s="10"/>
      <c r="B10" s="1">
        <v>2</v>
      </c>
      <c r="C10" s="1">
        <f>(102*10^5)/0.09</f>
        <v>113333333.33333334</v>
      </c>
      <c r="D10" s="1">
        <f>(251*10^4)/0.09</f>
        <v>27888888.888888888</v>
      </c>
      <c r="E10" s="1">
        <f>D10/C10</f>
        <v>0.24607843137254898</v>
      </c>
      <c r="F10" s="1">
        <f>(104*10^4)/0.09</f>
        <v>11555555.555555556</v>
      </c>
      <c r="G10" s="1">
        <f>(33*10^3)/0.09</f>
        <v>366666.66666666669</v>
      </c>
      <c r="H10" s="1">
        <f t="shared" ref="H10:H11" si="9">G10/F10</f>
        <v>3.1730769230769229E-2</v>
      </c>
      <c r="I10" s="1">
        <f>(192*10^5)/0.09</f>
        <v>213333333.33333334</v>
      </c>
      <c r="J10" s="1">
        <f>(44*10^4)/0.09</f>
        <v>4888888.888888889</v>
      </c>
      <c r="K10" s="1">
        <f t="shared" ref="K10:K11" si="10">J10/I10</f>
        <v>2.2916666666666665E-2</v>
      </c>
      <c r="P10" s="1">
        <v>2</v>
      </c>
      <c r="Q10" s="1">
        <f t="shared" ref="Q10:Q11" si="11">C10/100</f>
        <v>1133333.3333333335</v>
      </c>
      <c r="R10" s="1">
        <f t="shared" ref="R10:R11" si="12">F10</f>
        <v>11555555.555555556</v>
      </c>
      <c r="S10" s="1">
        <f t="shared" ref="S10:S11" si="13">I10</f>
        <v>213333333.33333334</v>
      </c>
      <c r="T10" s="1">
        <v>2</v>
      </c>
      <c r="U10" s="1">
        <f t="shared" ref="U10:U11" si="14">E10</f>
        <v>0.24607843137254898</v>
      </c>
      <c r="V10" s="1">
        <f t="shared" ref="V10:V11" si="15">H10</f>
        <v>3.1730769230769229E-2</v>
      </c>
      <c r="W10" s="1">
        <f t="shared" ref="W10:W11" si="16">K10</f>
        <v>2.2916666666666665E-2</v>
      </c>
    </row>
    <row r="11" spans="1:23" x14ac:dyDescent="0.25">
      <c r="A11" s="10"/>
      <c r="B11" s="1">
        <v>3</v>
      </c>
      <c r="C11" s="1">
        <f>(112*10^5)/0.09</f>
        <v>124444444.44444445</v>
      </c>
      <c r="D11" s="1">
        <f>(33*10^5)/0.09</f>
        <v>36666666.666666672</v>
      </c>
      <c r="E11" s="1">
        <f t="shared" ref="E11" si="17">D11/C11</f>
        <v>0.29464285714285715</v>
      </c>
      <c r="F11" s="1">
        <f>(215*10^4)/0.09</f>
        <v>23888888.888888888</v>
      </c>
      <c r="G11" s="1">
        <f>(9*10^4)/0.09</f>
        <v>1000000</v>
      </c>
      <c r="H11" s="1">
        <f t="shared" si="9"/>
        <v>4.1860465116279069E-2</v>
      </c>
      <c r="I11" s="1">
        <f>(382*10^5)/0.09</f>
        <v>424444444.44444448</v>
      </c>
      <c r="J11" s="1">
        <f>(106*10^4)/0.09</f>
        <v>11777777.777777778</v>
      </c>
      <c r="K11" s="1">
        <f t="shared" si="10"/>
        <v>2.7748691099476436E-2</v>
      </c>
      <c r="P11" s="1">
        <v>3</v>
      </c>
      <c r="Q11" s="1">
        <f t="shared" si="11"/>
        <v>1244444.4444444445</v>
      </c>
      <c r="R11" s="1">
        <f t="shared" si="12"/>
        <v>23888888.888888888</v>
      </c>
      <c r="S11" s="1">
        <f t="shared" si="13"/>
        <v>424444444.44444448</v>
      </c>
      <c r="T11" s="1">
        <v>3</v>
      </c>
      <c r="U11" s="1">
        <f t="shared" si="14"/>
        <v>0.29464285714285715</v>
      </c>
      <c r="V11" s="1">
        <f t="shared" si="15"/>
        <v>4.1860465116279069E-2</v>
      </c>
      <c r="W11" s="1">
        <f t="shared" si="16"/>
        <v>2.7748691099476436E-2</v>
      </c>
    </row>
    <row r="12" spans="1:23" s="2" customFormat="1" x14ac:dyDescent="0.25">
      <c r="B12" s="2" t="s">
        <v>18</v>
      </c>
      <c r="C12" s="2" t="s">
        <v>11</v>
      </c>
      <c r="D12" s="2" t="s">
        <v>12</v>
      </c>
      <c r="E12" s="2" t="s">
        <v>13</v>
      </c>
      <c r="F12" s="2" t="s">
        <v>11</v>
      </c>
      <c r="G12" s="2" t="s">
        <v>12</v>
      </c>
      <c r="H12" s="2" t="s">
        <v>13</v>
      </c>
      <c r="I12" s="2" t="s">
        <v>11</v>
      </c>
      <c r="J12" s="2" t="s">
        <v>12</v>
      </c>
      <c r="K12" s="2" t="s">
        <v>13</v>
      </c>
      <c r="M12" s="2">
        <v>0</v>
      </c>
      <c r="N12" s="2">
        <v>1</v>
      </c>
      <c r="O12" s="2">
        <v>2</v>
      </c>
      <c r="P12" s="1"/>
      <c r="Q12" s="2">
        <v>0</v>
      </c>
      <c r="R12" s="2">
        <v>1</v>
      </c>
      <c r="S12" s="2">
        <v>2</v>
      </c>
      <c r="U12" s="2">
        <v>0</v>
      </c>
      <c r="V12" s="2">
        <v>1</v>
      </c>
      <c r="W12" s="2">
        <v>2</v>
      </c>
    </row>
    <row r="13" spans="1:23" x14ac:dyDescent="0.25">
      <c r="A13" s="10" t="s">
        <v>14</v>
      </c>
      <c r="B13" s="1">
        <v>1</v>
      </c>
      <c r="C13" s="1">
        <f>(72*10^5)/0.029</f>
        <v>248275862.06896549</v>
      </c>
      <c r="D13" s="1">
        <f>(25*10^5)/0.029</f>
        <v>86206896.551724136</v>
      </c>
      <c r="E13" s="1">
        <f>D13/C13</f>
        <v>0.34722222222222227</v>
      </c>
      <c r="F13" s="1">
        <f>(25*10^4)/0.09</f>
        <v>2777777.777777778</v>
      </c>
      <c r="G13" s="1">
        <f>(50*10^3)/0.09</f>
        <v>555555.55555555562</v>
      </c>
      <c r="H13" s="1">
        <f>G13/F13</f>
        <v>0.2</v>
      </c>
      <c r="I13" s="1">
        <f>(17*10^5)/0.09</f>
        <v>18888888.888888888</v>
      </c>
      <c r="J13" s="1">
        <f>(4*10^5)/0.09</f>
        <v>4444444.444444445</v>
      </c>
      <c r="K13" s="1">
        <f>J13/I13</f>
        <v>0.23529411764705885</v>
      </c>
      <c r="L13" s="1" t="s">
        <v>19</v>
      </c>
      <c r="M13" s="1">
        <f>AVERAGE(C13:C15)/100</f>
        <v>1632183.9080459771</v>
      </c>
      <c r="N13" s="1">
        <f>AVERAGE(F13:F15)</f>
        <v>2777777.777777778</v>
      </c>
      <c r="O13" s="1">
        <f>AVERAGE(I13:I15)</f>
        <v>28888888.888888892</v>
      </c>
      <c r="P13" s="1">
        <v>1</v>
      </c>
      <c r="Q13" s="1">
        <f>C13/100</f>
        <v>2482758.6206896547</v>
      </c>
      <c r="R13" s="1">
        <f>F13</f>
        <v>2777777.777777778</v>
      </c>
      <c r="S13" s="1">
        <f>I13</f>
        <v>18888888.888888888</v>
      </c>
      <c r="T13" s="1">
        <v>1</v>
      </c>
      <c r="U13" s="1">
        <f>E13</f>
        <v>0.34722222222222227</v>
      </c>
      <c r="V13" s="1">
        <f>H13</f>
        <v>0.2</v>
      </c>
      <c r="W13" s="1">
        <f>K13</f>
        <v>0.23529411764705885</v>
      </c>
    </row>
    <row r="14" spans="1:23" x14ac:dyDescent="0.25">
      <c r="A14" s="10"/>
      <c r="B14" s="1">
        <v>2</v>
      </c>
      <c r="C14" s="1">
        <f>(41*10^5)/0.029</f>
        <v>141379310.34482759</v>
      </c>
      <c r="D14" s="1">
        <f>(16*10^5)/0.029</f>
        <v>55172413.793103449</v>
      </c>
      <c r="E14" s="1">
        <f t="shared" ref="E14:E15" si="18">D14/C14</f>
        <v>0.3902439024390244</v>
      </c>
      <c r="F14" s="1">
        <f>(18*10^4)/0.09</f>
        <v>2000000</v>
      </c>
      <c r="G14" s="1">
        <f>(48*10^3)/0.09</f>
        <v>533333.33333333337</v>
      </c>
      <c r="H14" s="1">
        <f t="shared" ref="H14:H15" si="19">G14/F14</f>
        <v>0.26666666666666666</v>
      </c>
      <c r="I14" s="1">
        <f>(11*10^5)/0.09</f>
        <v>12222222.222222222</v>
      </c>
      <c r="J14" s="1">
        <f>(19*10^4)/0.09</f>
        <v>2111111.111111111</v>
      </c>
      <c r="K14" s="1">
        <f t="shared" ref="K14:K15" si="20">J14/I14</f>
        <v>0.17272727272727273</v>
      </c>
      <c r="P14" s="1">
        <v>2</v>
      </c>
      <c r="Q14" s="1">
        <f t="shared" ref="Q14:Q15" si="21">C14/100</f>
        <v>1413793.1034482759</v>
      </c>
      <c r="R14" s="1">
        <f t="shared" ref="R14:R15" si="22">F14</f>
        <v>2000000</v>
      </c>
      <c r="S14" s="1">
        <f t="shared" ref="S14:S15" si="23">I14</f>
        <v>12222222.222222222</v>
      </c>
      <c r="T14" s="1">
        <v>2</v>
      </c>
      <c r="U14" s="1">
        <f t="shared" ref="U14:U15" si="24">E14</f>
        <v>0.3902439024390244</v>
      </c>
      <c r="V14" s="1">
        <f t="shared" ref="V14:V15" si="25">H14</f>
        <v>0.26666666666666666</v>
      </c>
      <c r="W14" s="1">
        <f t="shared" ref="W14:W15" si="26">K14</f>
        <v>0.17272727272727273</v>
      </c>
    </row>
    <row r="15" spans="1:23" x14ac:dyDescent="0.25">
      <c r="A15" s="10"/>
      <c r="B15" s="1">
        <v>3</v>
      </c>
      <c r="C15" s="1">
        <f>(29*10^5)/0.029</f>
        <v>100000000</v>
      </c>
      <c r="D15" s="1">
        <f>(3*10^5)/0.029</f>
        <v>10344827.586206896</v>
      </c>
      <c r="E15" s="1">
        <f t="shared" si="18"/>
        <v>0.10344827586206896</v>
      </c>
      <c r="F15" s="1">
        <f>(32*10^4)/0.09</f>
        <v>3555555.5555555555</v>
      </c>
      <c r="G15" s="1">
        <f>(28*10^3)/0.09</f>
        <v>311111.11111111112</v>
      </c>
      <c r="H15" s="1">
        <f t="shared" si="19"/>
        <v>8.7500000000000008E-2</v>
      </c>
      <c r="I15" s="1">
        <f>(50*10^5)/0.09</f>
        <v>55555555.55555556</v>
      </c>
      <c r="J15" s="1">
        <f>(28*10^4)/0.09</f>
        <v>3111111.111111111</v>
      </c>
      <c r="K15" s="1">
        <f t="shared" si="20"/>
        <v>5.5999999999999994E-2</v>
      </c>
      <c r="P15" s="1">
        <v>3</v>
      </c>
      <c r="Q15" s="1">
        <f t="shared" si="21"/>
        <v>1000000</v>
      </c>
      <c r="R15" s="1">
        <f t="shared" si="22"/>
        <v>3555555.5555555555</v>
      </c>
      <c r="S15" s="1">
        <f t="shared" si="23"/>
        <v>55555555.55555556</v>
      </c>
      <c r="T15" s="1">
        <v>3</v>
      </c>
      <c r="U15" s="1">
        <f t="shared" si="24"/>
        <v>0.10344827586206896</v>
      </c>
      <c r="V15" s="1">
        <f t="shared" si="25"/>
        <v>8.7500000000000008E-2</v>
      </c>
      <c r="W15" s="1">
        <f t="shared" si="26"/>
        <v>5.5999999999999994E-2</v>
      </c>
    </row>
    <row r="16" spans="1:23" s="2" customFormat="1" x14ac:dyDescent="0.25">
      <c r="B16" s="2" t="s">
        <v>20</v>
      </c>
      <c r="C16" s="2" t="s">
        <v>11</v>
      </c>
      <c r="D16" s="2" t="s">
        <v>12</v>
      </c>
      <c r="E16" s="2" t="s">
        <v>13</v>
      </c>
      <c r="F16" s="2" t="s">
        <v>11</v>
      </c>
      <c r="G16" s="2" t="s">
        <v>12</v>
      </c>
      <c r="H16" s="2" t="s">
        <v>13</v>
      </c>
      <c r="I16" s="2" t="s">
        <v>11</v>
      </c>
      <c r="J16" s="2" t="s">
        <v>12</v>
      </c>
      <c r="K16" s="2" t="s">
        <v>13</v>
      </c>
      <c r="M16" s="2">
        <v>0</v>
      </c>
      <c r="N16" s="2">
        <v>1</v>
      </c>
      <c r="O16" s="2">
        <v>2</v>
      </c>
      <c r="P16" s="1"/>
      <c r="Q16" s="2">
        <v>0</v>
      </c>
      <c r="R16" s="2">
        <v>1</v>
      </c>
      <c r="S16" s="2">
        <v>2</v>
      </c>
      <c r="U16" s="2">
        <v>0</v>
      </c>
      <c r="V16" s="2">
        <v>1</v>
      </c>
      <c r="W16" s="2">
        <v>2</v>
      </c>
    </row>
    <row r="17" spans="1:23" x14ac:dyDescent="0.25">
      <c r="A17" s="10" t="s">
        <v>14</v>
      </c>
      <c r="B17" s="3">
        <v>1</v>
      </c>
      <c r="C17" s="1">
        <f>(151*10^5)/0.09</f>
        <v>167777777.77777779</v>
      </c>
      <c r="D17" s="1">
        <f>(88*10^5)/0.09</f>
        <v>97777777.777777776</v>
      </c>
      <c r="E17" s="1">
        <f>D17/C17</f>
        <v>0.58278145695364236</v>
      </c>
      <c r="F17" s="1">
        <f>(14*10^4)/0.09</f>
        <v>1555555.5555555555</v>
      </c>
      <c r="G17" s="1">
        <f>(4*10^4)/0.09</f>
        <v>444444.44444444444</v>
      </c>
      <c r="H17" s="1">
        <f>G17/F17</f>
        <v>0.2857142857142857</v>
      </c>
      <c r="I17" s="1">
        <f>(6*10^5)/0.09</f>
        <v>6666666.666666667</v>
      </c>
      <c r="J17" s="1">
        <f>(4*10^5)/0.09</f>
        <v>4444444.444444445</v>
      </c>
      <c r="K17" s="1">
        <f>J17/I17</f>
        <v>0.66666666666666674</v>
      </c>
      <c r="L17" s="1" t="s">
        <v>21</v>
      </c>
      <c r="M17" s="1">
        <f>AVERAGE(C17:C19)/100</f>
        <v>1977777.777777778</v>
      </c>
      <c r="N17" s="1">
        <f>AVERAGE(F17:F19)</f>
        <v>3481481.4814814813</v>
      </c>
      <c r="O17" s="1">
        <f>AVERAGE(I17:I19)</f>
        <v>16666666.666666666</v>
      </c>
      <c r="P17" s="1">
        <v>1</v>
      </c>
      <c r="Q17" s="1">
        <f>C17/100</f>
        <v>1677777.777777778</v>
      </c>
      <c r="R17" s="1">
        <f>F17</f>
        <v>1555555.5555555555</v>
      </c>
      <c r="S17" s="1">
        <f>I17</f>
        <v>6666666.666666667</v>
      </c>
      <c r="T17" s="1">
        <v>1</v>
      </c>
      <c r="U17" s="1">
        <f>E17</f>
        <v>0.58278145695364236</v>
      </c>
      <c r="V17" s="1">
        <f>H17</f>
        <v>0.2857142857142857</v>
      </c>
      <c r="W17" s="1">
        <f>K17</f>
        <v>0.66666666666666674</v>
      </c>
    </row>
    <row r="18" spans="1:23" x14ac:dyDescent="0.25">
      <c r="A18" s="10"/>
      <c r="B18" s="3">
        <v>2</v>
      </c>
      <c r="C18" s="1">
        <f>(190*10^5)/0.09</f>
        <v>211111111.1111111</v>
      </c>
      <c r="D18" s="1">
        <f>(183*10^5)/0.09</f>
        <v>203333333.33333334</v>
      </c>
      <c r="E18" s="1">
        <f t="shared" ref="E18:E19" si="27">D18/C18</f>
        <v>0.96315789473684221</v>
      </c>
      <c r="F18" s="1">
        <f>(47*10^4)/0.09</f>
        <v>5222222.222222222</v>
      </c>
      <c r="G18" s="1">
        <f>(26*10^3)/0.09</f>
        <v>288888.88888888888</v>
      </c>
      <c r="H18" s="1">
        <f t="shared" ref="H18:H19" si="28">G18/F18</f>
        <v>5.5319148936170209E-2</v>
      </c>
      <c r="I18" s="1">
        <f>(27*10^5)/0.09</f>
        <v>30000000</v>
      </c>
      <c r="J18" s="1">
        <f>(10*10^4)/0.09</f>
        <v>1111111.1111111112</v>
      </c>
      <c r="K18" s="1">
        <f t="shared" ref="K18:K19" si="29">J18/I18</f>
        <v>3.7037037037037042E-2</v>
      </c>
      <c r="P18" s="1">
        <v>2</v>
      </c>
      <c r="Q18" s="1">
        <f t="shared" ref="Q18:Q19" si="30">C18/100</f>
        <v>2111111.111111111</v>
      </c>
      <c r="R18" s="1">
        <f t="shared" ref="R18:R19" si="31">F18</f>
        <v>5222222.222222222</v>
      </c>
      <c r="S18" s="1">
        <f t="shared" ref="S18:S19" si="32">I18</f>
        <v>30000000</v>
      </c>
      <c r="T18" s="1">
        <v>2</v>
      </c>
      <c r="U18" s="1">
        <f t="shared" ref="U18:U19" si="33">E18</f>
        <v>0.96315789473684221</v>
      </c>
      <c r="V18" s="1">
        <f t="shared" ref="V18:V19" si="34">H18</f>
        <v>5.5319148936170209E-2</v>
      </c>
      <c r="W18" s="1">
        <f t="shared" ref="W18:W19" si="35">K18</f>
        <v>3.7037037037037042E-2</v>
      </c>
    </row>
    <row r="19" spans="1:23" x14ac:dyDescent="0.25">
      <c r="A19" s="10"/>
      <c r="B19" s="3">
        <v>3</v>
      </c>
      <c r="C19" s="1">
        <f>(193*10^5)/0.09</f>
        <v>214444444.44444445</v>
      </c>
      <c r="D19" s="1">
        <f>(178*10^5)/0.09</f>
        <v>197777777.77777779</v>
      </c>
      <c r="E19" s="1">
        <f t="shared" si="27"/>
        <v>0.92227979274611405</v>
      </c>
      <c r="F19" s="1">
        <f>(33*10^4)/0.09</f>
        <v>3666666.666666667</v>
      </c>
      <c r="G19" s="1">
        <f>(20*10^3)/0.09</f>
        <v>222222.22222222222</v>
      </c>
      <c r="H19" s="1">
        <f t="shared" si="28"/>
        <v>6.0606060606060601E-2</v>
      </c>
      <c r="I19" s="1">
        <f>(12*10^5)/0.09</f>
        <v>13333333.333333334</v>
      </c>
      <c r="J19" s="1">
        <f>(8*10^4)/0.09</f>
        <v>888888.88888888888</v>
      </c>
      <c r="K19" s="1">
        <f t="shared" si="29"/>
        <v>6.6666666666666666E-2</v>
      </c>
      <c r="P19" s="1">
        <v>3</v>
      </c>
      <c r="Q19" s="1">
        <f t="shared" si="30"/>
        <v>2144444.4444444445</v>
      </c>
      <c r="R19" s="1">
        <f t="shared" si="31"/>
        <v>3666666.666666667</v>
      </c>
      <c r="S19" s="1">
        <f t="shared" si="32"/>
        <v>13333333.333333334</v>
      </c>
      <c r="T19" s="1">
        <v>3</v>
      </c>
      <c r="U19" s="1">
        <f t="shared" si="33"/>
        <v>0.92227979274611405</v>
      </c>
      <c r="V19" s="1">
        <f t="shared" si="34"/>
        <v>6.0606060606060601E-2</v>
      </c>
      <c r="W19" s="1">
        <f t="shared" si="35"/>
        <v>6.6666666666666666E-2</v>
      </c>
    </row>
    <row r="20" spans="1:23" s="2" customFormat="1" x14ac:dyDescent="0.25">
      <c r="B20" s="2" t="s">
        <v>22</v>
      </c>
      <c r="C20" s="2" t="s">
        <v>11</v>
      </c>
      <c r="D20" s="2" t="s">
        <v>12</v>
      </c>
      <c r="E20" s="2" t="s">
        <v>13</v>
      </c>
      <c r="F20" s="2" t="s">
        <v>11</v>
      </c>
      <c r="G20" s="2" t="s">
        <v>12</v>
      </c>
      <c r="H20" s="2" t="s">
        <v>13</v>
      </c>
      <c r="I20" s="2" t="s">
        <v>11</v>
      </c>
      <c r="J20" s="2" t="s">
        <v>12</v>
      </c>
      <c r="K20" s="2" t="s">
        <v>13</v>
      </c>
      <c r="M20" s="2">
        <v>0</v>
      </c>
      <c r="N20" s="2">
        <v>1</v>
      </c>
      <c r="O20" s="2">
        <v>2</v>
      </c>
      <c r="P20" s="1"/>
      <c r="Q20" s="2">
        <v>0</v>
      </c>
      <c r="R20" s="2">
        <v>1</v>
      </c>
      <c r="S20" s="2">
        <v>2</v>
      </c>
      <c r="U20" s="2">
        <v>0</v>
      </c>
      <c r="V20" s="2">
        <v>1</v>
      </c>
      <c r="W20" s="2">
        <v>2</v>
      </c>
    </row>
    <row r="21" spans="1:23" x14ac:dyDescent="0.25">
      <c r="A21" s="10" t="s">
        <v>14</v>
      </c>
      <c r="B21" s="3">
        <v>1</v>
      </c>
      <c r="C21" s="1">
        <f>(59*10^5)/0.09</f>
        <v>65555555.55555556</v>
      </c>
      <c r="D21" s="3">
        <v>0</v>
      </c>
      <c r="E21" s="3">
        <v>0</v>
      </c>
      <c r="F21" s="3">
        <v>1060000</v>
      </c>
      <c r="G21" s="3">
        <v>0</v>
      </c>
      <c r="H21" s="3">
        <v>0</v>
      </c>
      <c r="I21" s="3">
        <v>6900000</v>
      </c>
      <c r="J21" s="3">
        <v>0</v>
      </c>
      <c r="K21" s="3">
        <v>0</v>
      </c>
      <c r="L21" s="1" t="s">
        <v>23</v>
      </c>
      <c r="M21" s="1">
        <f>AVERAGE(C21:C23)/100</f>
        <v>662962.96296296304</v>
      </c>
      <c r="N21" s="1">
        <f>AVERAGE(F21:F23)</f>
        <v>1030000</v>
      </c>
      <c r="O21" s="1">
        <f>AVERAGE(I21:I23)</f>
        <v>6700000</v>
      </c>
      <c r="P21" s="1">
        <v>1</v>
      </c>
      <c r="Q21" s="1">
        <f>C21/100</f>
        <v>655555.55555555562</v>
      </c>
      <c r="R21" s="1">
        <f>F21</f>
        <v>1060000</v>
      </c>
      <c r="S21" s="1">
        <f>I21</f>
        <v>6900000</v>
      </c>
      <c r="T21" s="1">
        <v>1</v>
      </c>
      <c r="U21" s="1">
        <f>E21</f>
        <v>0</v>
      </c>
      <c r="V21" s="1">
        <f>H21</f>
        <v>0</v>
      </c>
      <c r="W21" s="1">
        <f>K21</f>
        <v>0</v>
      </c>
    </row>
    <row r="22" spans="1:23" x14ac:dyDescent="0.25">
      <c r="A22" s="10"/>
      <c r="B22" s="3">
        <v>2</v>
      </c>
      <c r="C22" s="1">
        <f>(38*10^5)/0.09</f>
        <v>42222222.222222224</v>
      </c>
      <c r="D22" s="3">
        <v>0</v>
      </c>
      <c r="E22" s="3">
        <v>0</v>
      </c>
      <c r="F22" s="3">
        <v>940000</v>
      </c>
      <c r="G22" s="3">
        <v>0</v>
      </c>
      <c r="H22" s="3">
        <v>0</v>
      </c>
      <c r="I22" s="3">
        <v>5700000</v>
      </c>
      <c r="J22" s="3">
        <v>0</v>
      </c>
      <c r="K22" s="3">
        <v>0</v>
      </c>
      <c r="P22" s="1">
        <v>2</v>
      </c>
      <c r="Q22" s="1">
        <f t="shared" ref="Q22:Q23" si="36">C22/100</f>
        <v>422222.22222222225</v>
      </c>
      <c r="R22" s="1">
        <f t="shared" ref="R22:R23" si="37">F22</f>
        <v>940000</v>
      </c>
      <c r="S22" s="1">
        <f t="shared" ref="S22:S23" si="38">I22</f>
        <v>5700000</v>
      </c>
      <c r="T22" s="1">
        <v>2</v>
      </c>
      <c r="U22" s="1">
        <f t="shared" ref="U22:U23" si="39">E22</f>
        <v>0</v>
      </c>
      <c r="V22" s="1">
        <f t="shared" ref="V22:V23" si="40">H22</f>
        <v>0</v>
      </c>
      <c r="W22" s="1">
        <f t="shared" ref="W22:W23" si="41">K22</f>
        <v>0</v>
      </c>
    </row>
    <row r="23" spans="1:23" x14ac:dyDescent="0.25">
      <c r="A23" s="10"/>
      <c r="B23" s="3">
        <v>3</v>
      </c>
      <c r="C23" s="1">
        <f>(82*10^5)/0.09</f>
        <v>91111111.111111119</v>
      </c>
      <c r="D23" s="1">
        <f>(260*10^3)/0.1</f>
        <v>2600000</v>
      </c>
      <c r="E23" s="3">
        <v>9.4545450000000003E-2</v>
      </c>
      <c r="F23" s="3">
        <v>1090000</v>
      </c>
      <c r="G23" s="3">
        <v>298000</v>
      </c>
      <c r="H23" s="3">
        <v>0.27339449999999998</v>
      </c>
      <c r="I23" s="3">
        <v>7500000</v>
      </c>
      <c r="J23" s="3">
        <v>430000</v>
      </c>
      <c r="K23" s="3">
        <v>5.7333330000000002E-2</v>
      </c>
      <c r="P23" s="1">
        <v>3</v>
      </c>
      <c r="Q23" s="1">
        <f t="shared" si="36"/>
        <v>911111.11111111124</v>
      </c>
      <c r="R23" s="1">
        <f t="shared" si="37"/>
        <v>1090000</v>
      </c>
      <c r="S23" s="1">
        <f t="shared" si="38"/>
        <v>7500000</v>
      </c>
      <c r="T23" s="1">
        <v>3</v>
      </c>
      <c r="U23" s="1">
        <f t="shared" si="39"/>
        <v>9.4545450000000003E-2</v>
      </c>
      <c r="V23" s="1">
        <f t="shared" si="40"/>
        <v>0.27339449999999998</v>
      </c>
      <c r="W23" s="1">
        <f t="shared" si="41"/>
        <v>5.7333330000000002E-2</v>
      </c>
    </row>
    <row r="24" spans="1:23" s="2" customFormat="1" x14ac:dyDescent="0.25">
      <c r="B24" s="2" t="s">
        <v>24</v>
      </c>
      <c r="C24" s="2" t="s">
        <v>11</v>
      </c>
      <c r="D24" s="2" t="s">
        <v>12</v>
      </c>
      <c r="E24" s="2" t="s">
        <v>13</v>
      </c>
      <c r="F24" s="2" t="s">
        <v>11</v>
      </c>
      <c r="G24" s="2" t="s">
        <v>12</v>
      </c>
      <c r="H24" s="2" t="s">
        <v>13</v>
      </c>
      <c r="I24" s="2" t="s">
        <v>11</v>
      </c>
      <c r="J24" s="2" t="s">
        <v>12</v>
      </c>
      <c r="K24" s="2" t="s">
        <v>13</v>
      </c>
      <c r="M24" s="2">
        <v>0</v>
      </c>
      <c r="N24" s="2">
        <v>1</v>
      </c>
      <c r="O24" s="2">
        <v>2</v>
      </c>
      <c r="P24" s="1"/>
      <c r="Q24" s="2">
        <v>0</v>
      </c>
      <c r="R24" s="2">
        <v>1</v>
      </c>
      <c r="S24" s="2">
        <v>2</v>
      </c>
      <c r="U24" s="2">
        <v>0</v>
      </c>
      <c r="V24" s="2">
        <v>1</v>
      </c>
      <c r="W24" s="2">
        <v>2</v>
      </c>
    </row>
    <row r="25" spans="1:23" x14ac:dyDescent="0.25">
      <c r="A25" s="10" t="s">
        <v>14</v>
      </c>
      <c r="B25" s="3">
        <v>1</v>
      </c>
      <c r="C25" s="1">
        <f>(70*10^5)/0.1</f>
        <v>70000000</v>
      </c>
      <c r="D25" s="1">
        <f>(145*10^4)/0.1</f>
        <v>14500000</v>
      </c>
      <c r="E25" s="1">
        <f>D25/C25</f>
        <v>0.20714285714285716</v>
      </c>
      <c r="F25" s="1">
        <f>(189*10^3)/0.1</f>
        <v>1890000</v>
      </c>
      <c r="G25" s="1">
        <f>(160*10^2)/0.1</f>
        <v>160000</v>
      </c>
      <c r="H25" s="1">
        <f>G25/F25</f>
        <v>8.4656084656084651E-2</v>
      </c>
      <c r="I25" s="1">
        <f>(55*10^4)/0.1</f>
        <v>5500000</v>
      </c>
      <c r="J25" s="1">
        <f>(31*10^3)/0.1</f>
        <v>310000</v>
      </c>
      <c r="K25" s="1">
        <f>J25/I25</f>
        <v>5.6363636363636366E-2</v>
      </c>
      <c r="L25" s="1" t="s">
        <v>25</v>
      </c>
      <c r="M25" s="1">
        <f>AVERAGE(C25:C27)/100</f>
        <v>730000</v>
      </c>
      <c r="N25" s="1">
        <f>AVERAGE(F25:F27)</f>
        <v>1483333.3333333333</v>
      </c>
      <c r="O25" s="1">
        <f>AVERAGE(I25:I27)</f>
        <v>6100000</v>
      </c>
      <c r="P25" s="1">
        <v>1</v>
      </c>
      <c r="Q25" s="1">
        <f>C25/100</f>
        <v>700000</v>
      </c>
      <c r="R25" s="1">
        <f>F25</f>
        <v>1890000</v>
      </c>
      <c r="S25" s="1">
        <f>I25</f>
        <v>5500000</v>
      </c>
      <c r="T25" s="1">
        <v>1</v>
      </c>
      <c r="U25" s="1">
        <f>E25</f>
        <v>0.20714285714285716</v>
      </c>
      <c r="V25" s="1">
        <f>H25</f>
        <v>8.4656084656084651E-2</v>
      </c>
      <c r="W25" s="1">
        <f>K25</f>
        <v>5.6363636363636366E-2</v>
      </c>
    </row>
    <row r="26" spans="1:23" x14ac:dyDescent="0.25">
      <c r="A26" s="10"/>
      <c r="B26" s="3">
        <v>2</v>
      </c>
      <c r="C26" s="1">
        <f>(53*10^5)/0.1</f>
        <v>53000000</v>
      </c>
      <c r="D26" s="1">
        <f t="shared" ref="D26" si="42">(0*10)/0.1</f>
        <v>0</v>
      </c>
      <c r="E26" s="1">
        <f t="shared" ref="E26:E27" si="43">D26/C26</f>
        <v>0</v>
      </c>
      <c r="F26" s="1">
        <f>(130*10^3)/0.1</f>
        <v>1300000</v>
      </c>
      <c r="G26" s="1">
        <f t="shared" ref="G26" si="44">(0*10)/0.1</f>
        <v>0</v>
      </c>
      <c r="H26" s="1">
        <f t="shared" ref="H26:H27" si="45">G26/F26</f>
        <v>0</v>
      </c>
      <c r="I26" s="1">
        <f>(62*10^4)/0.1</f>
        <v>6200000</v>
      </c>
      <c r="J26" s="1">
        <f t="shared" ref="J26" si="46">(0*10)/0.1</f>
        <v>0</v>
      </c>
      <c r="K26" s="1">
        <f t="shared" ref="K26:K27" si="47">J26/I26</f>
        <v>0</v>
      </c>
      <c r="P26" s="1">
        <v>2</v>
      </c>
      <c r="Q26" s="1">
        <f t="shared" ref="Q26:Q27" si="48">C26/100</f>
        <v>530000</v>
      </c>
      <c r="R26" s="1">
        <f t="shared" ref="R26:R27" si="49">F26</f>
        <v>1300000</v>
      </c>
      <c r="S26" s="1">
        <f t="shared" ref="S26:S27" si="50">I26</f>
        <v>6200000</v>
      </c>
      <c r="T26" s="1">
        <v>2</v>
      </c>
      <c r="U26" s="1">
        <f t="shared" ref="U26:U27" si="51">E26</f>
        <v>0</v>
      </c>
      <c r="V26" s="1">
        <f t="shared" ref="V26:V27" si="52">H26</f>
        <v>0</v>
      </c>
      <c r="W26" s="1">
        <f t="shared" ref="W26:W27" si="53">K26</f>
        <v>0</v>
      </c>
    </row>
    <row r="27" spans="1:23" x14ac:dyDescent="0.25">
      <c r="A27" s="10"/>
      <c r="B27" s="3">
        <v>3</v>
      </c>
      <c r="C27" s="1">
        <f>(96*10^5)/0.1</f>
        <v>96000000</v>
      </c>
      <c r="D27" s="1">
        <f>(182*10^4)/0.1</f>
        <v>18200000</v>
      </c>
      <c r="E27" s="1">
        <f t="shared" si="43"/>
        <v>0.18958333333333333</v>
      </c>
      <c r="F27" s="1">
        <f>(126*10^3)/0.1</f>
        <v>1260000</v>
      </c>
      <c r="G27" s="1">
        <f>(113*10^2)/0.1</f>
        <v>113000</v>
      </c>
      <c r="H27" s="1">
        <f t="shared" si="45"/>
        <v>8.9682539682539683E-2</v>
      </c>
      <c r="I27" s="1">
        <f>(66*10^4)/0.1</f>
        <v>6600000</v>
      </c>
      <c r="J27" s="1">
        <f>(40*10^3)/0.1</f>
        <v>400000</v>
      </c>
      <c r="K27" s="1">
        <f t="shared" si="47"/>
        <v>6.0606060606060608E-2</v>
      </c>
      <c r="P27" s="1">
        <v>3</v>
      </c>
      <c r="Q27" s="1">
        <f t="shared" si="48"/>
        <v>960000</v>
      </c>
      <c r="R27" s="1">
        <f t="shared" si="49"/>
        <v>1260000</v>
      </c>
      <c r="S27" s="1">
        <f t="shared" si="50"/>
        <v>6600000</v>
      </c>
      <c r="T27" s="1">
        <v>3</v>
      </c>
      <c r="U27" s="1">
        <f t="shared" si="51"/>
        <v>0.18958333333333333</v>
      </c>
      <c r="V27" s="1">
        <f t="shared" si="52"/>
        <v>8.9682539682539683E-2</v>
      </c>
      <c r="W27" s="1">
        <f t="shared" si="53"/>
        <v>6.0606060606060608E-2</v>
      </c>
    </row>
    <row r="28" spans="1:23" s="2" customFormat="1" x14ac:dyDescent="0.25">
      <c r="B28" s="2" t="s">
        <v>26</v>
      </c>
      <c r="C28" s="2" t="s">
        <v>11</v>
      </c>
      <c r="D28" s="2" t="s">
        <v>12</v>
      </c>
      <c r="E28" s="2" t="s">
        <v>13</v>
      </c>
      <c r="F28" s="2" t="s">
        <v>11</v>
      </c>
      <c r="G28" s="2" t="s">
        <v>12</v>
      </c>
      <c r="H28" s="2" t="s">
        <v>13</v>
      </c>
      <c r="I28" s="2" t="s">
        <v>11</v>
      </c>
      <c r="J28" s="2" t="s">
        <v>12</v>
      </c>
      <c r="K28" s="2" t="s">
        <v>13</v>
      </c>
      <c r="M28" s="2">
        <v>0</v>
      </c>
      <c r="N28" s="2">
        <v>1</v>
      </c>
      <c r="O28" s="2">
        <v>2</v>
      </c>
      <c r="P28" s="1"/>
      <c r="Q28" s="2">
        <v>0</v>
      </c>
      <c r="R28" s="2">
        <v>1</v>
      </c>
      <c r="S28" s="2">
        <v>2</v>
      </c>
      <c r="U28" s="2">
        <v>0</v>
      </c>
      <c r="V28" s="2">
        <v>1</v>
      </c>
      <c r="W28" s="2">
        <v>2</v>
      </c>
    </row>
    <row r="29" spans="1:23" x14ac:dyDescent="0.25">
      <c r="A29" s="10" t="s">
        <v>14</v>
      </c>
      <c r="B29" s="3">
        <v>1</v>
      </c>
      <c r="C29" s="1">
        <f>(195*10^5)/0.09</f>
        <v>216666666.66666669</v>
      </c>
      <c r="D29" s="1">
        <f>(188*10^5)/0.09</f>
        <v>208888888.8888889</v>
      </c>
      <c r="E29" s="1">
        <f>D29/C29</f>
        <v>0.96410256410256401</v>
      </c>
      <c r="F29" s="1">
        <f>(27*10^4)/0.09</f>
        <v>3000000</v>
      </c>
      <c r="G29" s="1">
        <f>(21*10^4)/0.09</f>
        <v>2333333.3333333335</v>
      </c>
      <c r="H29" s="1">
        <f>G29/F29</f>
        <v>0.77777777777777779</v>
      </c>
      <c r="I29" s="1">
        <f>(15*10^5)/0.09</f>
        <v>16666666.666666668</v>
      </c>
      <c r="J29" s="1">
        <f>(8*10^5)/0.09</f>
        <v>8888888.8888888899</v>
      </c>
      <c r="K29" s="1">
        <f>J29/I29</f>
        <v>0.53333333333333333</v>
      </c>
      <c r="L29" s="1" t="s">
        <v>26</v>
      </c>
      <c r="M29" s="1">
        <f>AVERAGE(C29:C31)/100</f>
        <v>2170370.3703703703</v>
      </c>
      <c r="N29" s="1">
        <f>AVERAGE(F29:F31)</f>
        <v>3407407.4074074081</v>
      </c>
      <c r="O29" s="1">
        <f>AVERAGE(I29:I31)</f>
        <v>19629629.629629631</v>
      </c>
      <c r="P29" s="1">
        <v>1</v>
      </c>
      <c r="Q29" s="1">
        <f>C29/100</f>
        <v>2166666.666666667</v>
      </c>
      <c r="R29" s="1">
        <f>F29</f>
        <v>3000000</v>
      </c>
      <c r="S29" s="1">
        <f>I29</f>
        <v>16666666.666666668</v>
      </c>
      <c r="T29" s="1">
        <v>1</v>
      </c>
      <c r="U29" s="1">
        <f>E29</f>
        <v>0.96410256410256401</v>
      </c>
      <c r="V29" s="1">
        <f>H29</f>
        <v>0.77777777777777779</v>
      </c>
      <c r="W29" s="1">
        <f>K29</f>
        <v>0.53333333333333333</v>
      </c>
    </row>
    <row r="30" spans="1:23" x14ac:dyDescent="0.25">
      <c r="A30" s="10"/>
      <c r="B30" s="3">
        <v>2</v>
      </c>
      <c r="C30" s="1">
        <f>(188*10^5)/0.09</f>
        <v>208888888.8888889</v>
      </c>
      <c r="D30" s="1">
        <f>(175*10^5)/0.09</f>
        <v>194444444.44444445</v>
      </c>
      <c r="E30" s="1">
        <f t="shared" ref="E30:E31" si="54">D30/C30</f>
        <v>0.93085106382978722</v>
      </c>
      <c r="F30" s="1">
        <f>(32*10^4)/0.09</f>
        <v>3555555.5555555555</v>
      </c>
      <c r="G30" s="1">
        <f>(26*10^4)/0.09</f>
        <v>2888888.888888889</v>
      </c>
      <c r="H30" s="1">
        <f t="shared" ref="H30:H31" si="55">G30/F30</f>
        <v>0.8125</v>
      </c>
      <c r="I30" s="1">
        <f>(18*10^5)/0.09</f>
        <v>20000000</v>
      </c>
      <c r="J30" s="1">
        <f>(7*10^5)/0.09</f>
        <v>7777777.777777778</v>
      </c>
      <c r="K30" s="1">
        <f t="shared" ref="K30:K31" si="56">J30/I30</f>
        <v>0.3888888888888889</v>
      </c>
      <c r="P30" s="1">
        <v>2</v>
      </c>
      <c r="Q30" s="1">
        <f t="shared" ref="Q30:Q31" si="57">C30/100</f>
        <v>2088888.888888889</v>
      </c>
      <c r="R30" s="1">
        <f t="shared" ref="R30:R31" si="58">F30</f>
        <v>3555555.5555555555</v>
      </c>
      <c r="S30" s="1">
        <f t="shared" ref="S30:S31" si="59">I30</f>
        <v>20000000</v>
      </c>
      <c r="T30" s="1">
        <v>2</v>
      </c>
      <c r="U30" s="1">
        <f t="shared" ref="U30:U31" si="60">E30</f>
        <v>0.93085106382978722</v>
      </c>
      <c r="V30" s="1">
        <f t="shared" ref="V30:V31" si="61">H30</f>
        <v>0.8125</v>
      </c>
      <c r="W30" s="1">
        <f t="shared" ref="W30:W31" si="62">K30</f>
        <v>0.3888888888888889</v>
      </c>
    </row>
    <row r="31" spans="1:23" x14ac:dyDescent="0.25">
      <c r="A31" s="10"/>
      <c r="B31" s="3">
        <v>3</v>
      </c>
      <c r="C31" s="1">
        <f>(203*10^5)/0.09</f>
        <v>225555555.55555555</v>
      </c>
      <c r="D31" s="1">
        <f>(199*10^5)/0.09</f>
        <v>221111111.1111111</v>
      </c>
      <c r="E31" s="1">
        <f t="shared" si="54"/>
        <v>0.98029556650246308</v>
      </c>
      <c r="F31" s="1">
        <f>(33*10^4)/0.09</f>
        <v>3666666.666666667</v>
      </c>
      <c r="G31" s="1">
        <f>(22*10^4)/0.09</f>
        <v>2444444.4444444445</v>
      </c>
      <c r="H31" s="1">
        <f t="shared" si="55"/>
        <v>0.66666666666666663</v>
      </c>
      <c r="I31" s="1">
        <f>(20*10^5)/0.09</f>
        <v>22222222.222222224</v>
      </c>
      <c r="J31" s="1">
        <f>(13*10^5)/0.09</f>
        <v>14444444.444444446</v>
      </c>
      <c r="K31" s="1">
        <f t="shared" si="56"/>
        <v>0.65</v>
      </c>
      <c r="P31" s="1">
        <v>3</v>
      </c>
      <c r="Q31" s="1">
        <f t="shared" si="57"/>
        <v>2255555.5555555555</v>
      </c>
      <c r="R31" s="1">
        <f t="shared" si="58"/>
        <v>3666666.666666667</v>
      </c>
      <c r="S31" s="1">
        <f t="shared" si="59"/>
        <v>22222222.222222224</v>
      </c>
      <c r="T31" s="1">
        <v>3</v>
      </c>
      <c r="U31" s="1">
        <f t="shared" si="60"/>
        <v>0.98029556650246308</v>
      </c>
      <c r="V31" s="1">
        <f t="shared" si="61"/>
        <v>0.66666666666666663</v>
      </c>
      <c r="W31" s="1">
        <f t="shared" si="62"/>
        <v>0.65</v>
      </c>
    </row>
    <row r="32" spans="1:23" s="2" customFormat="1" x14ac:dyDescent="0.25">
      <c r="B32" s="2" t="s">
        <v>27</v>
      </c>
      <c r="C32" s="2" t="s">
        <v>11</v>
      </c>
      <c r="D32" s="2" t="s">
        <v>12</v>
      </c>
      <c r="E32" s="2" t="s">
        <v>13</v>
      </c>
      <c r="F32" s="2" t="s">
        <v>11</v>
      </c>
      <c r="G32" s="2" t="s">
        <v>12</v>
      </c>
      <c r="H32" s="2" t="s">
        <v>13</v>
      </c>
      <c r="I32" s="2" t="s">
        <v>11</v>
      </c>
      <c r="J32" s="2" t="s">
        <v>12</v>
      </c>
      <c r="K32" s="2" t="s">
        <v>13</v>
      </c>
      <c r="M32" s="2">
        <v>0</v>
      </c>
      <c r="N32" s="2">
        <v>1</v>
      </c>
      <c r="O32" s="2">
        <v>2</v>
      </c>
      <c r="P32" s="1"/>
      <c r="Q32" s="2">
        <v>0</v>
      </c>
      <c r="R32" s="2">
        <v>1</v>
      </c>
      <c r="S32" s="2">
        <v>2</v>
      </c>
      <c r="U32" s="2">
        <v>0</v>
      </c>
      <c r="V32" s="2">
        <v>1</v>
      </c>
      <c r="W32" s="2">
        <v>2</v>
      </c>
    </row>
    <row r="33" spans="1:23" x14ac:dyDescent="0.25">
      <c r="A33" s="10" t="s">
        <v>14</v>
      </c>
      <c r="B33" s="3">
        <v>1</v>
      </c>
      <c r="C33" s="1">
        <f>(180*10^5)/0.09</f>
        <v>200000000</v>
      </c>
      <c r="D33" s="1">
        <f>(177*10^5)/0.09</f>
        <v>196666666.66666669</v>
      </c>
      <c r="E33" s="1">
        <f>D33/C33</f>
        <v>0.98333333333333339</v>
      </c>
      <c r="F33" s="1">
        <f>(32*10^4)/0.09</f>
        <v>3555555.5555555555</v>
      </c>
      <c r="G33" s="1">
        <f>(31*10^4)/0.09</f>
        <v>3444444.4444444445</v>
      </c>
      <c r="H33" s="1">
        <f>G33/F33</f>
        <v>0.96875</v>
      </c>
      <c r="I33" s="1">
        <f>(13*10^5)/0.09</f>
        <v>14444444.444444446</v>
      </c>
      <c r="J33" s="1">
        <f>(12*10^5)/0.09</f>
        <v>13333333.333333334</v>
      </c>
      <c r="K33" s="1">
        <f>J33/I33</f>
        <v>0.92307692307692302</v>
      </c>
      <c r="L33" s="1" t="s">
        <v>27</v>
      </c>
      <c r="M33" s="1">
        <f>AVERAGE(C33:C35)/100</f>
        <v>2103703.7037037038</v>
      </c>
      <c r="N33" s="1">
        <f>AVERAGE(F33:F35)</f>
        <v>3037037.0370370373</v>
      </c>
      <c r="O33" s="1">
        <f>AVERAGE(I33:I35)</f>
        <v>12222222.222222224</v>
      </c>
      <c r="P33" s="1">
        <v>1</v>
      </c>
      <c r="Q33" s="1">
        <f>C33/100</f>
        <v>2000000</v>
      </c>
      <c r="R33" s="1">
        <f>F33</f>
        <v>3555555.5555555555</v>
      </c>
      <c r="S33" s="1">
        <f>I33</f>
        <v>14444444.444444446</v>
      </c>
      <c r="T33" s="1">
        <v>1</v>
      </c>
      <c r="U33" s="1">
        <f>E33</f>
        <v>0.98333333333333339</v>
      </c>
      <c r="V33" s="1">
        <f>H33</f>
        <v>0.96875</v>
      </c>
      <c r="W33" s="1">
        <f>K33</f>
        <v>0.92307692307692302</v>
      </c>
    </row>
    <row r="34" spans="1:23" x14ac:dyDescent="0.25">
      <c r="A34" s="10"/>
      <c r="B34" s="3">
        <v>2</v>
      </c>
      <c r="C34" s="1">
        <f>(210*10^5)/0.09</f>
        <v>233333333.33333334</v>
      </c>
      <c r="D34" s="1">
        <f>(205*10^5)/0.09</f>
        <v>227777777.77777779</v>
      </c>
      <c r="E34" s="1">
        <f t="shared" ref="E34:E35" si="63">D34/C34</f>
        <v>0.97619047619047616</v>
      </c>
      <c r="F34" s="1">
        <f>(30*10^4)/0.09</f>
        <v>3333333.3333333335</v>
      </c>
      <c r="G34" s="1">
        <f>(15*10^4)/0.09</f>
        <v>1666666.6666666667</v>
      </c>
      <c r="H34" s="1">
        <f t="shared" ref="H34:H35" si="64">G34/F34</f>
        <v>0.5</v>
      </c>
      <c r="I34" s="1">
        <f>(7*10^5)/0.09</f>
        <v>7777777.777777778</v>
      </c>
      <c r="J34" s="1">
        <f>(4*10^5)/0.09</f>
        <v>4444444.444444445</v>
      </c>
      <c r="K34" s="1">
        <f t="shared" ref="K34:K35" si="65">J34/I34</f>
        <v>0.57142857142857151</v>
      </c>
      <c r="P34" s="1">
        <v>2</v>
      </c>
      <c r="Q34" s="1">
        <f t="shared" ref="Q34:Q35" si="66">C34/100</f>
        <v>2333333.3333333335</v>
      </c>
      <c r="R34" s="1">
        <f t="shared" ref="R34:R35" si="67">F34</f>
        <v>3333333.3333333335</v>
      </c>
      <c r="S34" s="1">
        <f t="shared" ref="S34:S35" si="68">I34</f>
        <v>7777777.777777778</v>
      </c>
      <c r="T34" s="1">
        <v>2</v>
      </c>
      <c r="U34" s="1">
        <f t="shared" ref="U34:U35" si="69">E34</f>
        <v>0.97619047619047616</v>
      </c>
      <c r="V34" s="1">
        <f t="shared" ref="V34:V35" si="70">H34</f>
        <v>0.5</v>
      </c>
      <c r="W34" s="1">
        <f t="shared" ref="W34:W35" si="71">K34</f>
        <v>0.57142857142857151</v>
      </c>
    </row>
    <row r="35" spans="1:23" x14ac:dyDescent="0.25">
      <c r="A35" s="10"/>
      <c r="B35" s="3">
        <v>3</v>
      </c>
      <c r="C35" s="1">
        <f>(178*10^5)/0.09</f>
        <v>197777777.77777779</v>
      </c>
      <c r="D35" s="1">
        <f>(175*10^5)/0.09</f>
        <v>194444444.44444445</v>
      </c>
      <c r="E35" s="1">
        <f t="shared" si="63"/>
        <v>0.9831460674157303</v>
      </c>
      <c r="F35" s="1">
        <f>(20*10^4)/0.09</f>
        <v>2222222.2222222225</v>
      </c>
      <c r="G35" s="1">
        <f>(18*10^4)/0.09</f>
        <v>2000000</v>
      </c>
      <c r="H35" s="1">
        <f t="shared" si="64"/>
        <v>0.89999999999999991</v>
      </c>
      <c r="I35" s="1">
        <f>(13*10^5)/0.09</f>
        <v>14444444.444444446</v>
      </c>
      <c r="J35" s="1">
        <f>(12*10^5)/0.09</f>
        <v>13333333.333333334</v>
      </c>
      <c r="K35" s="1">
        <f t="shared" si="65"/>
        <v>0.92307692307692302</v>
      </c>
      <c r="P35" s="1">
        <v>3</v>
      </c>
      <c r="Q35" s="1">
        <f t="shared" si="66"/>
        <v>1977777.777777778</v>
      </c>
      <c r="R35" s="1">
        <f t="shared" si="67"/>
        <v>2222222.2222222225</v>
      </c>
      <c r="S35" s="1">
        <f t="shared" si="68"/>
        <v>14444444.444444446</v>
      </c>
      <c r="T35" s="1">
        <v>3</v>
      </c>
      <c r="U35" s="1">
        <f t="shared" si="69"/>
        <v>0.9831460674157303</v>
      </c>
      <c r="V35" s="1">
        <f t="shared" si="70"/>
        <v>0.89999999999999991</v>
      </c>
      <c r="W35" s="1">
        <f t="shared" si="71"/>
        <v>0.92307692307692302</v>
      </c>
    </row>
    <row r="36" spans="1:23" s="2" customFormat="1" x14ac:dyDescent="0.25">
      <c r="B36" s="2" t="s">
        <v>28</v>
      </c>
      <c r="C36" s="2" t="s">
        <v>11</v>
      </c>
      <c r="D36" s="2" t="s">
        <v>12</v>
      </c>
      <c r="E36" s="2" t="s">
        <v>13</v>
      </c>
      <c r="F36" s="2" t="s">
        <v>11</v>
      </c>
      <c r="G36" s="2" t="s">
        <v>12</v>
      </c>
      <c r="H36" s="2" t="s">
        <v>13</v>
      </c>
      <c r="I36" s="2" t="s">
        <v>11</v>
      </c>
      <c r="J36" s="2" t="s">
        <v>12</v>
      </c>
      <c r="K36" s="2" t="s">
        <v>13</v>
      </c>
      <c r="M36" s="2">
        <v>0</v>
      </c>
      <c r="N36" s="2">
        <v>1</v>
      </c>
      <c r="O36" s="2">
        <v>2</v>
      </c>
      <c r="P36" s="1"/>
      <c r="Q36" s="2">
        <v>0</v>
      </c>
      <c r="R36" s="2">
        <v>1</v>
      </c>
      <c r="S36" s="2">
        <v>2</v>
      </c>
      <c r="U36" s="2">
        <v>0</v>
      </c>
      <c r="V36" s="2">
        <v>1</v>
      </c>
      <c r="W36" s="2">
        <v>2</v>
      </c>
    </row>
    <row r="37" spans="1:23" x14ac:dyDescent="0.25">
      <c r="A37" s="10" t="s">
        <v>14</v>
      </c>
      <c r="B37" s="3">
        <v>1</v>
      </c>
      <c r="C37" s="1">
        <f>(158*10^5)/0.1</f>
        <v>158000000</v>
      </c>
      <c r="D37" s="1">
        <f>(0*10)/0.1</f>
        <v>0</v>
      </c>
      <c r="E37" s="1">
        <f>D37/C37</f>
        <v>0</v>
      </c>
      <c r="F37" s="1">
        <f>(93*10^4)/0.1</f>
        <v>9300000</v>
      </c>
      <c r="G37" s="1">
        <f>(0*10)/0.1</f>
        <v>0</v>
      </c>
      <c r="H37" s="1">
        <f>G37/F37</f>
        <v>0</v>
      </c>
      <c r="I37" s="1">
        <f>(44*10^5)/0.1</f>
        <v>44000000</v>
      </c>
      <c r="J37" s="1">
        <f t="shared" ref="J37:J39" si="72">(0*10)/0.1</f>
        <v>0</v>
      </c>
      <c r="K37" s="1">
        <f>J37/I37</f>
        <v>0</v>
      </c>
      <c r="L37" s="1" t="s">
        <v>29</v>
      </c>
      <c r="M37" s="1">
        <f>AVERAGE(C37:C39)/100</f>
        <v>1563333.3333333335</v>
      </c>
      <c r="N37" s="1">
        <f>AVERAGE(F37:F39)</f>
        <v>10400000</v>
      </c>
      <c r="O37" s="1">
        <f>AVERAGE(I37:I39)</f>
        <v>55666666.666666664</v>
      </c>
      <c r="P37" s="1">
        <v>1</v>
      </c>
      <c r="Q37" s="1">
        <f>C37/100</f>
        <v>1580000</v>
      </c>
      <c r="R37" s="1">
        <f>F37</f>
        <v>9300000</v>
      </c>
      <c r="S37" s="1">
        <f>I37</f>
        <v>44000000</v>
      </c>
      <c r="T37" s="1">
        <v>1</v>
      </c>
      <c r="U37" s="1">
        <f>E37</f>
        <v>0</v>
      </c>
      <c r="V37" s="1">
        <f>H37</f>
        <v>0</v>
      </c>
      <c r="W37" s="1">
        <f>K37</f>
        <v>0</v>
      </c>
    </row>
    <row r="38" spans="1:23" x14ac:dyDescent="0.25">
      <c r="A38" s="10"/>
      <c r="B38" s="3">
        <v>2</v>
      </c>
      <c r="C38" s="1">
        <f>(139*10^5)/0.1</f>
        <v>139000000</v>
      </c>
      <c r="D38" s="1">
        <f t="shared" ref="D38:D39" si="73">(0*10)/0.1</f>
        <v>0</v>
      </c>
      <c r="E38" s="1">
        <f t="shared" ref="E38:E39" si="74">D38/C38</f>
        <v>0</v>
      </c>
      <c r="F38" s="1">
        <f>(107*10^4)/0.1</f>
        <v>10700000</v>
      </c>
      <c r="G38" s="1">
        <f t="shared" ref="G38:G39" si="75">(0*10)/0.1</f>
        <v>0</v>
      </c>
      <c r="H38" s="1">
        <f t="shared" ref="H38:H39" si="76">G38/F38</f>
        <v>0</v>
      </c>
      <c r="I38" s="1">
        <f>(51*10^5)/0.1</f>
        <v>51000000</v>
      </c>
      <c r="J38" s="1">
        <f t="shared" si="72"/>
        <v>0</v>
      </c>
      <c r="K38" s="1">
        <f t="shared" ref="K38:K39" si="77">J38/I38</f>
        <v>0</v>
      </c>
      <c r="P38" s="1">
        <v>2</v>
      </c>
      <c r="Q38" s="1">
        <f t="shared" ref="Q38:Q39" si="78">C38/100</f>
        <v>1390000</v>
      </c>
      <c r="R38" s="1">
        <f t="shared" ref="R38:R39" si="79">F38</f>
        <v>10700000</v>
      </c>
      <c r="S38" s="1">
        <f t="shared" ref="S38:S39" si="80">I38</f>
        <v>51000000</v>
      </c>
      <c r="T38" s="1">
        <v>2</v>
      </c>
      <c r="U38" s="1">
        <f t="shared" ref="U38:U39" si="81">E38</f>
        <v>0</v>
      </c>
      <c r="V38" s="1">
        <f t="shared" ref="V38:V39" si="82">H38</f>
        <v>0</v>
      </c>
      <c r="W38" s="1">
        <f t="shared" ref="W38:W39" si="83">K38</f>
        <v>0</v>
      </c>
    </row>
    <row r="39" spans="1:23" x14ac:dyDescent="0.25">
      <c r="A39" s="10"/>
      <c r="B39" s="3">
        <v>3</v>
      </c>
      <c r="C39" s="1">
        <f>(172*10^5)/0.1</f>
        <v>172000000</v>
      </c>
      <c r="D39" s="1">
        <f t="shared" si="73"/>
        <v>0</v>
      </c>
      <c r="E39" s="1">
        <f t="shared" si="74"/>
        <v>0</v>
      </c>
      <c r="F39" s="1">
        <f>(112*10^4)/0.1</f>
        <v>11200000</v>
      </c>
      <c r="G39" s="1">
        <f t="shared" si="75"/>
        <v>0</v>
      </c>
      <c r="H39" s="1">
        <f t="shared" si="76"/>
        <v>0</v>
      </c>
      <c r="I39" s="1">
        <f>(72*10^5)/0.1</f>
        <v>72000000</v>
      </c>
      <c r="J39" s="1">
        <f t="shared" si="72"/>
        <v>0</v>
      </c>
      <c r="K39" s="1">
        <f t="shared" si="77"/>
        <v>0</v>
      </c>
      <c r="P39" s="1">
        <v>3</v>
      </c>
      <c r="Q39" s="1">
        <f t="shared" si="78"/>
        <v>1720000</v>
      </c>
      <c r="R39" s="1">
        <f t="shared" si="79"/>
        <v>11200000</v>
      </c>
      <c r="S39" s="1">
        <f t="shared" si="80"/>
        <v>72000000</v>
      </c>
      <c r="T39" s="1">
        <v>3</v>
      </c>
      <c r="U39" s="1">
        <f t="shared" si="81"/>
        <v>0</v>
      </c>
      <c r="V39" s="1">
        <f t="shared" si="82"/>
        <v>0</v>
      </c>
      <c r="W39" s="1">
        <f t="shared" si="83"/>
        <v>0</v>
      </c>
    </row>
    <row r="40" spans="1:23" s="2" customFormat="1" x14ac:dyDescent="0.25">
      <c r="B40" s="2" t="s">
        <v>30</v>
      </c>
      <c r="C40" s="2" t="s">
        <v>11</v>
      </c>
      <c r="D40" s="2" t="s">
        <v>12</v>
      </c>
      <c r="E40" s="2" t="s">
        <v>13</v>
      </c>
      <c r="F40" s="2" t="s">
        <v>11</v>
      </c>
      <c r="G40" s="2" t="s">
        <v>12</v>
      </c>
      <c r="H40" s="2" t="s">
        <v>13</v>
      </c>
      <c r="I40" s="2" t="s">
        <v>11</v>
      </c>
      <c r="J40" s="2" t="s">
        <v>12</v>
      </c>
      <c r="K40" s="2" t="s">
        <v>13</v>
      </c>
      <c r="M40" s="2">
        <v>0</v>
      </c>
      <c r="N40" s="2">
        <v>1</v>
      </c>
      <c r="O40" s="2">
        <v>2</v>
      </c>
      <c r="P40" s="1"/>
      <c r="Q40" s="2">
        <v>0</v>
      </c>
      <c r="R40" s="2">
        <v>1</v>
      </c>
      <c r="S40" s="2">
        <v>2</v>
      </c>
      <c r="U40" s="2">
        <v>0</v>
      </c>
      <c r="V40" s="2">
        <v>1</v>
      </c>
      <c r="W40" s="2">
        <v>2</v>
      </c>
    </row>
    <row r="41" spans="1:23" x14ac:dyDescent="0.25">
      <c r="A41" s="10" t="s">
        <v>14</v>
      </c>
      <c r="B41" s="3">
        <v>1</v>
      </c>
      <c r="C41" s="1">
        <f>(220*10^5)/0.09</f>
        <v>244444444.44444445</v>
      </c>
      <c r="D41" s="1">
        <f>(218*10^5)/0.09</f>
        <v>242222222.22222224</v>
      </c>
      <c r="E41" s="1">
        <f>D41/C41</f>
        <v>0.99090909090909096</v>
      </c>
      <c r="F41" s="1">
        <f>(28*10^4)/0.09</f>
        <v>3111111.111111111</v>
      </c>
      <c r="G41" s="1">
        <f>(26*10^4)/0.09</f>
        <v>2888888.888888889</v>
      </c>
      <c r="H41" s="1">
        <f>G41/F41</f>
        <v>0.9285714285714286</v>
      </c>
      <c r="I41" s="1">
        <f>(23*10^5)/0.09</f>
        <v>25555555.555555556</v>
      </c>
      <c r="J41" s="1">
        <f>(21*10^5)/0.09</f>
        <v>23333333.333333336</v>
      </c>
      <c r="K41" s="1">
        <f>J41/I41</f>
        <v>0.91304347826086962</v>
      </c>
      <c r="L41" s="1" t="s">
        <v>30</v>
      </c>
      <c r="M41" s="1">
        <f>AVERAGE(C41:C43)/100</f>
        <v>2225925.9259259258</v>
      </c>
      <c r="N41" s="1">
        <f>AVERAGE(F41:F43)</f>
        <v>3407407.4074074081</v>
      </c>
      <c r="O41" s="1">
        <f>AVERAGE(I41:I43)</f>
        <v>24814814.814814817</v>
      </c>
      <c r="P41" s="1">
        <v>1</v>
      </c>
      <c r="Q41" s="1">
        <f>C41/100</f>
        <v>2444444.4444444445</v>
      </c>
      <c r="R41" s="1">
        <f>F41</f>
        <v>3111111.111111111</v>
      </c>
      <c r="S41" s="1">
        <f>I41</f>
        <v>25555555.555555556</v>
      </c>
      <c r="T41" s="1">
        <v>1</v>
      </c>
      <c r="U41" s="1">
        <f>E41</f>
        <v>0.99090909090909096</v>
      </c>
      <c r="V41" s="1">
        <f>H41</f>
        <v>0.9285714285714286</v>
      </c>
      <c r="W41" s="1">
        <f>K41</f>
        <v>0.91304347826086962</v>
      </c>
    </row>
    <row r="42" spans="1:23" x14ac:dyDescent="0.25">
      <c r="A42" s="10"/>
      <c r="B42" s="3">
        <v>2</v>
      </c>
      <c r="C42" s="1">
        <f>(172*10^5)/0.09</f>
        <v>191111111.1111111</v>
      </c>
      <c r="D42" s="1">
        <f>(49*10^5)/0.09</f>
        <v>54444444.444444448</v>
      </c>
      <c r="E42" s="1">
        <f t="shared" ref="E42:E43" si="84">D42/C42</f>
        <v>0.28488372093023256</v>
      </c>
      <c r="F42" s="1">
        <f>(29*10^4)/0.09</f>
        <v>3222222.2222222225</v>
      </c>
      <c r="G42" s="1">
        <f>(66*10^3)/0.09</f>
        <v>733333.33333333337</v>
      </c>
      <c r="H42" s="1">
        <f t="shared" ref="H42:H43" si="85">G42/F42</f>
        <v>0.22758620689655171</v>
      </c>
      <c r="I42" s="1">
        <f>(24*10^5)/0.09</f>
        <v>26666666.666666668</v>
      </c>
      <c r="J42" s="1">
        <f>(113*10^4)/0.09</f>
        <v>12555555.555555556</v>
      </c>
      <c r="K42" s="1">
        <f t="shared" ref="K42:K43" si="86">J42/I42</f>
        <v>0.47083333333333333</v>
      </c>
      <c r="P42" s="1">
        <v>2</v>
      </c>
      <c r="Q42" s="1">
        <f t="shared" ref="Q42:Q43" si="87">C42/100</f>
        <v>1911111.111111111</v>
      </c>
      <c r="R42" s="1">
        <f t="shared" ref="R42:R43" si="88">F42</f>
        <v>3222222.2222222225</v>
      </c>
      <c r="S42" s="1">
        <f t="shared" ref="S42:S43" si="89">I42</f>
        <v>26666666.666666668</v>
      </c>
      <c r="T42" s="1">
        <v>2</v>
      </c>
      <c r="U42" s="1">
        <f t="shared" ref="U42:U43" si="90">E42</f>
        <v>0.28488372093023256</v>
      </c>
      <c r="V42" s="1">
        <f t="shared" ref="V42:V43" si="91">H42</f>
        <v>0.22758620689655171</v>
      </c>
      <c r="W42" s="1">
        <f t="shared" ref="W42:W43" si="92">K42</f>
        <v>0.47083333333333333</v>
      </c>
    </row>
    <row r="43" spans="1:23" x14ac:dyDescent="0.25">
      <c r="A43" s="10"/>
      <c r="B43" s="3">
        <v>3</v>
      </c>
      <c r="C43" s="1">
        <f>(209*10^5)/0.09</f>
        <v>232222222.22222224</v>
      </c>
      <c r="D43" s="1">
        <f>(232*10^4)/0.09</f>
        <v>25777777.77777778</v>
      </c>
      <c r="E43" s="1">
        <f t="shared" si="84"/>
        <v>0.11100478468899522</v>
      </c>
      <c r="F43" s="1">
        <f>(35*10^4)/0.09</f>
        <v>3888888.888888889</v>
      </c>
      <c r="G43" s="1">
        <f>(34*10^3)/0.09</f>
        <v>377777.77777777781</v>
      </c>
      <c r="H43" s="1">
        <f t="shared" si="85"/>
        <v>9.7142857142857142E-2</v>
      </c>
      <c r="I43" s="1">
        <f>(20*10^5)/0.09</f>
        <v>22222222.222222224</v>
      </c>
      <c r="J43" s="1">
        <f>(67*10^4)/0.09</f>
        <v>7444444.444444445</v>
      </c>
      <c r="K43" s="1">
        <f t="shared" si="86"/>
        <v>0.33500000000000002</v>
      </c>
      <c r="P43" s="1">
        <v>3</v>
      </c>
      <c r="Q43" s="1">
        <f t="shared" si="87"/>
        <v>2322222.2222222225</v>
      </c>
      <c r="R43" s="1">
        <f t="shared" si="88"/>
        <v>3888888.888888889</v>
      </c>
      <c r="S43" s="1">
        <f t="shared" si="89"/>
        <v>22222222.222222224</v>
      </c>
      <c r="T43" s="1">
        <v>3</v>
      </c>
      <c r="U43" s="1">
        <f t="shared" si="90"/>
        <v>0.11100478468899522</v>
      </c>
      <c r="V43" s="1">
        <f t="shared" si="91"/>
        <v>9.7142857142857142E-2</v>
      </c>
      <c r="W43" s="1">
        <f t="shared" si="92"/>
        <v>0.33500000000000002</v>
      </c>
    </row>
    <row r="44" spans="1:23" x14ac:dyDescent="0.25">
      <c r="B44" s="2"/>
      <c r="C44" s="11" t="s">
        <v>5</v>
      </c>
      <c r="D44" s="11"/>
      <c r="E44" s="11"/>
      <c r="F44" s="11" t="s">
        <v>6</v>
      </c>
      <c r="G44" s="11"/>
      <c r="H44" s="11"/>
      <c r="I44" s="11" t="s">
        <v>7</v>
      </c>
      <c r="J44" s="11"/>
      <c r="K44" s="11"/>
    </row>
    <row r="45" spans="1:23" x14ac:dyDescent="0.25">
      <c r="A45" s="2" t="s">
        <v>31</v>
      </c>
      <c r="B45" s="2" t="s">
        <v>32</v>
      </c>
      <c r="C45" s="2" t="s">
        <v>11</v>
      </c>
      <c r="D45" s="2" t="s">
        <v>12</v>
      </c>
      <c r="E45" s="2" t="s">
        <v>13</v>
      </c>
      <c r="F45" s="2" t="s">
        <v>11</v>
      </c>
      <c r="G45" s="2" t="s">
        <v>12</v>
      </c>
      <c r="H45" s="2" t="s">
        <v>13</v>
      </c>
      <c r="I45" s="2" t="s">
        <v>11</v>
      </c>
      <c r="J45" s="2" t="s">
        <v>12</v>
      </c>
      <c r="K45" s="2" t="s">
        <v>13</v>
      </c>
      <c r="L45" s="2"/>
      <c r="M45" s="2">
        <v>0</v>
      </c>
      <c r="N45" s="2">
        <v>1</v>
      </c>
      <c r="O45" s="2">
        <v>2</v>
      </c>
      <c r="Q45" s="2">
        <v>0</v>
      </c>
      <c r="R45" s="2">
        <v>1</v>
      </c>
      <c r="S45" s="2">
        <v>2</v>
      </c>
      <c r="T45" s="2"/>
      <c r="U45" s="2">
        <v>0</v>
      </c>
      <c r="V45" s="2">
        <v>1</v>
      </c>
      <c r="W45" s="2">
        <v>2</v>
      </c>
    </row>
    <row r="46" spans="1:23" x14ac:dyDescent="0.25">
      <c r="A46" s="10" t="s">
        <v>14</v>
      </c>
      <c r="B46" s="3">
        <v>1</v>
      </c>
      <c r="C46" s="1">
        <f>(128*10^5)/0.029</f>
        <v>441379310.34482759</v>
      </c>
      <c r="D46" s="1">
        <f>(126*10^5)/0.029</f>
        <v>434482758.62068963</v>
      </c>
      <c r="E46" s="1">
        <f>D46/C46</f>
        <v>0.98437499999999989</v>
      </c>
      <c r="F46">
        <f>(43*10^4)/0.09</f>
        <v>4777777.777777778</v>
      </c>
      <c r="G46">
        <f>(41*10^4)/0.09</f>
        <v>4555555.555555556</v>
      </c>
      <c r="H46" s="1">
        <f>G46/F46</f>
        <v>0.95348837209302328</v>
      </c>
      <c r="I46" s="1">
        <f>(46*10^5)/0.09</f>
        <v>51111111.111111112</v>
      </c>
      <c r="J46" s="1">
        <f>(42*10^5)/0.09</f>
        <v>46666666.666666672</v>
      </c>
      <c r="K46" s="1">
        <f>J46/I46</f>
        <v>0.91304347826086962</v>
      </c>
      <c r="L46" s="1" t="s">
        <v>32</v>
      </c>
      <c r="M46" s="1">
        <f>AVERAGE(C46:C48)/100</f>
        <v>3275862.0689655165</v>
      </c>
      <c r="N46" s="1">
        <f>AVERAGE(F46:F48)</f>
        <v>4555555.555555556</v>
      </c>
      <c r="O46" s="1">
        <f>AVERAGE(I46:I48)</f>
        <v>77037037.03703703</v>
      </c>
      <c r="P46" s="1">
        <v>1</v>
      </c>
      <c r="Q46" s="1">
        <f>C46/100</f>
        <v>4413793.1034482755</v>
      </c>
      <c r="R46" s="1">
        <f>F46</f>
        <v>4777777.777777778</v>
      </c>
      <c r="S46" s="1">
        <f>I46</f>
        <v>51111111.111111112</v>
      </c>
      <c r="T46" s="1">
        <v>1</v>
      </c>
      <c r="U46" s="1">
        <f>E46</f>
        <v>0.98437499999999989</v>
      </c>
      <c r="V46" s="1">
        <f>H46</f>
        <v>0.95348837209302328</v>
      </c>
      <c r="W46" s="1">
        <f>K46</f>
        <v>0.91304347826086962</v>
      </c>
    </row>
    <row r="47" spans="1:23" x14ac:dyDescent="0.25">
      <c r="A47" s="10"/>
      <c r="B47" s="3">
        <v>2</v>
      </c>
      <c r="C47" s="1">
        <f>(69*10^5)/0.029</f>
        <v>237931034.48275861</v>
      </c>
      <c r="D47" s="1">
        <f>(66*10^5)/0.029</f>
        <v>227586206.8965517</v>
      </c>
      <c r="E47" s="1">
        <f t="shared" ref="E47:E48" si="93">D47/C47</f>
        <v>0.9565217391304347</v>
      </c>
      <c r="F47">
        <f>(39*10^4)/0.09</f>
        <v>4333333.333333334</v>
      </c>
      <c r="G47">
        <f>(36*10^4)/0.09</f>
        <v>4000000</v>
      </c>
      <c r="H47" s="1">
        <f t="shared" ref="H47:H48" si="94">G47/F47</f>
        <v>0.92307692307692291</v>
      </c>
      <c r="I47" s="1">
        <f>(79*10^5)/0.09</f>
        <v>87777777.777777776</v>
      </c>
      <c r="J47" s="1">
        <f>(72*10^5)/0.09</f>
        <v>80000000</v>
      </c>
      <c r="K47" s="1">
        <f t="shared" ref="K47:K48" si="95">J47/I47</f>
        <v>0.91139240506329111</v>
      </c>
      <c r="P47" s="1">
        <v>2</v>
      </c>
      <c r="Q47" s="1">
        <f t="shared" ref="Q47:Q48" si="96">C47/100</f>
        <v>2379310.3448275863</v>
      </c>
      <c r="R47" s="1">
        <f t="shared" ref="R47:R48" si="97">F47</f>
        <v>4333333.333333334</v>
      </c>
      <c r="S47" s="1">
        <f t="shared" ref="S47:S48" si="98">I47</f>
        <v>87777777.777777776</v>
      </c>
      <c r="T47" s="1">
        <v>2</v>
      </c>
      <c r="U47" s="1">
        <f t="shared" ref="U47:U48" si="99">E47</f>
        <v>0.9565217391304347</v>
      </c>
      <c r="V47" s="1">
        <f t="shared" ref="V47:V48" si="100">H47</f>
        <v>0.92307692307692291</v>
      </c>
      <c r="W47" s="1">
        <f t="shared" ref="W47:W48" si="101">K47</f>
        <v>0.91139240506329111</v>
      </c>
    </row>
    <row r="48" spans="1:23" x14ac:dyDescent="0.25">
      <c r="A48" s="10"/>
      <c r="B48" s="3">
        <v>3</v>
      </c>
      <c r="C48" s="1">
        <f>(88*10^5)/0.029</f>
        <v>303448275.86206895</v>
      </c>
      <c r="D48" s="1">
        <f>(81*10^5)/0.029</f>
        <v>279310344.82758617</v>
      </c>
      <c r="E48" s="1">
        <f t="shared" si="93"/>
        <v>0.92045454545454541</v>
      </c>
      <c r="F48">
        <f t="shared" ref="F48" si="102">(41*10^4)/0.09</f>
        <v>4555555.555555556</v>
      </c>
      <c r="G48">
        <f>(38*10^4)/0.09</f>
        <v>4222222.222222222</v>
      </c>
      <c r="H48" s="1">
        <f t="shared" si="94"/>
        <v>0.92682926829268275</v>
      </c>
      <c r="I48" s="1">
        <f>(83*10^5)/0.09</f>
        <v>92222222.222222224</v>
      </c>
      <c r="J48" s="1">
        <f>(82*10^5)/0.09</f>
        <v>91111111.111111119</v>
      </c>
      <c r="K48" s="1">
        <f t="shared" si="95"/>
        <v>0.98795180722891573</v>
      </c>
      <c r="P48" s="1">
        <v>3</v>
      </c>
      <c r="Q48" s="1">
        <f t="shared" si="96"/>
        <v>3034482.7586206896</v>
      </c>
      <c r="R48" s="1">
        <f t="shared" si="97"/>
        <v>4555555.555555556</v>
      </c>
      <c r="S48" s="1">
        <f t="shared" si="98"/>
        <v>92222222.222222224</v>
      </c>
      <c r="T48" s="1">
        <v>3</v>
      </c>
      <c r="U48" s="1">
        <f t="shared" si="99"/>
        <v>0.92045454545454541</v>
      </c>
      <c r="V48" s="1">
        <f t="shared" si="100"/>
        <v>0.92682926829268275</v>
      </c>
      <c r="W48" s="1">
        <f t="shared" si="101"/>
        <v>0.98795180722891573</v>
      </c>
    </row>
    <row r="49" spans="1:23" x14ac:dyDescent="0.25">
      <c r="A49" s="2"/>
      <c r="B49" s="2" t="s">
        <v>33</v>
      </c>
      <c r="C49" s="2" t="s">
        <v>11</v>
      </c>
      <c r="D49" s="2" t="s">
        <v>12</v>
      </c>
      <c r="E49" s="2" t="s">
        <v>13</v>
      </c>
      <c r="F49" s="2" t="s">
        <v>11</v>
      </c>
      <c r="G49" s="2" t="s">
        <v>12</v>
      </c>
      <c r="H49" s="2" t="s">
        <v>13</v>
      </c>
      <c r="I49" s="2" t="s">
        <v>11</v>
      </c>
      <c r="J49" s="2" t="s">
        <v>12</v>
      </c>
      <c r="K49" s="2" t="s">
        <v>13</v>
      </c>
      <c r="L49" s="2"/>
      <c r="M49" s="2">
        <v>0</v>
      </c>
      <c r="N49" s="2">
        <v>1</v>
      </c>
      <c r="O49" s="2">
        <v>2</v>
      </c>
      <c r="Q49" s="2">
        <v>0</v>
      </c>
      <c r="R49" s="2">
        <v>1</v>
      </c>
      <c r="S49" s="2">
        <v>2</v>
      </c>
      <c r="T49" s="2"/>
      <c r="U49" s="2">
        <v>0</v>
      </c>
      <c r="V49" s="2">
        <v>1</v>
      </c>
      <c r="W49" s="2">
        <v>2</v>
      </c>
    </row>
    <row r="50" spans="1:23" x14ac:dyDescent="0.25">
      <c r="A50" s="10" t="s">
        <v>14</v>
      </c>
      <c r="B50" s="3">
        <v>1</v>
      </c>
      <c r="C50" s="1">
        <f>(180*10^5)/0.029</f>
        <v>620689655.17241371</v>
      </c>
      <c r="D50" s="1">
        <f>(151*10^5)/0.029</f>
        <v>520689655.17241377</v>
      </c>
      <c r="E50" s="1">
        <f>D50/C50</f>
        <v>0.83888888888888902</v>
      </c>
      <c r="F50" s="1">
        <f>(52*10^4)/0.09</f>
        <v>5777777.777777778</v>
      </c>
      <c r="G50" s="1">
        <f>(47*10^4)/0.09</f>
        <v>5222222.222222222</v>
      </c>
      <c r="H50" s="1">
        <f>G50/F50</f>
        <v>0.90384615384615374</v>
      </c>
      <c r="I50" s="1">
        <f>(76*10^5)/0.09</f>
        <v>84444444.444444448</v>
      </c>
      <c r="J50" s="1">
        <f>(70*10^5)/0.09</f>
        <v>77777777.777777776</v>
      </c>
      <c r="K50" s="1">
        <f>J50/I50</f>
        <v>0.92105263157894735</v>
      </c>
      <c r="L50" s="1" t="s">
        <v>33</v>
      </c>
      <c r="M50" s="1">
        <f>AVERAGE(C50:C52)/100</f>
        <v>5839080.4597701142</v>
      </c>
      <c r="N50" s="1">
        <f>AVERAGE(F50:F52)</f>
        <v>7259259.2592592603</v>
      </c>
      <c r="O50" s="1">
        <f>AVERAGE(I50:I52)</f>
        <v>91851851.851851866</v>
      </c>
      <c r="P50" s="1">
        <v>1</v>
      </c>
      <c r="Q50" s="1">
        <f>C50/100</f>
        <v>6206896.5517241368</v>
      </c>
      <c r="R50" s="1">
        <f>F50</f>
        <v>5777777.777777778</v>
      </c>
      <c r="S50" s="1">
        <f>I50</f>
        <v>84444444.444444448</v>
      </c>
      <c r="T50" s="1">
        <v>1</v>
      </c>
      <c r="U50" s="1">
        <f>E50</f>
        <v>0.83888888888888902</v>
      </c>
      <c r="V50" s="1">
        <f>H50</f>
        <v>0.90384615384615374</v>
      </c>
      <c r="W50" s="1">
        <f>K50</f>
        <v>0.92105263157894735</v>
      </c>
    </row>
    <row r="51" spans="1:23" x14ac:dyDescent="0.25">
      <c r="A51" s="10"/>
      <c r="B51" s="3">
        <v>2</v>
      </c>
      <c r="C51" s="1">
        <f>(157*10^5)/0.029</f>
        <v>541379310.34482753</v>
      </c>
      <c r="D51" s="1">
        <f>(139*10^5)/0.029</f>
        <v>479310344.82758617</v>
      </c>
      <c r="E51" s="1">
        <f t="shared" ref="E51:E52" si="103">D51/C51</f>
        <v>0.88535031847133761</v>
      </c>
      <c r="F51" s="1">
        <f>(78*10^4)/0.09</f>
        <v>8666666.6666666679</v>
      </c>
      <c r="G51" s="1">
        <f>(70*10^4)/0.09</f>
        <v>7777777.777777778</v>
      </c>
      <c r="H51" s="1">
        <f t="shared" ref="H51:H52" si="104">G51/F51</f>
        <v>0.89743589743589736</v>
      </c>
      <c r="I51" s="1">
        <f>(70*10^5)/0.09</f>
        <v>77777777.777777776</v>
      </c>
      <c r="J51" s="1">
        <f>(62*10^5)/0.09</f>
        <v>68888888.888888896</v>
      </c>
      <c r="K51" s="1">
        <f t="shared" ref="K51:K52" si="105">J51/I51</f>
        <v>0.88571428571428579</v>
      </c>
      <c r="P51" s="1">
        <v>2</v>
      </c>
      <c r="Q51" s="1">
        <f t="shared" ref="Q51:Q52" si="106">C51/100</f>
        <v>5413793.1034482755</v>
      </c>
      <c r="R51" s="1">
        <f t="shared" ref="R51:R52" si="107">F51</f>
        <v>8666666.6666666679</v>
      </c>
      <c r="S51" s="1">
        <f t="shared" ref="S51:S52" si="108">I51</f>
        <v>77777777.777777776</v>
      </c>
      <c r="T51" s="1">
        <v>2</v>
      </c>
      <c r="U51" s="1">
        <f t="shared" ref="U51:U52" si="109">E51</f>
        <v>0.88535031847133761</v>
      </c>
      <c r="V51" s="1">
        <f t="shared" ref="V51:V52" si="110">H51</f>
        <v>0.89743589743589736</v>
      </c>
      <c r="W51" s="1">
        <f t="shared" ref="W51:W52" si="111">K51</f>
        <v>0.88571428571428579</v>
      </c>
    </row>
    <row r="52" spans="1:23" x14ac:dyDescent="0.25">
      <c r="A52" s="10"/>
      <c r="B52" s="3">
        <v>3</v>
      </c>
      <c r="C52" s="1">
        <f>(171*10^5)/0.029</f>
        <v>589655172.41379309</v>
      </c>
      <c r="D52" s="1">
        <f>(160*10^5)/0.029</f>
        <v>551724137.93103445</v>
      </c>
      <c r="E52" s="1">
        <f t="shared" si="103"/>
        <v>0.93567251461988299</v>
      </c>
      <c r="F52" s="1">
        <f>(66*10^4)/0.09</f>
        <v>7333333.333333334</v>
      </c>
      <c r="G52" s="1">
        <f>(58*10^4)/0.09</f>
        <v>6444444.444444445</v>
      </c>
      <c r="H52" s="1">
        <f t="shared" si="104"/>
        <v>0.87878787878787878</v>
      </c>
      <c r="I52" s="1">
        <f>(102*10^5)/0.09</f>
        <v>113333333.33333334</v>
      </c>
      <c r="J52" s="1">
        <f>(82*10^5)/0.09</f>
        <v>91111111.111111119</v>
      </c>
      <c r="K52" s="1">
        <f t="shared" si="105"/>
        <v>0.80392156862745101</v>
      </c>
      <c r="P52" s="1">
        <v>3</v>
      </c>
      <c r="Q52" s="1">
        <f t="shared" si="106"/>
        <v>5896551.7241379311</v>
      </c>
      <c r="R52" s="1">
        <f t="shared" si="107"/>
        <v>7333333.333333334</v>
      </c>
      <c r="S52" s="1">
        <f t="shared" si="108"/>
        <v>113333333.33333334</v>
      </c>
      <c r="T52" s="1">
        <v>3</v>
      </c>
      <c r="U52" s="1">
        <f t="shared" si="109"/>
        <v>0.93567251461988299</v>
      </c>
      <c r="V52" s="1">
        <f t="shared" si="110"/>
        <v>0.87878787878787878</v>
      </c>
      <c r="W52" s="1">
        <f t="shared" si="111"/>
        <v>0.80392156862745101</v>
      </c>
    </row>
    <row r="53" spans="1:23" x14ac:dyDescent="0.25">
      <c r="A53" s="2"/>
      <c r="B53" s="2" t="s">
        <v>34</v>
      </c>
      <c r="C53" s="2" t="s">
        <v>11</v>
      </c>
      <c r="D53" s="2" t="s">
        <v>12</v>
      </c>
      <c r="E53" s="2" t="s">
        <v>13</v>
      </c>
      <c r="F53" s="2" t="s">
        <v>11</v>
      </c>
      <c r="G53" s="2" t="s">
        <v>12</v>
      </c>
      <c r="H53" s="2" t="s">
        <v>13</v>
      </c>
      <c r="I53" s="2" t="s">
        <v>11</v>
      </c>
      <c r="J53" s="2" t="s">
        <v>12</v>
      </c>
      <c r="K53" s="2" t="s">
        <v>13</v>
      </c>
      <c r="L53" s="2"/>
      <c r="M53" s="2">
        <v>0</v>
      </c>
      <c r="N53" s="2">
        <v>1</v>
      </c>
      <c r="O53" s="2">
        <v>2</v>
      </c>
      <c r="Q53" s="2">
        <v>0</v>
      </c>
      <c r="R53" s="2">
        <v>1</v>
      </c>
      <c r="S53" s="2">
        <v>2</v>
      </c>
      <c r="T53" s="2"/>
      <c r="U53" s="2">
        <v>0</v>
      </c>
      <c r="V53" s="2">
        <v>1</v>
      </c>
      <c r="W53" s="2">
        <v>2</v>
      </c>
    </row>
    <row r="54" spans="1:23" x14ac:dyDescent="0.25">
      <c r="A54" s="10" t="s">
        <v>14</v>
      </c>
      <c r="B54" s="3">
        <v>1</v>
      </c>
      <c r="C54" s="1">
        <f>(184*10^5)/0.09</f>
        <v>204444444.44444445</v>
      </c>
      <c r="D54" s="1">
        <f>(152*10^5)/0.09</f>
        <v>168888888.8888889</v>
      </c>
      <c r="E54" s="1">
        <f>D54/C54</f>
        <v>0.82608695652173914</v>
      </c>
      <c r="F54" s="1">
        <f>(38*10^4)/0.09</f>
        <v>4222222.222222222</v>
      </c>
      <c r="G54" s="1">
        <f>(29*10^4)/0.09</f>
        <v>3222222.2222222225</v>
      </c>
      <c r="H54" s="1">
        <f>G54/F54</f>
        <v>0.76315789473684226</v>
      </c>
      <c r="I54" s="1">
        <f>(22*10^5)/0.09</f>
        <v>24444444.444444444</v>
      </c>
      <c r="J54" s="1">
        <f>(9*10^5)/0.09</f>
        <v>10000000</v>
      </c>
      <c r="K54" s="1">
        <f>J54/I54</f>
        <v>0.40909090909090912</v>
      </c>
      <c r="L54" s="1" t="s">
        <v>34</v>
      </c>
      <c r="M54" s="1">
        <f>AVERAGE(C54:C56)/100</f>
        <v>2014814.8148148146</v>
      </c>
      <c r="N54" s="1">
        <f>AVERAGE(F54:F56)</f>
        <v>4666666.666666667</v>
      </c>
      <c r="O54" s="1">
        <f>AVERAGE(I54:I56)</f>
        <v>38518518.518518515</v>
      </c>
      <c r="P54" s="1">
        <v>1</v>
      </c>
      <c r="Q54" s="1">
        <f>C54/100</f>
        <v>2044444.4444444445</v>
      </c>
      <c r="R54" s="1">
        <f>F54</f>
        <v>4222222.222222222</v>
      </c>
      <c r="S54" s="1">
        <f>I54</f>
        <v>24444444.444444444</v>
      </c>
      <c r="T54" s="1">
        <v>1</v>
      </c>
      <c r="U54" s="1">
        <f>E54</f>
        <v>0.82608695652173914</v>
      </c>
      <c r="V54" s="1">
        <f>H54</f>
        <v>0.76315789473684226</v>
      </c>
      <c r="W54" s="1">
        <f>K54</f>
        <v>0.40909090909090912</v>
      </c>
    </row>
    <row r="55" spans="1:23" x14ac:dyDescent="0.25">
      <c r="A55" s="10"/>
      <c r="B55" s="3">
        <v>2</v>
      </c>
      <c r="C55" s="1">
        <f>(190*10^5)/0.09</f>
        <v>211111111.1111111</v>
      </c>
      <c r="D55" s="1">
        <f>(187*10^5)/0.09</f>
        <v>207777777.77777779</v>
      </c>
      <c r="E55" s="1">
        <f t="shared" ref="E55:E56" si="112">D55/C55</f>
        <v>0.98421052631578954</v>
      </c>
      <c r="F55" s="1">
        <f>(56*10^4)/0.09</f>
        <v>6222222.222222222</v>
      </c>
      <c r="G55" s="1">
        <f>(49*10^4)/0.09</f>
        <v>5444444.444444445</v>
      </c>
      <c r="H55" s="1">
        <f t="shared" ref="H55:H56" si="113">G55/F55</f>
        <v>0.87500000000000011</v>
      </c>
      <c r="I55" s="1">
        <f>(53*10^5)/0.09</f>
        <v>58888888.888888888</v>
      </c>
      <c r="J55" s="1">
        <f>(46*10^5)/0.09</f>
        <v>51111111.111111112</v>
      </c>
      <c r="K55" s="1">
        <f t="shared" ref="K55:K56" si="114">J55/I55</f>
        <v>0.86792452830188682</v>
      </c>
      <c r="P55" s="1">
        <v>2</v>
      </c>
      <c r="Q55" s="1">
        <f t="shared" ref="Q55:Q56" si="115">C55/100</f>
        <v>2111111.111111111</v>
      </c>
      <c r="R55" s="1">
        <f t="shared" ref="R55:R56" si="116">F55</f>
        <v>6222222.222222222</v>
      </c>
      <c r="S55" s="1">
        <f t="shared" ref="S55:S56" si="117">I55</f>
        <v>58888888.888888888</v>
      </c>
      <c r="T55" s="1">
        <v>2</v>
      </c>
      <c r="U55" s="1">
        <f t="shared" ref="U55:U56" si="118">E55</f>
        <v>0.98421052631578954</v>
      </c>
      <c r="V55" s="1">
        <f t="shared" ref="V55:V56" si="119">H55</f>
        <v>0.87500000000000011</v>
      </c>
      <c r="W55" s="1">
        <f t="shared" ref="W55:W56" si="120">K55</f>
        <v>0.86792452830188682</v>
      </c>
    </row>
    <row r="56" spans="1:23" x14ac:dyDescent="0.25">
      <c r="A56" s="10"/>
      <c r="B56" s="3">
        <v>3</v>
      </c>
      <c r="C56" s="1">
        <f>(170*10^5)/0.09</f>
        <v>188888888.8888889</v>
      </c>
      <c r="D56" s="1">
        <f>(152*10^5)/0.09</f>
        <v>168888888.8888889</v>
      </c>
      <c r="E56" s="1">
        <f t="shared" si="112"/>
        <v>0.89411764705882357</v>
      </c>
      <c r="F56" s="1">
        <f>(32*10^4)/0.09</f>
        <v>3555555.5555555555</v>
      </c>
      <c r="G56" s="1">
        <f>(24*10^4)/0.09</f>
        <v>2666666.666666667</v>
      </c>
      <c r="H56" s="1">
        <f t="shared" si="113"/>
        <v>0.75000000000000011</v>
      </c>
      <c r="I56" s="1">
        <f>(29*10^5)/0.09</f>
        <v>32222222.222222224</v>
      </c>
      <c r="J56" s="1">
        <f>(19*10^5)/0.09</f>
        <v>21111111.111111112</v>
      </c>
      <c r="K56" s="1">
        <f t="shared" si="114"/>
        <v>0.65517241379310343</v>
      </c>
      <c r="P56" s="1">
        <v>3</v>
      </c>
      <c r="Q56" s="1">
        <f t="shared" si="115"/>
        <v>1888888.888888889</v>
      </c>
      <c r="R56" s="1">
        <f t="shared" si="116"/>
        <v>3555555.5555555555</v>
      </c>
      <c r="S56" s="1">
        <f t="shared" si="117"/>
        <v>32222222.222222224</v>
      </c>
      <c r="T56" s="1">
        <v>3</v>
      </c>
      <c r="U56" s="1">
        <f t="shared" si="118"/>
        <v>0.89411764705882357</v>
      </c>
      <c r="V56" s="1">
        <f t="shared" si="119"/>
        <v>0.75000000000000011</v>
      </c>
      <c r="W56" s="1">
        <f t="shared" si="120"/>
        <v>0.65517241379310343</v>
      </c>
    </row>
    <row r="57" spans="1:23" x14ac:dyDescent="0.25">
      <c r="A57" s="2"/>
      <c r="B57" s="2" t="s">
        <v>35</v>
      </c>
      <c r="C57" s="2" t="s">
        <v>11</v>
      </c>
      <c r="D57" s="2" t="s">
        <v>12</v>
      </c>
      <c r="E57" s="2" t="s">
        <v>13</v>
      </c>
      <c r="F57" s="2" t="s">
        <v>11</v>
      </c>
      <c r="G57" s="2" t="s">
        <v>12</v>
      </c>
      <c r="H57" s="2" t="s">
        <v>13</v>
      </c>
      <c r="I57" s="2" t="s">
        <v>11</v>
      </c>
      <c r="J57" s="2" t="s">
        <v>12</v>
      </c>
      <c r="K57" s="2" t="s">
        <v>13</v>
      </c>
      <c r="L57" s="2"/>
      <c r="M57" s="2">
        <v>0</v>
      </c>
      <c r="N57" s="2">
        <v>1</v>
      </c>
      <c r="O57" s="2">
        <v>2</v>
      </c>
      <c r="Q57" s="2">
        <v>0</v>
      </c>
      <c r="R57" s="2">
        <v>1</v>
      </c>
      <c r="S57" s="2">
        <v>2</v>
      </c>
      <c r="T57" s="2"/>
      <c r="U57" s="2">
        <v>0</v>
      </c>
      <c r="V57" s="2">
        <v>1</v>
      </c>
      <c r="W57" s="2">
        <v>2</v>
      </c>
    </row>
    <row r="58" spans="1:23" x14ac:dyDescent="0.25">
      <c r="A58" s="10" t="s">
        <v>14</v>
      </c>
      <c r="B58" s="3">
        <v>1</v>
      </c>
      <c r="C58" s="1">
        <f>(218*10^5)/0.09</f>
        <v>242222222.22222224</v>
      </c>
      <c r="D58" s="1">
        <f>(199*10^5)/0.09</f>
        <v>221111111.1111111</v>
      </c>
      <c r="E58" s="1">
        <f>D58/C58</f>
        <v>0.91284403669724756</v>
      </c>
      <c r="F58" s="1">
        <f>(40*10^4)/0.09</f>
        <v>4444444.444444445</v>
      </c>
      <c r="G58" s="1">
        <f>(28*10^4)/0.09</f>
        <v>3111111.111111111</v>
      </c>
      <c r="H58" s="1">
        <f>G58/F58</f>
        <v>0.69999999999999984</v>
      </c>
      <c r="I58" s="1">
        <f>(16*10^5)/0.09</f>
        <v>17777777.77777778</v>
      </c>
      <c r="J58" s="1">
        <f>(13*10^5)/0.09</f>
        <v>14444444.444444446</v>
      </c>
      <c r="K58" s="1">
        <f>J58/I58</f>
        <v>0.8125</v>
      </c>
      <c r="L58" s="1" t="s">
        <v>35</v>
      </c>
      <c r="M58" s="1">
        <f>AVERAGE(C58:C60)/100</f>
        <v>2251851.8518518521</v>
      </c>
      <c r="N58" s="1">
        <f>AVERAGE(F58:F60)</f>
        <v>5111111.1111111119</v>
      </c>
      <c r="O58" s="1">
        <f>AVERAGE(I58:I60)</f>
        <v>23703703.703703705</v>
      </c>
      <c r="P58" s="1">
        <v>1</v>
      </c>
      <c r="Q58" s="1">
        <f>C58/100</f>
        <v>2422222.2222222225</v>
      </c>
      <c r="R58" s="1">
        <f>F58</f>
        <v>4444444.444444445</v>
      </c>
      <c r="S58" s="1">
        <f>I58</f>
        <v>17777777.77777778</v>
      </c>
      <c r="T58" s="1">
        <v>1</v>
      </c>
      <c r="U58" s="1">
        <f>E58</f>
        <v>0.91284403669724756</v>
      </c>
      <c r="V58" s="1">
        <f>H58</f>
        <v>0.69999999999999984</v>
      </c>
      <c r="W58" s="1">
        <f>K58</f>
        <v>0.8125</v>
      </c>
    </row>
    <row r="59" spans="1:23" x14ac:dyDescent="0.25">
      <c r="A59" s="10"/>
      <c r="B59" s="3">
        <v>2</v>
      </c>
      <c r="C59" s="1">
        <f>(200*10^5)/0.09</f>
        <v>222222222.22222224</v>
      </c>
      <c r="D59" s="1">
        <f>(178*10^5)/0.09</f>
        <v>197777777.77777779</v>
      </c>
      <c r="E59" s="1">
        <f t="shared" ref="E59:E60" si="121">D59/C59</f>
        <v>0.89</v>
      </c>
      <c r="F59" s="1">
        <f>(65*10^4)/0.09</f>
        <v>7222222.2222222229</v>
      </c>
      <c r="G59" s="1">
        <f>(46*10^4)/0.09</f>
        <v>5111111.111111111</v>
      </c>
      <c r="H59" s="1">
        <f t="shared" ref="H59:H60" si="122">G59/F59</f>
        <v>0.70769230769230762</v>
      </c>
      <c r="I59" s="1">
        <f>(24*10^5)/0.09</f>
        <v>26666666.666666668</v>
      </c>
      <c r="J59" s="1">
        <f>(17*10^5)/0.09</f>
        <v>18888888.888888888</v>
      </c>
      <c r="K59" s="1">
        <f t="shared" ref="K59:K60" si="123">J59/I59</f>
        <v>0.70833333333333326</v>
      </c>
      <c r="P59" s="1">
        <v>2</v>
      </c>
      <c r="Q59" s="1">
        <f t="shared" ref="Q59:Q60" si="124">C59/100</f>
        <v>2222222.2222222225</v>
      </c>
      <c r="R59" s="1">
        <f t="shared" ref="R59:R60" si="125">F59</f>
        <v>7222222.2222222229</v>
      </c>
      <c r="S59" s="1">
        <f t="shared" ref="S59:S60" si="126">I59</f>
        <v>26666666.666666668</v>
      </c>
      <c r="T59" s="1">
        <v>2</v>
      </c>
      <c r="U59" s="1">
        <f t="shared" ref="U59:U60" si="127">E59</f>
        <v>0.89</v>
      </c>
      <c r="V59" s="1">
        <f t="shared" ref="V59:V60" si="128">H59</f>
        <v>0.70769230769230762</v>
      </c>
      <c r="W59" s="1">
        <f t="shared" ref="W59:W60" si="129">K59</f>
        <v>0.70833333333333326</v>
      </c>
    </row>
    <row r="60" spans="1:23" x14ac:dyDescent="0.25">
      <c r="A60" s="10"/>
      <c r="B60" s="3">
        <v>3</v>
      </c>
      <c r="C60" s="1">
        <f>(190*10^5)/0.09</f>
        <v>211111111.1111111</v>
      </c>
      <c r="D60" s="1">
        <f>(180*10^5)/0.09</f>
        <v>200000000</v>
      </c>
      <c r="E60" s="1">
        <f t="shared" si="121"/>
        <v>0.94736842105263164</v>
      </c>
      <c r="F60" s="1">
        <f>(33*10^4)/0.09</f>
        <v>3666666.666666667</v>
      </c>
      <c r="G60" s="1">
        <f>(32*10^4)/0.09</f>
        <v>3555555.5555555555</v>
      </c>
      <c r="H60" s="1">
        <f t="shared" si="122"/>
        <v>0.96969696969696961</v>
      </c>
      <c r="I60" s="1">
        <f>(24*10^5)/0.09</f>
        <v>26666666.666666668</v>
      </c>
      <c r="J60" s="1">
        <f>(21*10^5)/0.09</f>
        <v>23333333.333333336</v>
      </c>
      <c r="K60" s="1">
        <f t="shared" si="123"/>
        <v>0.875</v>
      </c>
      <c r="P60" s="1">
        <v>3</v>
      </c>
      <c r="Q60" s="1">
        <f t="shared" si="124"/>
        <v>2111111.111111111</v>
      </c>
      <c r="R60" s="1">
        <f t="shared" si="125"/>
        <v>3666666.666666667</v>
      </c>
      <c r="S60" s="1">
        <f t="shared" si="126"/>
        <v>26666666.666666668</v>
      </c>
      <c r="T60" s="1">
        <v>3</v>
      </c>
      <c r="U60" s="1">
        <f t="shared" si="127"/>
        <v>0.94736842105263164</v>
      </c>
      <c r="V60" s="1">
        <f t="shared" si="128"/>
        <v>0.96969696969696961</v>
      </c>
      <c r="W60" s="1">
        <f t="shared" si="129"/>
        <v>0.875</v>
      </c>
    </row>
    <row r="61" spans="1:23" x14ac:dyDescent="0.25">
      <c r="A61" s="2"/>
      <c r="B61" s="2" t="s">
        <v>36</v>
      </c>
      <c r="C61" s="2" t="s">
        <v>11</v>
      </c>
      <c r="D61" s="2" t="s">
        <v>12</v>
      </c>
      <c r="E61" s="2" t="s">
        <v>13</v>
      </c>
      <c r="F61" s="2" t="s">
        <v>11</v>
      </c>
      <c r="G61" s="2" t="s">
        <v>12</v>
      </c>
      <c r="H61" s="2" t="s">
        <v>13</v>
      </c>
      <c r="I61" s="2" t="s">
        <v>11</v>
      </c>
      <c r="J61" s="2" t="s">
        <v>12</v>
      </c>
      <c r="K61" s="2" t="s">
        <v>13</v>
      </c>
      <c r="L61" s="2"/>
      <c r="M61" s="2">
        <v>0</v>
      </c>
      <c r="N61" s="2">
        <v>1</v>
      </c>
      <c r="O61" s="2">
        <v>2</v>
      </c>
      <c r="Q61" s="2">
        <v>0</v>
      </c>
      <c r="R61" s="2">
        <v>1</v>
      </c>
      <c r="S61" s="2">
        <v>2</v>
      </c>
      <c r="T61" s="2"/>
      <c r="U61" s="2">
        <v>0</v>
      </c>
      <c r="V61" s="2">
        <v>1</v>
      </c>
      <c r="W61" s="2">
        <v>2</v>
      </c>
    </row>
    <row r="62" spans="1:23" x14ac:dyDescent="0.25">
      <c r="A62" s="10" t="s">
        <v>14</v>
      </c>
      <c r="B62" s="3">
        <v>1</v>
      </c>
      <c r="C62" s="1">
        <f>(197*10^5)/0.09</f>
        <v>218888888.8888889</v>
      </c>
      <c r="D62" s="1">
        <f>(151*10^5)/0.09</f>
        <v>167777777.77777779</v>
      </c>
      <c r="E62" s="1">
        <f>D62/C62</f>
        <v>0.76649746192893409</v>
      </c>
      <c r="F62" s="1">
        <f>(36*10^4)/0.09</f>
        <v>4000000</v>
      </c>
      <c r="G62" s="1">
        <f>(22*10^4)/0.09</f>
        <v>2444444.4444444445</v>
      </c>
      <c r="H62" s="1">
        <f>G62/F62</f>
        <v>0.61111111111111116</v>
      </c>
      <c r="I62" s="1">
        <f>(22*10^5)/0.09</f>
        <v>24444444.444444444</v>
      </c>
      <c r="J62" s="1">
        <f>(179*10^4)/0.09</f>
        <v>19888888.888888888</v>
      </c>
      <c r="K62" s="1">
        <f>J62/I62</f>
        <v>0.8136363636363636</v>
      </c>
      <c r="L62" s="1" t="s">
        <v>36</v>
      </c>
      <c r="M62" s="1">
        <f>AVERAGE(C62:C64)/100</f>
        <v>2062962.9629629627</v>
      </c>
      <c r="N62" s="1">
        <f>AVERAGE(F62:F64)</f>
        <v>5185185.1851851856</v>
      </c>
      <c r="O62" s="1">
        <f>AVERAGE(I62:I64)</f>
        <v>29629629.629629631</v>
      </c>
      <c r="P62" s="1">
        <v>1</v>
      </c>
      <c r="Q62" s="1">
        <f>C62/100</f>
        <v>2188888.888888889</v>
      </c>
      <c r="R62" s="1">
        <f>F62</f>
        <v>4000000</v>
      </c>
      <c r="S62" s="1">
        <f>I62</f>
        <v>24444444.444444444</v>
      </c>
      <c r="T62" s="1">
        <v>1</v>
      </c>
      <c r="U62" s="1">
        <f>E62</f>
        <v>0.76649746192893409</v>
      </c>
      <c r="V62" s="1">
        <f>H62</f>
        <v>0.61111111111111116</v>
      </c>
      <c r="W62" s="1">
        <f>K62</f>
        <v>0.8136363636363636</v>
      </c>
    </row>
    <row r="63" spans="1:23" x14ac:dyDescent="0.25">
      <c r="A63" s="10"/>
      <c r="B63" s="3">
        <v>2</v>
      </c>
      <c r="C63" s="1">
        <f>(190*10^5)/0.09</f>
        <v>211111111.1111111</v>
      </c>
      <c r="D63" s="1">
        <f>(188*10^5)/0.09</f>
        <v>208888888.8888889</v>
      </c>
      <c r="E63" s="1">
        <f t="shared" ref="E63:E64" si="130">D63/C63</f>
        <v>0.98947368421052639</v>
      </c>
      <c r="F63" s="1">
        <f>(67*10^4)/0.09</f>
        <v>7444444.444444445</v>
      </c>
      <c r="G63" s="1">
        <f>(29*10^4)/0.09</f>
        <v>3222222.2222222225</v>
      </c>
      <c r="H63" s="1">
        <f t="shared" ref="H63:H64" si="131">G63/F63</f>
        <v>0.43283582089552242</v>
      </c>
      <c r="I63" s="1">
        <f>(31*10^5)/0.09</f>
        <v>34444444.444444448</v>
      </c>
      <c r="J63" s="1">
        <f>(24*10^5)/0.09</f>
        <v>26666666.666666668</v>
      </c>
      <c r="K63" s="1">
        <f t="shared" ref="K63:K64" si="132">J63/I63</f>
        <v>0.77419354838709675</v>
      </c>
      <c r="P63" s="1">
        <v>2</v>
      </c>
      <c r="Q63" s="1">
        <f t="shared" ref="Q63:Q64" si="133">C63/100</f>
        <v>2111111.111111111</v>
      </c>
      <c r="R63" s="1">
        <f t="shared" ref="R63:R64" si="134">F63</f>
        <v>7444444.444444445</v>
      </c>
      <c r="S63" s="1">
        <f t="shared" ref="S63:S64" si="135">I63</f>
        <v>34444444.444444448</v>
      </c>
      <c r="T63" s="1">
        <v>2</v>
      </c>
      <c r="U63" s="1">
        <f t="shared" ref="U63:U64" si="136">E63</f>
        <v>0.98947368421052639</v>
      </c>
      <c r="V63" s="1">
        <f t="shared" ref="V63:V64" si="137">H63</f>
        <v>0.43283582089552242</v>
      </c>
      <c r="W63" s="1">
        <f t="shared" ref="W63:W64" si="138">K63</f>
        <v>0.77419354838709675</v>
      </c>
    </row>
    <row r="64" spans="1:23" x14ac:dyDescent="0.25">
      <c r="A64" s="10"/>
      <c r="B64" s="3">
        <v>3</v>
      </c>
      <c r="C64" s="1">
        <f>(170*10^5)/0.09</f>
        <v>188888888.8888889</v>
      </c>
      <c r="D64" s="1">
        <f>(150*10^5)/0.09</f>
        <v>166666666.66666669</v>
      </c>
      <c r="E64" s="1">
        <f t="shared" si="130"/>
        <v>0.88235294117647067</v>
      </c>
      <c r="F64" s="1">
        <f>(37*10^4)/0.09</f>
        <v>4111111.1111111115</v>
      </c>
      <c r="G64" s="1">
        <f>(21*10^4)/0.09</f>
        <v>2333333.3333333335</v>
      </c>
      <c r="H64" s="1">
        <f t="shared" si="131"/>
        <v>0.56756756756756754</v>
      </c>
      <c r="I64" s="1">
        <f>(27*10^5)/0.09</f>
        <v>30000000</v>
      </c>
      <c r="J64" s="1">
        <f>(26*10^5)/0.09</f>
        <v>28888888.888888892</v>
      </c>
      <c r="K64" s="1">
        <f t="shared" si="132"/>
        <v>0.96296296296296302</v>
      </c>
      <c r="P64" s="1">
        <v>3</v>
      </c>
      <c r="Q64" s="1">
        <f t="shared" si="133"/>
        <v>1888888.888888889</v>
      </c>
      <c r="R64" s="1">
        <f t="shared" si="134"/>
        <v>4111111.1111111115</v>
      </c>
      <c r="S64" s="1">
        <f t="shared" si="135"/>
        <v>30000000</v>
      </c>
      <c r="T64" s="1">
        <v>3</v>
      </c>
      <c r="U64" s="1">
        <f t="shared" si="136"/>
        <v>0.88235294117647067</v>
      </c>
      <c r="V64" s="1">
        <f t="shared" si="137"/>
        <v>0.56756756756756754</v>
      </c>
      <c r="W64" s="1">
        <f t="shared" si="138"/>
        <v>0.96296296296296302</v>
      </c>
    </row>
    <row r="65" spans="1:23" x14ac:dyDescent="0.25">
      <c r="A65" s="2"/>
      <c r="B65" s="2" t="s">
        <v>37</v>
      </c>
      <c r="C65" s="2" t="s">
        <v>11</v>
      </c>
      <c r="D65" s="2" t="s">
        <v>12</v>
      </c>
      <c r="E65" s="2" t="s">
        <v>13</v>
      </c>
      <c r="F65" s="2" t="s">
        <v>11</v>
      </c>
      <c r="G65" s="2" t="s">
        <v>12</v>
      </c>
      <c r="H65" s="2" t="s">
        <v>13</v>
      </c>
      <c r="I65" s="2" t="s">
        <v>11</v>
      </c>
      <c r="J65" s="2" t="s">
        <v>12</v>
      </c>
      <c r="K65" s="2" t="s">
        <v>13</v>
      </c>
      <c r="L65" s="2"/>
      <c r="M65" s="2">
        <v>0</v>
      </c>
      <c r="N65" s="2">
        <v>1</v>
      </c>
      <c r="O65" s="2">
        <v>2</v>
      </c>
      <c r="Q65" s="2">
        <v>0</v>
      </c>
      <c r="R65" s="2">
        <v>1</v>
      </c>
      <c r="S65" s="2">
        <v>2</v>
      </c>
      <c r="T65" s="2"/>
      <c r="U65" s="2">
        <v>0</v>
      </c>
      <c r="V65" s="2">
        <v>1</v>
      </c>
      <c r="W65" s="2">
        <v>2</v>
      </c>
    </row>
    <row r="66" spans="1:23" x14ac:dyDescent="0.25">
      <c r="A66" s="10" t="s">
        <v>14</v>
      </c>
      <c r="B66" s="3">
        <v>1</v>
      </c>
      <c r="C66" s="1">
        <f>(269*10^5)/0.09</f>
        <v>298888888.8888889</v>
      </c>
      <c r="D66" s="1">
        <f>(245*10^5)/0.09</f>
        <v>272222222.22222221</v>
      </c>
      <c r="E66" s="1">
        <f>D66/C66</f>
        <v>0.91078066914498135</v>
      </c>
      <c r="F66" s="1">
        <f>(60*10^4)/0.09</f>
        <v>6666666.666666667</v>
      </c>
      <c r="G66" s="1">
        <f>(41*10^4)/0.09</f>
        <v>4555555.555555556</v>
      </c>
      <c r="H66" s="1">
        <f>G66/F66</f>
        <v>0.68333333333333335</v>
      </c>
      <c r="I66" s="1">
        <f>(46*10^5)/0.09</f>
        <v>51111111.111111112</v>
      </c>
      <c r="J66" s="1">
        <f>(38*10^5)/0.09</f>
        <v>42222222.222222224</v>
      </c>
      <c r="K66" s="1">
        <f>J66/I66</f>
        <v>0.82608695652173914</v>
      </c>
      <c r="L66" s="1" t="s">
        <v>38</v>
      </c>
      <c r="M66" s="1">
        <f>AVERAGE(C66:C68)/100</f>
        <v>2400000</v>
      </c>
      <c r="N66" s="1">
        <f>AVERAGE(F66:F68)</f>
        <v>5666666.666666667</v>
      </c>
      <c r="O66" s="1">
        <f>AVERAGE(I66:I68)</f>
        <v>112222222.22222222</v>
      </c>
      <c r="P66" s="1">
        <v>1</v>
      </c>
      <c r="Q66" s="1">
        <f>C66/100</f>
        <v>2988888.888888889</v>
      </c>
      <c r="R66" s="1">
        <f>F66</f>
        <v>6666666.666666667</v>
      </c>
      <c r="S66" s="1">
        <f>I66</f>
        <v>51111111.111111112</v>
      </c>
      <c r="T66" s="1">
        <v>1</v>
      </c>
      <c r="U66" s="1">
        <f>E66</f>
        <v>0.91078066914498135</v>
      </c>
      <c r="V66" s="1">
        <f>H66</f>
        <v>0.68333333333333335</v>
      </c>
      <c r="W66" s="1">
        <f>K66</f>
        <v>0.82608695652173914</v>
      </c>
    </row>
    <row r="67" spans="1:23" x14ac:dyDescent="0.25">
      <c r="A67" s="10"/>
      <c r="B67" s="3">
        <v>2</v>
      </c>
      <c r="C67" s="1">
        <f>(190*10^5)/0.09</f>
        <v>211111111.1111111</v>
      </c>
      <c r="D67" s="1">
        <f>(188*10^5)/0.09</f>
        <v>208888888.8888889</v>
      </c>
      <c r="E67" s="1">
        <f t="shared" ref="E67:E68" si="139">D67/C67</f>
        <v>0.98947368421052639</v>
      </c>
      <c r="F67" s="1">
        <f>(46*10^4)/0.09</f>
        <v>5111111.111111111</v>
      </c>
      <c r="G67" s="1">
        <f>(39*10^4)/0.09</f>
        <v>4333333.333333334</v>
      </c>
      <c r="H67" s="1">
        <f t="shared" ref="H67:H68" si="140">G67/F67</f>
        <v>0.84782608695652184</v>
      </c>
      <c r="I67" s="1">
        <f>(137*10^5)/0.09</f>
        <v>152222222.22222224</v>
      </c>
      <c r="J67" s="1">
        <f>(135*10^5)/0.09</f>
        <v>150000000</v>
      </c>
      <c r="K67" s="1">
        <f t="shared" ref="K67:K68" si="141">J67/I67</f>
        <v>0.98540145985401451</v>
      </c>
      <c r="P67" s="1">
        <v>2</v>
      </c>
      <c r="Q67" s="1">
        <f t="shared" ref="Q67:Q68" si="142">C67/100</f>
        <v>2111111.111111111</v>
      </c>
      <c r="R67" s="1">
        <f t="shared" ref="R67:R68" si="143">F67</f>
        <v>5111111.111111111</v>
      </c>
      <c r="S67" s="1">
        <f t="shared" ref="S67:S68" si="144">I67</f>
        <v>152222222.22222224</v>
      </c>
      <c r="T67" s="1">
        <v>2</v>
      </c>
      <c r="U67" s="1">
        <f t="shared" ref="U67:U68" si="145">E67</f>
        <v>0.98947368421052639</v>
      </c>
      <c r="V67" s="1">
        <f t="shared" ref="V67:V68" si="146">H67</f>
        <v>0.84782608695652184</v>
      </c>
      <c r="W67" s="1">
        <f t="shared" ref="W67:W68" si="147">K67</f>
        <v>0.98540145985401451</v>
      </c>
    </row>
    <row r="68" spans="1:23" x14ac:dyDescent="0.25">
      <c r="A68" s="10"/>
      <c r="B68" s="3">
        <v>3</v>
      </c>
      <c r="C68" s="1">
        <f>(189*10^5)/0.09</f>
        <v>210000000</v>
      </c>
      <c r="D68" s="1">
        <f>(183*10^5)/0.09</f>
        <v>203333333.33333334</v>
      </c>
      <c r="E68" s="1">
        <f t="shared" si="139"/>
        <v>0.96825396825396826</v>
      </c>
      <c r="F68" s="1">
        <f>(47*10^4)/0.09</f>
        <v>5222222.222222222</v>
      </c>
      <c r="G68" s="1">
        <f>(43*10^4)/0.09</f>
        <v>4777777.777777778</v>
      </c>
      <c r="H68" s="1">
        <f t="shared" si="140"/>
        <v>0.91489361702127669</v>
      </c>
      <c r="I68" s="1">
        <f>(120*10^5)/0.09</f>
        <v>133333333.33333334</v>
      </c>
      <c r="J68" s="1">
        <f>(110*10^5)/0.09</f>
        <v>122222222.22222222</v>
      </c>
      <c r="K68" s="1">
        <f t="shared" si="141"/>
        <v>0.91666666666666663</v>
      </c>
      <c r="P68" s="1">
        <v>3</v>
      </c>
      <c r="Q68" s="1">
        <f t="shared" si="142"/>
        <v>2100000</v>
      </c>
      <c r="R68" s="1">
        <f t="shared" si="143"/>
        <v>5222222.222222222</v>
      </c>
      <c r="S68" s="1">
        <f t="shared" si="144"/>
        <v>133333333.33333334</v>
      </c>
      <c r="T68" s="1">
        <v>3</v>
      </c>
      <c r="U68" s="1">
        <f t="shared" si="145"/>
        <v>0.96825396825396826</v>
      </c>
      <c r="V68" s="1">
        <f t="shared" si="146"/>
        <v>0.91489361702127669</v>
      </c>
      <c r="W68" s="1">
        <f t="shared" si="147"/>
        <v>0.91666666666666663</v>
      </c>
    </row>
    <row r="69" spans="1:23" x14ac:dyDescent="0.25">
      <c r="A69" s="2"/>
      <c r="B69" s="2" t="s">
        <v>39</v>
      </c>
      <c r="C69" s="2" t="s">
        <v>11</v>
      </c>
      <c r="D69" s="2" t="s">
        <v>12</v>
      </c>
      <c r="E69" s="2" t="s">
        <v>13</v>
      </c>
      <c r="F69" s="2" t="s">
        <v>11</v>
      </c>
      <c r="G69" s="2" t="s">
        <v>12</v>
      </c>
      <c r="H69" s="2" t="s">
        <v>13</v>
      </c>
      <c r="I69" s="2" t="s">
        <v>11</v>
      </c>
      <c r="J69" s="2" t="s">
        <v>12</v>
      </c>
      <c r="K69" s="2" t="s">
        <v>13</v>
      </c>
      <c r="L69" s="2"/>
      <c r="M69" s="2">
        <v>0</v>
      </c>
      <c r="N69" s="2">
        <v>1</v>
      </c>
      <c r="O69" s="2">
        <v>2</v>
      </c>
      <c r="Q69" s="2">
        <v>0</v>
      </c>
      <c r="R69" s="2">
        <v>1</v>
      </c>
      <c r="S69" s="2">
        <v>2</v>
      </c>
      <c r="T69" s="2"/>
      <c r="U69" s="2">
        <v>0</v>
      </c>
      <c r="V69" s="2">
        <v>1</v>
      </c>
      <c r="W69" s="2">
        <v>2</v>
      </c>
    </row>
    <row r="70" spans="1:23" x14ac:dyDescent="0.25">
      <c r="A70" s="10" t="s">
        <v>14</v>
      </c>
      <c r="B70" s="3">
        <v>1</v>
      </c>
      <c r="C70" s="1">
        <f>(85*10^5)/0.1</f>
        <v>85000000</v>
      </c>
      <c r="D70" s="1">
        <f>(110*10^3)/0.1</f>
        <v>1100000</v>
      </c>
      <c r="E70" s="1">
        <f>D70/C70</f>
        <v>1.2941176470588235E-2</v>
      </c>
      <c r="F70" s="1">
        <f>(62*10^4)/0.1</f>
        <v>6200000</v>
      </c>
      <c r="G70" s="1">
        <f>(48*10^3)/0.1</f>
        <v>480000</v>
      </c>
      <c r="H70" s="1">
        <f>G70/F70</f>
        <v>7.7419354838709681E-2</v>
      </c>
      <c r="I70" s="1">
        <f>(52*10^5)/0.1</f>
        <v>52000000</v>
      </c>
      <c r="J70" s="1">
        <f>(40*10^4)/0.1</f>
        <v>4000000</v>
      </c>
      <c r="K70" s="1">
        <f>J70/I70</f>
        <v>7.6923076923076927E-2</v>
      </c>
      <c r="L70" s="1" t="s">
        <v>39</v>
      </c>
      <c r="M70" s="1">
        <f>AVERAGE(C70:C72)/100</f>
        <v>840000</v>
      </c>
      <c r="N70" s="1">
        <f>AVERAGE(F70:F72)</f>
        <v>6566666.666666667</v>
      </c>
      <c r="O70" s="1">
        <f>AVERAGE(I70:I72)</f>
        <v>61333333.333333336</v>
      </c>
      <c r="P70" s="1">
        <v>1</v>
      </c>
      <c r="Q70" s="1">
        <f>C70/100</f>
        <v>850000</v>
      </c>
      <c r="R70" s="1">
        <f>F70</f>
        <v>6200000</v>
      </c>
      <c r="S70" s="1">
        <f>I70</f>
        <v>52000000</v>
      </c>
      <c r="T70" s="1">
        <v>1</v>
      </c>
      <c r="U70" s="1">
        <f>E70</f>
        <v>1.2941176470588235E-2</v>
      </c>
      <c r="V70" s="1">
        <f>H70</f>
        <v>7.7419354838709681E-2</v>
      </c>
      <c r="W70" s="1">
        <f>K70</f>
        <v>7.6923076923076927E-2</v>
      </c>
    </row>
    <row r="71" spans="1:23" x14ac:dyDescent="0.25">
      <c r="A71" s="10"/>
      <c r="B71" s="3">
        <v>2</v>
      </c>
      <c r="C71" s="1">
        <f>(73*10^5)/0.1</f>
        <v>73000000</v>
      </c>
      <c r="D71" s="1">
        <f t="shared" ref="D71" si="148">(0*10)/0.1</f>
        <v>0</v>
      </c>
      <c r="E71" s="1">
        <f t="shared" ref="E71:E72" si="149">D71/C71</f>
        <v>0</v>
      </c>
      <c r="F71" s="1">
        <f>(57*10^4)/0.1</f>
        <v>5700000</v>
      </c>
      <c r="G71" s="1">
        <f>(0*10)/0.1</f>
        <v>0</v>
      </c>
      <c r="H71" s="1">
        <f t="shared" ref="H71:H72" si="150">G71/F71</f>
        <v>0</v>
      </c>
      <c r="I71" s="1">
        <f>(59*10^5/0.1)</f>
        <v>59000000</v>
      </c>
      <c r="J71" s="1">
        <f t="shared" ref="J71" si="151">(0*10)/0.1</f>
        <v>0</v>
      </c>
      <c r="K71" s="1">
        <f t="shared" ref="K71:K72" si="152">J71/I71</f>
        <v>0</v>
      </c>
      <c r="P71" s="1">
        <v>2</v>
      </c>
      <c r="Q71" s="1">
        <f t="shared" ref="Q71:Q72" si="153">C71/100</f>
        <v>730000</v>
      </c>
      <c r="R71" s="1">
        <f t="shared" ref="R71:R72" si="154">F71</f>
        <v>5700000</v>
      </c>
      <c r="S71" s="1">
        <f t="shared" ref="S71:S72" si="155">I71</f>
        <v>59000000</v>
      </c>
      <c r="T71" s="1">
        <v>2</v>
      </c>
      <c r="U71" s="1">
        <f t="shared" ref="U71:U72" si="156">E71</f>
        <v>0</v>
      </c>
      <c r="V71" s="1">
        <f t="shared" ref="V71:V72" si="157">H71</f>
        <v>0</v>
      </c>
      <c r="W71" s="1">
        <f t="shared" ref="W71:W72" si="158">K71</f>
        <v>0</v>
      </c>
    </row>
    <row r="72" spans="1:23" x14ac:dyDescent="0.25">
      <c r="A72" s="10"/>
      <c r="B72" s="3">
        <v>3</v>
      </c>
      <c r="C72" s="1">
        <f>(94*10^5)/0.1</f>
        <v>94000000</v>
      </c>
      <c r="D72" s="1">
        <f>(89*10^4)/0.1</f>
        <v>8900000</v>
      </c>
      <c r="E72" s="1">
        <f t="shared" si="149"/>
        <v>9.4680851063829785E-2</v>
      </c>
      <c r="F72" s="1">
        <f>(78*10^4)/0.1</f>
        <v>7800000</v>
      </c>
      <c r="G72" s="1">
        <f>(36*10^3)/0.1</f>
        <v>360000</v>
      </c>
      <c r="H72" s="1">
        <f t="shared" si="150"/>
        <v>4.6153846153846156E-2</v>
      </c>
      <c r="I72" s="1">
        <f>(73*10^5)/0.1</f>
        <v>73000000</v>
      </c>
      <c r="J72" s="1">
        <f>(35*10^4)/0.1</f>
        <v>3500000</v>
      </c>
      <c r="K72" s="1">
        <f t="shared" si="152"/>
        <v>4.7945205479452052E-2</v>
      </c>
      <c r="P72" s="1">
        <v>3</v>
      </c>
      <c r="Q72" s="1">
        <f t="shared" si="153"/>
        <v>940000</v>
      </c>
      <c r="R72" s="1">
        <f t="shared" si="154"/>
        <v>7800000</v>
      </c>
      <c r="S72" s="1">
        <f t="shared" si="155"/>
        <v>73000000</v>
      </c>
      <c r="T72" s="1">
        <v>3</v>
      </c>
      <c r="U72" s="1">
        <f t="shared" si="156"/>
        <v>9.4680851063829785E-2</v>
      </c>
      <c r="V72" s="1">
        <f t="shared" si="157"/>
        <v>4.6153846153846156E-2</v>
      </c>
      <c r="W72" s="1">
        <f t="shared" si="158"/>
        <v>4.7945205479452052E-2</v>
      </c>
    </row>
    <row r="73" spans="1:23" x14ac:dyDescent="0.25">
      <c r="A73" s="2"/>
      <c r="B73" s="2" t="s">
        <v>40</v>
      </c>
      <c r="C73" s="2" t="s">
        <v>11</v>
      </c>
      <c r="D73" s="2" t="s">
        <v>12</v>
      </c>
      <c r="E73" s="2" t="s">
        <v>13</v>
      </c>
      <c r="F73" s="2" t="s">
        <v>11</v>
      </c>
      <c r="G73" s="2" t="s">
        <v>12</v>
      </c>
      <c r="H73" s="2" t="s">
        <v>13</v>
      </c>
      <c r="I73" s="2" t="s">
        <v>11</v>
      </c>
      <c r="J73" s="2" t="s">
        <v>12</v>
      </c>
      <c r="K73" s="2" t="s">
        <v>13</v>
      </c>
      <c r="L73" s="2"/>
      <c r="M73" s="2">
        <v>0</v>
      </c>
      <c r="N73" s="2">
        <v>1</v>
      </c>
      <c r="O73" s="2">
        <v>2</v>
      </c>
      <c r="Q73" s="2">
        <v>0</v>
      </c>
      <c r="R73" s="2">
        <v>1</v>
      </c>
      <c r="S73" s="2">
        <v>2</v>
      </c>
      <c r="T73" s="2"/>
      <c r="U73" s="2">
        <v>0</v>
      </c>
      <c r="V73" s="2">
        <v>1</v>
      </c>
      <c r="W73" s="2">
        <v>2</v>
      </c>
    </row>
    <row r="74" spans="1:23" x14ac:dyDescent="0.25">
      <c r="A74" s="10" t="s">
        <v>14</v>
      </c>
      <c r="B74" s="3">
        <v>1</v>
      </c>
      <c r="C74" s="1">
        <f>(130*10^5)/0.1</f>
        <v>130000000</v>
      </c>
      <c r="D74" s="1">
        <f>(44*10)/0.1</f>
        <v>4400</v>
      </c>
      <c r="E74" s="1">
        <f>D74/C74</f>
        <v>3.3846153846153848E-5</v>
      </c>
      <c r="F74" s="1">
        <f>(165*10^3)/0.1</f>
        <v>1650000</v>
      </c>
      <c r="G74" s="1">
        <f>(4*10)/0.1</f>
        <v>400</v>
      </c>
      <c r="H74" s="1">
        <f>G74/F74</f>
        <v>2.4242424242424242E-4</v>
      </c>
      <c r="I74" s="1">
        <f>(86*10^4)/0.1</f>
        <v>8600000</v>
      </c>
      <c r="J74" s="1">
        <f>(5*10)/0.1</f>
        <v>500</v>
      </c>
      <c r="K74" s="1">
        <f>J74/I74</f>
        <v>5.8139534883720933E-5</v>
      </c>
      <c r="L74" s="1" t="s">
        <v>41</v>
      </c>
      <c r="M74" s="1">
        <f>AVERAGE(C74:C76)/100</f>
        <v>1140000</v>
      </c>
      <c r="N74" s="1">
        <f>AVERAGE(F74:F76)</f>
        <v>1593333.3333333333</v>
      </c>
      <c r="O74" s="1">
        <f>AVERAGE(I74:I76)</f>
        <v>7700000</v>
      </c>
      <c r="P74" s="1">
        <v>1</v>
      </c>
      <c r="Q74" s="1">
        <f>C74/100</f>
        <v>1300000</v>
      </c>
      <c r="R74" s="1">
        <f>F74</f>
        <v>1650000</v>
      </c>
      <c r="S74" s="1">
        <f>I74</f>
        <v>8600000</v>
      </c>
      <c r="T74" s="1">
        <v>1</v>
      </c>
      <c r="U74" s="1">
        <f>E74</f>
        <v>3.3846153846153848E-5</v>
      </c>
      <c r="V74" s="1">
        <f>H74</f>
        <v>2.4242424242424242E-4</v>
      </c>
      <c r="W74" s="1">
        <f>K74</f>
        <v>5.8139534883720933E-5</v>
      </c>
    </row>
    <row r="75" spans="1:23" x14ac:dyDescent="0.25">
      <c r="A75" s="10"/>
      <c r="B75" s="3">
        <v>2</v>
      </c>
      <c r="C75" s="1">
        <f>(88*10^5)/0.1</f>
        <v>88000000</v>
      </c>
      <c r="D75" s="1">
        <f>(59*10^4)/0.1</f>
        <v>5900000</v>
      </c>
      <c r="E75" s="1">
        <f t="shared" ref="E75:E76" si="159">D75/C75</f>
        <v>6.7045454545454547E-2</v>
      </c>
      <c r="F75" s="1">
        <f>(141*10^3)/0.1</f>
        <v>1410000</v>
      </c>
      <c r="G75" s="1">
        <f>(117*10^2)/0.1</f>
        <v>117000</v>
      </c>
      <c r="H75" s="1">
        <f t="shared" ref="H75:H76" si="160">G75/F75</f>
        <v>8.2978723404255314E-2</v>
      </c>
      <c r="I75" s="1">
        <f>(50*10^4)/0.1</f>
        <v>5000000</v>
      </c>
      <c r="J75" s="1">
        <f>(39*10^3)/0.1</f>
        <v>390000</v>
      </c>
      <c r="K75" s="1">
        <f t="shared" ref="K75:K76" si="161">J75/I75</f>
        <v>7.8E-2</v>
      </c>
      <c r="P75" s="1">
        <v>2</v>
      </c>
      <c r="Q75" s="1">
        <f t="shared" ref="Q75:Q76" si="162">C75/100</f>
        <v>880000</v>
      </c>
      <c r="R75" s="1">
        <f t="shared" ref="R75:R76" si="163">F75</f>
        <v>1410000</v>
      </c>
      <c r="S75" s="1">
        <f t="shared" ref="S75:S76" si="164">I75</f>
        <v>5000000</v>
      </c>
      <c r="T75" s="1">
        <v>2</v>
      </c>
      <c r="U75" s="1">
        <f t="shared" ref="U75:U76" si="165">E75</f>
        <v>6.7045454545454547E-2</v>
      </c>
      <c r="V75" s="1">
        <f t="shared" ref="V75:V76" si="166">H75</f>
        <v>8.2978723404255314E-2</v>
      </c>
      <c r="W75" s="1">
        <f t="shared" ref="W75:W76" si="167">K75</f>
        <v>7.8E-2</v>
      </c>
    </row>
    <row r="76" spans="1:23" x14ac:dyDescent="0.25">
      <c r="A76" s="10"/>
      <c r="B76" s="3">
        <v>3</v>
      </c>
      <c r="C76" s="1">
        <f>(124*10^5)/0.1</f>
        <v>124000000</v>
      </c>
      <c r="D76" s="1">
        <f>(52*10^2)/0.1</f>
        <v>52000</v>
      </c>
      <c r="E76" s="1">
        <f t="shared" si="159"/>
        <v>4.1935483870967743E-4</v>
      </c>
      <c r="F76" s="1">
        <f>(172*10^3)/0.1</f>
        <v>1720000</v>
      </c>
      <c r="G76" s="1">
        <f>(23*10)/0.1</f>
        <v>2300</v>
      </c>
      <c r="H76" s="1">
        <f t="shared" si="160"/>
        <v>1.3372093023255815E-3</v>
      </c>
      <c r="I76" s="1">
        <f>(95*10^4)/0.1</f>
        <v>9500000</v>
      </c>
      <c r="J76" s="1">
        <f>(12*10^2)/0.1</f>
        <v>12000</v>
      </c>
      <c r="K76" s="1">
        <f t="shared" si="161"/>
        <v>1.2631578947368421E-3</v>
      </c>
      <c r="P76" s="1">
        <v>3</v>
      </c>
      <c r="Q76" s="1">
        <f t="shared" si="162"/>
        <v>1240000</v>
      </c>
      <c r="R76" s="1">
        <f t="shared" si="163"/>
        <v>1720000</v>
      </c>
      <c r="S76" s="1">
        <f t="shared" si="164"/>
        <v>9500000</v>
      </c>
      <c r="T76" s="1">
        <v>3</v>
      </c>
      <c r="U76" s="1">
        <f t="shared" si="165"/>
        <v>4.1935483870967743E-4</v>
      </c>
      <c r="V76" s="1">
        <f t="shared" si="166"/>
        <v>1.3372093023255815E-3</v>
      </c>
      <c r="W76" s="1">
        <f t="shared" si="167"/>
        <v>1.2631578947368421E-3</v>
      </c>
    </row>
    <row r="77" spans="1:23" x14ac:dyDescent="0.25">
      <c r="A77" s="2"/>
      <c r="B77" s="2" t="s">
        <v>42</v>
      </c>
      <c r="C77" s="2" t="s">
        <v>11</v>
      </c>
      <c r="D77" s="2" t="s">
        <v>12</v>
      </c>
      <c r="E77" s="2" t="s">
        <v>13</v>
      </c>
      <c r="F77" s="2" t="s">
        <v>11</v>
      </c>
      <c r="G77" s="2" t="s">
        <v>12</v>
      </c>
      <c r="H77" s="2" t="s">
        <v>13</v>
      </c>
      <c r="I77" s="2" t="s">
        <v>11</v>
      </c>
      <c r="J77" s="2" t="s">
        <v>12</v>
      </c>
      <c r="K77" s="2" t="s">
        <v>13</v>
      </c>
      <c r="L77" s="2"/>
      <c r="M77" s="2">
        <v>0</v>
      </c>
      <c r="N77" s="2">
        <v>1</v>
      </c>
      <c r="O77" s="2">
        <v>2</v>
      </c>
      <c r="Q77" s="2">
        <v>0</v>
      </c>
      <c r="R77" s="2">
        <v>1</v>
      </c>
      <c r="S77" s="2">
        <v>2</v>
      </c>
      <c r="T77" s="2"/>
      <c r="U77" s="2">
        <v>0</v>
      </c>
      <c r="V77" s="2">
        <v>1</v>
      </c>
      <c r="W77" s="2">
        <v>2</v>
      </c>
    </row>
    <row r="78" spans="1:23" x14ac:dyDescent="0.25">
      <c r="A78" s="10" t="s">
        <v>14</v>
      </c>
      <c r="B78" s="3">
        <v>1</v>
      </c>
      <c r="C78" s="1">
        <f>(88*10^5)/0.1</f>
        <v>88000000</v>
      </c>
      <c r="D78" s="1">
        <f>(0*10)/0.1</f>
        <v>0</v>
      </c>
      <c r="E78" s="1">
        <f>D78/C78</f>
        <v>0</v>
      </c>
      <c r="F78" s="1">
        <f>(48*10^4)/0.1</f>
        <v>4800000</v>
      </c>
      <c r="G78" s="1">
        <f>(0*10)/0.1</f>
        <v>0</v>
      </c>
      <c r="H78" s="1">
        <f>G78/F78</f>
        <v>0</v>
      </c>
      <c r="I78" s="1">
        <f>(69*10^5)/0.1</f>
        <v>69000000</v>
      </c>
      <c r="J78" s="1">
        <f t="shared" ref="J78:J80" si="168">(0*10)/0.1</f>
        <v>0</v>
      </c>
      <c r="K78" s="1">
        <f>J78/I78</f>
        <v>0</v>
      </c>
      <c r="L78" s="1" t="s">
        <v>43</v>
      </c>
      <c r="M78" s="1">
        <f>AVERAGE(C78:C80)/100</f>
        <v>976666.66666666674</v>
      </c>
      <c r="N78" s="1">
        <f>AVERAGE(F78:F80)</f>
        <v>4966666.666666667</v>
      </c>
      <c r="O78" s="1">
        <f>AVERAGE(I78:I80)</f>
        <v>47000000</v>
      </c>
      <c r="P78" s="1">
        <v>1</v>
      </c>
      <c r="Q78" s="1">
        <f>C78/100</f>
        <v>880000</v>
      </c>
      <c r="R78" s="1">
        <f>F78</f>
        <v>4800000</v>
      </c>
      <c r="S78" s="1">
        <f>I78</f>
        <v>69000000</v>
      </c>
      <c r="T78" s="1">
        <v>1</v>
      </c>
      <c r="U78" s="1">
        <f>E78</f>
        <v>0</v>
      </c>
      <c r="V78" s="1">
        <f>H78</f>
        <v>0</v>
      </c>
      <c r="W78" s="1">
        <f>K78</f>
        <v>0</v>
      </c>
    </row>
    <row r="79" spans="1:23" x14ac:dyDescent="0.25">
      <c r="A79" s="10"/>
      <c r="B79" s="3">
        <v>2</v>
      </c>
      <c r="C79" s="1">
        <f>(136*10^5)/0.1</f>
        <v>136000000</v>
      </c>
      <c r="D79" s="1">
        <f t="shared" ref="D79:D80" si="169">(0*10)/0.1</f>
        <v>0</v>
      </c>
      <c r="E79" s="1">
        <f t="shared" ref="E79:E80" si="170">D79/C79</f>
        <v>0</v>
      </c>
      <c r="F79" s="1">
        <f>(72*10^4)/0.1</f>
        <v>7200000</v>
      </c>
      <c r="G79" s="1">
        <f t="shared" ref="G79:G80" si="171">(0*10)/0.1</f>
        <v>0</v>
      </c>
      <c r="H79" s="1">
        <f t="shared" ref="H79:H80" si="172">G79/F79</f>
        <v>0</v>
      </c>
      <c r="I79" s="1">
        <f>(38*10^5)/0.1</f>
        <v>38000000</v>
      </c>
      <c r="J79" s="1">
        <f t="shared" si="168"/>
        <v>0</v>
      </c>
      <c r="K79" s="1">
        <f t="shared" ref="K79:K80" si="173">J79/I79</f>
        <v>0</v>
      </c>
      <c r="P79" s="1">
        <v>2</v>
      </c>
      <c r="Q79" s="1">
        <f t="shared" ref="Q79:Q80" si="174">C79/100</f>
        <v>1360000</v>
      </c>
      <c r="R79" s="1">
        <f t="shared" ref="R79:R80" si="175">F79</f>
        <v>7200000</v>
      </c>
      <c r="S79" s="1">
        <f t="shared" ref="S79:S80" si="176">I79</f>
        <v>38000000</v>
      </c>
      <c r="T79" s="1">
        <v>2</v>
      </c>
      <c r="U79" s="1">
        <f t="shared" ref="U79:U80" si="177">E79</f>
        <v>0</v>
      </c>
      <c r="V79" s="1">
        <f t="shared" ref="V79:V80" si="178">H79</f>
        <v>0</v>
      </c>
      <c r="W79" s="1">
        <f t="shared" ref="W79:W80" si="179">K79</f>
        <v>0</v>
      </c>
    </row>
    <row r="80" spans="1:23" x14ac:dyDescent="0.25">
      <c r="A80" s="10"/>
      <c r="B80" s="3">
        <v>3</v>
      </c>
      <c r="C80" s="1">
        <f>(69*10^5)/0.1</f>
        <v>69000000</v>
      </c>
      <c r="D80" s="1">
        <f t="shared" si="169"/>
        <v>0</v>
      </c>
      <c r="E80" s="1">
        <f t="shared" si="170"/>
        <v>0</v>
      </c>
      <c r="F80" s="1">
        <f>(29*10^4)/0.1</f>
        <v>2900000</v>
      </c>
      <c r="G80" s="1">
        <f t="shared" si="171"/>
        <v>0</v>
      </c>
      <c r="H80" s="1">
        <f t="shared" si="172"/>
        <v>0</v>
      </c>
      <c r="I80" s="1">
        <f>(34*10^5)/0.1</f>
        <v>34000000</v>
      </c>
      <c r="J80" s="1">
        <f t="shared" si="168"/>
        <v>0</v>
      </c>
      <c r="K80" s="1">
        <f t="shared" si="173"/>
        <v>0</v>
      </c>
      <c r="P80" s="1">
        <v>3</v>
      </c>
      <c r="Q80" s="1">
        <f t="shared" si="174"/>
        <v>690000</v>
      </c>
      <c r="R80" s="1">
        <f t="shared" si="175"/>
        <v>2900000</v>
      </c>
      <c r="S80" s="1">
        <f t="shared" si="176"/>
        <v>34000000</v>
      </c>
      <c r="T80" s="1">
        <v>3</v>
      </c>
      <c r="U80" s="1">
        <f t="shared" si="177"/>
        <v>0</v>
      </c>
      <c r="V80" s="1">
        <f t="shared" si="178"/>
        <v>0</v>
      </c>
      <c r="W80" s="1">
        <f t="shared" si="179"/>
        <v>0</v>
      </c>
    </row>
    <row r="81" spans="1:23" x14ac:dyDescent="0.25">
      <c r="A81" s="2"/>
      <c r="B81" s="2" t="s">
        <v>44</v>
      </c>
      <c r="C81" s="2" t="s">
        <v>11</v>
      </c>
      <c r="D81" s="2" t="s">
        <v>12</v>
      </c>
      <c r="E81" s="2" t="s">
        <v>13</v>
      </c>
      <c r="F81" s="2" t="s">
        <v>11</v>
      </c>
      <c r="G81" s="2" t="s">
        <v>12</v>
      </c>
      <c r="H81" s="2" t="s">
        <v>13</v>
      </c>
      <c r="I81" s="2" t="s">
        <v>11</v>
      </c>
      <c r="J81" s="2" t="s">
        <v>12</v>
      </c>
      <c r="K81" s="2" t="s">
        <v>13</v>
      </c>
      <c r="L81" s="2"/>
      <c r="M81" s="2">
        <v>0</v>
      </c>
      <c r="N81" s="2">
        <v>1</v>
      </c>
      <c r="O81" s="2">
        <v>2</v>
      </c>
      <c r="Q81" s="2">
        <v>0</v>
      </c>
      <c r="R81" s="2">
        <v>1</v>
      </c>
      <c r="S81" s="2">
        <v>2</v>
      </c>
      <c r="T81" s="2"/>
      <c r="U81" s="2">
        <v>0</v>
      </c>
      <c r="V81" s="2">
        <v>1</v>
      </c>
      <c r="W81" s="2">
        <v>2</v>
      </c>
    </row>
    <row r="82" spans="1:23" x14ac:dyDescent="0.25">
      <c r="A82" s="10" t="s">
        <v>14</v>
      </c>
      <c r="B82" s="3">
        <v>1</v>
      </c>
      <c r="C82" s="1">
        <f>(200*10^5)/0.09</f>
        <v>222222222.22222224</v>
      </c>
      <c r="D82" s="1">
        <f>(164*10^5)/0.09</f>
        <v>182222222.22222224</v>
      </c>
      <c r="E82" s="1">
        <f>D82/C82</f>
        <v>0.82000000000000006</v>
      </c>
      <c r="F82" s="1">
        <f>(28*10^4)/0.09</f>
        <v>3111111.111111111</v>
      </c>
      <c r="G82" s="1">
        <f>(26*10^4)/0.09</f>
        <v>2888888.888888889</v>
      </c>
      <c r="H82" s="1">
        <f>G82/F82</f>
        <v>0.9285714285714286</v>
      </c>
      <c r="I82" s="1">
        <f>(16*10^5)/0.09</f>
        <v>17777777.77777778</v>
      </c>
      <c r="J82" s="1">
        <f>(12*10^5)/0.09</f>
        <v>13333333.333333334</v>
      </c>
      <c r="K82" s="1">
        <f>J82/I82</f>
        <v>0.75</v>
      </c>
      <c r="L82" s="1" t="s">
        <v>44</v>
      </c>
      <c r="M82" s="1">
        <f>AVERAGE(C82:C84)/100</f>
        <v>2548148.1481481479</v>
      </c>
      <c r="N82" s="1">
        <f>AVERAGE(F82:F84)</f>
        <v>3148148.1481481479</v>
      </c>
      <c r="O82" s="1">
        <f>AVERAGE(I82:I84)</f>
        <v>19259259.259259261</v>
      </c>
      <c r="P82" s="1">
        <v>1</v>
      </c>
      <c r="Q82" s="1">
        <f>C82/100</f>
        <v>2222222.2222222225</v>
      </c>
      <c r="R82" s="1">
        <f>F82</f>
        <v>3111111.111111111</v>
      </c>
      <c r="S82" s="1">
        <f>I82</f>
        <v>17777777.77777778</v>
      </c>
      <c r="T82" s="1">
        <v>1</v>
      </c>
      <c r="U82" s="1">
        <f>E82</f>
        <v>0.82000000000000006</v>
      </c>
      <c r="V82" s="1">
        <f>H82</f>
        <v>0.9285714285714286</v>
      </c>
      <c r="W82" s="1">
        <f>K82</f>
        <v>0.75</v>
      </c>
    </row>
    <row r="83" spans="1:23" x14ac:dyDescent="0.25">
      <c r="A83" s="10"/>
      <c r="B83" s="3">
        <v>2</v>
      </c>
      <c r="C83" s="1">
        <f>(208*10^5)/0.09</f>
        <v>231111111.11111113</v>
      </c>
      <c r="D83" s="1">
        <f>(198*10^5)/0.09</f>
        <v>220000000</v>
      </c>
      <c r="E83" s="1">
        <f t="shared" ref="E83:E84" si="180">D83/C83</f>
        <v>0.95192307692307687</v>
      </c>
      <c r="F83" s="1">
        <f>(30*10^4)/0.09</f>
        <v>3333333.3333333335</v>
      </c>
      <c r="G83" s="1">
        <f>(20*10^4)/0.09</f>
        <v>2222222.2222222225</v>
      </c>
      <c r="H83" s="1">
        <f t="shared" ref="H83:H84" si="181">G83/F83</f>
        <v>0.66666666666666674</v>
      </c>
      <c r="I83" s="1">
        <f>(17*10^5)/0.09</f>
        <v>18888888.888888888</v>
      </c>
      <c r="J83" s="1">
        <f>(16*10^5)/0.09</f>
        <v>17777777.77777778</v>
      </c>
      <c r="K83" s="1">
        <f t="shared" ref="K83:K84" si="182">J83/I83</f>
        <v>0.94117647058823539</v>
      </c>
      <c r="P83" s="1">
        <v>2</v>
      </c>
      <c r="Q83" s="1">
        <f t="shared" ref="Q83:Q84" si="183">C83/100</f>
        <v>2311111.1111111115</v>
      </c>
      <c r="R83" s="1">
        <f t="shared" ref="R83:R84" si="184">F83</f>
        <v>3333333.3333333335</v>
      </c>
      <c r="S83" s="1">
        <f t="shared" ref="S83:S84" si="185">I83</f>
        <v>18888888.888888888</v>
      </c>
      <c r="T83" s="1">
        <v>2</v>
      </c>
      <c r="U83" s="1">
        <f t="shared" ref="U83:U84" si="186">E83</f>
        <v>0.95192307692307687</v>
      </c>
      <c r="V83" s="1">
        <f t="shared" ref="V83:V84" si="187">H83</f>
        <v>0.66666666666666674</v>
      </c>
      <c r="W83" s="1">
        <f t="shared" ref="W83:W84" si="188">K83</f>
        <v>0.94117647058823539</v>
      </c>
    </row>
    <row r="84" spans="1:23" x14ac:dyDescent="0.25">
      <c r="A84" s="10"/>
      <c r="B84" s="3">
        <v>3</v>
      </c>
      <c r="C84" s="1">
        <f>(280*10^5)/0.09</f>
        <v>311111111.1111111</v>
      </c>
      <c r="D84" s="1">
        <f>(264*10^5)/0.09</f>
        <v>293333333.33333337</v>
      </c>
      <c r="E84" s="1">
        <f t="shared" si="180"/>
        <v>0.94285714285714306</v>
      </c>
      <c r="F84" s="1">
        <f>(27*10^4)/0.09</f>
        <v>3000000</v>
      </c>
      <c r="G84" s="1">
        <f>(21*10^4)/0.09</f>
        <v>2333333.3333333335</v>
      </c>
      <c r="H84" s="1">
        <f t="shared" si="181"/>
        <v>0.77777777777777779</v>
      </c>
      <c r="I84" s="1">
        <f>(19*10^5)/0.09</f>
        <v>21111111.111111112</v>
      </c>
      <c r="J84" s="1">
        <f>(16*10^5)/0.09</f>
        <v>17777777.77777778</v>
      </c>
      <c r="K84" s="1">
        <f t="shared" si="182"/>
        <v>0.8421052631578948</v>
      </c>
      <c r="P84" s="1">
        <v>3</v>
      </c>
      <c r="Q84" s="1">
        <f t="shared" si="183"/>
        <v>3111111.111111111</v>
      </c>
      <c r="R84" s="1">
        <f t="shared" si="184"/>
        <v>3000000</v>
      </c>
      <c r="S84" s="1">
        <f t="shared" si="185"/>
        <v>21111111.111111112</v>
      </c>
      <c r="T84" s="1">
        <v>3</v>
      </c>
      <c r="U84" s="1">
        <f t="shared" si="186"/>
        <v>0.94285714285714306</v>
      </c>
      <c r="V84" s="1">
        <f t="shared" si="187"/>
        <v>0.77777777777777779</v>
      </c>
      <c r="W84" s="1">
        <f t="shared" si="188"/>
        <v>0.8421052631578948</v>
      </c>
    </row>
  </sheetData>
  <mergeCells count="29">
    <mergeCell ref="A9:A11"/>
    <mergeCell ref="C3:E3"/>
    <mergeCell ref="F3:H3"/>
    <mergeCell ref="I3:K3"/>
    <mergeCell ref="M3:O3"/>
    <mergeCell ref="A5:A7"/>
    <mergeCell ref="A46:A48"/>
    <mergeCell ref="A13:A15"/>
    <mergeCell ref="A17:A19"/>
    <mergeCell ref="A21:A23"/>
    <mergeCell ref="A25:A27"/>
    <mergeCell ref="A29:A31"/>
    <mergeCell ref="A33:A35"/>
    <mergeCell ref="A74:A76"/>
    <mergeCell ref="A78:A80"/>
    <mergeCell ref="A82:A84"/>
    <mergeCell ref="Q3:S3"/>
    <mergeCell ref="U3:W3"/>
    <mergeCell ref="A50:A52"/>
    <mergeCell ref="A54:A56"/>
    <mergeCell ref="A58:A60"/>
    <mergeCell ref="A62:A64"/>
    <mergeCell ref="A66:A68"/>
    <mergeCell ref="A70:A72"/>
    <mergeCell ref="A37:A39"/>
    <mergeCell ref="A41:A43"/>
    <mergeCell ref="C44:E44"/>
    <mergeCell ref="F44:H44"/>
    <mergeCell ref="I44:K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70879-1D6A-F04E-89BE-CD85F2D86536}">
  <dimension ref="A1:N361"/>
  <sheetViews>
    <sheetView topLeftCell="A31" workbookViewId="0">
      <selection activeCell="H1" sqref="H1:H1048576"/>
    </sheetView>
  </sheetViews>
  <sheetFormatPr defaultColWidth="11" defaultRowHeight="15.75" x14ac:dyDescent="0.25"/>
  <sheetData>
    <row r="1" spans="1:14" x14ac:dyDescent="0.25">
      <c r="A1" t="s">
        <v>72</v>
      </c>
      <c r="B1" t="s">
        <v>14</v>
      </c>
      <c r="C1" t="s">
        <v>73</v>
      </c>
      <c r="D1" t="s">
        <v>81</v>
      </c>
      <c r="E1" t="s">
        <v>12</v>
      </c>
      <c r="F1" t="s">
        <v>74</v>
      </c>
      <c r="G1" t="s">
        <v>76</v>
      </c>
    </row>
    <row r="2" spans="1:14" x14ac:dyDescent="0.25">
      <c r="A2" t="s">
        <v>10</v>
      </c>
      <c r="B2" s="3">
        <v>1</v>
      </c>
      <c r="C2">
        <v>0</v>
      </c>
      <c r="D2" s="1">
        <v>45555555.55555556</v>
      </c>
      <c r="E2" s="1">
        <v>44444444.444444448</v>
      </c>
      <c r="F2" t="s">
        <v>75</v>
      </c>
      <c r="G2" t="s">
        <v>9</v>
      </c>
      <c r="K2" s="3"/>
      <c r="M2" s="1"/>
      <c r="N2" s="1"/>
    </row>
    <row r="3" spans="1:14" x14ac:dyDescent="0.25">
      <c r="A3" t="s">
        <v>10</v>
      </c>
      <c r="B3" s="3">
        <v>2</v>
      </c>
      <c r="C3">
        <v>0</v>
      </c>
      <c r="D3" s="1">
        <v>43333333.333333336</v>
      </c>
      <c r="E3" s="1">
        <v>41111111.111111112</v>
      </c>
      <c r="F3" t="s">
        <v>75</v>
      </c>
      <c r="G3" t="s">
        <v>9</v>
      </c>
      <c r="K3" s="3"/>
      <c r="M3" s="1"/>
      <c r="N3" s="1"/>
    </row>
    <row r="4" spans="1:14" x14ac:dyDescent="0.25">
      <c r="A4" t="s">
        <v>10</v>
      </c>
      <c r="B4" s="3">
        <v>3</v>
      </c>
      <c r="C4">
        <v>0</v>
      </c>
      <c r="D4" s="1">
        <v>42222222.222222224</v>
      </c>
      <c r="E4" s="1">
        <v>40000000</v>
      </c>
      <c r="F4" t="s">
        <v>75</v>
      </c>
      <c r="G4" t="s">
        <v>9</v>
      </c>
      <c r="K4" s="3"/>
      <c r="M4" s="1"/>
      <c r="N4" s="1"/>
    </row>
    <row r="5" spans="1:14" x14ac:dyDescent="0.25">
      <c r="A5" t="s">
        <v>10</v>
      </c>
      <c r="B5" s="3">
        <v>1</v>
      </c>
      <c r="C5">
        <v>1</v>
      </c>
      <c r="D5" s="1">
        <v>9777777.777777778</v>
      </c>
      <c r="E5" s="1">
        <v>8111111.111111111</v>
      </c>
      <c r="F5" t="s">
        <v>75</v>
      </c>
      <c r="G5" t="s">
        <v>9</v>
      </c>
      <c r="I5" s="1"/>
      <c r="K5" s="3"/>
      <c r="M5" s="1"/>
      <c r="N5" s="1"/>
    </row>
    <row r="6" spans="1:14" x14ac:dyDescent="0.25">
      <c r="A6" t="s">
        <v>10</v>
      </c>
      <c r="B6" s="3">
        <v>2</v>
      </c>
      <c r="C6">
        <v>1</v>
      </c>
      <c r="D6" s="1">
        <v>14444444.444444446</v>
      </c>
      <c r="E6" s="1">
        <v>11000000</v>
      </c>
      <c r="F6" t="s">
        <v>75</v>
      </c>
      <c r="G6" t="s">
        <v>9</v>
      </c>
      <c r="I6" s="1"/>
      <c r="K6" s="3"/>
      <c r="M6" s="1"/>
      <c r="N6" s="1"/>
    </row>
    <row r="7" spans="1:14" x14ac:dyDescent="0.25">
      <c r="A7" t="s">
        <v>10</v>
      </c>
      <c r="B7" s="3">
        <v>3</v>
      </c>
      <c r="C7">
        <v>1</v>
      </c>
      <c r="D7" s="1">
        <v>7222222.2222222229</v>
      </c>
      <c r="E7" s="1">
        <v>5222222.222222222</v>
      </c>
      <c r="F7" t="s">
        <v>75</v>
      </c>
      <c r="G7" t="s">
        <v>9</v>
      </c>
      <c r="I7" s="1"/>
      <c r="K7" s="3"/>
      <c r="M7" s="1"/>
      <c r="N7" s="1"/>
    </row>
    <row r="8" spans="1:14" x14ac:dyDescent="0.25">
      <c r="A8" t="s">
        <v>10</v>
      </c>
      <c r="B8" s="3">
        <v>1</v>
      </c>
      <c r="C8">
        <v>2</v>
      </c>
      <c r="D8" s="1">
        <v>94444444.444444448</v>
      </c>
      <c r="E8" s="1">
        <v>73333333.333333343</v>
      </c>
      <c r="F8" t="s">
        <v>75</v>
      </c>
      <c r="G8" t="s">
        <v>9</v>
      </c>
      <c r="K8" s="3"/>
      <c r="M8" s="1"/>
      <c r="N8" s="1"/>
    </row>
    <row r="9" spans="1:14" x14ac:dyDescent="0.25">
      <c r="A9" t="s">
        <v>10</v>
      </c>
      <c r="B9" s="3">
        <v>2</v>
      </c>
      <c r="C9">
        <v>2</v>
      </c>
      <c r="D9" s="1">
        <v>98888888.888888896</v>
      </c>
      <c r="E9" s="1">
        <v>68888888.888888896</v>
      </c>
      <c r="F9" t="s">
        <v>75</v>
      </c>
      <c r="G9" t="s">
        <v>9</v>
      </c>
      <c r="K9" s="3"/>
      <c r="M9" s="1"/>
      <c r="N9" s="1"/>
    </row>
    <row r="10" spans="1:14" x14ac:dyDescent="0.25">
      <c r="A10" t="s">
        <v>10</v>
      </c>
      <c r="B10" s="3">
        <v>3</v>
      </c>
      <c r="C10">
        <v>2</v>
      </c>
      <c r="D10" s="1">
        <v>93333333.333333343</v>
      </c>
      <c r="E10" s="1">
        <v>90000000</v>
      </c>
      <c r="F10" t="s">
        <v>75</v>
      </c>
      <c r="G10" t="s">
        <v>9</v>
      </c>
      <c r="K10" s="3"/>
      <c r="M10" s="1"/>
      <c r="N10" s="1"/>
    </row>
    <row r="11" spans="1:14" x14ac:dyDescent="0.25">
      <c r="A11" t="s">
        <v>16</v>
      </c>
      <c r="B11" s="3">
        <v>1</v>
      </c>
      <c r="C11">
        <v>0</v>
      </c>
      <c r="D11" s="1">
        <v>132222222.22222222</v>
      </c>
      <c r="E11" s="1">
        <v>37777777.777777776</v>
      </c>
      <c r="F11" t="s">
        <v>75</v>
      </c>
      <c r="G11" t="s">
        <v>9</v>
      </c>
      <c r="K11" s="3"/>
      <c r="M11" s="1"/>
      <c r="N11" s="1"/>
    </row>
    <row r="12" spans="1:14" x14ac:dyDescent="0.25">
      <c r="A12" t="s">
        <v>16</v>
      </c>
      <c r="B12" s="3">
        <v>2</v>
      </c>
      <c r="C12">
        <v>0</v>
      </c>
      <c r="D12" s="1">
        <v>113333333.33333334</v>
      </c>
      <c r="E12" s="1">
        <v>27888888.888888888</v>
      </c>
      <c r="F12" t="s">
        <v>75</v>
      </c>
      <c r="G12" t="s">
        <v>9</v>
      </c>
      <c r="K12" s="3"/>
      <c r="M12" s="1"/>
      <c r="N12" s="1"/>
    </row>
    <row r="13" spans="1:14" x14ac:dyDescent="0.25">
      <c r="A13" t="s">
        <v>16</v>
      </c>
      <c r="B13" s="3">
        <v>3</v>
      </c>
      <c r="C13">
        <v>0</v>
      </c>
      <c r="D13" s="1">
        <v>124444444.44444445</v>
      </c>
      <c r="E13" s="1">
        <v>36666666.666666672</v>
      </c>
      <c r="F13" t="s">
        <v>75</v>
      </c>
      <c r="G13" t="s">
        <v>9</v>
      </c>
      <c r="K13" s="3"/>
      <c r="M13" s="1"/>
      <c r="N13" s="1"/>
    </row>
    <row r="14" spans="1:14" x14ac:dyDescent="0.25">
      <c r="A14" t="s">
        <v>16</v>
      </c>
      <c r="B14" s="3">
        <v>1</v>
      </c>
      <c r="C14">
        <v>1</v>
      </c>
      <c r="D14" s="1">
        <v>7111111.111111111</v>
      </c>
      <c r="E14" s="1">
        <v>144444.44444444444</v>
      </c>
      <c r="F14" t="s">
        <v>75</v>
      </c>
      <c r="G14" t="s">
        <v>9</v>
      </c>
      <c r="K14" s="3"/>
      <c r="M14" s="1"/>
      <c r="N14" s="1"/>
    </row>
    <row r="15" spans="1:14" x14ac:dyDescent="0.25">
      <c r="A15" t="s">
        <v>16</v>
      </c>
      <c r="B15" s="3">
        <v>2</v>
      </c>
      <c r="C15">
        <v>1</v>
      </c>
      <c r="D15" s="1">
        <v>11555555.555555556</v>
      </c>
      <c r="E15" s="1">
        <v>366666.66666666669</v>
      </c>
      <c r="F15" t="s">
        <v>75</v>
      </c>
      <c r="G15" t="s">
        <v>9</v>
      </c>
      <c r="K15" s="3"/>
      <c r="M15" s="1"/>
      <c r="N15" s="1"/>
    </row>
    <row r="16" spans="1:14" x14ac:dyDescent="0.25">
      <c r="A16" t="s">
        <v>16</v>
      </c>
      <c r="B16" s="3">
        <v>3</v>
      </c>
      <c r="C16">
        <v>1</v>
      </c>
      <c r="D16" s="1">
        <v>23888888.888888888</v>
      </c>
      <c r="E16" s="1">
        <v>1000000</v>
      </c>
      <c r="F16" t="s">
        <v>75</v>
      </c>
      <c r="G16" t="s">
        <v>9</v>
      </c>
      <c r="K16" s="3"/>
      <c r="M16" s="1"/>
      <c r="N16" s="1"/>
    </row>
    <row r="17" spans="1:14" x14ac:dyDescent="0.25">
      <c r="A17" t="s">
        <v>16</v>
      </c>
      <c r="B17" s="3">
        <v>1</v>
      </c>
      <c r="C17">
        <v>2</v>
      </c>
      <c r="D17" s="1">
        <v>120000000</v>
      </c>
      <c r="E17" s="1">
        <v>7777777.777777778</v>
      </c>
      <c r="F17" t="s">
        <v>75</v>
      </c>
      <c r="G17" t="s">
        <v>9</v>
      </c>
      <c r="K17" s="3"/>
      <c r="M17" s="1"/>
      <c r="N17" s="1"/>
    </row>
    <row r="18" spans="1:14" x14ac:dyDescent="0.25">
      <c r="A18" t="s">
        <v>16</v>
      </c>
      <c r="B18" s="3">
        <v>2</v>
      </c>
      <c r="C18">
        <v>2</v>
      </c>
      <c r="D18" s="1">
        <v>213333333.33333334</v>
      </c>
      <c r="E18" s="1">
        <v>4888888.888888889</v>
      </c>
      <c r="F18" t="s">
        <v>75</v>
      </c>
      <c r="G18" t="s">
        <v>9</v>
      </c>
      <c r="K18" s="3"/>
      <c r="M18" s="1"/>
      <c r="N18" s="1"/>
    </row>
    <row r="19" spans="1:14" x14ac:dyDescent="0.25">
      <c r="A19" t="s">
        <v>16</v>
      </c>
      <c r="B19" s="3">
        <v>3</v>
      </c>
      <c r="C19">
        <v>2</v>
      </c>
      <c r="D19" s="1">
        <v>424444444.44444448</v>
      </c>
      <c r="E19" s="1">
        <v>11777777.777777778</v>
      </c>
      <c r="F19" t="s">
        <v>75</v>
      </c>
      <c r="G19" t="s">
        <v>9</v>
      </c>
      <c r="K19" s="3"/>
      <c r="M19" s="1"/>
      <c r="N19" s="1"/>
    </row>
    <row r="20" spans="1:14" x14ac:dyDescent="0.25">
      <c r="A20" t="s">
        <v>18</v>
      </c>
      <c r="B20" s="3">
        <v>1</v>
      </c>
      <c r="C20">
        <v>0</v>
      </c>
      <c r="D20" s="1">
        <v>248275862.06896549</v>
      </c>
      <c r="E20" s="1">
        <v>86206896.551724136</v>
      </c>
      <c r="F20" t="s">
        <v>75</v>
      </c>
      <c r="G20" t="s">
        <v>9</v>
      </c>
      <c r="K20" s="3"/>
      <c r="M20" s="1"/>
      <c r="N20" s="1"/>
    </row>
    <row r="21" spans="1:14" x14ac:dyDescent="0.25">
      <c r="A21" t="s">
        <v>18</v>
      </c>
      <c r="B21" s="3">
        <v>2</v>
      </c>
      <c r="C21">
        <v>0</v>
      </c>
      <c r="D21" s="1">
        <v>141379310.34482759</v>
      </c>
      <c r="E21" s="1">
        <v>55172413.793103449</v>
      </c>
      <c r="F21" t="s">
        <v>75</v>
      </c>
      <c r="G21" t="s">
        <v>9</v>
      </c>
      <c r="K21" s="3"/>
      <c r="M21" s="1"/>
      <c r="N21" s="1"/>
    </row>
    <row r="22" spans="1:14" x14ac:dyDescent="0.25">
      <c r="A22" t="s">
        <v>18</v>
      </c>
      <c r="B22" s="3">
        <v>3</v>
      </c>
      <c r="C22">
        <v>0</v>
      </c>
      <c r="D22" s="1">
        <v>100000000</v>
      </c>
      <c r="E22" s="1">
        <v>10344827.586206896</v>
      </c>
      <c r="F22" t="s">
        <v>75</v>
      </c>
      <c r="G22" t="s">
        <v>9</v>
      </c>
      <c r="K22" s="3"/>
      <c r="M22" s="1"/>
      <c r="N22" s="1"/>
    </row>
    <row r="23" spans="1:14" x14ac:dyDescent="0.25">
      <c r="A23" t="s">
        <v>18</v>
      </c>
      <c r="B23" s="3">
        <v>1</v>
      </c>
      <c r="C23">
        <v>1</v>
      </c>
      <c r="D23" s="1">
        <v>2777777.777777778</v>
      </c>
      <c r="E23" s="1">
        <v>555555.55555555562</v>
      </c>
      <c r="F23" t="s">
        <v>75</v>
      </c>
      <c r="G23" t="s">
        <v>9</v>
      </c>
      <c r="K23" s="3"/>
      <c r="M23" s="1"/>
      <c r="N23" s="1"/>
    </row>
    <row r="24" spans="1:14" x14ac:dyDescent="0.25">
      <c r="A24" t="s">
        <v>18</v>
      </c>
      <c r="B24" s="3">
        <v>2</v>
      </c>
      <c r="C24">
        <v>1</v>
      </c>
      <c r="D24" s="1">
        <v>2000000</v>
      </c>
      <c r="E24" s="1">
        <v>533333.33333333337</v>
      </c>
      <c r="F24" t="s">
        <v>75</v>
      </c>
      <c r="G24" t="s">
        <v>9</v>
      </c>
      <c r="K24" s="3"/>
      <c r="M24" s="1"/>
      <c r="N24" s="1"/>
    </row>
    <row r="25" spans="1:14" x14ac:dyDescent="0.25">
      <c r="A25" t="s">
        <v>18</v>
      </c>
      <c r="B25" s="3">
        <v>3</v>
      </c>
      <c r="C25">
        <v>1</v>
      </c>
      <c r="D25" s="1">
        <v>3555555.5555555555</v>
      </c>
      <c r="E25" s="1">
        <v>311111.11111111112</v>
      </c>
      <c r="F25" t="s">
        <v>75</v>
      </c>
      <c r="G25" t="s">
        <v>9</v>
      </c>
      <c r="K25" s="3"/>
      <c r="M25" s="1"/>
      <c r="N25" s="1"/>
    </row>
    <row r="26" spans="1:14" x14ac:dyDescent="0.25">
      <c r="A26" t="s">
        <v>18</v>
      </c>
      <c r="B26" s="3">
        <v>1</v>
      </c>
      <c r="C26">
        <v>2</v>
      </c>
      <c r="D26" s="1">
        <v>18888888.888888888</v>
      </c>
      <c r="E26" s="1">
        <v>4444444.444444445</v>
      </c>
      <c r="F26" t="s">
        <v>75</v>
      </c>
      <c r="G26" t="s">
        <v>9</v>
      </c>
      <c r="K26" s="3"/>
      <c r="M26" s="1"/>
      <c r="N26" s="1"/>
    </row>
    <row r="27" spans="1:14" x14ac:dyDescent="0.25">
      <c r="A27" t="s">
        <v>18</v>
      </c>
      <c r="B27" s="3">
        <v>2</v>
      </c>
      <c r="C27">
        <v>2</v>
      </c>
      <c r="D27" s="1">
        <v>12222222.222222222</v>
      </c>
      <c r="E27" s="1">
        <v>2111111.111111111</v>
      </c>
      <c r="F27" t="s">
        <v>75</v>
      </c>
      <c r="G27" t="s">
        <v>9</v>
      </c>
      <c r="K27" s="3"/>
      <c r="M27" s="1"/>
      <c r="N27" s="1"/>
    </row>
    <row r="28" spans="1:14" x14ac:dyDescent="0.25">
      <c r="A28" t="s">
        <v>18</v>
      </c>
      <c r="B28" s="3">
        <v>3</v>
      </c>
      <c r="C28">
        <v>2</v>
      </c>
      <c r="D28" s="1">
        <v>55555555.55555556</v>
      </c>
      <c r="E28" s="1">
        <v>3111111.111111111</v>
      </c>
      <c r="F28" t="s">
        <v>75</v>
      </c>
      <c r="G28" t="s">
        <v>9</v>
      </c>
      <c r="K28" s="3"/>
      <c r="M28" s="1"/>
      <c r="N28" s="1"/>
    </row>
    <row r="29" spans="1:14" x14ac:dyDescent="0.25">
      <c r="A29" t="s">
        <v>20</v>
      </c>
      <c r="B29" s="3">
        <v>1</v>
      </c>
      <c r="C29">
        <v>0</v>
      </c>
      <c r="D29" s="1">
        <v>167777777.77777779</v>
      </c>
      <c r="E29" s="1">
        <v>97777777.777777776</v>
      </c>
      <c r="F29" t="s">
        <v>75</v>
      </c>
      <c r="G29" t="s">
        <v>9</v>
      </c>
      <c r="K29" s="3"/>
      <c r="M29" s="1"/>
      <c r="N29" s="1"/>
    </row>
    <row r="30" spans="1:14" x14ac:dyDescent="0.25">
      <c r="A30" t="s">
        <v>20</v>
      </c>
      <c r="B30" s="3">
        <v>2</v>
      </c>
      <c r="C30">
        <v>0</v>
      </c>
      <c r="D30" s="1">
        <v>211111111.1111111</v>
      </c>
      <c r="E30" s="1">
        <v>203333333.33333334</v>
      </c>
      <c r="F30" t="s">
        <v>75</v>
      </c>
      <c r="G30" t="s">
        <v>9</v>
      </c>
      <c r="K30" s="3"/>
      <c r="M30" s="1"/>
      <c r="N30" s="1"/>
    </row>
    <row r="31" spans="1:14" x14ac:dyDescent="0.25">
      <c r="A31" t="s">
        <v>20</v>
      </c>
      <c r="B31" s="3">
        <v>3</v>
      </c>
      <c r="C31">
        <v>0</v>
      </c>
      <c r="D31" s="1">
        <v>214444444.44444445</v>
      </c>
      <c r="E31" s="1">
        <v>197777777.77777779</v>
      </c>
      <c r="F31" t="s">
        <v>75</v>
      </c>
      <c r="G31" t="s">
        <v>9</v>
      </c>
      <c r="K31" s="3"/>
      <c r="M31" s="1"/>
      <c r="N31" s="1"/>
    </row>
    <row r="32" spans="1:14" x14ac:dyDescent="0.25">
      <c r="A32" t="s">
        <v>20</v>
      </c>
      <c r="B32" s="3">
        <v>1</v>
      </c>
      <c r="C32">
        <v>1</v>
      </c>
      <c r="D32" s="1">
        <v>1555555.5555555555</v>
      </c>
      <c r="E32" s="1">
        <v>444444.44444444444</v>
      </c>
      <c r="F32" t="s">
        <v>75</v>
      </c>
      <c r="G32" t="s">
        <v>9</v>
      </c>
      <c r="K32" s="3"/>
      <c r="M32" s="1"/>
      <c r="N32" s="1"/>
    </row>
    <row r="33" spans="1:14" x14ac:dyDescent="0.25">
      <c r="A33" t="s">
        <v>20</v>
      </c>
      <c r="B33" s="3">
        <v>2</v>
      </c>
      <c r="C33">
        <v>1</v>
      </c>
      <c r="D33" s="1">
        <v>5222222.222222222</v>
      </c>
      <c r="E33" s="1">
        <v>288888.88888888888</v>
      </c>
      <c r="F33" t="s">
        <v>75</v>
      </c>
      <c r="G33" t="s">
        <v>9</v>
      </c>
      <c r="K33" s="3"/>
      <c r="M33" s="1"/>
      <c r="N33" s="1"/>
    </row>
    <row r="34" spans="1:14" x14ac:dyDescent="0.25">
      <c r="A34" t="s">
        <v>20</v>
      </c>
      <c r="B34" s="3">
        <v>3</v>
      </c>
      <c r="C34">
        <v>1</v>
      </c>
      <c r="D34" s="1">
        <v>3666666.666666667</v>
      </c>
      <c r="E34" s="1">
        <v>222222.22222222222</v>
      </c>
      <c r="F34" t="s">
        <v>75</v>
      </c>
      <c r="G34" t="s">
        <v>9</v>
      </c>
      <c r="K34" s="3"/>
      <c r="M34" s="1"/>
      <c r="N34" s="1"/>
    </row>
    <row r="35" spans="1:14" x14ac:dyDescent="0.25">
      <c r="A35" t="s">
        <v>20</v>
      </c>
      <c r="B35" s="3">
        <v>1</v>
      </c>
      <c r="C35">
        <v>2</v>
      </c>
      <c r="D35" s="1">
        <v>6666666.666666667</v>
      </c>
      <c r="E35" s="1">
        <v>4444444.444444445</v>
      </c>
      <c r="F35" t="s">
        <v>75</v>
      </c>
      <c r="G35" t="s">
        <v>9</v>
      </c>
      <c r="K35" s="3"/>
      <c r="M35" s="1"/>
      <c r="N35" s="1"/>
    </row>
    <row r="36" spans="1:14" x14ac:dyDescent="0.25">
      <c r="A36" t="s">
        <v>20</v>
      </c>
      <c r="B36" s="3">
        <v>2</v>
      </c>
      <c r="C36">
        <v>2</v>
      </c>
      <c r="D36" s="1">
        <v>30000000</v>
      </c>
      <c r="E36" s="1">
        <v>1111111.1111111112</v>
      </c>
      <c r="F36" t="s">
        <v>75</v>
      </c>
      <c r="G36" t="s">
        <v>9</v>
      </c>
      <c r="K36" s="3"/>
      <c r="M36" s="1"/>
      <c r="N36" s="1"/>
    </row>
    <row r="37" spans="1:14" x14ac:dyDescent="0.25">
      <c r="A37" t="s">
        <v>20</v>
      </c>
      <c r="B37" s="3">
        <v>3</v>
      </c>
      <c r="C37">
        <v>2</v>
      </c>
      <c r="D37" s="1">
        <v>13333333.333333334</v>
      </c>
      <c r="E37" s="1">
        <v>888888.88888888888</v>
      </c>
      <c r="F37" t="s">
        <v>75</v>
      </c>
      <c r="G37" t="s">
        <v>9</v>
      </c>
      <c r="K37" s="3"/>
      <c r="M37" s="1"/>
      <c r="N37" s="1"/>
    </row>
    <row r="38" spans="1:14" x14ac:dyDescent="0.25">
      <c r="A38" t="s">
        <v>22</v>
      </c>
      <c r="B38" s="3">
        <v>1</v>
      </c>
      <c r="C38">
        <v>0</v>
      </c>
      <c r="D38" s="1">
        <v>65555555.55555556</v>
      </c>
      <c r="E38" s="3">
        <v>0</v>
      </c>
      <c r="F38" t="s">
        <v>75</v>
      </c>
      <c r="G38" t="s">
        <v>9</v>
      </c>
      <c r="K38" s="3"/>
      <c r="M38" s="1"/>
      <c r="N38" s="1"/>
    </row>
    <row r="39" spans="1:14" x14ac:dyDescent="0.25">
      <c r="A39" t="s">
        <v>22</v>
      </c>
      <c r="B39" s="3">
        <v>2</v>
      </c>
      <c r="C39">
        <v>0</v>
      </c>
      <c r="D39" s="1">
        <v>42222222.222222224</v>
      </c>
      <c r="E39" s="3">
        <v>0</v>
      </c>
      <c r="F39" t="s">
        <v>75</v>
      </c>
      <c r="G39" t="s">
        <v>9</v>
      </c>
      <c r="K39" s="3"/>
      <c r="M39" s="1"/>
      <c r="N39" s="1"/>
    </row>
    <row r="40" spans="1:14" x14ac:dyDescent="0.25">
      <c r="A40" t="s">
        <v>22</v>
      </c>
      <c r="B40" s="3">
        <v>3</v>
      </c>
      <c r="C40">
        <v>0</v>
      </c>
      <c r="D40" s="1">
        <v>91111111.111111119</v>
      </c>
      <c r="E40" s="1">
        <v>2600000</v>
      </c>
      <c r="F40" t="s">
        <v>75</v>
      </c>
      <c r="G40" t="s">
        <v>9</v>
      </c>
      <c r="K40" s="3"/>
      <c r="M40" s="1"/>
      <c r="N40" s="1"/>
    </row>
    <row r="41" spans="1:14" x14ac:dyDescent="0.25">
      <c r="A41" t="s">
        <v>22</v>
      </c>
      <c r="B41" s="3">
        <v>1</v>
      </c>
      <c r="C41">
        <v>1</v>
      </c>
      <c r="D41" s="3">
        <v>1060000</v>
      </c>
      <c r="E41" s="3">
        <v>0</v>
      </c>
      <c r="F41" t="s">
        <v>75</v>
      </c>
      <c r="G41" t="s">
        <v>9</v>
      </c>
      <c r="K41" s="3"/>
      <c r="M41" s="1"/>
      <c r="N41" s="1"/>
    </row>
    <row r="42" spans="1:14" x14ac:dyDescent="0.25">
      <c r="A42" t="s">
        <v>22</v>
      </c>
      <c r="B42" s="3">
        <v>2</v>
      </c>
      <c r="C42">
        <v>1</v>
      </c>
      <c r="D42" s="3">
        <v>940000</v>
      </c>
      <c r="E42" s="3">
        <v>0</v>
      </c>
      <c r="F42" t="s">
        <v>75</v>
      </c>
      <c r="G42" t="s">
        <v>9</v>
      </c>
      <c r="K42" s="3"/>
      <c r="M42" s="1"/>
      <c r="N42" s="1"/>
    </row>
    <row r="43" spans="1:14" x14ac:dyDescent="0.25">
      <c r="A43" t="s">
        <v>22</v>
      </c>
      <c r="B43" s="3">
        <v>3</v>
      </c>
      <c r="C43">
        <v>1</v>
      </c>
      <c r="D43" s="3">
        <v>1090000</v>
      </c>
      <c r="E43" s="3">
        <v>298000</v>
      </c>
      <c r="F43" t="s">
        <v>75</v>
      </c>
      <c r="G43" t="s">
        <v>9</v>
      </c>
      <c r="K43" s="3"/>
      <c r="M43" s="1"/>
      <c r="N43" s="1"/>
    </row>
    <row r="44" spans="1:14" x14ac:dyDescent="0.25">
      <c r="A44" t="s">
        <v>22</v>
      </c>
      <c r="B44" s="3">
        <v>1</v>
      </c>
      <c r="C44">
        <v>2</v>
      </c>
      <c r="D44" s="3">
        <v>6900000</v>
      </c>
      <c r="E44" s="3">
        <v>0</v>
      </c>
      <c r="F44" t="s">
        <v>75</v>
      </c>
      <c r="G44" t="s">
        <v>9</v>
      </c>
      <c r="K44" s="3"/>
      <c r="M44" s="1"/>
      <c r="N44" s="1"/>
    </row>
    <row r="45" spans="1:14" x14ac:dyDescent="0.25">
      <c r="A45" t="s">
        <v>22</v>
      </c>
      <c r="B45" s="3">
        <v>2</v>
      </c>
      <c r="C45">
        <v>2</v>
      </c>
      <c r="D45" s="3">
        <v>5700000</v>
      </c>
      <c r="E45" s="3">
        <v>0</v>
      </c>
      <c r="F45" t="s">
        <v>75</v>
      </c>
      <c r="G45" t="s">
        <v>9</v>
      </c>
      <c r="K45" s="3"/>
      <c r="M45" s="1"/>
      <c r="N45" s="1"/>
    </row>
    <row r="46" spans="1:14" x14ac:dyDescent="0.25">
      <c r="A46" t="s">
        <v>22</v>
      </c>
      <c r="B46" s="3">
        <v>3</v>
      </c>
      <c r="C46">
        <v>2</v>
      </c>
      <c r="D46" s="3">
        <v>7500000</v>
      </c>
      <c r="E46" s="3">
        <v>430000</v>
      </c>
      <c r="F46" t="s">
        <v>75</v>
      </c>
      <c r="G46" t="s">
        <v>9</v>
      </c>
      <c r="K46" s="3"/>
      <c r="M46" s="1"/>
      <c r="N46" s="1"/>
    </row>
    <row r="47" spans="1:14" x14ac:dyDescent="0.25">
      <c r="A47" t="s">
        <v>24</v>
      </c>
      <c r="B47" s="3">
        <v>1</v>
      </c>
      <c r="C47">
        <v>0</v>
      </c>
      <c r="D47" s="1">
        <v>70000000</v>
      </c>
      <c r="E47" s="1">
        <v>14500000</v>
      </c>
      <c r="F47" t="s">
        <v>75</v>
      </c>
      <c r="G47" t="s">
        <v>9</v>
      </c>
      <c r="K47" s="3"/>
      <c r="M47" s="1"/>
      <c r="N47" s="1"/>
    </row>
    <row r="48" spans="1:14" x14ac:dyDescent="0.25">
      <c r="A48" t="s">
        <v>24</v>
      </c>
      <c r="B48" s="3">
        <v>2</v>
      </c>
      <c r="C48">
        <v>0</v>
      </c>
      <c r="D48" s="1">
        <v>53000000</v>
      </c>
      <c r="E48" s="1">
        <v>0</v>
      </c>
      <c r="F48" t="s">
        <v>75</v>
      </c>
      <c r="G48" t="s">
        <v>9</v>
      </c>
      <c r="K48" s="3"/>
      <c r="M48" s="1"/>
      <c r="N48" s="1"/>
    </row>
    <row r="49" spans="1:14" x14ac:dyDescent="0.25">
      <c r="A49" t="s">
        <v>24</v>
      </c>
      <c r="B49" s="3">
        <v>3</v>
      </c>
      <c r="C49">
        <v>0</v>
      </c>
      <c r="D49" s="1">
        <v>96000000</v>
      </c>
      <c r="E49" s="1">
        <v>18200000</v>
      </c>
      <c r="F49" t="s">
        <v>75</v>
      </c>
      <c r="G49" t="s">
        <v>9</v>
      </c>
      <c r="K49" s="3"/>
      <c r="M49" s="1"/>
      <c r="N49" s="1"/>
    </row>
    <row r="50" spans="1:14" x14ac:dyDescent="0.25">
      <c r="A50" t="s">
        <v>24</v>
      </c>
      <c r="B50" s="3">
        <v>1</v>
      </c>
      <c r="C50">
        <v>1</v>
      </c>
      <c r="D50" s="1">
        <v>1890000</v>
      </c>
      <c r="E50" s="1">
        <v>160000</v>
      </c>
      <c r="F50" t="s">
        <v>75</v>
      </c>
      <c r="G50" t="s">
        <v>9</v>
      </c>
      <c r="K50" s="3"/>
      <c r="M50" s="1"/>
      <c r="N50" s="1"/>
    </row>
    <row r="51" spans="1:14" x14ac:dyDescent="0.25">
      <c r="A51" t="s">
        <v>24</v>
      </c>
      <c r="B51" s="3">
        <v>2</v>
      </c>
      <c r="C51">
        <v>1</v>
      </c>
      <c r="D51" s="1">
        <v>1300000</v>
      </c>
      <c r="E51" s="1">
        <v>0</v>
      </c>
      <c r="F51" t="s">
        <v>75</v>
      </c>
      <c r="G51" t="s">
        <v>9</v>
      </c>
      <c r="K51" s="3"/>
      <c r="M51" s="1"/>
      <c r="N51" s="1"/>
    </row>
    <row r="52" spans="1:14" x14ac:dyDescent="0.25">
      <c r="A52" t="s">
        <v>24</v>
      </c>
      <c r="B52" s="3">
        <v>3</v>
      </c>
      <c r="C52">
        <v>1</v>
      </c>
      <c r="D52" s="1">
        <v>1260000</v>
      </c>
      <c r="E52" s="1">
        <v>113000</v>
      </c>
      <c r="F52" t="s">
        <v>75</v>
      </c>
      <c r="G52" t="s">
        <v>9</v>
      </c>
      <c r="K52" s="3"/>
      <c r="M52" s="1"/>
      <c r="N52" s="1"/>
    </row>
    <row r="53" spans="1:14" x14ac:dyDescent="0.25">
      <c r="A53" t="s">
        <v>24</v>
      </c>
      <c r="B53" s="3">
        <v>1</v>
      </c>
      <c r="C53">
        <v>2</v>
      </c>
      <c r="D53" s="1">
        <v>5500000</v>
      </c>
      <c r="E53" s="1">
        <v>310000</v>
      </c>
      <c r="F53" t="s">
        <v>75</v>
      </c>
      <c r="G53" t="s">
        <v>9</v>
      </c>
      <c r="K53" s="3"/>
      <c r="M53" s="1"/>
      <c r="N53" s="1"/>
    </row>
    <row r="54" spans="1:14" x14ac:dyDescent="0.25">
      <c r="A54" t="s">
        <v>24</v>
      </c>
      <c r="B54" s="3">
        <v>2</v>
      </c>
      <c r="C54">
        <v>2</v>
      </c>
      <c r="D54" s="1">
        <v>6200000</v>
      </c>
      <c r="E54" s="1">
        <v>0</v>
      </c>
      <c r="F54" t="s">
        <v>75</v>
      </c>
      <c r="G54" t="s">
        <v>9</v>
      </c>
      <c r="K54" s="3"/>
      <c r="M54" s="1"/>
      <c r="N54" s="1"/>
    </row>
    <row r="55" spans="1:14" x14ac:dyDescent="0.25">
      <c r="A55" t="s">
        <v>26</v>
      </c>
      <c r="B55" s="3">
        <v>3</v>
      </c>
      <c r="C55">
        <v>2</v>
      </c>
      <c r="D55" s="1">
        <v>6600000</v>
      </c>
      <c r="E55" s="1">
        <v>400000</v>
      </c>
      <c r="F55" t="s">
        <v>75</v>
      </c>
      <c r="G55" t="s">
        <v>9</v>
      </c>
      <c r="K55" s="3"/>
      <c r="M55" s="1"/>
      <c r="N55" s="1"/>
    </row>
    <row r="56" spans="1:14" x14ac:dyDescent="0.25">
      <c r="A56" t="s">
        <v>26</v>
      </c>
      <c r="B56" s="3">
        <v>1</v>
      </c>
      <c r="C56">
        <v>0</v>
      </c>
      <c r="D56" s="1">
        <v>216666666.66666669</v>
      </c>
      <c r="E56" s="1">
        <v>208888888.8888889</v>
      </c>
      <c r="F56" t="s">
        <v>75</v>
      </c>
      <c r="G56" t="s">
        <v>9</v>
      </c>
      <c r="K56" s="3"/>
      <c r="M56" s="1"/>
      <c r="N56" s="1"/>
    </row>
    <row r="57" spans="1:14" x14ac:dyDescent="0.25">
      <c r="A57" t="s">
        <v>26</v>
      </c>
      <c r="B57" s="3">
        <v>2</v>
      </c>
      <c r="C57">
        <v>0</v>
      </c>
      <c r="D57" s="1">
        <v>208888888.8888889</v>
      </c>
      <c r="E57" s="1">
        <v>194444444.44444445</v>
      </c>
      <c r="F57" t="s">
        <v>75</v>
      </c>
      <c r="G57" t="s">
        <v>9</v>
      </c>
      <c r="K57" s="3"/>
      <c r="M57" s="1"/>
      <c r="N57" s="1"/>
    </row>
    <row r="58" spans="1:14" x14ac:dyDescent="0.25">
      <c r="A58" t="s">
        <v>26</v>
      </c>
      <c r="B58" s="3">
        <v>3</v>
      </c>
      <c r="C58">
        <v>0</v>
      </c>
      <c r="D58" s="1">
        <v>225555555.55555555</v>
      </c>
      <c r="E58" s="1">
        <v>221111111.1111111</v>
      </c>
      <c r="F58" t="s">
        <v>75</v>
      </c>
      <c r="G58" t="s">
        <v>9</v>
      </c>
      <c r="K58" s="3"/>
      <c r="M58" s="1"/>
      <c r="N58" s="1"/>
    </row>
    <row r="59" spans="1:14" x14ac:dyDescent="0.25">
      <c r="A59" t="s">
        <v>26</v>
      </c>
      <c r="B59" s="3">
        <v>1</v>
      </c>
      <c r="C59">
        <v>1</v>
      </c>
      <c r="D59" s="1">
        <v>3000000</v>
      </c>
      <c r="E59" s="1">
        <v>2333333.3333333335</v>
      </c>
      <c r="F59" t="s">
        <v>75</v>
      </c>
      <c r="G59" t="s">
        <v>9</v>
      </c>
      <c r="K59" s="3"/>
      <c r="M59" s="1"/>
      <c r="N59" s="1"/>
    </row>
    <row r="60" spans="1:14" x14ac:dyDescent="0.25">
      <c r="A60" t="s">
        <v>26</v>
      </c>
      <c r="B60" s="3">
        <v>2</v>
      </c>
      <c r="C60">
        <v>1</v>
      </c>
      <c r="D60" s="1">
        <v>3555555.5555555555</v>
      </c>
      <c r="E60" s="1">
        <v>2888888.888888889</v>
      </c>
      <c r="F60" t="s">
        <v>75</v>
      </c>
      <c r="G60" t="s">
        <v>9</v>
      </c>
      <c r="K60" s="3"/>
      <c r="M60" s="1"/>
      <c r="N60" s="1"/>
    </row>
    <row r="61" spans="1:14" x14ac:dyDescent="0.25">
      <c r="A61" t="s">
        <v>26</v>
      </c>
      <c r="B61" s="3">
        <v>3</v>
      </c>
      <c r="C61">
        <v>1</v>
      </c>
      <c r="D61" s="1">
        <v>3666666.666666667</v>
      </c>
      <c r="E61" s="1">
        <v>2444444.4444444445</v>
      </c>
      <c r="F61" t="s">
        <v>75</v>
      </c>
      <c r="G61" t="s">
        <v>9</v>
      </c>
      <c r="K61" s="3"/>
      <c r="M61" s="1"/>
      <c r="N61" s="1"/>
    </row>
    <row r="62" spans="1:14" x14ac:dyDescent="0.25">
      <c r="A62" t="s">
        <v>26</v>
      </c>
      <c r="B62" s="3">
        <v>1</v>
      </c>
      <c r="C62">
        <v>2</v>
      </c>
      <c r="D62" s="1">
        <v>16666666.666666668</v>
      </c>
      <c r="E62" s="1">
        <v>8888888.8888888899</v>
      </c>
      <c r="F62" t="s">
        <v>75</v>
      </c>
      <c r="G62" t="s">
        <v>9</v>
      </c>
      <c r="K62" s="3"/>
      <c r="M62" s="1"/>
      <c r="N62" s="1"/>
    </row>
    <row r="63" spans="1:14" x14ac:dyDescent="0.25">
      <c r="A63" t="s">
        <v>26</v>
      </c>
      <c r="B63" s="3">
        <v>2</v>
      </c>
      <c r="C63">
        <v>2</v>
      </c>
      <c r="D63" s="1">
        <v>20000000</v>
      </c>
      <c r="E63" s="1">
        <v>7777777.777777778</v>
      </c>
      <c r="F63" t="s">
        <v>75</v>
      </c>
      <c r="G63" t="s">
        <v>9</v>
      </c>
      <c r="K63" s="3"/>
      <c r="M63" s="1"/>
      <c r="N63" s="1"/>
    </row>
    <row r="64" spans="1:14" x14ac:dyDescent="0.25">
      <c r="A64" t="s">
        <v>26</v>
      </c>
      <c r="B64" s="3">
        <v>3</v>
      </c>
      <c r="C64">
        <v>2</v>
      </c>
      <c r="D64" s="1">
        <v>22222222.222222224</v>
      </c>
      <c r="E64" s="1">
        <v>14444444.444444446</v>
      </c>
      <c r="F64" t="s">
        <v>75</v>
      </c>
      <c r="G64" t="s">
        <v>9</v>
      </c>
      <c r="K64" s="3"/>
      <c r="M64" s="1"/>
      <c r="N64" s="1"/>
    </row>
    <row r="65" spans="1:14" x14ac:dyDescent="0.25">
      <c r="A65" t="s">
        <v>77</v>
      </c>
      <c r="B65" s="3">
        <v>1</v>
      </c>
      <c r="C65">
        <v>0</v>
      </c>
      <c r="D65" s="1">
        <v>200000000</v>
      </c>
      <c r="E65" s="1">
        <v>196666666.66666669</v>
      </c>
      <c r="F65" t="s">
        <v>75</v>
      </c>
      <c r="G65" t="s">
        <v>9</v>
      </c>
      <c r="K65" s="3"/>
      <c r="M65" s="1"/>
      <c r="N65" s="1"/>
    </row>
    <row r="66" spans="1:14" x14ac:dyDescent="0.25">
      <c r="A66" t="s">
        <v>77</v>
      </c>
      <c r="B66" s="3">
        <v>2</v>
      </c>
      <c r="C66">
        <v>0</v>
      </c>
      <c r="D66" s="1">
        <v>233333333.33333334</v>
      </c>
      <c r="E66" s="1">
        <v>227777777.77777779</v>
      </c>
      <c r="F66" t="s">
        <v>75</v>
      </c>
      <c r="G66" t="s">
        <v>9</v>
      </c>
      <c r="K66" s="3"/>
      <c r="M66" s="1"/>
      <c r="N66" s="1"/>
    </row>
    <row r="67" spans="1:14" x14ac:dyDescent="0.25">
      <c r="A67" t="s">
        <v>77</v>
      </c>
      <c r="B67" s="3">
        <v>3</v>
      </c>
      <c r="C67">
        <v>0</v>
      </c>
      <c r="D67" s="1">
        <v>197777777.77777779</v>
      </c>
      <c r="E67" s="1">
        <v>194444444.44444445</v>
      </c>
      <c r="F67" t="s">
        <v>75</v>
      </c>
      <c r="G67" t="s">
        <v>9</v>
      </c>
      <c r="K67" s="3"/>
      <c r="M67" s="1"/>
      <c r="N67" s="1"/>
    </row>
    <row r="68" spans="1:14" x14ac:dyDescent="0.25">
      <c r="A68" t="s">
        <v>77</v>
      </c>
      <c r="B68" s="3">
        <v>1</v>
      </c>
      <c r="C68">
        <v>1</v>
      </c>
      <c r="D68" s="1">
        <v>3555555.5555555555</v>
      </c>
      <c r="E68" s="1">
        <v>3444444.4444444445</v>
      </c>
      <c r="F68" t="s">
        <v>75</v>
      </c>
      <c r="G68" t="s">
        <v>9</v>
      </c>
      <c r="K68" s="3"/>
      <c r="M68" s="1"/>
      <c r="N68" s="1"/>
    </row>
    <row r="69" spans="1:14" x14ac:dyDescent="0.25">
      <c r="A69" t="s">
        <v>77</v>
      </c>
      <c r="B69" s="3">
        <v>2</v>
      </c>
      <c r="C69">
        <v>1</v>
      </c>
      <c r="D69" s="1">
        <v>3333333.3333333335</v>
      </c>
      <c r="E69" s="1">
        <v>1666666.6666666667</v>
      </c>
      <c r="F69" t="s">
        <v>75</v>
      </c>
      <c r="G69" t="s">
        <v>9</v>
      </c>
      <c r="K69" s="3"/>
      <c r="M69" s="1"/>
      <c r="N69" s="1"/>
    </row>
    <row r="70" spans="1:14" x14ac:dyDescent="0.25">
      <c r="A70" t="s">
        <v>77</v>
      </c>
      <c r="B70" s="3">
        <v>3</v>
      </c>
      <c r="C70">
        <v>1</v>
      </c>
      <c r="D70" s="1">
        <v>2222222.2222222225</v>
      </c>
      <c r="E70" s="1">
        <v>2000000</v>
      </c>
      <c r="F70" t="s">
        <v>75</v>
      </c>
      <c r="G70" t="s">
        <v>9</v>
      </c>
      <c r="K70" s="3"/>
      <c r="M70" s="1"/>
      <c r="N70" s="1"/>
    </row>
    <row r="71" spans="1:14" x14ac:dyDescent="0.25">
      <c r="A71" t="s">
        <v>77</v>
      </c>
      <c r="B71" s="3">
        <v>1</v>
      </c>
      <c r="C71">
        <v>2</v>
      </c>
      <c r="D71" s="1">
        <v>14444444.444444446</v>
      </c>
      <c r="E71" s="1">
        <v>13333333.333333334</v>
      </c>
      <c r="F71" t="s">
        <v>75</v>
      </c>
      <c r="G71" t="s">
        <v>9</v>
      </c>
      <c r="K71" s="3"/>
      <c r="M71" s="1"/>
      <c r="N71" s="1"/>
    </row>
    <row r="72" spans="1:14" x14ac:dyDescent="0.25">
      <c r="A72" t="s">
        <v>77</v>
      </c>
      <c r="B72" s="3">
        <v>2</v>
      </c>
      <c r="C72">
        <v>2</v>
      </c>
      <c r="D72" s="1">
        <v>7777777.777777778</v>
      </c>
      <c r="E72" s="1">
        <v>4444444.444444445</v>
      </c>
      <c r="F72" t="s">
        <v>75</v>
      </c>
      <c r="G72" t="s">
        <v>9</v>
      </c>
      <c r="K72" s="3"/>
      <c r="M72" s="1"/>
      <c r="N72" s="1"/>
    </row>
    <row r="73" spans="1:14" x14ac:dyDescent="0.25">
      <c r="A73" t="s">
        <v>77</v>
      </c>
      <c r="B73" s="3">
        <v>3</v>
      </c>
      <c r="C73">
        <v>2</v>
      </c>
      <c r="D73" s="1">
        <v>14444444.444444446</v>
      </c>
      <c r="E73" s="1">
        <v>13333333.333333334</v>
      </c>
      <c r="F73" t="s">
        <v>75</v>
      </c>
      <c r="G73" t="s">
        <v>9</v>
      </c>
      <c r="K73" s="3"/>
      <c r="M73" s="1"/>
      <c r="N73" s="1"/>
    </row>
    <row r="74" spans="1:14" x14ac:dyDescent="0.25">
      <c r="A74" t="s">
        <v>78</v>
      </c>
      <c r="B74" s="3">
        <v>1</v>
      </c>
      <c r="C74">
        <v>0</v>
      </c>
      <c r="D74" s="1">
        <v>158000000</v>
      </c>
      <c r="E74" s="1">
        <v>0</v>
      </c>
      <c r="F74" t="s">
        <v>75</v>
      </c>
      <c r="G74" t="s">
        <v>9</v>
      </c>
      <c r="K74" s="3"/>
      <c r="M74" s="1"/>
      <c r="N74" s="1"/>
    </row>
    <row r="75" spans="1:14" x14ac:dyDescent="0.25">
      <c r="A75" t="s">
        <v>78</v>
      </c>
      <c r="B75" s="3">
        <v>2</v>
      </c>
      <c r="C75">
        <v>0</v>
      </c>
      <c r="D75" s="1">
        <v>139000000</v>
      </c>
      <c r="E75" s="1">
        <v>0</v>
      </c>
      <c r="F75" t="s">
        <v>75</v>
      </c>
      <c r="G75" t="s">
        <v>9</v>
      </c>
      <c r="K75" s="3"/>
      <c r="M75" s="1"/>
      <c r="N75" s="1"/>
    </row>
    <row r="76" spans="1:14" x14ac:dyDescent="0.25">
      <c r="A76" t="s">
        <v>78</v>
      </c>
      <c r="B76" s="3">
        <v>3</v>
      </c>
      <c r="C76">
        <v>0</v>
      </c>
      <c r="D76" s="1">
        <v>172000000</v>
      </c>
      <c r="E76" s="1">
        <v>0</v>
      </c>
      <c r="F76" t="s">
        <v>75</v>
      </c>
      <c r="G76" t="s">
        <v>9</v>
      </c>
      <c r="K76" s="3"/>
      <c r="M76" s="1"/>
      <c r="N76" s="1"/>
    </row>
    <row r="77" spans="1:14" x14ac:dyDescent="0.25">
      <c r="A77" t="s">
        <v>78</v>
      </c>
      <c r="B77" s="3">
        <v>1</v>
      </c>
      <c r="C77">
        <v>1</v>
      </c>
      <c r="D77" s="1">
        <v>9300000</v>
      </c>
      <c r="E77" s="1">
        <v>0</v>
      </c>
      <c r="F77" t="s">
        <v>75</v>
      </c>
      <c r="G77" t="s">
        <v>9</v>
      </c>
      <c r="K77" s="3"/>
      <c r="M77" s="1"/>
      <c r="N77" s="1"/>
    </row>
    <row r="78" spans="1:14" x14ac:dyDescent="0.25">
      <c r="A78" t="s">
        <v>78</v>
      </c>
      <c r="B78" s="3">
        <v>2</v>
      </c>
      <c r="C78">
        <v>1</v>
      </c>
      <c r="D78" s="1">
        <v>10700000</v>
      </c>
      <c r="E78" s="1">
        <v>0</v>
      </c>
      <c r="F78" t="s">
        <v>75</v>
      </c>
      <c r="G78" t="s">
        <v>9</v>
      </c>
      <c r="K78" s="3"/>
      <c r="M78" s="1"/>
      <c r="N78" s="1"/>
    </row>
    <row r="79" spans="1:14" x14ac:dyDescent="0.25">
      <c r="A79" t="s">
        <v>78</v>
      </c>
      <c r="B79" s="3">
        <v>3</v>
      </c>
      <c r="C79">
        <v>1</v>
      </c>
      <c r="D79" s="1">
        <v>11200000</v>
      </c>
      <c r="E79" s="1">
        <v>0</v>
      </c>
      <c r="F79" t="s">
        <v>75</v>
      </c>
      <c r="G79" t="s">
        <v>9</v>
      </c>
      <c r="K79" s="3"/>
      <c r="M79" s="1"/>
      <c r="N79" s="1"/>
    </row>
    <row r="80" spans="1:14" x14ac:dyDescent="0.25">
      <c r="A80" t="s">
        <v>78</v>
      </c>
      <c r="B80" s="3">
        <v>1</v>
      </c>
      <c r="C80">
        <v>2</v>
      </c>
      <c r="D80" s="1">
        <v>44000000</v>
      </c>
      <c r="E80" s="1">
        <v>0</v>
      </c>
      <c r="F80" t="s">
        <v>75</v>
      </c>
      <c r="G80" t="s">
        <v>9</v>
      </c>
      <c r="K80" s="3"/>
      <c r="M80" s="1"/>
      <c r="N80" s="1"/>
    </row>
    <row r="81" spans="1:14" x14ac:dyDescent="0.25">
      <c r="A81" t="s">
        <v>78</v>
      </c>
      <c r="B81" s="3">
        <v>2</v>
      </c>
      <c r="C81">
        <v>2</v>
      </c>
      <c r="D81" s="1">
        <v>51000000</v>
      </c>
      <c r="E81" s="1">
        <v>0</v>
      </c>
      <c r="F81" t="s">
        <v>75</v>
      </c>
      <c r="G81" t="s">
        <v>9</v>
      </c>
      <c r="K81" s="3"/>
      <c r="M81" s="1"/>
      <c r="N81" s="1"/>
    </row>
    <row r="82" spans="1:14" x14ac:dyDescent="0.25">
      <c r="A82" t="s">
        <v>78</v>
      </c>
      <c r="B82" s="3">
        <v>3</v>
      </c>
      <c r="C82">
        <v>2</v>
      </c>
      <c r="D82" s="1">
        <v>72000000</v>
      </c>
      <c r="E82" s="1">
        <v>0</v>
      </c>
      <c r="F82" t="s">
        <v>75</v>
      </c>
      <c r="G82" t="s">
        <v>9</v>
      </c>
      <c r="K82" s="3"/>
      <c r="M82" s="1"/>
      <c r="N82" s="1"/>
    </row>
    <row r="83" spans="1:14" x14ac:dyDescent="0.25">
      <c r="A83" t="s">
        <v>79</v>
      </c>
      <c r="B83" s="3">
        <v>1</v>
      </c>
      <c r="C83">
        <v>0</v>
      </c>
      <c r="D83" s="1">
        <v>244444444.44444445</v>
      </c>
      <c r="E83" s="1">
        <v>242222222.22222224</v>
      </c>
      <c r="F83" t="s">
        <v>75</v>
      </c>
      <c r="G83" t="s">
        <v>9</v>
      </c>
      <c r="K83" s="3"/>
      <c r="M83" s="1"/>
      <c r="N83" s="1"/>
    </row>
    <row r="84" spans="1:14" x14ac:dyDescent="0.25">
      <c r="A84" t="s">
        <v>79</v>
      </c>
      <c r="B84" s="3">
        <v>2</v>
      </c>
      <c r="C84">
        <v>0</v>
      </c>
      <c r="D84" s="1">
        <v>191111111.1111111</v>
      </c>
      <c r="E84" s="1">
        <v>54444444.444444448</v>
      </c>
      <c r="F84" t="s">
        <v>75</v>
      </c>
      <c r="G84" t="s">
        <v>9</v>
      </c>
      <c r="K84" s="3"/>
      <c r="M84" s="1"/>
      <c r="N84" s="1"/>
    </row>
    <row r="85" spans="1:14" x14ac:dyDescent="0.25">
      <c r="A85" t="s">
        <v>79</v>
      </c>
      <c r="B85" s="3">
        <v>3</v>
      </c>
      <c r="C85">
        <v>0</v>
      </c>
      <c r="D85" s="1">
        <v>232222222.22222224</v>
      </c>
      <c r="E85" s="1">
        <v>25777777.77777778</v>
      </c>
      <c r="F85" t="s">
        <v>75</v>
      </c>
      <c r="G85" t="s">
        <v>9</v>
      </c>
      <c r="K85" s="3"/>
      <c r="M85" s="1"/>
      <c r="N85" s="1"/>
    </row>
    <row r="86" spans="1:14" x14ac:dyDescent="0.25">
      <c r="A86" t="s">
        <v>79</v>
      </c>
      <c r="B86" s="3">
        <v>1</v>
      </c>
      <c r="C86">
        <v>1</v>
      </c>
      <c r="D86" s="1">
        <v>3111111.111111111</v>
      </c>
      <c r="E86" s="1">
        <v>2888888.888888889</v>
      </c>
      <c r="F86" t="s">
        <v>75</v>
      </c>
      <c r="G86" t="s">
        <v>9</v>
      </c>
      <c r="K86" s="3"/>
      <c r="M86" s="1"/>
      <c r="N86" s="1"/>
    </row>
    <row r="87" spans="1:14" x14ac:dyDescent="0.25">
      <c r="A87" t="s">
        <v>79</v>
      </c>
      <c r="B87" s="3">
        <v>2</v>
      </c>
      <c r="C87">
        <v>1</v>
      </c>
      <c r="D87" s="1">
        <v>3222222.2222222225</v>
      </c>
      <c r="E87" s="1">
        <v>733333.33333333337</v>
      </c>
      <c r="F87" t="s">
        <v>75</v>
      </c>
      <c r="G87" t="s">
        <v>9</v>
      </c>
      <c r="K87" s="3"/>
      <c r="M87" s="1"/>
      <c r="N87" s="1"/>
    </row>
    <row r="88" spans="1:14" x14ac:dyDescent="0.25">
      <c r="A88" t="s">
        <v>79</v>
      </c>
      <c r="B88" s="3">
        <v>3</v>
      </c>
      <c r="C88">
        <v>1</v>
      </c>
      <c r="D88" s="1">
        <v>3888888.888888889</v>
      </c>
      <c r="E88" s="1">
        <v>377777.77777777781</v>
      </c>
      <c r="F88" t="s">
        <v>75</v>
      </c>
      <c r="G88" t="s">
        <v>9</v>
      </c>
      <c r="K88" s="3"/>
      <c r="M88" s="1"/>
      <c r="N88" s="1"/>
    </row>
    <row r="89" spans="1:14" x14ac:dyDescent="0.25">
      <c r="A89" t="s">
        <v>79</v>
      </c>
      <c r="B89" s="3">
        <v>1</v>
      </c>
      <c r="C89">
        <v>2</v>
      </c>
      <c r="D89" s="1">
        <v>25555555.555555556</v>
      </c>
      <c r="E89" s="1">
        <v>23333333.333333336</v>
      </c>
      <c r="F89" t="s">
        <v>75</v>
      </c>
      <c r="G89" t="s">
        <v>9</v>
      </c>
      <c r="K89" s="3"/>
      <c r="M89" s="1"/>
      <c r="N89" s="1"/>
    </row>
    <row r="90" spans="1:14" x14ac:dyDescent="0.25">
      <c r="A90" t="s">
        <v>79</v>
      </c>
      <c r="B90" s="3">
        <v>2</v>
      </c>
      <c r="C90">
        <v>2</v>
      </c>
      <c r="D90" s="1">
        <v>26666666.666666668</v>
      </c>
      <c r="E90" s="1">
        <v>12555555.555555556</v>
      </c>
      <c r="F90" t="s">
        <v>75</v>
      </c>
      <c r="G90" t="s">
        <v>9</v>
      </c>
      <c r="K90" s="3"/>
      <c r="M90" s="1"/>
      <c r="N90" s="1"/>
    </row>
    <row r="91" spans="1:14" x14ac:dyDescent="0.25">
      <c r="A91" t="s">
        <v>79</v>
      </c>
      <c r="B91" s="3">
        <v>3</v>
      </c>
      <c r="C91">
        <v>2</v>
      </c>
      <c r="D91" s="1">
        <v>22222222.222222224</v>
      </c>
      <c r="E91" s="1">
        <v>7444444.444444445</v>
      </c>
      <c r="F91" t="s">
        <v>75</v>
      </c>
      <c r="G91" t="s">
        <v>9</v>
      </c>
      <c r="K91" s="3"/>
      <c r="M91" s="1"/>
      <c r="N91" s="1"/>
    </row>
    <row r="92" spans="1:14" x14ac:dyDescent="0.25">
      <c r="A92" t="s">
        <v>32</v>
      </c>
      <c r="B92" s="3">
        <v>1</v>
      </c>
      <c r="C92">
        <v>0</v>
      </c>
      <c r="D92" s="1">
        <v>441379310.34482759</v>
      </c>
      <c r="E92" s="1">
        <v>434482758.62068963</v>
      </c>
      <c r="F92" t="s">
        <v>75</v>
      </c>
      <c r="G92" t="s">
        <v>31</v>
      </c>
      <c r="K92" s="3"/>
      <c r="M92" s="1"/>
      <c r="N92" s="1"/>
    </row>
    <row r="93" spans="1:14" x14ac:dyDescent="0.25">
      <c r="A93" t="s">
        <v>32</v>
      </c>
      <c r="B93" s="3">
        <v>2</v>
      </c>
      <c r="C93">
        <v>0</v>
      </c>
      <c r="D93" s="1">
        <v>237931034.48275861</v>
      </c>
      <c r="E93" s="1">
        <v>227586206.8965517</v>
      </c>
      <c r="F93" t="s">
        <v>75</v>
      </c>
      <c r="G93" t="s">
        <v>31</v>
      </c>
      <c r="K93" s="3"/>
      <c r="M93" s="1"/>
      <c r="N93" s="1"/>
    </row>
    <row r="94" spans="1:14" x14ac:dyDescent="0.25">
      <c r="A94" t="s">
        <v>32</v>
      </c>
      <c r="B94" s="3">
        <v>3</v>
      </c>
      <c r="C94">
        <v>0</v>
      </c>
      <c r="D94" s="1">
        <v>303448275.86206895</v>
      </c>
      <c r="E94" s="1">
        <v>279310344.82758617</v>
      </c>
      <c r="F94" t="s">
        <v>75</v>
      </c>
      <c r="G94" t="s">
        <v>31</v>
      </c>
      <c r="K94" s="3"/>
      <c r="M94" s="1"/>
      <c r="N94" s="1"/>
    </row>
    <row r="95" spans="1:14" x14ac:dyDescent="0.25">
      <c r="A95" t="s">
        <v>32</v>
      </c>
      <c r="B95" s="3">
        <v>1</v>
      </c>
      <c r="C95">
        <v>1</v>
      </c>
      <c r="D95">
        <v>4777777.777777778</v>
      </c>
      <c r="E95">
        <v>4555555.555555556</v>
      </c>
      <c r="F95" t="s">
        <v>75</v>
      </c>
      <c r="G95" t="s">
        <v>31</v>
      </c>
      <c r="K95" s="3"/>
      <c r="M95" s="1"/>
      <c r="N95" s="1"/>
    </row>
    <row r="96" spans="1:14" x14ac:dyDescent="0.25">
      <c r="A96" t="s">
        <v>32</v>
      </c>
      <c r="B96" s="3">
        <v>2</v>
      </c>
      <c r="C96">
        <v>1</v>
      </c>
      <c r="D96">
        <v>4333333.333333334</v>
      </c>
      <c r="E96">
        <v>4000000</v>
      </c>
      <c r="F96" t="s">
        <v>75</v>
      </c>
      <c r="G96" t="s">
        <v>31</v>
      </c>
      <c r="K96" s="3"/>
      <c r="M96" s="1"/>
      <c r="N96" s="1"/>
    </row>
    <row r="97" spans="1:14" x14ac:dyDescent="0.25">
      <c r="A97" t="s">
        <v>32</v>
      </c>
      <c r="B97" s="3">
        <v>3</v>
      </c>
      <c r="C97">
        <v>1</v>
      </c>
      <c r="D97">
        <v>4555555.555555556</v>
      </c>
      <c r="E97">
        <v>4222222.222222222</v>
      </c>
      <c r="F97" t="s">
        <v>75</v>
      </c>
      <c r="G97" t="s">
        <v>31</v>
      </c>
      <c r="K97" s="3"/>
      <c r="M97" s="1"/>
      <c r="N97" s="1"/>
    </row>
    <row r="98" spans="1:14" x14ac:dyDescent="0.25">
      <c r="A98" t="s">
        <v>32</v>
      </c>
      <c r="B98" s="3">
        <v>1</v>
      </c>
      <c r="C98">
        <v>2</v>
      </c>
      <c r="D98" s="1">
        <v>51111111.111111112</v>
      </c>
      <c r="E98" s="1">
        <v>46666666.666666672</v>
      </c>
      <c r="F98" t="s">
        <v>75</v>
      </c>
      <c r="G98" t="s">
        <v>31</v>
      </c>
      <c r="K98" s="3"/>
      <c r="M98" s="1"/>
      <c r="N98" s="1"/>
    </row>
    <row r="99" spans="1:14" x14ac:dyDescent="0.25">
      <c r="A99" t="s">
        <v>32</v>
      </c>
      <c r="B99" s="3">
        <v>2</v>
      </c>
      <c r="C99">
        <v>2</v>
      </c>
      <c r="D99" s="1">
        <v>87777777.777777776</v>
      </c>
      <c r="E99" s="1">
        <v>80000000</v>
      </c>
      <c r="F99" t="s">
        <v>75</v>
      </c>
      <c r="G99" t="s">
        <v>31</v>
      </c>
      <c r="K99" s="3"/>
      <c r="M99" s="1"/>
      <c r="N99" s="1"/>
    </row>
    <row r="100" spans="1:14" x14ac:dyDescent="0.25">
      <c r="A100" t="s">
        <v>32</v>
      </c>
      <c r="B100" s="3">
        <v>3</v>
      </c>
      <c r="C100">
        <v>2</v>
      </c>
      <c r="D100" s="1">
        <v>92222222.222222224</v>
      </c>
      <c r="E100" s="1">
        <v>91111111.111111119</v>
      </c>
      <c r="F100" t="s">
        <v>75</v>
      </c>
      <c r="G100" t="s">
        <v>31</v>
      </c>
      <c r="K100" s="3"/>
      <c r="M100" s="1"/>
      <c r="N100" s="1"/>
    </row>
    <row r="101" spans="1:14" x14ac:dyDescent="0.25">
      <c r="A101" t="s">
        <v>33</v>
      </c>
      <c r="B101" s="3">
        <v>1</v>
      </c>
      <c r="C101">
        <v>0</v>
      </c>
      <c r="D101" s="1">
        <v>620689655.17241371</v>
      </c>
      <c r="E101" s="1">
        <v>520689655.17241377</v>
      </c>
      <c r="F101" t="s">
        <v>75</v>
      </c>
      <c r="G101" t="s">
        <v>31</v>
      </c>
      <c r="K101" s="3"/>
      <c r="M101" s="1"/>
      <c r="N101" s="1"/>
    </row>
    <row r="102" spans="1:14" x14ac:dyDescent="0.25">
      <c r="A102" t="s">
        <v>33</v>
      </c>
      <c r="B102" s="3">
        <v>2</v>
      </c>
      <c r="C102">
        <v>0</v>
      </c>
      <c r="D102" s="1">
        <v>541379310.34482753</v>
      </c>
      <c r="E102" s="1">
        <v>479310344.82758617</v>
      </c>
      <c r="F102" t="s">
        <v>75</v>
      </c>
      <c r="G102" t="s">
        <v>31</v>
      </c>
      <c r="K102" s="3"/>
      <c r="M102" s="1"/>
      <c r="N102" s="1"/>
    </row>
    <row r="103" spans="1:14" x14ac:dyDescent="0.25">
      <c r="A103" t="s">
        <v>33</v>
      </c>
      <c r="B103" s="3">
        <v>3</v>
      </c>
      <c r="C103">
        <v>0</v>
      </c>
      <c r="D103" s="1">
        <v>589655172.41379309</v>
      </c>
      <c r="E103" s="1">
        <v>551724137.93103445</v>
      </c>
      <c r="F103" t="s">
        <v>75</v>
      </c>
      <c r="G103" t="s">
        <v>31</v>
      </c>
      <c r="K103" s="3"/>
      <c r="M103" s="1"/>
      <c r="N103" s="1"/>
    </row>
    <row r="104" spans="1:14" x14ac:dyDescent="0.25">
      <c r="A104" t="s">
        <v>33</v>
      </c>
      <c r="B104" s="3">
        <v>1</v>
      </c>
      <c r="C104">
        <v>1</v>
      </c>
      <c r="D104" s="1">
        <v>5777777.777777778</v>
      </c>
      <c r="E104" s="1">
        <v>5222222.222222222</v>
      </c>
      <c r="F104" t="s">
        <v>75</v>
      </c>
      <c r="G104" t="s">
        <v>31</v>
      </c>
      <c r="K104" s="3"/>
      <c r="M104" s="1"/>
      <c r="N104" s="1"/>
    </row>
    <row r="105" spans="1:14" x14ac:dyDescent="0.25">
      <c r="A105" t="s">
        <v>33</v>
      </c>
      <c r="B105" s="3">
        <v>2</v>
      </c>
      <c r="C105">
        <v>1</v>
      </c>
      <c r="D105" s="1">
        <v>8666666.6666666679</v>
      </c>
      <c r="E105" s="1">
        <v>7777777.777777778</v>
      </c>
      <c r="F105" t="s">
        <v>75</v>
      </c>
      <c r="G105" t="s">
        <v>31</v>
      </c>
      <c r="K105" s="3"/>
      <c r="M105" s="1"/>
      <c r="N105" s="1"/>
    </row>
    <row r="106" spans="1:14" x14ac:dyDescent="0.25">
      <c r="A106" t="s">
        <v>33</v>
      </c>
      <c r="B106" s="3">
        <v>3</v>
      </c>
      <c r="C106">
        <v>1</v>
      </c>
      <c r="D106" s="1">
        <v>7333333.333333334</v>
      </c>
      <c r="E106" s="1">
        <v>6444444.444444445</v>
      </c>
      <c r="F106" t="s">
        <v>75</v>
      </c>
      <c r="G106" t="s">
        <v>31</v>
      </c>
      <c r="K106" s="3"/>
      <c r="M106" s="1"/>
      <c r="N106" s="1"/>
    </row>
    <row r="107" spans="1:14" x14ac:dyDescent="0.25">
      <c r="A107" t="s">
        <v>33</v>
      </c>
      <c r="B107" s="3">
        <v>1</v>
      </c>
      <c r="C107">
        <v>2</v>
      </c>
      <c r="D107" s="1">
        <v>84444444.444444448</v>
      </c>
      <c r="E107" s="1">
        <v>77777777.777777776</v>
      </c>
      <c r="F107" t="s">
        <v>75</v>
      </c>
      <c r="G107" t="s">
        <v>31</v>
      </c>
      <c r="K107" s="3"/>
      <c r="M107" s="1"/>
      <c r="N107" s="1"/>
    </row>
    <row r="108" spans="1:14" x14ac:dyDescent="0.25">
      <c r="A108" t="s">
        <v>33</v>
      </c>
      <c r="B108" s="3">
        <v>2</v>
      </c>
      <c r="C108">
        <v>2</v>
      </c>
      <c r="D108" s="1">
        <v>77777777.777777776</v>
      </c>
      <c r="E108" s="1">
        <v>68888888.888888896</v>
      </c>
      <c r="F108" t="s">
        <v>75</v>
      </c>
      <c r="G108" t="s">
        <v>31</v>
      </c>
      <c r="K108" s="3"/>
      <c r="M108" s="1"/>
      <c r="N108" s="1"/>
    </row>
    <row r="109" spans="1:14" x14ac:dyDescent="0.25">
      <c r="A109" t="s">
        <v>33</v>
      </c>
      <c r="B109" s="3">
        <v>3</v>
      </c>
      <c r="C109">
        <v>2</v>
      </c>
      <c r="D109" s="1">
        <v>113333333.33333334</v>
      </c>
      <c r="E109" s="1">
        <v>91111111.111111119</v>
      </c>
      <c r="F109" t="s">
        <v>75</v>
      </c>
      <c r="G109" t="s">
        <v>31</v>
      </c>
      <c r="K109" s="3"/>
      <c r="M109" s="1"/>
      <c r="N109" s="1"/>
    </row>
    <row r="110" spans="1:14" x14ac:dyDescent="0.25">
      <c r="A110" t="s">
        <v>34</v>
      </c>
      <c r="B110" s="3">
        <v>1</v>
      </c>
      <c r="C110">
        <v>0</v>
      </c>
      <c r="D110" s="1">
        <v>204444444.44444445</v>
      </c>
      <c r="E110" s="1">
        <v>168888888.8888889</v>
      </c>
      <c r="F110" t="s">
        <v>75</v>
      </c>
      <c r="G110" t="s">
        <v>31</v>
      </c>
      <c r="K110" s="3"/>
      <c r="M110" s="1"/>
      <c r="N110" s="1"/>
    </row>
    <row r="111" spans="1:14" x14ac:dyDescent="0.25">
      <c r="A111" t="s">
        <v>34</v>
      </c>
      <c r="B111" s="3">
        <v>2</v>
      </c>
      <c r="C111">
        <v>0</v>
      </c>
      <c r="D111" s="1">
        <v>211111111.1111111</v>
      </c>
      <c r="E111" s="1">
        <v>207777777.77777779</v>
      </c>
      <c r="F111" t="s">
        <v>75</v>
      </c>
      <c r="G111" t="s">
        <v>31</v>
      </c>
      <c r="K111" s="3"/>
      <c r="M111" s="1"/>
      <c r="N111" s="1"/>
    </row>
    <row r="112" spans="1:14" x14ac:dyDescent="0.25">
      <c r="A112" t="s">
        <v>34</v>
      </c>
      <c r="B112" s="3">
        <v>3</v>
      </c>
      <c r="C112">
        <v>0</v>
      </c>
      <c r="D112" s="1">
        <v>188888888.8888889</v>
      </c>
      <c r="E112" s="1">
        <v>168888888.8888889</v>
      </c>
      <c r="F112" t="s">
        <v>75</v>
      </c>
      <c r="G112" t="s">
        <v>31</v>
      </c>
      <c r="K112" s="3"/>
      <c r="M112" s="1"/>
      <c r="N112" s="1"/>
    </row>
    <row r="113" spans="1:14" x14ac:dyDescent="0.25">
      <c r="A113" t="s">
        <v>34</v>
      </c>
      <c r="B113" s="3">
        <v>1</v>
      </c>
      <c r="C113">
        <v>1</v>
      </c>
      <c r="D113" s="1">
        <v>4222222.222222222</v>
      </c>
      <c r="E113" s="1">
        <v>3222222.2222222225</v>
      </c>
      <c r="F113" t="s">
        <v>75</v>
      </c>
      <c r="G113" t="s">
        <v>31</v>
      </c>
      <c r="K113" s="3"/>
      <c r="M113" s="1"/>
      <c r="N113" s="1"/>
    </row>
    <row r="114" spans="1:14" x14ac:dyDescent="0.25">
      <c r="A114" t="s">
        <v>34</v>
      </c>
      <c r="B114" s="3">
        <v>2</v>
      </c>
      <c r="C114">
        <v>1</v>
      </c>
      <c r="D114" s="1">
        <v>6222222.222222222</v>
      </c>
      <c r="E114" s="1">
        <v>5444444.444444445</v>
      </c>
      <c r="F114" t="s">
        <v>75</v>
      </c>
      <c r="G114" t="s">
        <v>31</v>
      </c>
      <c r="K114" s="3"/>
      <c r="M114" s="1"/>
      <c r="N114" s="1"/>
    </row>
    <row r="115" spans="1:14" x14ac:dyDescent="0.25">
      <c r="A115" t="s">
        <v>34</v>
      </c>
      <c r="B115" s="3">
        <v>3</v>
      </c>
      <c r="C115">
        <v>1</v>
      </c>
      <c r="D115" s="1">
        <v>3555555.5555555555</v>
      </c>
      <c r="E115" s="1">
        <v>2666666.666666667</v>
      </c>
      <c r="F115" t="s">
        <v>75</v>
      </c>
      <c r="G115" t="s">
        <v>31</v>
      </c>
      <c r="K115" s="3"/>
      <c r="M115" s="1"/>
      <c r="N115" s="1"/>
    </row>
    <row r="116" spans="1:14" x14ac:dyDescent="0.25">
      <c r="A116" t="s">
        <v>34</v>
      </c>
      <c r="B116" s="3">
        <v>1</v>
      </c>
      <c r="C116">
        <v>2</v>
      </c>
      <c r="D116" s="1">
        <v>24444444.444444444</v>
      </c>
      <c r="E116" s="1">
        <v>10000000</v>
      </c>
      <c r="F116" t="s">
        <v>75</v>
      </c>
      <c r="G116" t="s">
        <v>31</v>
      </c>
      <c r="K116" s="3"/>
      <c r="M116" s="1"/>
      <c r="N116" s="1"/>
    </row>
    <row r="117" spans="1:14" x14ac:dyDescent="0.25">
      <c r="A117" t="s">
        <v>34</v>
      </c>
      <c r="B117" s="3">
        <v>2</v>
      </c>
      <c r="C117">
        <v>2</v>
      </c>
      <c r="D117" s="1">
        <v>58888888.888888888</v>
      </c>
      <c r="E117" s="1">
        <v>51111111.111111112</v>
      </c>
      <c r="F117" t="s">
        <v>75</v>
      </c>
      <c r="G117" t="s">
        <v>31</v>
      </c>
      <c r="K117" s="3"/>
      <c r="M117" s="1"/>
      <c r="N117" s="1"/>
    </row>
    <row r="118" spans="1:14" x14ac:dyDescent="0.25">
      <c r="A118" t="s">
        <v>34</v>
      </c>
      <c r="B118" s="3">
        <v>3</v>
      </c>
      <c r="C118">
        <v>2</v>
      </c>
      <c r="D118" s="1">
        <v>32222222.222222224</v>
      </c>
      <c r="E118" s="1">
        <v>21111111.111111112</v>
      </c>
      <c r="F118" t="s">
        <v>75</v>
      </c>
      <c r="G118" t="s">
        <v>31</v>
      </c>
      <c r="K118" s="3"/>
      <c r="M118" s="1"/>
      <c r="N118" s="1"/>
    </row>
    <row r="119" spans="1:14" x14ac:dyDescent="0.25">
      <c r="A119" t="s">
        <v>35</v>
      </c>
      <c r="B119" s="3">
        <v>1</v>
      </c>
      <c r="C119">
        <v>0</v>
      </c>
      <c r="D119" s="1">
        <v>242222222.22222224</v>
      </c>
      <c r="E119" s="1">
        <v>221111111.1111111</v>
      </c>
      <c r="F119" t="s">
        <v>75</v>
      </c>
      <c r="G119" t="s">
        <v>31</v>
      </c>
      <c r="K119" s="3"/>
      <c r="M119" s="1"/>
      <c r="N119" s="1"/>
    </row>
    <row r="120" spans="1:14" x14ac:dyDescent="0.25">
      <c r="A120" t="s">
        <v>35</v>
      </c>
      <c r="B120" s="3">
        <v>2</v>
      </c>
      <c r="C120">
        <v>0</v>
      </c>
      <c r="D120" s="1">
        <v>222222222.22222224</v>
      </c>
      <c r="E120" s="1">
        <v>197777777.77777779</v>
      </c>
      <c r="F120" t="s">
        <v>75</v>
      </c>
      <c r="G120" t="s">
        <v>31</v>
      </c>
      <c r="K120" s="3"/>
      <c r="M120" s="1"/>
      <c r="N120" s="1"/>
    </row>
    <row r="121" spans="1:14" x14ac:dyDescent="0.25">
      <c r="A121" t="s">
        <v>35</v>
      </c>
      <c r="B121" s="3">
        <v>3</v>
      </c>
      <c r="C121">
        <v>0</v>
      </c>
      <c r="D121" s="1">
        <v>211111111.1111111</v>
      </c>
      <c r="E121" s="1">
        <v>200000000</v>
      </c>
      <c r="F121" t="s">
        <v>75</v>
      </c>
      <c r="G121" t="s">
        <v>31</v>
      </c>
      <c r="K121" s="3"/>
      <c r="M121" s="1"/>
      <c r="N121" s="1"/>
    </row>
    <row r="122" spans="1:14" x14ac:dyDescent="0.25">
      <c r="A122" t="s">
        <v>35</v>
      </c>
      <c r="B122" s="3">
        <v>1</v>
      </c>
      <c r="C122">
        <v>1</v>
      </c>
      <c r="D122" s="1">
        <v>4444444.444444445</v>
      </c>
      <c r="E122" s="1">
        <v>3111111.111111111</v>
      </c>
      <c r="F122" t="s">
        <v>75</v>
      </c>
      <c r="G122" t="s">
        <v>31</v>
      </c>
      <c r="K122" s="3"/>
      <c r="M122" s="1"/>
      <c r="N122" s="1"/>
    </row>
    <row r="123" spans="1:14" x14ac:dyDescent="0.25">
      <c r="A123" t="s">
        <v>35</v>
      </c>
      <c r="B123" s="3">
        <v>2</v>
      </c>
      <c r="C123">
        <v>1</v>
      </c>
      <c r="D123" s="1">
        <v>7222222.2222222229</v>
      </c>
      <c r="E123" s="1">
        <v>5111111.111111111</v>
      </c>
      <c r="F123" t="s">
        <v>75</v>
      </c>
      <c r="G123" t="s">
        <v>31</v>
      </c>
      <c r="K123" s="3"/>
      <c r="M123" s="1"/>
      <c r="N123" s="1"/>
    </row>
    <row r="124" spans="1:14" x14ac:dyDescent="0.25">
      <c r="A124" t="s">
        <v>35</v>
      </c>
      <c r="B124" s="3">
        <v>3</v>
      </c>
      <c r="C124">
        <v>1</v>
      </c>
      <c r="D124" s="1">
        <v>3666666.666666667</v>
      </c>
      <c r="E124" s="1">
        <v>3555555.5555555555</v>
      </c>
      <c r="F124" t="s">
        <v>75</v>
      </c>
      <c r="G124" t="s">
        <v>31</v>
      </c>
      <c r="K124" s="3"/>
      <c r="M124" s="1"/>
      <c r="N124" s="1"/>
    </row>
    <row r="125" spans="1:14" x14ac:dyDescent="0.25">
      <c r="A125" t="s">
        <v>35</v>
      </c>
      <c r="B125" s="3">
        <v>1</v>
      </c>
      <c r="C125">
        <v>2</v>
      </c>
      <c r="D125" s="1">
        <v>17777777.77777778</v>
      </c>
      <c r="E125" s="1">
        <v>14444444.444444446</v>
      </c>
      <c r="F125" t="s">
        <v>75</v>
      </c>
      <c r="G125" t="s">
        <v>31</v>
      </c>
      <c r="K125" s="3"/>
      <c r="M125" s="1"/>
      <c r="N125" s="1"/>
    </row>
    <row r="126" spans="1:14" x14ac:dyDescent="0.25">
      <c r="A126" t="s">
        <v>35</v>
      </c>
      <c r="B126" s="3">
        <v>2</v>
      </c>
      <c r="C126">
        <v>2</v>
      </c>
      <c r="D126" s="1">
        <v>26666666.666666668</v>
      </c>
      <c r="E126" s="1">
        <v>18888888.888888888</v>
      </c>
      <c r="F126" t="s">
        <v>75</v>
      </c>
      <c r="G126" t="s">
        <v>31</v>
      </c>
      <c r="K126" s="3"/>
      <c r="M126" s="1"/>
      <c r="N126" s="1"/>
    </row>
    <row r="127" spans="1:14" x14ac:dyDescent="0.25">
      <c r="A127" t="s">
        <v>35</v>
      </c>
      <c r="B127" s="3">
        <v>3</v>
      </c>
      <c r="C127">
        <v>2</v>
      </c>
      <c r="D127" s="1">
        <v>26666666.666666668</v>
      </c>
      <c r="E127" s="1">
        <v>23333333.333333336</v>
      </c>
      <c r="F127" t="s">
        <v>75</v>
      </c>
      <c r="G127" t="s">
        <v>31</v>
      </c>
      <c r="K127" s="3"/>
      <c r="M127" s="1"/>
      <c r="N127" s="1"/>
    </row>
    <row r="128" spans="1:14" x14ac:dyDescent="0.25">
      <c r="A128" t="s">
        <v>36</v>
      </c>
      <c r="B128" s="3">
        <v>1</v>
      </c>
      <c r="C128">
        <v>0</v>
      </c>
      <c r="D128" s="1">
        <v>218888888.8888889</v>
      </c>
      <c r="E128" s="1">
        <v>167777777.77777779</v>
      </c>
      <c r="F128" t="s">
        <v>75</v>
      </c>
      <c r="G128" t="s">
        <v>31</v>
      </c>
      <c r="K128" s="3"/>
      <c r="M128" s="1"/>
      <c r="N128" s="1"/>
    </row>
    <row r="129" spans="1:14" x14ac:dyDescent="0.25">
      <c r="A129" t="s">
        <v>36</v>
      </c>
      <c r="B129" s="3">
        <v>2</v>
      </c>
      <c r="C129">
        <v>0</v>
      </c>
      <c r="D129" s="1">
        <v>211111111.1111111</v>
      </c>
      <c r="E129" s="1">
        <v>208888888.8888889</v>
      </c>
      <c r="F129" t="s">
        <v>75</v>
      </c>
      <c r="G129" t="s">
        <v>31</v>
      </c>
      <c r="K129" s="3"/>
      <c r="M129" s="1"/>
      <c r="N129" s="1"/>
    </row>
    <row r="130" spans="1:14" x14ac:dyDescent="0.25">
      <c r="A130" t="s">
        <v>36</v>
      </c>
      <c r="B130" s="3">
        <v>3</v>
      </c>
      <c r="C130">
        <v>0</v>
      </c>
      <c r="D130" s="1">
        <v>188888888.8888889</v>
      </c>
      <c r="E130" s="1">
        <v>166666666.66666669</v>
      </c>
      <c r="F130" t="s">
        <v>75</v>
      </c>
      <c r="G130" t="s">
        <v>31</v>
      </c>
      <c r="K130" s="3"/>
      <c r="M130" s="1"/>
      <c r="N130" s="1"/>
    </row>
    <row r="131" spans="1:14" x14ac:dyDescent="0.25">
      <c r="A131" t="s">
        <v>36</v>
      </c>
      <c r="B131" s="3">
        <v>1</v>
      </c>
      <c r="C131">
        <v>1</v>
      </c>
      <c r="D131" s="1">
        <v>4000000</v>
      </c>
      <c r="E131" s="1">
        <v>2444444.4444444445</v>
      </c>
      <c r="F131" t="s">
        <v>75</v>
      </c>
      <c r="G131" t="s">
        <v>31</v>
      </c>
      <c r="K131" s="3"/>
      <c r="M131" s="1"/>
      <c r="N131" s="1"/>
    </row>
    <row r="132" spans="1:14" x14ac:dyDescent="0.25">
      <c r="A132" t="s">
        <v>36</v>
      </c>
      <c r="B132" s="3">
        <v>2</v>
      </c>
      <c r="C132">
        <v>1</v>
      </c>
      <c r="D132" s="1">
        <v>7444444.444444445</v>
      </c>
      <c r="E132" s="1">
        <v>3222222.2222222225</v>
      </c>
      <c r="F132" t="s">
        <v>75</v>
      </c>
      <c r="G132" t="s">
        <v>31</v>
      </c>
      <c r="K132" s="3"/>
      <c r="M132" s="1"/>
      <c r="N132" s="1"/>
    </row>
    <row r="133" spans="1:14" x14ac:dyDescent="0.25">
      <c r="A133" t="s">
        <v>36</v>
      </c>
      <c r="B133" s="3">
        <v>3</v>
      </c>
      <c r="C133">
        <v>1</v>
      </c>
      <c r="D133" s="1">
        <v>4111111.1111111115</v>
      </c>
      <c r="E133" s="1">
        <v>2333333.3333333335</v>
      </c>
      <c r="F133" t="s">
        <v>75</v>
      </c>
      <c r="G133" t="s">
        <v>31</v>
      </c>
      <c r="K133" s="3"/>
      <c r="M133" s="1"/>
      <c r="N133" s="1"/>
    </row>
    <row r="134" spans="1:14" x14ac:dyDescent="0.25">
      <c r="A134" t="s">
        <v>36</v>
      </c>
      <c r="B134" s="3">
        <v>1</v>
      </c>
      <c r="C134">
        <v>2</v>
      </c>
      <c r="D134" s="1">
        <v>24444444.444444444</v>
      </c>
      <c r="E134" s="1">
        <v>19888888.888888888</v>
      </c>
      <c r="F134" t="s">
        <v>75</v>
      </c>
      <c r="G134" t="s">
        <v>31</v>
      </c>
      <c r="K134" s="3"/>
      <c r="M134" s="1"/>
      <c r="N134" s="1"/>
    </row>
    <row r="135" spans="1:14" x14ac:dyDescent="0.25">
      <c r="A135" t="s">
        <v>36</v>
      </c>
      <c r="B135" s="3">
        <v>2</v>
      </c>
      <c r="C135">
        <v>2</v>
      </c>
      <c r="D135" s="1">
        <v>34444444.444444448</v>
      </c>
      <c r="E135" s="1">
        <v>26666666.666666668</v>
      </c>
      <c r="F135" t="s">
        <v>75</v>
      </c>
      <c r="G135" t="s">
        <v>31</v>
      </c>
      <c r="K135" s="3"/>
      <c r="M135" s="1"/>
      <c r="N135" s="1"/>
    </row>
    <row r="136" spans="1:14" x14ac:dyDescent="0.25">
      <c r="A136" t="s">
        <v>36</v>
      </c>
      <c r="B136" s="3">
        <v>3</v>
      </c>
      <c r="C136">
        <v>2</v>
      </c>
      <c r="D136" s="1">
        <v>30000000</v>
      </c>
      <c r="E136" s="1">
        <v>28888888.888888892</v>
      </c>
      <c r="F136" t="s">
        <v>75</v>
      </c>
      <c r="G136" t="s">
        <v>31</v>
      </c>
      <c r="K136" s="3"/>
      <c r="M136" s="1"/>
      <c r="N136" s="1"/>
    </row>
    <row r="137" spans="1:14" x14ac:dyDescent="0.25">
      <c r="A137" t="s">
        <v>37</v>
      </c>
      <c r="B137" s="3">
        <v>1</v>
      </c>
      <c r="C137">
        <v>0</v>
      </c>
      <c r="D137" s="1">
        <v>298888888.8888889</v>
      </c>
      <c r="E137" s="1">
        <v>272222222.22222221</v>
      </c>
      <c r="F137" t="s">
        <v>75</v>
      </c>
      <c r="G137" t="s">
        <v>31</v>
      </c>
      <c r="K137" s="3"/>
      <c r="M137" s="1"/>
      <c r="N137" s="1"/>
    </row>
    <row r="138" spans="1:14" x14ac:dyDescent="0.25">
      <c r="A138" t="s">
        <v>37</v>
      </c>
      <c r="B138" s="3">
        <v>2</v>
      </c>
      <c r="C138">
        <v>0</v>
      </c>
      <c r="D138" s="1">
        <v>211111111.1111111</v>
      </c>
      <c r="E138" s="1">
        <v>208888888.8888889</v>
      </c>
      <c r="F138" t="s">
        <v>75</v>
      </c>
      <c r="G138" t="s">
        <v>31</v>
      </c>
      <c r="K138" s="3"/>
      <c r="M138" s="1"/>
      <c r="N138" s="1"/>
    </row>
    <row r="139" spans="1:14" x14ac:dyDescent="0.25">
      <c r="A139" t="s">
        <v>37</v>
      </c>
      <c r="B139" s="3">
        <v>3</v>
      </c>
      <c r="C139">
        <v>0</v>
      </c>
      <c r="D139" s="1">
        <v>210000000</v>
      </c>
      <c r="E139" s="1">
        <v>203333333.33333334</v>
      </c>
      <c r="F139" t="s">
        <v>75</v>
      </c>
      <c r="G139" t="s">
        <v>31</v>
      </c>
      <c r="K139" s="3"/>
      <c r="M139" s="1"/>
      <c r="N139" s="1"/>
    </row>
    <row r="140" spans="1:14" x14ac:dyDescent="0.25">
      <c r="A140" t="s">
        <v>37</v>
      </c>
      <c r="B140" s="3">
        <v>1</v>
      </c>
      <c r="C140">
        <v>1</v>
      </c>
      <c r="D140" s="1">
        <v>6666666.666666667</v>
      </c>
      <c r="E140" s="1">
        <v>4555555.555555556</v>
      </c>
      <c r="F140" t="s">
        <v>75</v>
      </c>
      <c r="G140" t="s">
        <v>31</v>
      </c>
      <c r="K140" s="3"/>
      <c r="M140" s="1"/>
      <c r="N140" s="1"/>
    </row>
    <row r="141" spans="1:14" x14ac:dyDescent="0.25">
      <c r="A141" t="s">
        <v>37</v>
      </c>
      <c r="B141" s="3">
        <v>2</v>
      </c>
      <c r="C141">
        <v>1</v>
      </c>
      <c r="D141" s="1">
        <v>5111111.111111111</v>
      </c>
      <c r="E141" s="1">
        <v>4333333.333333334</v>
      </c>
      <c r="F141" t="s">
        <v>75</v>
      </c>
      <c r="G141" t="s">
        <v>31</v>
      </c>
      <c r="K141" s="3"/>
      <c r="M141" s="1"/>
      <c r="N141" s="1"/>
    </row>
    <row r="142" spans="1:14" x14ac:dyDescent="0.25">
      <c r="A142" t="s">
        <v>37</v>
      </c>
      <c r="B142" s="3">
        <v>3</v>
      </c>
      <c r="C142">
        <v>1</v>
      </c>
      <c r="D142" s="1">
        <v>5222222.222222222</v>
      </c>
      <c r="E142" s="1">
        <v>4777777.777777778</v>
      </c>
      <c r="F142" t="s">
        <v>75</v>
      </c>
      <c r="G142" t="s">
        <v>31</v>
      </c>
      <c r="K142" s="3"/>
      <c r="M142" s="1"/>
      <c r="N142" s="1"/>
    </row>
    <row r="143" spans="1:14" x14ac:dyDescent="0.25">
      <c r="A143" t="s">
        <v>37</v>
      </c>
      <c r="B143" s="3">
        <v>1</v>
      </c>
      <c r="C143">
        <v>2</v>
      </c>
      <c r="D143" s="1">
        <v>51111111.111111112</v>
      </c>
      <c r="E143" s="1">
        <v>42222222.222222224</v>
      </c>
      <c r="F143" t="s">
        <v>75</v>
      </c>
      <c r="G143" t="s">
        <v>31</v>
      </c>
      <c r="K143" s="3"/>
      <c r="M143" s="1"/>
      <c r="N143" s="1"/>
    </row>
    <row r="144" spans="1:14" x14ac:dyDescent="0.25">
      <c r="A144" t="s">
        <v>37</v>
      </c>
      <c r="B144" s="3">
        <v>2</v>
      </c>
      <c r="C144">
        <v>2</v>
      </c>
      <c r="D144" s="1">
        <v>152222222.22222224</v>
      </c>
      <c r="E144" s="1">
        <v>150000000</v>
      </c>
      <c r="F144" t="s">
        <v>75</v>
      </c>
      <c r="G144" t="s">
        <v>31</v>
      </c>
      <c r="K144" s="3"/>
      <c r="M144" s="1"/>
      <c r="N144" s="1"/>
    </row>
    <row r="145" spans="1:14" x14ac:dyDescent="0.25">
      <c r="A145" t="s">
        <v>37</v>
      </c>
      <c r="B145" s="3">
        <v>3</v>
      </c>
      <c r="C145">
        <v>2</v>
      </c>
      <c r="D145" s="1">
        <v>133333333.33333334</v>
      </c>
      <c r="E145" s="1">
        <v>122222222.22222222</v>
      </c>
      <c r="F145" t="s">
        <v>75</v>
      </c>
      <c r="G145" t="s">
        <v>31</v>
      </c>
      <c r="K145" s="3"/>
      <c r="M145" s="1"/>
      <c r="N145" s="1"/>
    </row>
    <row r="146" spans="1:14" x14ac:dyDescent="0.25">
      <c r="A146" t="s">
        <v>39</v>
      </c>
      <c r="B146" s="3">
        <v>1</v>
      </c>
      <c r="C146">
        <v>0</v>
      </c>
      <c r="D146" s="1">
        <v>85000000</v>
      </c>
      <c r="E146" s="1">
        <v>1100000</v>
      </c>
      <c r="F146" t="s">
        <v>75</v>
      </c>
      <c r="G146" t="s">
        <v>31</v>
      </c>
      <c r="K146" s="3"/>
      <c r="M146" s="1"/>
      <c r="N146" s="1"/>
    </row>
    <row r="147" spans="1:14" x14ac:dyDescent="0.25">
      <c r="A147" t="s">
        <v>39</v>
      </c>
      <c r="B147" s="3">
        <v>2</v>
      </c>
      <c r="C147">
        <v>0</v>
      </c>
      <c r="D147" s="1">
        <v>73000000</v>
      </c>
      <c r="E147" s="1">
        <v>0</v>
      </c>
      <c r="F147" t="s">
        <v>75</v>
      </c>
      <c r="G147" t="s">
        <v>31</v>
      </c>
      <c r="K147" s="3"/>
      <c r="M147" s="1"/>
      <c r="N147" s="1"/>
    </row>
    <row r="148" spans="1:14" x14ac:dyDescent="0.25">
      <c r="A148" t="s">
        <v>39</v>
      </c>
      <c r="B148" s="3">
        <v>3</v>
      </c>
      <c r="C148">
        <v>0</v>
      </c>
      <c r="D148" s="1">
        <v>94000000</v>
      </c>
      <c r="E148" s="1">
        <v>8900000</v>
      </c>
      <c r="F148" t="s">
        <v>75</v>
      </c>
      <c r="G148" t="s">
        <v>31</v>
      </c>
      <c r="K148" s="3"/>
      <c r="M148" s="1"/>
      <c r="N148" s="1"/>
    </row>
    <row r="149" spans="1:14" x14ac:dyDescent="0.25">
      <c r="A149" t="s">
        <v>39</v>
      </c>
      <c r="B149" s="3">
        <v>1</v>
      </c>
      <c r="C149">
        <v>1</v>
      </c>
      <c r="D149" s="1">
        <v>6200000</v>
      </c>
      <c r="E149" s="1">
        <v>480000</v>
      </c>
      <c r="F149" t="s">
        <v>75</v>
      </c>
      <c r="G149" t="s">
        <v>31</v>
      </c>
      <c r="K149" s="3"/>
      <c r="M149" s="1"/>
      <c r="N149" s="1"/>
    </row>
    <row r="150" spans="1:14" x14ac:dyDescent="0.25">
      <c r="A150" t="s">
        <v>39</v>
      </c>
      <c r="B150" s="3">
        <v>2</v>
      </c>
      <c r="C150">
        <v>1</v>
      </c>
      <c r="D150" s="1">
        <v>5700000</v>
      </c>
      <c r="E150" s="1">
        <v>0</v>
      </c>
      <c r="F150" t="s">
        <v>75</v>
      </c>
      <c r="G150" t="s">
        <v>31</v>
      </c>
      <c r="K150" s="3"/>
      <c r="M150" s="1"/>
      <c r="N150" s="1"/>
    </row>
    <row r="151" spans="1:14" x14ac:dyDescent="0.25">
      <c r="A151" t="s">
        <v>39</v>
      </c>
      <c r="B151" s="3">
        <v>3</v>
      </c>
      <c r="C151">
        <v>1</v>
      </c>
      <c r="D151" s="1">
        <v>7800000</v>
      </c>
      <c r="E151" s="1">
        <v>360000</v>
      </c>
      <c r="F151" t="s">
        <v>75</v>
      </c>
      <c r="G151" t="s">
        <v>31</v>
      </c>
      <c r="K151" s="3"/>
      <c r="M151" s="1"/>
      <c r="N151" s="1"/>
    </row>
    <row r="152" spans="1:14" x14ac:dyDescent="0.25">
      <c r="A152" t="s">
        <v>39</v>
      </c>
      <c r="B152" s="3">
        <v>1</v>
      </c>
      <c r="C152">
        <v>2</v>
      </c>
      <c r="D152" s="1">
        <v>52000000</v>
      </c>
      <c r="E152" s="1">
        <v>4000000</v>
      </c>
      <c r="F152" t="s">
        <v>75</v>
      </c>
      <c r="G152" t="s">
        <v>31</v>
      </c>
      <c r="K152" s="3"/>
      <c r="M152" s="1"/>
      <c r="N152" s="1"/>
    </row>
    <row r="153" spans="1:14" x14ac:dyDescent="0.25">
      <c r="A153" t="s">
        <v>39</v>
      </c>
      <c r="B153" s="3">
        <v>2</v>
      </c>
      <c r="C153">
        <v>2</v>
      </c>
      <c r="D153" s="1">
        <v>59000000</v>
      </c>
      <c r="E153" s="1">
        <v>0</v>
      </c>
      <c r="F153" t="s">
        <v>75</v>
      </c>
      <c r="G153" t="s">
        <v>31</v>
      </c>
      <c r="K153" s="3"/>
      <c r="M153" s="1"/>
      <c r="N153" s="1"/>
    </row>
    <row r="154" spans="1:14" x14ac:dyDescent="0.25">
      <c r="A154" t="s">
        <v>39</v>
      </c>
      <c r="B154" s="3">
        <v>3</v>
      </c>
      <c r="C154">
        <v>2</v>
      </c>
      <c r="D154" s="1">
        <v>73000000</v>
      </c>
      <c r="E154" s="1">
        <v>3500000</v>
      </c>
      <c r="F154" t="s">
        <v>75</v>
      </c>
      <c r="G154" t="s">
        <v>31</v>
      </c>
      <c r="K154" s="3"/>
      <c r="M154" s="1"/>
      <c r="N154" s="1"/>
    </row>
    <row r="155" spans="1:14" x14ac:dyDescent="0.25">
      <c r="A155" t="s">
        <v>40</v>
      </c>
      <c r="B155" s="3">
        <v>1</v>
      </c>
      <c r="C155">
        <v>0</v>
      </c>
      <c r="D155" s="1">
        <v>130000000</v>
      </c>
      <c r="E155" s="1">
        <v>4400</v>
      </c>
      <c r="F155" t="s">
        <v>75</v>
      </c>
      <c r="G155" t="s">
        <v>31</v>
      </c>
      <c r="K155" s="3"/>
      <c r="M155" s="1"/>
      <c r="N155" s="1"/>
    </row>
    <row r="156" spans="1:14" x14ac:dyDescent="0.25">
      <c r="A156" t="s">
        <v>40</v>
      </c>
      <c r="B156" s="3">
        <v>2</v>
      </c>
      <c r="C156">
        <v>0</v>
      </c>
      <c r="D156" s="1">
        <v>88000000</v>
      </c>
      <c r="E156" s="1">
        <v>5900000</v>
      </c>
      <c r="F156" t="s">
        <v>75</v>
      </c>
      <c r="G156" t="s">
        <v>31</v>
      </c>
      <c r="K156" s="3"/>
      <c r="M156" s="1"/>
      <c r="N156" s="1"/>
    </row>
    <row r="157" spans="1:14" x14ac:dyDescent="0.25">
      <c r="A157" t="s">
        <v>40</v>
      </c>
      <c r="B157" s="3">
        <v>3</v>
      </c>
      <c r="C157">
        <v>0</v>
      </c>
      <c r="D157" s="1">
        <v>124000000</v>
      </c>
      <c r="E157" s="1">
        <v>52000</v>
      </c>
      <c r="F157" t="s">
        <v>75</v>
      </c>
      <c r="G157" t="s">
        <v>31</v>
      </c>
      <c r="K157" s="3"/>
      <c r="M157" s="1"/>
      <c r="N157" s="1"/>
    </row>
    <row r="158" spans="1:14" x14ac:dyDescent="0.25">
      <c r="A158" t="s">
        <v>40</v>
      </c>
      <c r="B158" s="3">
        <v>1</v>
      </c>
      <c r="C158">
        <v>1</v>
      </c>
      <c r="D158" s="1">
        <v>1650000</v>
      </c>
      <c r="E158" s="1">
        <v>400</v>
      </c>
      <c r="F158" t="s">
        <v>75</v>
      </c>
      <c r="G158" t="s">
        <v>31</v>
      </c>
      <c r="K158" s="3"/>
      <c r="M158" s="1"/>
      <c r="N158" s="1"/>
    </row>
    <row r="159" spans="1:14" x14ac:dyDescent="0.25">
      <c r="A159" t="s">
        <v>40</v>
      </c>
      <c r="B159" s="3">
        <v>2</v>
      </c>
      <c r="C159">
        <v>1</v>
      </c>
      <c r="D159" s="1">
        <v>1410000</v>
      </c>
      <c r="E159" s="1">
        <v>117000</v>
      </c>
      <c r="F159" t="s">
        <v>75</v>
      </c>
      <c r="G159" t="s">
        <v>31</v>
      </c>
      <c r="K159" s="3"/>
      <c r="M159" s="1"/>
      <c r="N159" s="1"/>
    </row>
    <row r="160" spans="1:14" x14ac:dyDescent="0.25">
      <c r="A160" t="s">
        <v>40</v>
      </c>
      <c r="B160" s="3">
        <v>3</v>
      </c>
      <c r="C160">
        <v>1</v>
      </c>
      <c r="D160" s="1">
        <v>1720000</v>
      </c>
      <c r="E160" s="1">
        <v>2300</v>
      </c>
      <c r="F160" t="s">
        <v>75</v>
      </c>
      <c r="G160" t="s">
        <v>31</v>
      </c>
      <c r="K160" s="3"/>
      <c r="M160" s="1"/>
      <c r="N160" s="1"/>
    </row>
    <row r="161" spans="1:14" x14ac:dyDescent="0.25">
      <c r="A161" t="s">
        <v>40</v>
      </c>
      <c r="B161" s="3">
        <v>1</v>
      </c>
      <c r="C161">
        <v>2</v>
      </c>
      <c r="D161" s="1">
        <v>8600000</v>
      </c>
      <c r="E161" s="1">
        <v>500</v>
      </c>
      <c r="F161" t="s">
        <v>75</v>
      </c>
      <c r="G161" t="s">
        <v>31</v>
      </c>
      <c r="K161" s="3"/>
      <c r="M161" s="1"/>
      <c r="N161" s="1"/>
    </row>
    <row r="162" spans="1:14" x14ac:dyDescent="0.25">
      <c r="A162" t="s">
        <v>40</v>
      </c>
      <c r="B162" s="3">
        <v>2</v>
      </c>
      <c r="C162">
        <v>2</v>
      </c>
      <c r="D162" s="1">
        <v>5000000</v>
      </c>
      <c r="E162" s="1">
        <v>390000</v>
      </c>
      <c r="F162" t="s">
        <v>75</v>
      </c>
      <c r="G162" t="s">
        <v>31</v>
      </c>
      <c r="K162" s="3"/>
      <c r="M162" s="1"/>
      <c r="N162" s="1"/>
    </row>
    <row r="163" spans="1:14" x14ac:dyDescent="0.25">
      <c r="A163" t="s">
        <v>40</v>
      </c>
      <c r="B163" s="3">
        <v>3</v>
      </c>
      <c r="C163">
        <v>2</v>
      </c>
      <c r="D163" s="1">
        <v>9500000</v>
      </c>
      <c r="E163" s="1">
        <v>12000</v>
      </c>
      <c r="F163" t="s">
        <v>75</v>
      </c>
      <c r="G163" t="s">
        <v>31</v>
      </c>
      <c r="K163" s="3"/>
      <c r="M163" s="1"/>
      <c r="N163" s="1"/>
    </row>
    <row r="164" spans="1:14" x14ac:dyDescent="0.25">
      <c r="A164" t="s">
        <v>42</v>
      </c>
      <c r="B164" s="3">
        <v>1</v>
      </c>
      <c r="C164">
        <v>0</v>
      </c>
      <c r="D164" s="1">
        <v>88000000</v>
      </c>
      <c r="E164" s="1">
        <v>0</v>
      </c>
      <c r="F164" t="s">
        <v>75</v>
      </c>
      <c r="G164" t="s">
        <v>31</v>
      </c>
      <c r="K164" s="3"/>
      <c r="M164" s="1"/>
      <c r="N164" s="1"/>
    </row>
    <row r="165" spans="1:14" x14ac:dyDescent="0.25">
      <c r="A165" t="s">
        <v>42</v>
      </c>
      <c r="B165" s="3">
        <v>2</v>
      </c>
      <c r="C165">
        <v>0</v>
      </c>
      <c r="D165" s="1">
        <v>136000000</v>
      </c>
      <c r="E165" s="1">
        <v>0</v>
      </c>
      <c r="F165" t="s">
        <v>75</v>
      </c>
      <c r="G165" t="s">
        <v>31</v>
      </c>
      <c r="K165" s="3"/>
      <c r="M165" s="1"/>
      <c r="N165" s="1"/>
    </row>
    <row r="166" spans="1:14" x14ac:dyDescent="0.25">
      <c r="A166" t="s">
        <v>42</v>
      </c>
      <c r="B166" s="3">
        <v>3</v>
      </c>
      <c r="C166">
        <v>0</v>
      </c>
      <c r="D166" s="1">
        <v>69000000</v>
      </c>
      <c r="E166" s="1">
        <v>0</v>
      </c>
      <c r="F166" t="s">
        <v>75</v>
      </c>
      <c r="G166" t="s">
        <v>31</v>
      </c>
      <c r="K166" s="3"/>
      <c r="M166" s="1"/>
      <c r="N166" s="1"/>
    </row>
    <row r="167" spans="1:14" x14ac:dyDescent="0.25">
      <c r="A167" t="s">
        <v>42</v>
      </c>
      <c r="B167" s="3">
        <v>1</v>
      </c>
      <c r="C167">
        <v>1</v>
      </c>
      <c r="D167" s="1">
        <v>4800000</v>
      </c>
      <c r="E167" s="1">
        <v>0</v>
      </c>
      <c r="F167" t="s">
        <v>75</v>
      </c>
      <c r="G167" t="s">
        <v>31</v>
      </c>
      <c r="K167" s="3"/>
      <c r="M167" s="1"/>
      <c r="N167" s="1"/>
    </row>
    <row r="168" spans="1:14" x14ac:dyDescent="0.25">
      <c r="A168" t="s">
        <v>42</v>
      </c>
      <c r="B168" s="3">
        <v>2</v>
      </c>
      <c r="C168">
        <v>1</v>
      </c>
      <c r="D168" s="1">
        <v>7200000</v>
      </c>
      <c r="E168" s="1">
        <v>0</v>
      </c>
      <c r="F168" t="s">
        <v>75</v>
      </c>
      <c r="G168" t="s">
        <v>31</v>
      </c>
      <c r="K168" s="3"/>
      <c r="M168" s="1"/>
      <c r="N168" s="1"/>
    </row>
    <row r="169" spans="1:14" x14ac:dyDescent="0.25">
      <c r="A169" t="s">
        <v>42</v>
      </c>
      <c r="B169" s="3">
        <v>3</v>
      </c>
      <c r="C169">
        <v>1</v>
      </c>
      <c r="D169" s="1">
        <v>2900000</v>
      </c>
      <c r="E169" s="1">
        <v>0</v>
      </c>
      <c r="F169" t="s">
        <v>75</v>
      </c>
      <c r="G169" t="s">
        <v>31</v>
      </c>
      <c r="K169" s="3"/>
      <c r="M169" s="1"/>
      <c r="N169" s="1"/>
    </row>
    <row r="170" spans="1:14" x14ac:dyDescent="0.25">
      <c r="A170" t="s">
        <v>42</v>
      </c>
      <c r="B170" s="3">
        <v>1</v>
      </c>
      <c r="C170">
        <v>2</v>
      </c>
      <c r="D170" s="1">
        <v>69000000</v>
      </c>
      <c r="E170" s="1">
        <v>0</v>
      </c>
      <c r="F170" t="s">
        <v>75</v>
      </c>
      <c r="G170" t="s">
        <v>31</v>
      </c>
      <c r="K170" s="3"/>
      <c r="M170" s="1"/>
      <c r="N170" s="1"/>
    </row>
    <row r="171" spans="1:14" x14ac:dyDescent="0.25">
      <c r="A171" t="s">
        <v>42</v>
      </c>
      <c r="B171" s="3">
        <v>2</v>
      </c>
      <c r="C171">
        <v>2</v>
      </c>
      <c r="D171" s="1">
        <v>38000000</v>
      </c>
      <c r="E171" s="1">
        <v>0</v>
      </c>
      <c r="F171" t="s">
        <v>75</v>
      </c>
      <c r="G171" t="s">
        <v>31</v>
      </c>
      <c r="K171" s="3"/>
      <c r="M171" s="1"/>
      <c r="N171" s="1"/>
    </row>
    <row r="172" spans="1:14" x14ac:dyDescent="0.25">
      <c r="A172" t="s">
        <v>42</v>
      </c>
      <c r="B172" s="3">
        <v>3</v>
      </c>
      <c r="C172">
        <v>2</v>
      </c>
      <c r="D172" s="1">
        <v>34000000</v>
      </c>
      <c r="E172" s="1">
        <v>0</v>
      </c>
      <c r="F172" t="s">
        <v>75</v>
      </c>
      <c r="G172" t="s">
        <v>31</v>
      </c>
      <c r="K172" s="3"/>
      <c r="M172" s="1"/>
      <c r="N172" s="1"/>
    </row>
    <row r="173" spans="1:14" x14ac:dyDescent="0.25">
      <c r="A173" t="s">
        <v>44</v>
      </c>
      <c r="B173" s="3">
        <v>1</v>
      </c>
      <c r="C173">
        <v>0</v>
      </c>
      <c r="D173" s="1">
        <v>222222222.22222224</v>
      </c>
      <c r="E173" s="1">
        <v>182222222.22222224</v>
      </c>
      <c r="F173" t="s">
        <v>75</v>
      </c>
      <c r="G173" t="s">
        <v>31</v>
      </c>
      <c r="K173" s="3"/>
      <c r="M173" s="1"/>
      <c r="N173" s="1"/>
    </row>
    <row r="174" spans="1:14" x14ac:dyDescent="0.25">
      <c r="A174" t="s">
        <v>44</v>
      </c>
      <c r="B174" s="3">
        <v>2</v>
      </c>
      <c r="C174">
        <v>0</v>
      </c>
      <c r="D174" s="1">
        <v>231111111.11111113</v>
      </c>
      <c r="E174" s="1">
        <v>220000000</v>
      </c>
      <c r="F174" t="s">
        <v>75</v>
      </c>
      <c r="G174" t="s">
        <v>31</v>
      </c>
      <c r="K174" s="3"/>
      <c r="M174" s="1"/>
      <c r="N174" s="1"/>
    </row>
    <row r="175" spans="1:14" x14ac:dyDescent="0.25">
      <c r="A175" t="s">
        <v>44</v>
      </c>
      <c r="B175" s="3">
        <v>3</v>
      </c>
      <c r="C175">
        <v>0</v>
      </c>
      <c r="D175" s="1">
        <v>311111111.1111111</v>
      </c>
      <c r="E175" s="1">
        <v>293333333.33333337</v>
      </c>
      <c r="F175" t="s">
        <v>75</v>
      </c>
      <c r="G175" t="s">
        <v>31</v>
      </c>
      <c r="K175" s="3"/>
      <c r="M175" s="1"/>
      <c r="N175" s="1"/>
    </row>
    <row r="176" spans="1:14" x14ac:dyDescent="0.25">
      <c r="A176" t="s">
        <v>44</v>
      </c>
      <c r="B176" s="3">
        <v>1</v>
      </c>
      <c r="C176">
        <v>1</v>
      </c>
      <c r="D176" s="1">
        <v>3111111.111111111</v>
      </c>
      <c r="E176" s="1">
        <v>2888888.888888889</v>
      </c>
      <c r="F176" t="s">
        <v>75</v>
      </c>
      <c r="G176" t="s">
        <v>31</v>
      </c>
      <c r="K176" s="3"/>
      <c r="M176" s="1"/>
      <c r="N176" s="1"/>
    </row>
    <row r="177" spans="1:14" x14ac:dyDescent="0.25">
      <c r="A177" t="s">
        <v>44</v>
      </c>
      <c r="B177" s="3">
        <v>2</v>
      </c>
      <c r="C177">
        <v>1</v>
      </c>
      <c r="D177" s="1">
        <v>3333333.3333333335</v>
      </c>
      <c r="E177" s="1">
        <v>2222222.2222222225</v>
      </c>
      <c r="F177" t="s">
        <v>75</v>
      </c>
      <c r="G177" t="s">
        <v>31</v>
      </c>
      <c r="K177" s="3"/>
      <c r="M177" s="1"/>
      <c r="N177" s="1"/>
    </row>
    <row r="178" spans="1:14" x14ac:dyDescent="0.25">
      <c r="A178" t="s">
        <v>44</v>
      </c>
      <c r="B178" s="3">
        <v>3</v>
      </c>
      <c r="C178">
        <v>1</v>
      </c>
      <c r="D178" s="1">
        <v>3000000</v>
      </c>
      <c r="E178" s="1">
        <v>2333333.3333333335</v>
      </c>
      <c r="F178" t="s">
        <v>75</v>
      </c>
      <c r="G178" t="s">
        <v>31</v>
      </c>
      <c r="K178" s="3"/>
      <c r="M178" s="1"/>
      <c r="N178" s="1"/>
    </row>
    <row r="179" spans="1:14" x14ac:dyDescent="0.25">
      <c r="A179" t="s">
        <v>44</v>
      </c>
      <c r="B179" s="3">
        <v>1</v>
      </c>
      <c r="C179">
        <v>2</v>
      </c>
      <c r="D179" s="1">
        <v>17777777.77777778</v>
      </c>
      <c r="E179" s="1">
        <v>13333333.333333334</v>
      </c>
      <c r="F179" t="s">
        <v>75</v>
      </c>
      <c r="G179" t="s">
        <v>31</v>
      </c>
      <c r="K179" s="3"/>
      <c r="M179" s="1"/>
      <c r="N179" s="1"/>
    </row>
    <row r="180" spans="1:14" x14ac:dyDescent="0.25">
      <c r="A180" t="s">
        <v>44</v>
      </c>
      <c r="B180" s="3">
        <v>2</v>
      </c>
      <c r="C180">
        <v>2</v>
      </c>
      <c r="D180" s="1">
        <v>18888888.888888888</v>
      </c>
      <c r="E180" s="1">
        <v>17777777.77777778</v>
      </c>
      <c r="F180" t="s">
        <v>75</v>
      </c>
      <c r="G180" t="s">
        <v>31</v>
      </c>
      <c r="K180" s="3"/>
      <c r="M180" s="1"/>
      <c r="N180" s="1"/>
    </row>
    <row r="181" spans="1:14" x14ac:dyDescent="0.25">
      <c r="A181" t="s">
        <v>44</v>
      </c>
      <c r="B181" s="3">
        <v>3</v>
      </c>
      <c r="C181">
        <v>2</v>
      </c>
      <c r="D181" s="1">
        <v>21111111.111111112</v>
      </c>
      <c r="E181" s="1">
        <v>17777777.77777778</v>
      </c>
      <c r="F181" t="s">
        <v>75</v>
      </c>
      <c r="G181" t="s">
        <v>31</v>
      </c>
      <c r="K181" s="3"/>
      <c r="M181" s="1"/>
      <c r="N181" s="1"/>
    </row>
    <row r="182" spans="1:14" x14ac:dyDescent="0.25">
      <c r="A182" t="s">
        <v>10</v>
      </c>
      <c r="B182" s="3">
        <v>1</v>
      </c>
      <c r="C182">
        <v>0</v>
      </c>
      <c r="D182" s="1">
        <v>216666666.66666669</v>
      </c>
      <c r="E182" s="1">
        <v>17000000</v>
      </c>
      <c r="F182" t="s">
        <v>80</v>
      </c>
      <c r="G182" t="s">
        <v>9</v>
      </c>
    </row>
    <row r="183" spans="1:14" x14ac:dyDescent="0.25">
      <c r="A183" t="s">
        <v>10</v>
      </c>
      <c r="B183" s="3">
        <v>2</v>
      </c>
      <c r="C183">
        <v>0</v>
      </c>
      <c r="D183" s="1">
        <v>218888888.8888889</v>
      </c>
      <c r="E183" s="1">
        <v>64444444.444444448</v>
      </c>
      <c r="F183" t="s">
        <v>80</v>
      </c>
      <c r="G183" t="s">
        <v>9</v>
      </c>
    </row>
    <row r="184" spans="1:14" x14ac:dyDescent="0.25">
      <c r="A184" t="s">
        <v>10</v>
      </c>
      <c r="B184" s="3">
        <v>3</v>
      </c>
      <c r="C184">
        <v>0</v>
      </c>
      <c r="D184" s="1">
        <v>204444444.44444445</v>
      </c>
      <c r="E184" s="1">
        <v>111111.11111111111</v>
      </c>
      <c r="F184" t="s">
        <v>80</v>
      </c>
      <c r="G184" t="s">
        <v>9</v>
      </c>
    </row>
    <row r="185" spans="1:14" x14ac:dyDescent="0.25">
      <c r="A185" t="s">
        <v>10</v>
      </c>
      <c r="B185" s="3">
        <v>1</v>
      </c>
      <c r="C185">
        <v>1</v>
      </c>
      <c r="D185" s="1">
        <v>13300000</v>
      </c>
      <c r="E185" s="1">
        <v>1140000</v>
      </c>
      <c r="F185" t="s">
        <v>80</v>
      </c>
      <c r="G185" t="s">
        <v>9</v>
      </c>
    </row>
    <row r="186" spans="1:14" x14ac:dyDescent="0.25">
      <c r="A186" t="s">
        <v>10</v>
      </c>
      <c r="B186" s="3">
        <v>2</v>
      </c>
      <c r="C186">
        <v>1</v>
      </c>
      <c r="D186" s="1">
        <v>11900000</v>
      </c>
      <c r="E186" s="1">
        <v>1080000</v>
      </c>
      <c r="F186" t="s">
        <v>80</v>
      </c>
      <c r="G186" t="s">
        <v>9</v>
      </c>
    </row>
    <row r="187" spans="1:14" x14ac:dyDescent="0.25">
      <c r="A187" t="s">
        <v>10</v>
      </c>
      <c r="B187" s="3">
        <v>3</v>
      </c>
      <c r="C187">
        <v>1</v>
      </c>
      <c r="D187" s="1">
        <v>11400000</v>
      </c>
      <c r="E187" s="1">
        <v>100</v>
      </c>
      <c r="F187" t="s">
        <v>80</v>
      </c>
      <c r="G187" t="s">
        <v>9</v>
      </c>
    </row>
    <row r="188" spans="1:14" x14ac:dyDescent="0.25">
      <c r="A188" t="s">
        <v>10</v>
      </c>
      <c r="B188" s="3">
        <v>1</v>
      </c>
      <c r="C188">
        <v>2</v>
      </c>
      <c r="D188" s="1">
        <v>116000000</v>
      </c>
      <c r="E188" s="1">
        <v>28000000</v>
      </c>
      <c r="F188" t="s">
        <v>80</v>
      </c>
      <c r="G188" t="s">
        <v>9</v>
      </c>
    </row>
    <row r="189" spans="1:14" x14ac:dyDescent="0.25">
      <c r="A189" t="s">
        <v>10</v>
      </c>
      <c r="B189" s="3">
        <v>2</v>
      </c>
      <c r="C189">
        <v>2</v>
      </c>
      <c r="D189" s="1">
        <v>132000000</v>
      </c>
      <c r="E189" s="1">
        <v>2200000</v>
      </c>
      <c r="F189" t="s">
        <v>80</v>
      </c>
      <c r="G189" t="s">
        <v>9</v>
      </c>
    </row>
    <row r="190" spans="1:14" x14ac:dyDescent="0.25">
      <c r="A190" t="s">
        <v>10</v>
      </c>
      <c r="B190" s="3">
        <v>3</v>
      </c>
      <c r="C190">
        <v>2</v>
      </c>
      <c r="D190" s="1">
        <v>66000000</v>
      </c>
      <c r="E190" s="1">
        <v>200000</v>
      </c>
      <c r="F190" t="s">
        <v>80</v>
      </c>
      <c r="G190" t="s">
        <v>9</v>
      </c>
    </row>
    <row r="191" spans="1:14" x14ac:dyDescent="0.25">
      <c r="A191" t="s">
        <v>16</v>
      </c>
      <c r="B191" s="3">
        <v>1</v>
      </c>
      <c r="C191">
        <v>0</v>
      </c>
      <c r="D191" s="1">
        <v>131111111.11111112</v>
      </c>
      <c r="E191" s="1">
        <v>12777777.777777778</v>
      </c>
      <c r="F191" t="s">
        <v>80</v>
      </c>
      <c r="G191" t="s">
        <v>9</v>
      </c>
    </row>
    <row r="192" spans="1:14" x14ac:dyDescent="0.25">
      <c r="A192" t="s">
        <v>16</v>
      </c>
      <c r="B192" s="3">
        <v>2</v>
      </c>
      <c r="C192">
        <v>0</v>
      </c>
      <c r="D192" s="1">
        <v>114444444.44444445</v>
      </c>
      <c r="E192" s="1">
        <v>8888888.8888888899</v>
      </c>
      <c r="F192" t="s">
        <v>80</v>
      </c>
      <c r="G192" t="s">
        <v>9</v>
      </c>
    </row>
    <row r="193" spans="1:7" x14ac:dyDescent="0.25">
      <c r="A193" t="s">
        <v>16</v>
      </c>
      <c r="B193" s="3">
        <v>3</v>
      </c>
      <c r="C193">
        <v>0</v>
      </c>
      <c r="D193" s="1">
        <v>93333333.333333343</v>
      </c>
      <c r="E193" s="1">
        <v>8444444.444444444</v>
      </c>
      <c r="F193" t="s">
        <v>80</v>
      </c>
      <c r="G193" t="s">
        <v>9</v>
      </c>
    </row>
    <row r="194" spans="1:7" x14ac:dyDescent="0.25">
      <c r="A194" t="s">
        <v>16</v>
      </c>
      <c r="B194" s="3">
        <v>1</v>
      </c>
      <c r="C194">
        <v>1</v>
      </c>
      <c r="D194" s="1">
        <v>3444444.4444444445</v>
      </c>
      <c r="E194" s="1">
        <v>11111.111111111111</v>
      </c>
      <c r="F194" t="s">
        <v>80</v>
      </c>
      <c r="G194" t="s">
        <v>9</v>
      </c>
    </row>
    <row r="195" spans="1:7" x14ac:dyDescent="0.25">
      <c r="A195" t="s">
        <v>16</v>
      </c>
      <c r="B195" s="3">
        <v>2</v>
      </c>
      <c r="C195">
        <v>1</v>
      </c>
      <c r="D195" s="1">
        <v>4333333.333333334</v>
      </c>
      <c r="E195" s="1">
        <v>144444.44444444444</v>
      </c>
      <c r="F195" t="s">
        <v>80</v>
      </c>
      <c r="G195" t="s">
        <v>9</v>
      </c>
    </row>
    <row r="196" spans="1:7" x14ac:dyDescent="0.25">
      <c r="A196" t="s">
        <v>16</v>
      </c>
      <c r="B196" s="3">
        <v>3</v>
      </c>
      <c r="C196">
        <v>1</v>
      </c>
      <c r="D196" s="1">
        <v>3555555.5555555555</v>
      </c>
      <c r="E196" s="1">
        <v>33333.333333333336</v>
      </c>
      <c r="F196" t="s">
        <v>80</v>
      </c>
      <c r="G196" t="s">
        <v>9</v>
      </c>
    </row>
    <row r="197" spans="1:7" x14ac:dyDescent="0.25">
      <c r="A197" t="s">
        <v>16</v>
      </c>
      <c r="B197" s="3">
        <v>1</v>
      </c>
      <c r="C197">
        <v>2</v>
      </c>
      <c r="D197" s="1">
        <v>31111111.111111112</v>
      </c>
      <c r="E197" s="1">
        <v>444444.44444444444</v>
      </c>
      <c r="F197" t="s">
        <v>80</v>
      </c>
      <c r="G197" t="s">
        <v>9</v>
      </c>
    </row>
    <row r="198" spans="1:7" x14ac:dyDescent="0.25">
      <c r="A198" t="s">
        <v>16</v>
      </c>
      <c r="B198" s="3">
        <v>2</v>
      </c>
      <c r="C198">
        <v>2</v>
      </c>
      <c r="D198" s="1">
        <v>27777777.77777778</v>
      </c>
      <c r="E198" s="1">
        <v>2444444.4444444445</v>
      </c>
      <c r="F198" t="s">
        <v>80</v>
      </c>
      <c r="G198" t="s">
        <v>9</v>
      </c>
    </row>
    <row r="199" spans="1:7" x14ac:dyDescent="0.25">
      <c r="A199" t="s">
        <v>16</v>
      </c>
      <c r="B199" s="3">
        <v>3</v>
      </c>
      <c r="C199">
        <v>2</v>
      </c>
      <c r="D199" s="1">
        <v>10000000</v>
      </c>
      <c r="E199" s="1">
        <v>1222222.2222222222</v>
      </c>
      <c r="F199" t="s">
        <v>80</v>
      </c>
      <c r="G199" t="s">
        <v>9</v>
      </c>
    </row>
    <row r="200" spans="1:7" x14ac:dyDescent="0.25">
      <c r="A200" t="s">
        <v>18</v>
      </c>
      <c r="B200" s="3">
        <v>1</v>
      </c>
      <c r="C200">
        <v>0</v>
      </c>
      <c r="D200" s="1">
        <v>242222222.22222224</v>
      </c>
      <c r="E200" s="1">
        <v>116666666.66666667</v>
      </c>
      <c r="F200" t="s">
        <v>80</v>
      </c>
      <c r="G200" t="s">
        <v>9</v>
      </c>
    </row>
    <row r="201" spans="1:7" x14ac:dyDescent="0.25">
      <c r="A201" t="s">
        <v>18</v>
      </c>
      <c r="B201" s="3">
        <v>2</v>
      </c>
      <c r="C201">
        <v>0</v>
      </c>
      <c r="D201" s="1">
        <v>153333333.33333334</v>
      </c>
      <c r="E201" s="1">
        <v>56666666.666666672</v>
      </c>
      <c r="F201" t="s">
        <v>80</v>
      </c>
      <c r="G201" t="s">
        <v>9</v>
      </c>
    </row>
    <row r="202" spans="1:7" x14ac:dyDescent="0.25">
      <c r="A202" t="s">
        <v>18</v>
      </c>
      <c r="B202" s="3">
        <v>3</v>
      </c>
      <c r="C202">
        <v>0</v>
      </c>
      <c r="D202" s="1">
        <v>110000000</v>
      </c>
      <c r="E202" s="1">
        <v>37000000</v>
      </c>
      <c r="F202" t="s">
        <v>80</v>
      </c>
      <c r="G202" t="s">
        <v>9</v>
      </c>
    </row>
    <row r="203" spans="1:7" x14ac:dyDescent="0.25">
      <c r="A203" t="s">
        <v>18</v>
      </c>
      <c r="B203" s="3">
        <v>1</v>
      </c>
      <c r="C203">
        <v>1</v>
      </c>
      <c r="D203" s="1">
        <v>6444444.444444445</v>
      </c>
      <c r="E203" s="1">
        <v>844444.4444444445</v>
      </c>
      <c r="F203" t="s">
        <v>80</v>
      </c>
      <c r="G203" t="s">
        <v>9</v>
      </c>
    </row>
    <row r="204" spans="1:7" x14ac:dyDescent="0.25">
      <c r="A204" t="s">
        <v>18</v>
      </c>
      <c r="B204" s="3">
        <v>2</v>
      </c>
      <c r="C204">
        <v>1</v>
      </c>
      <c r="D204" s="1">
        <v>2777777.777777778</v>
      </c>
      <c r="E204" s="1">
        <v>211111.11111111112</v>
      </c>
      <c r="F204" t="s">
        <v>80</v>
      </c>
      <c r="G204" t="s">
        <v>9</v>
      </c>
    </row>
    <row r="205" spans="1:7" x14ac:dyDescent="0.25">
      <c r="A205" t="s">
        <v>18</v>
      </c>
      <c r="B205" s="3">
        <v>3</v>
      </c>
      <c r="C205">
        <v>1</v>
      </c>
      <c r="D205" s="1">
        <v>3111111.111111111</v>
      </c>
      <c r="E205" s="1">
        <v>266666.66666666669</v>
      </c>
      <c r="F205" t="s">
        <v>80</v>
      </c>
      <c r="G205" t="s">
        <v>9</v>
      </c>
    </row>
    <row r="206" spans="1:7" x14ac:dyDescent="0.25">
      <c r="A206" t="s">
        <v>18</v>
      </c>
      <c r="B206" s="3">
        <v>1</v>
      </c>
      <c r="C206">
        <v>2</v>
      </c>
      <c r="D206" s="1">
        <v>13333333.333333334</v>
      </c>
      <c r="E206" s="1">
        <v>8888888.8888888899</v>
      </c>
      <c r="F206" t="s">
        <v>80</v>
      </c>
      <c r="G206" t="s">
        <v>9</v>
      </c>
    </row>
    <row r="207" spans="1:7" x14ac:dyDescent="0.25">
      <c r="A207" t="s">
        <v>18</v>
      </c>
      <c r="B207" s="3">
        <v>2</v>
      </c>
      <c r="C207">
        <v>2</v>
      </c>
      <c r="D207" s="1">
        <v>26666666.666666668</v>
      </c>
      <c r="E207" s="1">
        <v>3222222.2222222225</v>
      </c>
      <c r="F207" t="s">
        <v>80</v>
      </c>
      <c r="G207" t="s">
        <v>9</v>
      </c>
    </row>
    <row r="208" spans="1:7" x14ac:dyDescent="0.25">
      <c r="A208" t="s">
        <v>18</v>
      </c>
      <c r="B208" s="3">
        <v>3</v>
      </c>
      <c r="C208">
        <v>2</v>
      </c>
      <c r="D208" s="1">
        <v>5555555.555555556</v>
      </c>
      <c r="E208" s="1">
        <v>2111111.111111111</v>
      </c>
      <c r="F208" t="s">
        <v>80</v>
      </c>
      <c r="G208" t="s">
        <v>9</v>
      </c>
    </row>
    <row r="209" spans="1:7" x14ac:dyDescent="0.25">
      <c r="A209" t="s">
        <v>20</v>
      </c>
      <c r="B209" s="3">
        <v>1</v>
      </c>
      <c r="C209">
        <v>0</v>
      </c>
      <c r="D209" s="1">
        <v>236666666.66666669</v>
      </c>
      <c r="E209" s="1">
        <v>9444444.444444444</v>
      </c>
      <c r="F209" t="s">
        <v>80</v>
      </c>
      <c r="G209" t="s">
        <v>9</v>
      </c>
    </row>
    <row r="210" spans="1:7" x14ac:dyDescent="0.25">
      <c r="A210" t="s">
        <v>20</v>
      </c>
      <c r="B210" s="3">
        <v>2</v>
      </c>
      <c r="C210">
        <v>0</v>
      </c>
      <c r="D210" s="1">
        <v>143333333.33333334</v>
      </c>
      <c r="E210" s="1">
        <v>3111111.111111111</v>
      </c>
      <c r="F210" t="s">
        <v>80</v>
      </c>
      <c r="G210" t="s">
        <v>9</v>
      </c>
    </row>
    <row r="211" spans="1:7" x14ac:dyDescent="0.25">
      <c r="A211" t="s">
        <v>20</v>
      </c>
      <c r="B211" s="3">
        <v>3</v>
      </c>
      <c r="C211">
        <v>0</v>
      </c>
      <c r="D211" s="1">
        <v>214444444.44444445</v>
      </c>
      <c r="E211" s="1">
        <v>10000000</v>
      </c>
      <c r="F211" t="s">
        <v>80</v>
      </c>
      <c r="G211" t="s">
        <v>9</v>
      </c>
    </row>
    <row r="212" spans="1:7" x14ac:dyDescent="0.25">
      <c r="A212" t="s">
        <v>20</v>
      </c>
      <c r="B212" s="3">
        <v>1</v>
      </c>
      <c r="C212">
        <v>1</v>
      </c>
      <c r="D212" s="1">
        <v>26100000</v>
      </c>
      <c r="E212" s="1">
        <v>1800000</v>
      </c>
      <c r="F212" t="s">
        <v>80</v>
      </c>
      <c r="G212" t="s">
        <v>9</v>
      </c>
    </row>
    <row r="213" spans="1:7" x14ac:dyDescent="0.25">
      <c r="A213" t="s">
        <v>20</v>
      </c>
      <c r="B213" s="3">
        <v>2</v>
      </c>
      <c r="C213">
        <v>1</v>
      </c>
      <c r="D213" s="1">
        <v>18200000</v>
      </c>
      <c r="E213" s="1">
        <v>1200000</v>
      </c>
      <c r="F213" t="s">
        <v>80</v>
      </c>
      <c r="G213" t="s">
        <v>9</v>
      </c>
    </row>
    <row r="214" spans="1:7" x14ac:dyDescent="0.25">
      <c r="A214" t="s">
        <v>20</v>
      </c>
      <c r="B214" s="3">
        <v>3</v>
      </c>
      <c r="C214">
        <v>1</v>
      </c>
      <c r="D214" s="1">
        <v>21800000</v>
      </c>
      <c r="E214" s="1">
        <v>2680000</v>
      </c>
      <c r="F214" t="s">
        <v>80</v>
      </c>
      <c r="G214" t="s">
        <v>9</v>
      </c>
    </row>
    <row r="215" spans="1:7" x14ac:dyDescent="0.25">
      <c r="A215" t="s">
        <v>20</v>
      </c>
      <c r="B215" s="3">
        <v>1</v>
      </c>
      <c r="C215">
        <v>2</v>
      </c>
      <c r="D215" s="1">
        <v>96000000</v>
      </c>
      <c r="E215" s="1">
        <v>21800000</v>
      </c>
      <c r="F215" t="s">
        <v>80</v>
      </c>
      <c r="G215" t="s">
        <v>9</v>
      </c>
    </row>
    <row r="216" spans="1:7" x14ac:dyDescent="0.25">
      <c r="A216" t="s">
        <v>20</v>
      </c>
      <c r="B216" s="3">
        <v>2</v>
      </c>
      <c r="C216">
        <v>2</v>
      </c>
      <c r="D216" s="1">
        <v>24000000</v>
      </c>
      <c r="E216" s="1">
        <v>9300000</v>
      </c>
      <c r="F216" t="s">
        <v>80</v>
      </c>
      <c r="G216" t="s">
        <v>9</v>
      </c>
    </row>
    <row r="217" spans="1:7" x14ac:dyDescent="0.25">
      <c r="A217" t="s">
        <v>20</v>
      </c>
      <c r="B217" s="3">
        <v>3</v>
      </c>
      <c r="C217">
        <v>2</v>
      </c>
      <c r="D217" s="1">
        <v>101000000</v>
      </c>
      <c r="E217" s="1">
        <v>29000000</v>
      </c>
      <c r="F217" t="s">
        <v>80</v>
      </c>
      <c r="G217" t="s">
        <v>9</v>
      </c>
    </row>
    <row r="218" spans="1:7" x14ac:dyDescent="0.25">
      <c r="A218" t="s">
        <v>22</v>
      </c>
      <c r="B218" s="3">
        <v>1</v>
      </c>
      <c r="C218">
        <v>0</v>
      </c>
      <c r="D218" s="1">
        <v>203333333.33333334</v>
      </c>
      <c r="E218" s="1">
        <v>25777777.77777778</v>
      </c>
      <c r="F218" t="s">
        <v>80</v>
      </c>
      <c r="G218" t="s">
        <v>9</v>
      </c>
    </row>
    <row r="219" spans="1:7" x14ac:dyDescent="0.25">
      <c r="A219" t="s">
        <v>22</v>
      </c>
      <c r="B219" s="3">
        <v>2</v>
      </c>
      <c r="C219">
        <v>0</v>
      </c>
      <c r="D219" s="1">
        <v>231111111.11111113</v>
      </c>
      <c r="E219" s="1">
        <v>218888888.8888889</v>
      </c>
      <c r="F219" t="s">
        <v>80</v>
      </c>
      <c r="G219" t="s">
        <v>9</v>
      </c>
    </row>
    <row r="220" spans="1:7" x14ac:dyDescent="0.25">
      <c r="A220" t="s">
        <v>22</v>
      </c>
      <c r="B220" s="3">
        <v>3</v>
      </c>
      <c r="C220">
        <v>0</v>
      </c>
      <c r="D220" s="1">
        <v>100000000</v>
      </c>
      <c r="E220" s="1">
        <v>18000000</v>
      </c>
      <c r="F220" t="s">
        <v>80</v>
      </c>
      <c r="G220" t="s">
        <v>9</v>
      </c>
    </row>
    <row r="221" spans="1:7" x14ac:dyDescent="0.25">
      <c r="A221" t="s">
        <v>22</v>
      </c>
      <c r="B221" s="3">
        <v>1</v>
      </c>
      <c r="C221">
        <v>1</v>
      </c>
      <c r="D221" s="1">
        <v>4555555.555555556</v>
      </c>
      <c r="E221" s="1">
        <v>3777777.777777778</v>
      </c>
      <c r="F221" t="s">
        <v>80</v>
      </c>
      <c r="G221" t="s">
        <v>9</v>
      </c>
    </row>
    <row r="222" spans="1:7" x14ac:dyDescent="0.25">
      <c r="A222" t="s">
        <v>22</v>
      </c>
      <c r="B222" s="3">
        <v>2</v>
      </c>
      <c r="C222">
        <v>1</v>
      </c>
      <c r="D222" s="1">
        <v>4222222.222222222</v>
      </c>
      <c r="E222" s="1">
        <v>3555555.5555555555</v>
      </c>
      <c r="F222" t="s">
        <v>80</v>
      </c>
      <c r="G222" t="s">
        <v>9</v>
      </c>
    </row>
    <row r="223" spans="1:7" x14ac:dyDescent="0.25">
      <c r="A223" t="s">
        <v>22</v>
      </c>
      <c r="B223" s="3">
        <v>3</v>
      </c>
      <c r="C223">
        <v>1</v>
      </c>
      <c r="D223" s="1">
        <v>2222222.2222222225</v>
      </c>
      <c r="E223" s="1">
        <v>1111111.1111111112</v>
      </c>
      <c r="F223" t="s">
        <v>80</v>
      </c>
      <c r="G223" t="s">
        <v>9</v>
      </c>
    </row>
    <row r="224" spans="1:7" x14ac:dyDescent="0.25">
      <c r="A224" t="s">
        <v>22</v>
      </c>
      <c r="B224" s="3">
        <v>1</v>
      </c>
      <c r="C224">
        <v>2</v>
      </c>
      <c r="D224" s="1">
        <v>27777777.77777778</v>
      </c>
      <c r="E224" s="1">
        <v>20000000</v>
      </c>
      <c r="F224" t="s">
        <v>80</v>
      </c>
      <c r="G224" t="s">
        <v>9</v>
      </c>
    </row>
    <row r="225" spans="1:7" x14ac:dyDescent="0.25">
      <c r="A225" t="s">
        <v>22</v>
      </c>
      <c r="B225" s="3">
        <v>2</v>
      </c>
      <c r="C225">
        <v>2</v>
      </c>
      <c r="D225" s="1">
        <v>12222222.222222222</v>
      </c>
      <c r="E225" s="1">
        <v>5555555.555555556</v>
      </c>
      <c r="F225" t="s">
        <v>80</v>
      </c>
      <c r="G225" t="s">
        <v>9</v>
      </c>
    </row>
    <row r="226" spans="1:7" x14ac:dyDescent="0.25">
      <c r="A226" t="s">
        <v>22</v>
      </c>
      <c r="B226" s="3">
        <v>3</v>
      </c>
      <c r="C226">
        <v>2</v>
      </c>
      <c r="D226" s="1">
        <v>4444444.444444445</v>
      </c>
      <c r="E226" s="1">
        <v>2111111.111111111</v>
      </c>
      <c r="F226" t="s">
        <v>80</v>
      </c>
      <c r="G226" t="s">
        <v>9</v>
      </c>
    </row>
    <row r="227" spans="1:7" x14ac:dyDescent="0.25">
      <c r="A227" t="s">
        <v>24</v>
      </c>
      <c r="B227" s="3">
        <v>1</v>
      </c>
      <c r="C227">
        <v>0</v>
      </c>
      <c r="D227" s="1">
        <v>220000000</v>
      </c>
      <c r="E227" s="1">
        <v>1111.1111111111111</v>
      </c>
      <c r="F227" t="s">
        <v>80</v>
      </c>
      <c r="G227" t="s">
        <v>9</v>
      </c>
    </row>
    <row r="228" spans="1:7" x14ac:dyDescent="0.25">
      <c r="A228" t="s">
        <v>24</v>
      </c>
      <c r="B228" s="3">
        <v>2</v>
      </c>
      <c r="C228">
        <v>0</v>
      </c>
      <c r="D228" s="1">
        <v>242222222.22222224</v>
      </c>
      <c r="E228" s="1">
        <v>8666666.6666666679</v>
      </c>
      <c r="F228" t="s">
        <v>80</v>
      </c>
      <c r="G228" t="s">
        <v>9</v>
      </c>
    </row>
    <row r="229" spans="1:7" x14ac:dyDescent="0.25">
      <c r="A229" t="s">
        <v>24</v>
      </c>
      <c r="B229" s="3">
        <v>3</v>
      </c>
      <c r="C229">
        <v>0</v>
      </c>
      <c r="D229" s="1">
        <v>108888888.8888889</v>
      </c>
      <c r="E229" s="1">
        <v>44444.444444444445</v>
      </c>
      <c r="F229" t="s">
        <v>80</v>
      </c>
      <c r="G229" t="s">
        <v>9</v>
      </c>
    </row>
    <row r="230" spans="1:7" x14ac:dyDescent="0.25">
      <c r="A230" t="s">
        <v>24</v>
      </c>
      <c r="B230" s="3">
        <v>1</v>
      </c>
      <c r="C230">
        <v>1</v>
      </c>
      <c r="D230" s="1">
        <v>10900000</v>
      </c>
      <c r="E230" s="1">
        <v>0</v>
      </c>
      <c r="F230" t="s">
        <v>80</v>
      </c>
      <c r="G230" t="s">
        <v>9</v>
      </c>
    </row>
    <row r="231" spans="1:7" x14ac:dyDescent="0.25">
      <c r="A231" t="s">
        <v>24</v>
      </c>
      <c r="B231" s="3">
        <v>2</v>
      </c>
      <c r="C231">
        <v>1</v>
      </c>
      <c r="D231" s="1">
        <v>11700000</v>
      </c>
      <c r="E231" s="1">
        <v>243000</v>
      </c>
      <c r="F231" t="s">
        <v>80</v>
      </c>
      <c r="G231" t="s">
        <v>9</v>
      </c>
    </row>
    <row r="232" spans="1:7" x14ac:dyDescent="0.25">
      <c r="A232" t="s">
        <v>24</v>
      </c>
      <c r="B232" s="3">
        <v>3</v>
      </c>
      <c r="C232">
        <v>1</v>
      </c>
      <c r="D232" s="1">
        <v>10600000</v>
      </c>
      <c r="E232" s="1">
        <v>0</v>
      </c>
      <c r="F232" t="s">
        <v>80</v>
      </c>
      <c r="G232" t="s">
        <v>9</v>
      </c>
    </row>
    <row r="233" spans="1:7" x14ac:dyDescent="0.25">
      <c r="A233" t="s">
        <v>24</v>
      </c>
      <c r="B233" s="3">
        <v>1</v>
      </c>
      <c r="C233">
        <v>2</v>
      </c>
      <c r="D233" s="1">
        <v>59000000</v>
      </c>
      <c r="E233" s="1">
        <v>0</v>
      </c>
      <c r="F233" t="s">
        <v>80</v>
      </c>
      <c r="G233" t="s">
        <v>9</v>
      </c>
    </row>
    <row r="234" spans="1:7" x14ac:dyDescent="0.25">
      <c r="A234" t="s">
        <v>24</v>
      </c>
      <c r="B234" s="3">
        <v>2</v>
      </c>
      <c r="C234">
        <v>2</v>
      </c>
      <c r="D234" s="1">
        <v>46000000</v>
      </c>
      <c r="E234" s="1">
        <v>6300</v>
      </c>
      <c r="F234" t="s">
        <v>80</v>
      </c>
      <c r="G234" t="s">
        <v>9</v>
      </c>
    </row>
    <row r="235" spans="1:7" x14ac:dyDescent="0.25">
      <c r="A235" t="s">
        <v>26</v>
      </c>
      <c r="B235" s="3">
        <v>3</v>
      </c>
      <c r="C235">
        <v>2</v>
      </c>
      <c r="D235" s="1">
        <v>69000000</v>
      </c>
      <c r="E235" s="1">
        <v>0</v>
      </c>
      <c r="F235" t="s">
        <v>80</v>
      </c>
      <c r="G235" t="s">
        <v>9</v>
      </c>
    </row>
    <row r="236" spans="1:7" x14ac:dyDescent="0.25">
      <c r="A236" t="s">
        <v>26</v>
      </c>
      <c r="B236" s="3">
        <v>1</v>
      </c>
      <c r="C236">
        <v>0</v>
      </c>
      <c r="D236" s="1">
        <v>327777777.77777779</v>
      </c>
      <c r="E236" s="1">
        <v>324444444.44444448</v>
      </c>
      <c r="F236" t="s">
        <v>80</v>
      </c>
      <c r="G236" t="s">
        <v>9</v>
      </c>
    </row>
    <row r="237" spans="1:7" x14ac:dyDescent="0.25">
      <c r="A237" t="s">
        <v>26</v>
      </c>
      <c r="B237" s="3">
        <v>2</v>
      </c>
      <c r="C237">
        <v>0</v>
      </c>
      <c r="D237" s="1">
        <v>318888888.8888889</v>
      </c>
      <c r="E237" s="1">
        <v>311111111.1111111</v>
      </c>
      <c r="F237" t="s">
        <v>80</v>
      </c>
      <c r="G237" t="s">
        <v>9</v>
      </c>
    </row>
    <row r="238" spans="1:7" x14ac:dyDescent="0.25">
      <c r="A238" t="s">
        <v>26</v>
      </c>
      <c r="B238" s="3">
        <v>3</v>
      </c>
      <c r="C238">
        <v>0</v>
      </c>
      <c r="D238" s="1">
        <v>275555555.55555558</v>
      </c>
      <c r="E238" s="1">
        <v>265555555.55555555</v>
      </c>
      <c r="F238" t="s">
        <v>80</v>
      </c>
      <c r="G238" t="s">
        <v>9</v>
      </c>
    </row>
    <row r="239" spans="1:7" x14ac:dyDescent="0.25">
      <c r="A239" t="s">
        <v>26</v>
      </c>
      <c r="B239" s="3">
        <v>1</v>
      </c>
      <c r="C239">
        <v>1</v>
      </c>
      <c r="D239" s="1">
        <v>7111111.111111111</v>
      </c>
      <c r="E239" s="1">
        <v>6222222.222222222</v>
      </c>
      <c r="F239" t="s">
        <v>80</v>
      </c>
      <c r="G239" t="s">
        <v>9</v>
      </c>
    </row>
    <row r="240" spans="1:7" x14ac:dyDescent="0.25">
      <c r="A240" t="s">
        <v>26</v>
      </c>
      <c r="B240" s="3">
        <v>2</v>
      </c>
      <c r="C240">
        <v>1</v>
      </c>
      <c r="D240" s="1">
        <v>7222222.2222222229</v>
      </c>
      <c r="E240" s="1">
        <v>4777777.777777778</v>
      </c>
      <c r="F240" t="s">
        <v>80</v>
      </c>
      <c r="G240" t="s">
        <v>9</v>
      </c>
    </row>
    <row r="241" spans="1:7" x14ac:dyDescent="0.25">
      <c r="A241" t="s">
        <v>26</v>
      </c>
      <c r="B241" s="3">
        <v>3</v>
      </c>
      <c r="C241">
        <v>1</v>
      </c>
      <c r="D241" s="1">
        <v>4222222.222222222</v>
      </c>
      <c r="E241" s="1">
        <v>2888888.888888889</v>
      </c>
      <c r="F241" t="s">
        <v>80</v>
      </c>
      <c r="G241" t="s">
        <v>9</v>
      </c>
    </row>
    <row r="242" spans="1:7" x14ac:dyDescent="0.25">
      <c r="A242" t="s">
        <v>26</v>
      </c>
      <c r="B242" s="3">
        <v>1</v>
      </c>
      <c r="C242">
        <v>2</v>
      </c>
      <c r="D242" s="1">
        <v>88888888.888888896</v>
      </c>
      <c r="E242" s="1">
        <v>66666666.666666672</v>
      </c>
      <c r="F242" t="s">
        <v>80</v>
      </c>
      <c r="G242" t="s">
        <v>9</v>
      </c>
    </row>
    <row r="243" spans="1:7" x14ac:dyDescent="0.25">
      <c r="A243" t="s">
        <v>26</v>
      </c>
      <c r="B243" s="3">
        <v>2</v>
      </c>
      <c r="C243">
        <v>2</v>
      </c>
      <c r="D243" s="1">
        <v>55555555.55555556</v>
      </c>
      <c r="E243" s="1">
        <v>53333333.333333336</v>
      </c>
      <c r="F243" t="s">
        <v>80</v>
      </c>
      <c r="G243" t="s">
        <v>9</v>
      </c>
    </row>
    <row r="244" spans="1:7" x14ac:dyDescent="0.25">
      <c r="A244" t="s">
        <v>26</v>
      </c>
      <c r="B244" s="3">
        <v>3</v>
      </c>
      <c r="C244">
        <v>2</v>
      </c>
      <c r="D244" s="1">
        <v>20000000</v>
      </c>
      <c r="E244" s="1">
        <v>11222222.222222222</v>
      </c>
      <c r="F244" t="s">
        <v>80</v>
      </c>
      <c r="G244" t="s">
        <v>9</v>
      </c>
    </row>
    <row r="245" spans="1:7" x14ac:dyDescent="0.25">
      <c r="A245" t="s">
        <v>77</v>
      </c>
      <c r="B245" s="3">
        <v>1</v>
      </c>
      <c r="C245">
        <v>0</v>
      </c>
      <c r="D245" s="1">
        <v>221111111.1111111</v>
      </c>
      <c r="E245" s="1">
        <v>22222.222222222223</v>
      </c>
      <c r="F245" t="s">
        <v>80</v>
      </c>
      <c r="G245" t="s">
        <v>9</v>
      </c>
    </row>
    <row r="246" spans="1:7" x14ac:dyDescent="0.25">
      <c r="A246" t="s">
        <v>77</v>
      </c>
      <c r="B246" s="3">
        <v>2</v>
      </c>
      <c r="C246">
        <v>0</v>
      </c>
      <c r="D246" s="1">
        <v>320000000</v>
      </c>
      <c r="E246" s="1">
        <v>10000000</v>
      </c>
      <c r="F246" t="s">
        <v>80</v>
      </c>
      <c r="G246" t="s">
        <v>9</v>
      </c>
    </row>
    <row r="247" spans="1:7" x14ac:dyDescent="0.25">
      <c r="A247" t="s">
        <v>77</v>
      </c>
      <c r="B247" s="3">
        <v>3</v>
      </c>
      <c r="C247">
        <v>0</v>
      </c>
      <c r="D247" s="1">
        <v>274444444.44444448</v>
      </c>
      <c r="E247" s="1">
        <v>22222.222222222223</v>
      </c>
      <c r="F247" t="s">
        <v>80</v>
      </c>
      <c r="G247" t="s">
        <v>9</v>
      </c>
    </row>
    <row r="248" spans="1:7" x14ac:dyDescent="0.25">
      <c r="A248" t="s">
        <v>77</v>
      </c>
      <c r="B248" s="3">
        <v>1</v>
      </c>
      <c r="C248">
        <v>1</v>
      </c>
      <c r="D248" s="1">
        <v>9900000</v>
      </c>
      <c r="E248" s="1">
        <v>100</v>
      </c>
      <c r="F248" t="s">
        <v>80</v>
      </c>
      <c r="G248" t="s">
        <v>9</v>
      </c>
    </row>
    <row r="249" spans="1:7" x14ac:dyDescent="0.25">
      <c r="A249" t="s">
        <v>77</v>
      </c>
      <c r="B249" s="3">
        <v>2</v>
      </c>
      <c r="C249">
        <v>1</v>
      </c>
      <c r="D249" s="1">
        <v>10300000</v>
      </c>
      <c r="E249" s="1">
        <v>175000</v>
      </c>
      <c r="F249" t="s">
        <v>80</v>
      </c>
      <c r="G249" t="s">
        <v>9</v>
      </c>
    </row>
    <row r="250" spans="1:7" x14ac:dyDescent="0.25">
      <c r="A250" t="s">
        <v>77</v>
      </c>
      <c r="B250" s="3">
        <v>3</v>
      </c>
      <c r="C250">
        <v>1</v>
      </c>
      <c r="D250" s="1">
        <v>10500000</v>
      </c>
      <c r="E250" s="1">
        <v>200</v>
      </c>
      <c r="F250" t="s">
        <v>80</v>
      </c>
      <c r="G250" t="s">
        <v>9</v>
      </c>
    </row>
    <row r="251" spans="1:7" x14ac:dyDescent="0.25">
      <c r="A251" t="s">
        <v>77</v>
      </c>
      <c r="B251" s="3">
        <v>1</v>
      </c>
      <c r="C251">
        <v>2</v>
      </c>
      <c r="D251" s="1">
        <v>41000000</v>
      </c>
      <c r="E251" s="1">
        <v>39000000</v>
      </c>
      <c r="F251" t="s">
        <v>80</v>
      </c>
      <c r="G251" t="s">
        <v>9</v>
      </c>
    </row>
    <row r="252" spans="1:7" x14ac:dyDescent="0.25">
      <c r="A252" t="s">
        <v>77</v>
      </c>
      <c r="B252" s="3">
        <v>2</v>
      </c>
      <c r="C252">
        <v>2</v>
      </c>
      <c r="D252" s="1">
        <v>108000000</v>
      </c>
      <c r="E252" s="1">
        <v>18000000</v>
      </c>
      <c r="F252" t="s">
        <v>80</v>
      </c>
      <c r="G252" t="s">
        <v>9</v>
      </c>
    </row>
    <row r="253" spans="1:7" x14ac:dyDescent="0.25">
      <c r="A253" t="s">
        <v>77</v>
      </c>
      <c r="B253" s="3">
        <v>3</v>
      </c>
      <c r="C253">
        <v>2</v>
      </c>
      <c r="D253" s="1">
        <v>44000000</v>
      </c>
      <c r="E253" s="1">
        <v>37000000</v>
      </c>
      <c r="F253" t="s">
        <v>80</v>
      </c>
      <c r="G253" t="s">
        <v>9</v>
      </c>
    </row>
    <row r="254" spans="1:7" x14ac:dyDescent="0.25">
      <c r="A254" t="s">
        <v>78</v>
      </c>
      <c r="B254" s="3">
        <v>1</v>
      </c>
      <c r="C254">
        <v>0</v>
      </c>
      <c r="D254" s="1">
        <v>266666666.66666669</v>
      </c>
      <c r="E254" s="1">
        <v>0</v>
      </c>
      <c r="F254" t="s">
        <v>80</v>
      </c>
      <c r="G254" t="s">
        <v>9</v>
      </c>
    </row>
    <row r="255" spans="1:7" x14ac:dyDescent="0.25">
      <c r="A255" t="s">
        <v>78</v>
      </c>
      <c r="B255" s="3">
        <v>2</v>
      </c>
      <c r="C255">
        <v>0</v>
      </c>
      <c r="D255" s="1">
        <v>240000000</v>
      </c>
      <c r="E255" s="1">
        <v>0</v>
      </c>
      <c r="F255" t="s">
        <v>80</v>
      </c>
      <c r="G255" t="s">
        <v>9</v>
      </c>
    </row>
    <row r="256" spans="1:7" x14ac:dyDescent="0.25">
      <c r="A256" t="s">
        <v>78</v>
      </c>
      <c r="B256" s="3">
        <v>3</v>
      </c>
      <c r="C256">
        <v>0</v>
      </c>
      <c r="D256" s="1">
        <v>293333333.33333337</v>
      </c>
      <c r="E256" s="1">
        <v>0</v>
      </c>
      <c r="F256" t="s">
        <v>80</v>
      </c>
      <c r="G256" t="s">
        <v>9</v>
      </c>
    </row>
    <row r="257" spans="1:7" x14ac:dyDescent="0.25">
      <c r="A257" t="s">
        <v>78</v>
      </c>
      <c r="B257" s="3">
        <v>1</v>
      </c>
      <c r="C257">
        <v>1</v>
      </c>
      <c r="D257" s="1">
        <v>11000000</v>
      </c>
      <c r="E257" s="1">
        <v>0</v>
      </c>
      <c r="F257" t="s">
        <v>80</v>
      </c>
      <c r="G257" t="s">
        <v>9</v>
      </c>
    </row>
    <row r="258" spans="1:7" x14ac:dyDescent="0.25">
      <c r="A258" t="s">
        <v>78</v>
      </c>
      <c r="B258" s="3">
        <v>2</v>
      </c>
      <c r="C258">
        <v>1</v>
      </c>
      <c r="D258" s="1">
        <v>8800000</v>
      </c>
      <c r="E258" s="1">
        <v>0</v>
      </c>
      <c r="F258" t="s">
        <v>80</v>
      </c>
      <c r="G258" t="s">
        <v>9</v>
      </c>
    </row>
    <row r="259" spans="1:7" x14ac:dyDescent="0.25">
      <c r="A259" t="s">
        <v>78</v>
      </c>
      <c r="B259" s="3">
        <v>3</v>
      </c>
      <c r="C259">
        <v>1</v>
      </c>
      <c r="D259" s="1">
        <v>9300000</v>
      </c>
      <c r="E259" s="1">
        <v>0</v>
      </c>
      <c r="F259" t="s">
        <v>80</v>
      </c>
      <c r="G259" t="s">
        <v>9</v>
      </c>
    </row>
    <row r="260" spans="1:7" x14ac:dyDescent="0.25">
      <c r="A260" t="s">
        <v>78</v>
      </c>
      <c r="B260" s="3">
        <v>1</v>
      </c>
      <c r="C260">
        <v>2</v>
      </c>
      <c r="D260" s="1">
        <v>76000000</v>
      </c>
      <c r="E260" s="1">
        <v>0</v>
      </c>
      <c r="F260" t="s">
        <v>80</v>
      </c>
      <c r="G260" t="s">
        <v>9</v>
      </c>
    </row>
    <row r="261" spans="1:7" x14ac:dyDescent="0.25">
      <c r="A261" t="s">
        <v>78</v>
      </c>
      <c r="B261" s="3">
        <v>2</v>
      </c>
      <c r="C261">
        <v>2</v>
      </c>
      <c r="D261" s="1">
        <v>65000000</v>
      </c>
      <c r="E261" s="1">
        <v>0</v>
      </c>
      <c r="F261" t="s">
        <v>80</v>
      </c>
      <c r="G261" t="s">
        <v>9</v>
      </c>
    </row>
    <row r="262" spans="1:7" x14ac:dyDescent="0.25">
      <c r="A262" t="s">
        <v>78</v>
      </c>
      <c r="B262" s="3">
        <v>3</v>
      </c>
      <c r="C262">
        <v>2</v>
      </c>
      <c r="D262" s="1">
        <v>84000000</v>
      </c>
      <c r="E262" s="1">
        <v>0</v>
      </c>
      <c r="F262" t="s">
        <v>80</v>
      </c>
      <c r="G262" t="s">
        <v>9</v>
      </c>
    </row>
    <row r="263" spans="1:7" x14ac:dyDescent="0.25">
      <c r="A263" t="s">
        <v>79</v>
      </c>
      <c r="B263" s="3">
        <v>1</v>
      </c>
      <c r="C263">
        <v>0</v>
      </c>
      <c r="D263" s="1">
        <v>197777777.77777779</v>
      </c>
      <c r="E263" s="1">
        <v>22222.222222222223</v>
      </c>
      <c r="F263" t="s">
        <v>80</v>
      </c>
      <c r="G263" t="s">
        <v>9</v>
      </c>
    </row>
    <row r="264" spans="1:7" x14ac:dyDescent="0.25">
      <c r="A264" t="s">
        <v>79</v>
      </c>
      <c r="B264" s="3">
        <v>2</v>
      </c>
      <c r="C264">
        <v>0</v>
      </c>
      <c r="D264" s="1">
        <v>242222222.22222224</v>
      </c>
      <c r="E264" s="1">
        <v>55555.555555555555</v>
      </c>
      <c r="F264" t="s">
        <v>80</v>
      </c>
      <c r="G264" t="s">
        <v>9</v>
      </c>
    </row>
    <row r="265" spans="1:7" x14ac:dyDescent="0.25">
      <c r="A265" t="s">
        <v>79</v>
      </c>
      <c r="B265" s="3">
        <v>3</v>
      </c>
      <c r="C265">
        <v>0</v>
      </c>
      <c r="D265" s="1">
        <v>245555555.55555555</v>
      </c>
      <c r="E265" s="1">
        <v>111111.11111111111</v>
      </c>
      <c r="F265" t="s">
        <v>80</v>
      </c>
      <c r="G265" t="s">
        <v>9</v>
      </c>
    </row>
    <row r="266" spans="1:7" x14ac:dyDescent="0.25">
      <c r="A266" t="s">
        <v>79</v>
      </c>
      <c r="B266" s="3">
        <v>1</v>
      </c>
      <c r="C266">
        <v>1</v>
      </c>
      <c r="D266" s="1">
        <v>7600000</v>
      </c>
      <c r="E266" s="1">
        <v>100</v>
      </c>
      <c r="F266" t="s">
        <v>80</v>
      </c>
      <c r="G266" t="s">
        <v>9</v>
      </c>
    </row>
    <row r="267" spans="1:7" x14ac:dyDescent="0.25">
      <c r="A267" t="s">
        <v>79</v>
      </c>
      <c r="B267" s="3">
        <v>2</v>
      </c>
      <c r="C267">
        <v>1</v>
      </c>
      <c r="D267" s="1">
        <v>8900000</v>
      </c>
      <c r="E267" s="1">
        <v>1000</v>
      </c>
      <c r="F267" t="s">
        <v>80</v>
      </c>
      <c r="G267" t="s">
        <v>9</v>
      </c>
    </row>
    <row r="268" spans="1:7" x14ac:dyDescent="0.25">
      <c r="A268" t="s">
        <v>79</v>
      </c>
      <c r="B268" s="3">
        <v>3</v>
      </c>
      <c r="C268">
        <v>1</v>
      </c>
      <c r="D268" s="1">
        <v>9700000</v>
      </c>
      <c r="E268" s="1">
        <v>1000</v>
      </c>
      <c r="F268" t="s">
        <v>80</v>
      </c>
      <c r="G268" t="s">
        <v>9</v>
      </c>
    </row>
    <row r="269" spans="1:7" x14ac:dyDescent="0.25">
      <c r="A269" t="s">
        <v>79</v>
      </c>
      <c r="B269" s="3">
        <v>1</v>
      </c>
      <c r="C269">
        <v>2</v>
      </c>
      <c r="D269" s="1">
        <v>57000000</v>
      </c>
      <c r="E269" s="1">
        <v>0</v>
      </c>
      <c r="F269" t="s">
        <v>80</v>
      </c>
      <c r="G269" t="s">
        <v>9</v>
      </c>
    </row>
    <row r="270" spans="1:7" x14ac:dyDescent="0.25">
      <c r="A270" t="s">
        <v>79</v>
      </c>
      <c r="B270" s="3">
        <v>2</v>
      </c>
      <c r="C270">
        <v>2</v>
      </c>
      <c r="D270" s="1">
        <v>92000000</v>
      </c>
      <c r="E270" s="1">
        <v>20</v>
      </c>
      <c r="F270" t="s">
        <v>80</v>
      </c>
      <c r="G270" t="s">
        <v>9</v>
      </c>
    </row>
    <row r="271" spans="1:7" x14ac:dyDescent="0.25">
      <c r="A271" t="s">
        <v>79</v>
      </c>
      <c r="B271" s="3">
        <v>3</v>
      </c>
      <c r="C271">
        <v>2</v>
      </c>
      <c r="D271" s="1">
        <v>88000000</v>
      </c>
      <c r="E271" s="1">
        <v>700</v>
      </c>
      <c r="F271" t="s">
        <v>80</v>
      </c>
      <c r="G271" t="s">
        <v>9</v>
      </c>
    </row>
    <row r="272" spans="1:7" x14ac:dyDescent="0.25">
      <c r="A272" t="s">
        <v>32</v>
      </c>
      <c r="B272" s="3">
        <v>1</v>
      </c>
      <c r="C272">
        <v>0</v>
      </c>
      <c r="D272" s="1">
        <v>247777777.77777779</v>
      </c>
      <c r="E272" s="1">
        <v>224444444.44444445</v>
      </c>
      <c r="F272" t="s">
        <v>80</v>
      </c>
      <c r="G272" t="s">
        <v>31</v>
      </c>
    </row>
    <row r="273" spans="1:7" x14ac:dyDescent="0.25">
      <c r="A273" t="s">
        <v>32</v>
      </c>
      <c r="B273" s="3">
        <v>2</v>
      </c>
      <c r="C273">
        <v>0</v>
      </c>
      <c r="D273" s="1">
        <v>228888888.8888889</v>
      </c>
      <c r="E273" s="1">
        <v>220000000</v>
      </c>
      <c r="F273" t="s">
        <v>80</v>
      </c>
      <c r="G273" t="s">
        <v>31</v>
      </c>
    </row>
    <row r="274" spans="1:7" x14ac:dyDescent="0.25">
      <c r="A274" t="s">
        <v>32</v>
      </c>
      <c r="B274" s="3">
        <v>3</v>
      </c>
      <c r="C274">
        <v>0</v>
      </c>
      <c r="D274" s="1">
        <v>266666666.66666669</v>
      </c>
      <c r="E274" s="1">
        <v>231111111.11111113</v>
      </c>
      <c r="F274" t="s">
        <v>80</v>
      </c>
      <c r="G274" t="s">
        <v>31</v>
      </c>
    </row>
    <row r="275" spans="1:7" x14ac:dyDescent="0.25">
      <c r="A275" t="s">
        <v>32</v>
      </c>
      <c r="B275" s="3">
        <v>1</v>
      </c>
      <c r="C275">
        <v>1</v>
      </c>
      <c r="D275" s="1">
        <v>7222222.2222222229</v>
      </c>
      <c r="E275" s="1">
        <v>6555555.555555556</v>
      </c>
      <c r="F275" t="s">
        <v>80</v>
      </c>
      <c r="G275" t="s">
        <v>31</v>
      </c>
    </row>
    <row r="276" spans="1:7" x14ac:dyDescent="0.25">
      <c r="A276" t="s">
        <v>32</v>
      </c>
      <c r="B276" s="3">
        <v>2</v>
      </c>
      <c r="C276">
        <v>1</v>
      </c>
      <c r="D276" s="1">
        <v>10555555.555555556</v>
      </c>
      <c r="E276" s="1">
        <v>10111111.111111112</v>
      </c>
      <c r="F276" t="s">
        <v>80</v>
      </c>
      <c r="G276" t="s">
        <v>31</v>
      </c>
    </row>
    <row r="277" spans="1:7" x14ac:dyDescent="0.25">
      <c r="A277" t="s">
        <v>32</v>
      </c>
      <c r="B277" s="3">
        <v>3</v>
      </c>
      <c r="C277">
        <v>1</v>
      </c>
      <c r="D277" s="1">
        <v>7000000</v>
      </c>
      <c r="E277" s="1">
        <v>6000000</v>
      </c>
      <c r="F277" t="s">
        <v>80</v>
      </c>
      <c r="G277" t="s">
        <v>31</v>
      </c>
    </row>
    <row r="278" spans="1:7" x14ac:dyDescent="0.25">
      <c r="A278" t="s">
        <v>32</v>
      </c>
      <c r="B278" s="3">
        <v>1</v>
      </c>
      <c r="C278">
        <v>2</v>
      </c>
      <c r="D278" s="1">
        <v>33333333.333333336</v>
      </c>
      <c r="E278" s="1">
        <v>32222222.222222224</v>
      </c>
      <c r="F278" t="s">
        <v>80</v>
      </c>
      <c r="G278" t="s">
        <v>31</v>
      </c>
    </row>
    <row r="279" spans="1:7" x14ac:dyDescent="0.25">
      <c r="A279" t="s">
        <v>32</v>
      </c>
      <c r="B279" s="3">
        <v>2</v>
      </c>
      <c r="C279">
        <v>2</v>
      </c>
      <c r="D279" s="1">
        <v>36666666.666666672</v>
      </c>
      <c r="E279" s="1">
        <v>11111111.111111112</v>
      </c>
      <c r="F279" t="s">
        <v>80</v>
      </c>
      <c r="G279" t="s">
        <v>31</v>
      </c>
    </row>
    <row r="280" spans="1:7" x14ac:dyDescent="0.25">
      <c r="A280" t="s">
        <v>32</v>
      </c>
      <c r="B280" s="3">
        <v>3</v>
      </c>
      <c r="C280">
        <v>2</v>
      </c>
      <c r="D280" s="1">
        <v>40000000</v>
      </c>
      <c r="E280" s="1">
        <v>23333333.333333336</v>
      </c>
      <c r="F280" t="s">
        <v>80</v>
      </c>
      <c r="G280" t="s">
        <v>31</v>
      </c>
    </row>
    <row r="281" spans="1:7" x14ac:dyDescent="0.25">
      <c r="A281" t="s">
        <v>33</v>
      </c>
      <c r="B281" s="3">
        <v>1</v>
      </c>
      <c r="C281">
        <v>0</v>
      </c>
      <c r="D281" s="1">
        <v>277777777.77777779</v>
      </c>
      <c r="E281" s="1">
        <v>274444444.44444448</v>
      </c>
      <c r="F281" t="s">
        <v>80</v>
      </c>
      <c r="G281" t="s">
        <v>31</v>
      </c>
    </row>
    <row r="282" spans="1:7" x14ac:dyDescent="0.25">
      <c r="A282" t="s">
        <v>33</v>
      </c>
      <c r="B282" s="3">
        <v>2</v>
      </c>
      <c r="C282">
        <v>0</v>
      </c>
      <c r="D282" s="1">
        <v>342222222.22222221</v>
      </c>
      <c r="E282" s="1">
        <v>331111111.1111111</v>
      </c>
      <c r="F282" t="s">
        <v>80</v>
      </c>
      <c r="G282" t="s">
        <v>31</v>
      </c>
    </row>
    <row r="283" spans="1:7" x14ac:dyDescent="0.25">
      <c r="A283" t="s">
        <v>33</v>
      </c>
      <c r="B283" s="3">
        <v>3</v>
      </c>
      <c r="C283">
        <v>0</v>
      </c>
      <c r="D283" s="1">
        <v>242222222.22222224</v>
      </c>
      <c r="E283" s="1">
        <v>224444444.44444445</v>
      </c>
      <c r="F283" t="s">
        <v>80</v>
      </c>
      <c r="G283" t="s">
        <v>31</v>
      </c>
    </row>
    <row r="284" spans="1:7" x14ac:dyDescent="0.25">
      <c r="A284" t="s">
        <v>33</v>
      </c>
      <c r="B284" s="3">
        <v>1</v>
      </c>
      <c r="C284">
        <v>1</v>
      </c>
      <c r="D284" s="1">
        <v>5111111.111111111</v>
      </c>
      <c r="E284" s="1">
        <v>4666666.666666667</v>
      </c>
      <c r="F284" t="s">
        <v>80</v>
      </c>
      <c r="G284" t="s">
        <v>31</v>
      </c>
    </row>
    <row r="285" spans="1:7" x14ac:dyDescent="0.25">
      <c r="A285" t="s">
        <v>33</v>
      </c>
      <c r="B285" s="3">
        <v>2</v>
      </c>
      <c r="C285">
        <v>1</v>
      </c>
      <c r="D285" s="1">
        <v>5777777.777777778</v>
      </c>
      <c r="E285" s="1">
        <v>5444444.444444445</v>
      </c>
      <c r="F285" t="s">
        <v>80</v>
      </c>
      <c r="G285" t="s">
        <v>31</v>
      </c>
    </row>
    <row r="286" spans="1:7" x14ac:dyDescent="0.25">
      <c r="A286" t="s">
        <v>33</v>
      </c>
      <c r="B286" s="3">
        <v>3</v>
      </c>
      <c r="C286">
        <v>1</v>
      </c>
      <c r="D286" s="1">
        <v>2888888.888888889</v>
      </c>
      <c r="E286" s="1">
        <v>2666666.666666667</v>
      </c>
      <c r="F286" t="s">
        <v>80</v>
      </c>
      <c r="G286" t="s">
        <v>31</v>
      </c>
    </row>
    <row r="287" spans="1:7" x14ac:dyDescent="0.25">
      <c r="A287" t="s">
        <v>33</v>
      </c>
      <c r="B287" s="3">
        <v>1</v>
      </c>
      <c r="C287">
        <v>2</v>
      </c>
      <c r="D287" s="1">
        <v>50000000</v>
      </c>
      <c r="E287" s="1">
        <v>46666666.666666672</v>
      </c>
      <c r="F287" t="s">
        <v>80</v>
      </c>
      <c r="G287" t="s">
        <v>31</v>
      </c>
    </row>
    <row r="288" spans="1:7" x14ac:dyDescent="0.25">
      <c r="A288" t="s">
        <v>33</v>
      </c>
      <c r="B288" s="3">
        <v>2</v>
      </c>
      <c r="C288">
        <v>2</v>
      </c>
      <c r="D288" s="1">
        <v>54444444.444444448</v>
      </c>
      <c r="E288" s="1">
        <v>48888888.888888888</v>
      </c>
      <c r="F288" t="s">
        <v>80</v>
      </c>
      <c r="G288" t="s">
        <v>31</v>
      </c>
    </row>
    <row r="289" spans="1:7" x14ac:dyDescent="0.25">
      <c r="A289" t="s">
        <v>33</v>
      </c>
      <c r="B289" s="3">
        <v>3</v>
      </c>
      <c r="C289">
        <v>2</v>
      </c>
      <c r="D289" s="1">
        <v>22222222.222222224</v>
      </c>
      <c r="E289" s="1">
        <v>13333333.333333334</v>
      </c>
      <c r="F289" t="s">
        <v>80</v>
      </c>
      <c r="G289" t="s">
        <v>31</v>
      </c>
    </row>
    <row r="290" spans="1:7" x14ac:dyDescent="0.25">
      <c r="A290" t="s">
        <v>34</v>
      </c>
      <c r="B290" s="3">
        <v>1</v>
      </c>
      <c r="C290">
        <v>0</v>
      </c>
      <c r="D290" s="1">
        <v>215555555.55555555</v>
      </c>
      <c r="E290" s="1">
        <v>198888888.8888889</v>
      </c>
      <c r="F290" t="s">
        <v>80</v>
      </c>
      <c r="G290" t="s">
        <v>31</v>
      </c>
    </row>
    <row r="291" spans="1:7" x14ac:dyDescent="0.25">
      <c r="A291" t="s">
        <v>34</v>
      </c>
      <c r="B291" s="3">
        <v>2</v>
      </c>
      <c r="C291">
        <v>0</v>
      </c>
      <c r="D291" s="1">
        <v>220000000</v>
      </c>
      <c r="E291" s="1">
        <v>197777777.77777779</v>
      </c>
      <c r="F291" t="s">
        <v>80</v>
      </c>
      <c r="G291" t="s">
        <v>31</v>
      </c>
    </row>
    <row r="292" spans="1:7" x14ac:dyDescent="0.25">
      <c r="A292" t="s">
        <v>34</v>
      </c>
      <c r="B292" s="3">
        <v>3</v>
      </c>
      <c r="C292">
        <v>0</v>
      </c>
      <c r="D292" s="1">
        <v>53333333.333333336</v>
      </c>
      <c r="E292" s="1">
        <v>0</v>
      </c>
      <c r="F292" t="s">
        <v>80</v>
      </c>
      <c r="G292" t="s">
        <v>31</v>
      </c>
    </row>
    <row r="293" spans="1:7" x14ac:dyDescent="0.25">
      <c r="A293" t="s">
        <v>34</v>
      </c>
      <c r="B293" s="3">
        <v>1</v>
      </c>
      <c r="C293">
        <v>1</v>
      </c>
      <c r="D293" s="1">
        <v>4555555.555555556</v>
      </c>
      <c r="E293" s="1">
        <v>4111111.1111111115</v>
      </c>
      <c r="F293" t="s">
        <v>80</v>
      </c>
      <c r="G293" t="s">
        <v>31</v>
      </c>
    </row>
    <row r="294" spans="1:7" x14ac:dyDescent="0.25">
      <c r="A294" t="s">
        <v>34</v>
      </c>
      <c r="B294" s="3">
        <v>2</v>
      </c>
      <c r="C294">
        <v>1</v>
      </c>
      <c r="D294" s="1">
        <v>4000000</v>
      </c>
      <c r="E294" s="1">
        <v>3666666.666666667</v>
      </c>
      <c r="F294" t="s">
        <v>80</v>
      </c>
      <c r="G294" t="s">
        <v>31</v>
      </c>
    </row>
    <row r="295" spans="1:7" x14ac:dyDescent="0.25">
      <c r="A295" t="s">
        <v>34</v>
      </c>
      <c r="B295" s="3">
        <v>3</v>
      </c>
      <c r="C295">
        <v>1</v>
      </c>
      <c r="D295" s="1">
        <v>15555555.555555556</v>
      </c>
      <c r="E295" s="1">
        <v>0</v>
      </c>
      <c r="F295" t="s">
        <v>80</v>
      </c>
      <c r="G295" t="s">
        <v>31</v>
      </c>
    </row>
    <row r="296" spans="1:7" x14ac:dyDescent="0.25">
      <c r="A296" t="s">
        <v>34</v>
      </c>
      <c r="B296" s="3">
        <v>1</v>
      </c>
      <c r="C296">
        <v>2</v>
      </c>
      <c r="D296" s="1">
        <v>25555555.555555556</v>
      </c>
      <c r="E296" s="1">
        <v>10000000</v>
      </c>
      <c r="F296" t="s">
        <v>80</v>
      </c>
      <c r="G296" t="s">
        <v>31</v>
      </c>
    </row>
    <row r="297" spans="1:7" x14ac:dyDescent="0.25">
      <c r="A297" t="s">
        <v>34</v>
      </c>
      <c r="B297" s="3">
        <v>2</v>
      </c>
      <c r="C297">
        <v>2</v>
      </c>
      <c r="D297" s="1">
        <v>28888888.888888892</v>
      </c>
      <c r="E297" s="1">
        <v>22222222.222222224</v>
      </c>
      <c r="F297" t="s">
        <v>80</v>
      </c>
      <c r="G297" t="s">
        <v>31</v>
      </c>
    </row>
    <row r="298" spans="1:7" x14ac:dyDescent="0.25">
      <c r="A298" t="s">
        <v>34</v>
      </c>
      <c r="B298" s="3">
        <v>3</v>
      </c>
      <c r="C298">
        <v>2</v>
      </c>
      <c r="D298" s="1">
        <v>61111111.111111112</v>
      </c>
      <c r="E298" s="1">
        <v>0</v>
      </c>
      <c r="F298" t="s">
        <v>80</v>
      </c>
      <c r="G298" t="s">
        <v>31</v>
      </c>
    </row>
    <row r="299" spans="1:7" x14ac:dyDescent="0.25">
      <c r="A299" t="s">
        <v>35</v>
      </c>
      <c r="B299" s="3">
        <v>1</v>
      </c>
      <c r="C299">
        <v>0</v>
      </c>
      <c r="D299" s="1">
        <v>300000000</v>
      </c>
      <c r="E299" s="1">
        <v>264444444.44444445</v>
      </c>
      <c r="F299" t="s">
        <v>80</v>
      </c>
      <c r="G299" t="s">
        <v>31</v>
      </c>
    </row>
    <row r="300" spans="1:7" x14ac:dyDescent="0.25">
      <c r="A300" t="s">
        <v>35</v>
      </c>
      <c r="B300" s="3">
        <v>2</v>
      </c>
      <c r="C300">
        <v>0</v>
      </c>
      <c r="D300" s="1">
        <v>282222222.22222221</v>
      </c>
      <c r="E300" s="1">
        <v>243333333.33333334</v>
      </c>
      <c r="F300" t="s">
        <v>80</v>
      </c>
      <c r="G300" t="s">
        <v>31</v>
      </c>
    </row>
    <row r="301" spans="1:7" x14ac:dyDescent="0.25">
      <c r="A301" t="s">
        <v>35</v>
      </c>
      <c r="B301" s="3">
        <v>3</v>
      </c>
      <c r="C301">
        <v>0</v>
      </c>
      <c r="D301" s="1">
        <v>288888888.8888889</v>
      </c>
      <c r="E301" s="1">
        <v>278888888.8888889</v>
      </c>
      <c r="F301" t="s">
        <v>80</v>
      </c>
      <c r="G301" t="s">
        <v>31</v>
      </c>
    </row>
    <row r="302" spans="1:7" x14ac:dyDescent="0.25">
      <c r="A302" t="s">
        <v>35</v>
      </c>
      <c r="B302" s="3">
        <v>1</v>
      </c>
      <c r="C302">
        <v>1</v>
      </c>
      <c r="D302" s="1">
        <v>4111111.1111111115</v>
      </c>
      <c r="E302" s="1">
        <v>3777777.777777778</v>
      </c>
      <c r="F302" t="s">
        <v>80</v>
      </c>
      <c r="G302" t="s">
        <v>31</v>
      </c>
    </row>
    <row r="303" spans="1:7" x14ac:dyDescent="0.25">
      <c r="A303" t="s">
        <v>35</v>
      </c>
      <c r="B303" s="3">
        <v>2</v>
      </c>
      <c r="C303">
        <v>1</v>
      </c>
      <c r="D303" s="1">
        <v>8333333.333333334</v>
      </c>
      <c r="E303" s="1">
        <v>6222222.222222222</v>
      </c>
      <c r="F303" t="s">
        <v>80</v>
      </c>
      <c r="G303" t="s">
        <v>31</v>
      </c>
    </row>
    <row r="304" spans="1:7" x14ac:dyDescent="0.25">
      <c r="A304" t="s">
        <v>35</v>
      </c>
      <c r="B304" s="3">
        <v>3</v>
      </c>
      <c r="C304">
        <v>1</v>
      </c>
      <c r="D304" s="1">
        <v>4888888.888888889</v>
      </c>
      <c r="E304" s="1">
        <v>3444444.4444444445</v>
      </c>
      <c r="F304" t="s">
        <v>80</v>
      </c>
      <c r="G304" t="s">
        <v>31</v>
      </c>
    </row>
    <row r="305" spans="1:7" x14ac:dyDescent="0.25">
      <c r="A305" t="s">
        <v>35</v>
      </c>
      <c r="B305" s="3">
        <v>1</v>
      </c>
      <c r="C305">
        <v>2</v>
      </c>
      <c r="D305" s="1">
        <v>30000000</v>
      </c>
      <c r="E305" s="1">
        <v>26666666.666666668</v>
      </c>
      <c r="F305" t="s">
        <v>80</v>
      </c>
      <c r="G305" t="s">
        <v>31</v>
      </c>
    </row>
    <row r="306" spans="1:7" x14ac:dyDescent="0.25">
      <c r="A306" t="s">
        <v>35</v>
      </c>
      <c r="B306" s="3">
        <v>2</v>
      </c>
      <c r="C306">
        <v>2</v>
      </c>
      <c r="D306" s="1">
        <v>100000000</v>
      </c>
      <c r="E306" s="1">
        <v>75555555.555555552</v>
      </c>
      <c r="F306" t="s">
        <v>80</v>
      </c>
      <c r="G306" t="s">
        <v>31</v>
      </c>
    </row>
    <row r="307" spans="1:7" x14ac:dyDescent="0.25">
      <c r="A307" t="s">
        <v>35</v>
      </c>
      <c r="B307" s="3">
        <v>3</v>
      </c>
      <c r="C307">
        <v>2</v>
      </c>
      <c r="D307" s="1">
        <v>110000000</v>
      </c>
      <c r="E307" s="1">
        <v>66666666.666666672</v>
      </c>
      <c r="F307" t="s">
        <v>80</v>
      </c>
      <c r="G307" t="s">
        <v>31</v>
      </c>
    </row>
    <row r="308" spans="1:7" x14ac:dyDescent="0.25">
      <c r="A308" t="s">
        <v>36</v>
      </c>
      <c r="B308" s="3">
        <v>1</v>
      </c>
      <c r="C308">
        <v>0</v>
      </c>
      <c r="D308" s="1">
        <v>315555555.55555558</v>
      </c>
      <c r="E308" s="1">
        <v>307777777.77777779</v>
      </c>
      <c r="F308" t="s">
        <v>80</v>
      </c>
      <c r="G308" t="s">
        <v>31</v>
      </c>
    </row>
    <row r="309" spans="1:7" x14ac:dyDescent="0.25">
      <c r="A309" t="s">
        <v>36</v>
      </c>
      <c r="B309" s="3">
        <v>2</v>
      </c>
      <c r="C309">
        <v>0</v>
      </c>
      <c r="D309" s="1">
        <v>272222222.22222221</v>
      </c>
      <c r="E309" s="1">
        <v>253333333.33333334</v>
      </c>
      <c r="F309" t="s">
        <v>80</v>
      </c>
      <c r="G309" t="s">
        <v>31</v>
      </c>
    </row>
    <row r="310" spans="1:7" x14ac:dyDescent="0.25">
      <c r="A310" t="s">
        <v>36</v>
      </c>
      <c r="B310" s="3">
        <v>3</v>
      </c>
      <c r="C310">
        <v>0</v>
      </c>
      <c r="D310" s="1">
        <v>225555555.55555555</v>
      </c>
      <c r="E310" s="1">
        <v>218888888.8888889</v>
      </c>
      <c r="F310" t="s">
        <v>80</v>
      </c>
      <c r="G310" t="s">
        <v>31</v>
      </c>
    </row>
    <row r="311" spans="1:7" x14ac:dyDescent="0.25">
      <c r="A311" t="s">
        <v>36</v>
      </c>
      <c r="B311" s="3">
        <v>1</v>
      </c>
      <c r="C311">
        <v>1</v>
      </c>
      <c r="D311" s="1">
        <v>4666666.666666667</v>
      </c>
      <c r="E311" s="1">
        <v>4333333.333333334</v>
      </c>
      <c r="F311" t="s">
        <v>80</v>
      </c>
      <c r="G311" t="s">
        <v>31</v>
      </c>
    </row>
    <row r="312" spans="1:7" x14ac:dyDescent="0.25">
      <c r="A312" t="s">
        <v>36</v>
      </c>
      <c r="B312" s="3">
        <v>2</v>
      </c>
      <c r="C312">
        <v>1</v>
      </c>
      <c r="D312" s="1">
        <v>3444444.4444444445</v>
      </c>
      <c r="E312" s="1">
        <v>3111111.111111111</v>
      </c>
      <c r="F312" t="s">
        <v>80</v>
      </c>
      <c r="G312" t="s">
        <v>31</v>
      </c>
    </row>
    <row r="313" spans="1:7" x14ac:dyDescent="0.25">
      <c r="A313" t="s">
        <v>36</v>
      </c>
      <c r="B313" s="3">
        <v>3</v>
      </c>
      <c r="C313">
        <v>1</v>
      </c>
      <c r="D313" s="1">
        <v>14444444.444444446</v>
      </c>
      <c r="E313" s="1">
        <v>9777777.777777778</v>
      </c>
      <c r="F313" t="s">
        <v>80</v>
      </c>
      <c r="G313" t="s">
        <v>31</v>
      </c>
    </row>
    <row r="314" spans="1:7" x14ac:dyDescent="0.25">
      <c r="A314" t="s">
        <v>36</v>
      </c>
      <c r="B314" s="3">
        <v>1</v>
      </c>
      <c r="C314">
        <v>2</v>
      </c>
      <c r="D314" s="1">
        <v>24444444.444444444</v>
      </c>
      <c r="E314" s="1">
        <v>18888888.888888888</v>
      </c>
      <c r="F314" t="s">
        <v>80</v>
      </c>
      <c r="G314" t="s">
        <v>31</v>
      </c>
    </row>
    <row r="315" spans="1:7" x14ac:dyDescent="0.25">
      <c r="A315" t="s">
        <v>36</v>
      </c>
      <c r="B315" s="3">
        <v>2</v>
      </c>
      <c r="C315">
        <v>2</v>
      </c>
      <c r="D315" s="1">
        <v>18888888.888888888</v>
      </c>
      <c r="E315" s="1">
        <v>16666666.666666668</v>
      </c>
      <c r="F315" t="s">
        <v>80</v>
      </c>
      <c r="G315" t="s">
        <v>31</v>
      </c>
    </row>
    <row r="316" spans="1:7" x14ac:dyDescent="0.25">
      <c r="A316" t="s">
        <v>36</v>
      </c>
      <c r="B316" s="3">
        <v>3</v>
      </c>
      <c r="C316">
        <v>2</v>
      </c>
      <c r="D316" s="1">
        <v>33333333.333333336</v>
      </c>
      <c r="E316" s="1">
        <v>27777777.77777778</v>
      </c>
      <c r="F316" t="s">
        <v>80</v>
      </c>
      <c r="G316" t="s">
        <v>31</v>
      </c>
    </row>
    <row r="317" spans="1:7" x14ac:dyDescent="0.25">
      <c r="A317" t="s">
        <v>37</v>
      </c>
      <c r="B317" s="3">
        <v>1</v>
      </c>
      <c r="C317">
        <v>0</v>
      </c>
      <c r="D317" s="1">
        <v>232222222.22222224</v>
      </c>
      <c r="E317" s="1">
        <v>223333333.33333334</v>
      </c>
      <c r="F317" t="s">
        <v>80</v>
      </c>
      <c r="G317" t="s">
        <v>31</v>
      </c>
    </row>
    <row r="318" spans="1:7" x14ac:dyDescent="0.25">
      <c r="A318" t="s">
        <v>37</v>
      </c>
      <c r="B318" s="3">
        <v>2</v>
      </c>
      <c r="C318">
        <v>0</v>
      </c>
      <c r="D318" s="1">
        <v>246666666.66666669</v>
      </c>
      <c r="E318" s="1">
        <v>236666666.66666669</v>
      </c>
      <c r="F318" t="s">
        <v>80</v>
      </c>
      <c r="G318" t="s">
        <v>31</v>
      </c>
    </row>
    <row r="319" spans="1:7" x14ac:dyDescent="0.25">
      <c r="A319" t="s">
        <v>37</v>
      </c>
      <c r="B319" s="3">
        <v>3</v>
      </c>
      <c r="C319">
        <v>0</v>
      </c>
      <c r="D319" s="1">
        <v>220000000</v>
      </c>
      <c r="E319" s="1">
        <v>202222222.22222224</v>
      </c>
      <c r="F319" t="s">
        <v>80</v>
      </c>
      <c r="G319" t="s">
        <v>31</v>
      </c>
    </row>
    <row r="320" spans="1:7" x14ac:dyDescent="0.25">
      <c r="A320" t="s">
        <v>37</v>
      </c>
      <c r="B320" s="3">
        <v>1</v>
      </c>
      <c r="C320">
        <v>1</v>
      </c>
      <c r="D320" s="1">
        <v>6666666.666666667</v>
      </c>
      <c r="E320" s="1">
        <v>6000000</v>
      </c>
      <c r="F320" t="s">
        <v>80</v>
      </c>
      <c r="G320" t="s">
        <v>31</v>
      </c>
    </row>
    <row r="321" spans="1:7" x14ac:dyDescent="0.25">
      <c r="A321" t="s">
        <v>37</v>
      </c>
      <c r="B321" s="3">
        <v>2</v>
      </c>
      <c r="C321">
        <v>1</v>
      </c>
      <c r="D321" s="1">
        <v>6222222.222222222</v>
      </c>
      <c r="E321" s="1">
        <v>5444444.444444445</v>
      </c>
      <c r="F321" t="s">
        <v>80</v>
      </c>
      <c r="G321" t="s">
        <v>31</v>
      </c>
    </row>
    <row r="322" spans="1:7" x14ac:dyDescent="0.25">
      <c r="A322" t="s">
        <v>37</v>
      </c>
      <c r="B322" s="3">
        <v>3</v>
      </c>
      <c r="C322">
        <v>1</v>
      </c>
      <c r="D322" s="1">
        <v>3888888.888888889</v>
      </c>
      <c r="E322" s="1">
        <v>3222222.2222222225</v>
      </c>
      <c r="F322" t="s">
        <v>80</v>
      </c>
      <c r="G322" t="s">
        <v>31</v>
      </c>
    </row>
    <row r="323" spans="1:7" x14ac:dyDescent="0.25">
      <c r="A323" t="s">
        <v>37</v>
      </c>
      <c r="B323" s="3">
        <v>1</v>
      </c>
      <c r="C323">
        <v>2</v>
      </c>
      <c r="D323" s="1">
        <v>24444444.444444444</v>
      </c>
      <c r="E323" s="1">
        <v>13333333.333333334</v>
      </c>
      <c r="F323" t="s">
        <v>80</v>
      </c>
      <c r="G323" t="s">
        <v>31</v>
      </c>
    </row>
    <row r="324" spans="1:7" x14ac:dyDescent="0.25">
      <c r="A324" t="s">
        <v>37</v>
      </c>
      <c r="B324" s="3">
        <v>2</v>
      </c>
      <c r="C324">
        <v>2</v>
      </c>
      <c r="D324" s="1">
        <v>40000000</v>
      </c>
      <c r="E324" s="1">
        <v>20000000</v>
      </c>
      <c r="F324" t="s">
        <v>80</v>
      </c>
      <c r="G324" t="s">
        <v>31</v>
      </c>
    </row>
    <row r="325" spans="1:7" x14ac:dyDescent="0.25">
      <c r="A325" t="s">
        <v>37</v>
      </c>
      <c r="B325" s="3">
        <v>3</v>
      </c>
      <c r="C325">
        <v>2</v>
      </c>
      <c r="D325" s="1">
        <v>15555555.555555556</v>
      </c>
      <c r="E325" s="1">
        <v>5555555.555555556</v>
      </c>
      <c r="F325" t="s">
        <v>80</v>
      </c>
      <c r="G325" t="s">
        <v>31</v>
      </c>
    </row>
    <row r="326" spans="1:7" x14ac:dyDescent="0.25">
      <c r="A326" t="s">
        <v>39</v>
      </c>
      <c r="B326" s="3">
        <v>1</v>
      </c>
      <c r="C326">
        <v>0</v>
      </c>
      <c r="D326" s="1">
        <v>280000000</v>
      </c>
      <c r="E326" s="1">
        <v>22222.222222222223</v>
      </c>
      <c r="F326" t="s">
        <v>80</v>
      </c>
      <c r="G326" t="s">
        <v>31</v>
      </c>
    </row>
    <row r="327" spans="1:7" x14ac:dyDescent="0.25">
      <c r="A327" t="s">
        <v>39</v>
      </c>
      <c r="B327" s="3">
        <v>2</v>
      </c>
      <c r="C327">
        <v>0</v>
      </c>
      <c r="D327" s="1">
        <v>181111111.1111111</v>
      </c>
      <c r="E327" s="1">
        <v>1111.1111111111111</v>
      </c>
      <c r="F327" t="s">
        <v>80</v>
      </c>
      <c r="G327" t="s">
        <v>31</v>
      </c>
    </row>
    <row r="328" spans="1:7" x14ac:dyDescent="0.25">
      <c r="A328" t="s">
        <v>39</v>
      </c>
      <c r="B328" s="3">
        <v>3</v>
      </c>
      <c r="C328">
        <v>0</v>
      </c>
      <c r="D328" s="1">
        <v>265555555.55555555</v>
      </c>
      <c r="E328" s="1">
        <v>30666666.666666668</v>
      </c>
      <c r="F328" t="s">
        <v>80</v>
      </c>
      <c r="G328" t="s">
        <v>31</v>
      </c>
    </row>
    <row r="329" spans="1:7" x14ac:dyDescent="0.25">
      <c r="A329" t="s">
        <v>39</v>
      </c>
      <c r="B329" s="3">
        <v>1</v>
      </c>
      <c r="C329">
        <v>1</v>
      </c>
      <c r="D329" s="1">
        <v>11100000</v>
      </c>
      <c r="E329" s="1">
        <v>1000</v>
      </c>
      <c r="F329" t="s">
        <v>80</v>
      </c>
      <c r="G329" t="s">
        <v>31</v>
      </c>
    </row>
    <row r="330" spans="1:7" x14ac:dyDescent="0.25">
      <c r="A330" t="s">
        <v>39</v>
      </c>
      <c r="B330" s="3">
        <v>2</v>
      </c>
      <c r="C330">
        <v>1</v>
      </c>
      <c r="D330" s="1">
        <v>8500000</v>
      </c>
      <c r="E330" s="1">
        <v>0</v>
      </c>
      <c r="F330" t="s">
        <v>80</v>
      </c>
      <c r="G330" t="s">
        <v>31</v>
      </c>
    </row>
    <row r="331" spans="1:7" x14ac:dyDescent="0.25">
      <c r="A331" t="s">
        <v>39</v>
      </c>
      <c r="B331" s="3">
        <v>3</v>
      </c>
      <c r="C331">
        <v>1</v>
      </c>
      <c r="D331" s="1">
        <v>12100000</v>
      </c>
      <c r="E331" s="1">
        <v>220000</v>
      </c>
      <c r="F331" t="s">
        <v>80</v>
      </c>
      <c r="G331" t="s">
        <v>31</v>
      </c>
    </row>
    <row r="332" spans="1:7" x14ac:dyDescent="0.25">
      <c r="A332" t="s">
        <v>39</v>
      </c>
      <c r="B332" s="3">
        <v>1</v>
      </c>
      <c r="C332">
        <v>2</v>
      </c>
      <c r="D332" s="1">
        <v>101000000</v>
      </c>
      <c r="E332" s="1">
        <v>0</v>
      </c>
      <c r="F332" t="s">
        <v>80</v>
      </c>
      <c r="G332" t="s">
        <v>31</v>
      </c>
    </row>
    <row r="333" spans="1:7" x14ac:dyDescent="0.25">
      <c r="A333" t="s">
        <v>39</v>
      </c>
      <c r="B333" s="3">
        <v>2</v>
      </c>
      <c r="C333">
        <v>2</v>
      </c>
      <c r="D333" s="1">
        <v>107000000</v>
      </c>
      <c r="E333" s="1">
        <v>0</v>
      </c>
      <c r="F333" t="s">
        <v>80</v>
      </c>
      <c r="G333" t="s">
        <v>31</v>
      </c>
    </row>
    <row r="334" spans="1:7" x14ac:dyDescent="0.25">
      <c r="A334" t="s">
        <v>39</v>
      </c>
      <c r="B334" s="3">
        <v>3</v>
      </c>
      <c r="C334">
        <v>2</v>
      </c>
      <c r="D334" s="1">
        <v>120000000</v>
      </c>
      <c r="E334" s="1">
        <v>2030000</v>
      </c>
      <c r="F334" t="s">
        <v>80</v>
      </c>
      <c r="G334" t="s">
        <v>31</v>
      </c>
    </row>
    <row r="335" spans="1:7" x14ac:dyDescent="0.25">
      <c r="A335" t="s">
        <v>40</v>
      </c>
      <c r="B335" s="3">
        <v>1</v>
      </c>
      <c r="C335">
        <v>0</v>
      </c>
      <c r="D335" s="1">
        <v>200000000</v>
      </c>
      <c r="E335" s="1">
        <v>0</v>
      </c>
      <c r="F335" t="s">
        <v>80</v>
      </c>
      <c r="G335" t="s">
        <v>31</v>
      </c>
    </row>
    <row r="336" spans="1:7" x14ac:dyDescent="0.25">
      <c r="A336" t="s">
        <v>40</v>
      </c>
      <c r="B336" s="3">
        <v>2</v>
      </c>
      <c r="C336">
        <v>0</v>
      </c>
      <c r="D336" s="1">
        <v>235555555.55555555</v>
      </c>
      <c r="E336" s="1">
        <v>11111.111111111111</v>
      </c>
      <c r="F336" t="s">
        <v>80</v>
      </c>
      <c r="G336" t="s">
        <v>31</v>
      </c>
    </row>
    <row r="337" spans="1:7" x14ac:dyDescent="0.25">
      <c r="A337" t="s">
        <v>40</v>
      </c>
      <c r="B337" s="3">
        <v>3</v>
      </c>
      <c r="C337">
        <v>0</v>
      </c>
      <c r="D337" s="1">
        <v>222222222.22222224</v>
      </c>
      <c r="E337" s="1">
        <v>0</v>
      </c>
      <c r="F337" t="s">
        <v>80</v>
      </c>
      <c r="G337" t="s">
        <v>31</v>
      </c>
    </row>
    <row r="338" spans="1:7" x14ac:dyDescent="0.25">
      <c r="A338" t="s">
        <v>40</v>
      </c>
      <c r="B338" s="3">
        <v>1</v>
      </c>
      <c r="C338">
        <v>1</v>
      </c>
      <c r="D338" s="1">
        <v>13333333.333333334</v>
      </c>
      <c r="E338" s="1">
        <v>0</v>
      </c>
      <c r="F338" t="s">
        <v>80</v>
      </c>
      <c r="G338" t="s">
        <v>31</v>
      </c>
    </row>
    <row r="339" spans="1:7" x14ac:dyDescent="0.25">
      <c r="A339" t="s">
        <v>40</v>
      </c>
      <c r="B339" s="3">
        <v>2</v>
      </c>
      <c r="C339">
        <v>1</v>
      </c>
      <c r="D339" s="1">
        <v>11666666.666666668</v>
      </c>
      <c r="E339" s="1">
        <v>0</v>
      </c>
      <c r="F339" t="s">
        <v>80</v>
      </c>
      <c r="G339" t="s">
        <v>31</v>
      </c>
    </row>
    <row r="340" spans="1:7" x14ac:dyDescent="0.25">
      <c r="A340" t="s">
        <v>40</v>
      </c>
      <c r="B340" s="3">
        <v>3</v>
      </c>
      <c r="C340">
        <v>1</v>
      </c>
      <c r="D340" s="1">
        <v>12111111.111111112</v>
      </c>
      <c r="E340" s="1">
        <v>0</v>
      </c>
      <c r="F340" t="s">
        <v>80</v>
      </c>
      <c r="G340" t="s">
        <v>31</v>
      </c>
    </row>
    <row r="341" spans="1:7" x14ac:dyDescent="0.25">
      <c r="A341" t="s">
        <v>40</v>
      </c>
      <c r="B341" s="3">
        <v>1</v>
      </c>
      <c r="C341">
        <v>2</v>
      </c>
      <c r="D341" s="1">
        <v>70000000</v>
      </c>
      <c r="E341" s="1">
        <v>0</v>
      </c>
      <c r="F341" t="s">
        <v>80</v>
      </c>
      <c r="G341" t="s">
        <v>31</v>
      </c>
    </row>
    <row r="342" spans="1:7" x14ac:dyDescent="0.25">
      <c r="A342" t="s">
        <v>40</v>
      </c>
      <c r="B342" s="3">
        <v>2</v>
      </c>
      <c r="C342">
        <v>2</v>
      </c>
      <c r="D342" s="1">
        <v>80000000</v>
      </c>
      <c r="E342" s="1">
        <v>0</v>
      </c>
      <c r="F342" t="s">
        <v>80</v>
      </c>
      <c r="G342" t="s">
        <v>31</v>
      </c>
    </row>
    <row r="343" spans="1:7" x14ac:dyDescent="0.25">
      <c r="A343" t="s">
        <v>40</v>
      </c>
      <c r="B343" s="3">
        <v>3</v>
      </c>
      <c r="C343">
        <v>2</v>
      </c>
      <c r="D343" s="1">
        <v>64444444.444444448</v>
      </c>
      <c r="E343" s="1">
        <v>0</v>
      </c>
      <c r="F343" t="s">
        <v>80</v>
      </c>
      <c r="G343" t="s">
        <v>31</v>
      </c>
    </row>
    <row r="344" spans="1:7" x14ac:dyDescent="0.25">
      <c r="A344" t="s">
        <v>42</v>
      </c>
      <c r="B344" s="3">
        <v>1</v>
      </c>
      <c r="C344">
        <v>0</v>
      </c>
      <c r="D344" s="1">
        <v>231111111.11111113</v>
      </c>
      <c r="E344" s="1">
        <v>226666666.66666669</v>
      </c>
      <c r="F344" t="s">
        <v>80</v>
      </c>
      <c r="G344" t="s">
        <v>31</v>
      </c>
    </row>
    <row r="345" spans="1:7" x14ac:dyDescent="0.25">
      <c r="A345" t="s">
        <v>42</v>
      </c>
      <c r="B345" s="3">
        <v>2</v>
      </c>
      <c r="C345">
        <v>0</v>
      </c>
      <c r="D345" s="1">
        <v>221111111.1111111</v>
      </c>
      <c r="E345" s="1">
        <v>175555555.55555555</v>
      </c>
      <c r="F345" t="s">
        <v>80</v>
      </c>
      <c r="G345" t="s">
        <v>31</v>
      </c>
    </row>
    <row r="346" spans="1:7" x14ac:dyDescent="0.25">
      <c r="A346" t="s">
        <v>42</v>
      </c>
      <c r="B346" s="3">
        <v>3</v>
      </c>
      <c r="C346">
        <v>0</v>
      </c>
      <c r="D346" s="1">
        <v>240000000</v>
      </c>
      <c r="E346" s="1">
        <v>222222222.22222224</v>
      </c>
      <c r="F346" t="s">
        <v>80</v>
      </c>
      <c r="G346" t="s">
        <v>31</v>
      </c>
    </row>
    <row r="347" spans="1:7" x14ac:dyDescent="0.25">
      <c r="A347" t="s">
        <v>42</v>
      </c>
      <c r="B347" s="3">
        <v>1</v>
      </c>
      <c r="C347">
        <v>1</v>
      </c>
      <c r="D347" s="1">
        <v>3222222.2222222225</v>
      </c>
      <c r="E347" s="1">
        <v>2888888.888888889</v>
      </c>
      <c r="F347" t="s">
        <v>80</v>
      </c>
      <c r="G347" t="s">
        <v>31</v>
      </c>
    </row>
    <row r="348" spans="1:7" x14ac:dyDescent="0.25">
      <c r="A348" t="s">
        <v>42</v>
      </c>
      <c r="B348" s="3">
        <v>2</v>
      </c>
      <c r="C348">
        <v>1</v>
      </c>
      <c r="D348" s="1">
        <v>2000000</v>
      </c>
      <c r="E348" s="1">
        <v>1255555.5555555555</v>
      </c>
      <c r="F348" t="s">
        <v>80</v>
      </c>
      <c r="G348" t="s">
        <v>31</v>
      </c>
    </row>
    <row r="349" spans="1:7" x14ac:dyDescent="0.25">
      <c r="A349" t="s">
        <v>42</v>
      </c>
      <c r="B349" s="3">
        <v>3</v>
      </c>
      <c r="C349">
        <v>1</v>
      </c>
      <c r="D349" s="1">
        <v>3222222.2222222225</v>
      </c>
      <c r="E349" s="1">
        <v>1766666.6666666667</v>
      </c>
      <c r="F349" t="s">
        <v>80</v>
      </c>
      <c r="G349" t="s">
        <v>31</v>
      </c>
    </row>
    <row r="350" spans="1:7" x14ac:dyDescent="0.25">
      <c r="A350" t="s">
        <v>42</v>
      </c>
      <c r="B350" s="3">
        <v>1</v>
      </c>
      <c r="C350">
        <v>2</v>
      </c>
      <c r="D350" s="1">
        <v>20000000</v>
      </c>
      <c r="E350" s="1">
        <v>17777777.77777778</v>
      </c>
      <c r="F350" t="s">
        <v>80</v>
      </c>
      <c r="G350" t="s">
        <v>31</v>
      </c>
    </row>
    <row r="351" spans="1:7" x14ac:dyDescent="0.25">
      <c r="A351" t="s">
        <v>42</v>
      </c>
      <c r="B351" s="3">
        <v>2</v>
      </c>
      <c r="C351">
        <v>2</v>
      </c>
      <c r="D351" s="1">
        <v>37777777.777777776</v>
      </c>
      <c r="E351" s="1">
        <v>23333333.333333336</v>
      </c>
      <c r="F351" t="s">
        <v>80</v>
      </c>
      <c r="G351" t="s">
        <v>31</v>
      </c>
    </row>
    <row r="352" spans="1:7" x14ac:dyDescent="0.25">
      <c r="A352" t="s">
        <v>42</v>
      </c>
      <c r="B352" s="3">
        <v>3</v>
      </c>
      <c r="C352">
        <v>2</v>
      </c>
      <c r="D352" s="1">
        <v>46666666.666666672</v>
      </c>
      <c r="E352" s="1">
        <v>35555555.55555556</v>
      </c>
      <c r="F352" t="s">
        <v>80</v>
      </c>
      <c r="G352" t="s">
        <v>31</v>
      </c>
    </row>
    <row r="353" spans="1:7" x14ac:dyDescent="0.25">
      <c r="A353" t="s">
        <v>44</v>
      </c>
      <c r="B353" s="3">
        <v>1</v>
      </c>
      <c r="C353">
        <v>0</v>
      </c>
      <c r="D353" s="1">
        <v>218888888.8888889</v>
      </c>
      <c r="E353" s="1">
        <v>193333333.33333334</v>
      </c>
      <c r="F353" t="s">
        <v>80</v>
      </c>
      <c r="G353" t="s">
        <v>31</v>
      </c>
    </row>
    <row r="354" spans="1:7" x14ac:dyDescent="0.25">
      <c r="A354" t="s">
        <v>44</v>
      </c>
      <c r="B354" s="3">
        <v>2</v>
      </c>
      <c r="C354">
        <v>0</v>
      </c>
      <c r="D354" s="1">
        <v>197777777.77777779</v>
      </c>
      <c r="E354" s="1">
        <v>184444444.44444445</v>
      </c>
      <c r="F354" t="s">
        <v>80</v>
      </c>
      <c r="G354" t="s">
        <v>31</v>
      </c>
    </row>
    <row r="355" spans="1:7" x14ac:dyDescent="0.25">
      <c r="A355" t="s">
        <v>44</v>
      </c>
      <c r="B355" s="3">
        <v>3</v>
      </c>
      <c r="C355">
        <v>0</v>
      </c>
      <c r="D355" s="1">
        <v>202222222.22222224</v>
      </c>
      <c r="E355" s="1">
        <v>198888888.8888889</v>
      </c>
      <c r="F355" t="s">
        <v>80</v>
      </c>
      <c r="G355" t="s">
        <v>31</v>
      </c>
    </row>
    <row r="356" spans="1:7" x14ac:dyDescent="0.25">
      <c r="A356" t="s">
        <v>44</v>
      </c>
      <c r="B356" s="3">
        <v>1</v>
      </c>
      <c r="C356">
        <v>1</v>
      </c>
      <c r="D356" s="1">
        <v>6333333.333333334</v>
      </c>
      <c r="E356" s="1">
        <v>5555555.555555556</v>
      </c>
      <c r="F356" t="s">
        <v>80</v>
      </c>
      <c r="G356" t="s">
        <v>31</v>
      </c>
    </row>
    <row r="357" spans="1:7" x14ac:dyDescent="0.25">
      <c r="A357" t="s">
        <v>44</v>
      </c>
      <c r="B357" s="3">
        <v>2</v>
      </c>
      <c r="C357">
        <v>1</v>
      </c>
      <c r="D357" s="1">
        <v>8222222.2222222229</v>
      </c>
      <c r="E357" s="1">
        <v>5000000</v>
      </c>
      <c r="F357" t="s">
        <v>80</v>
      </c>
      <c r="G357" t="s">
        <v>31</v>
      </c>
    </row>
    <row r="358" spans="1:7" x14ac:dyDescent="0.25">
      <c r="A358" t="s">
        <v>44</v>
      </c>
      <c r="B358" s="3">
        <v>3</v>
      </c>
      <c r="C358">
        <v>1</v>
      </c>
      <c r="D358" s="1">
        <v>4333333.333333334</v>
      </c>
      <c r="E358" s="1">
        <v>4111111.1111111115</v>
      </c>
      <c r="F358" t="s">
        <v>80</v>
      </c>
      <c r="G358" t="s">
        <v>31</v>
      </c>
    </row>
    <row r="359" spans="1:7" x14ac:dyDescent="0.25">
      <c r="A359" t="s">
        <v>44</v>
      </c>
      <c r="B359" s="3">
        <v>1</v>
      </c>
      <c r="C359">
        <v>2</v>
      </c>
      <c r="D359" s="1">
        <v>47777777.777777776</v>
      </c>
      <c r="E359" s="1">
        <v>43333333.333333336</v>
      </c>
      <c r="F359" t="s">
        <v>80</v>
      </c>
      <c r="G359" t="s">
        <v>31</v>
      </c>
    </row>
    <row r="360" spans="1:7" x14ac:dyDescent="0.25">
      <c r="A360" t="s">
        <v>44</v>
      </c>
      <c r="B360" s="3">
        <v>2</v>
      </c>
      <c r="C360">
        <v>2</v>
      </c>
      <c r="D360" s="1">
        <v>44444444.444444448</v>
      </c>
      <c r="E360" s="1">
        <v>20000000</v>
      </c>
      <c r="F360" t="s">
        <v>80</v>
      </c>
      <c r="G360" t="s">
        <v>31</v>
      </c>
    </row>
    <row r="361" spans="1:7" x14ac:dyDescent="0.25">
      <c r="A361" t="s">
        <v>44</v>
      </c>
      <c r="B361" s="3">
        <v>3</v>
      </c>
      <c r="C361">
        <v>2</v>
      </c>
      <c r="D361" s="1">
        <v>45555555.55555556</v>
      </c>
      <c r="E361" s="1">
        <v>41111111.111111112</v>
      </c>
      <c r="F361" t="s">
        <v>80</v>
      </c>
      <c r="G361" t="s">
        <v>31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16D97-1CD6-A047-8629-1F5AEED3DCCE}">
  <dimension ref="A2:W83"/>
  <sheetViews>
    <sheetView workbookViewId="0">
      <selection activeCell="I81" activeCellId="2" sqref="C81:D83 F81:G83 I81:J83"/>
    </sheetView>
  </sheetViews>
  <sheetFormatPr defaultColWidth="10.875" defaultRowHeight="15.75" x14ac:dyDescent="0.25"/>
  <cols>
    <col min="1" max="16384" width="10.875" style="1"/>
  </cols>
  <sheetData>
    <row r="2" spans="1:23" x14ac:dyDescent="0.25">
      <c r="B2" s="2" t="s">
        <v>4</v>
      </c>
      <c r="C2" s="11" t="s">
        <v>5</v>
      </c>
      <c r="D2" s="11"/>
      <c r="E2" s="11"/>
      <c r="F2" s="11" t="s">
        <v>6</v>
      </c>
      <c r="G2" s="11"/>
      <c r="H2" s="11"/>
      <c r="I2" s="11" t="s">
        <v>7</v>
      </c>
      <c r="J2" s="11"/>
      <c r="K2" s="11"/>
      <c r="M2" s="11" t="s">
        <v>8</v>
      </c>
      <c r="N2" s="11"/>
      <c r="O2" s="11"/>
      <c r="U2" s="11" t="s">
        <v>46</v>
      </c>
      <c r="V2" s="11"/>
      <c r="W2" s="11"/>
    </row>
    <row r="3" spans="1:23" x14ac:dyDescent="0.25">
      <c r="A3" s="2" t="s">
        <v>9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11</v>
      </c>
      <c r="G3" s="2" t="s">
        <v>12</v>
      </c>
      <c r="H3" s="2" t="s">
        <v>13</v>
      </c>
      <c r="I3" s="2" t="s">
        <v>11</v>
      </c>
      <c r="J3" s="2" t="s">
        <v>12</v>
      </c>
      <c r="K3" s="2" t="s">
        <v>13</v>
      </c>
      <c r="L3" s="2"/>
      <c r="M3" s="2">
        <v>0</v>
      </c>
      <c r="N3" s="2">
        <v>1</v>
      </c>
      <c r="O3" s="2">
        <v>2</v>
      </c>
      <c r="Q3" s="2">
        <v>0</v>
      </c>
      <c r="R3" s="2">
        <v>1</v>
      </c>
      <c r="S3" s="2">
        <v>2</v>
      </c>
      <c r="T3" s="2"/>
      <c r="U3" s="2">
        <v>0</v>
      </c>
      <c r="V3" s="2">
        <v>1</v>
      </c>
      <c r="W3" s="2">
        <v>2</v>
      </c>
    </row>
    <row r="4" spans="1:23" x14ac:dyDescent="0.25">
      <c r="A4" s="10" t="s">
        <v>14</v>
      </c>
      <c r="B4" s="1">
        <v>1</v>
      </c>
      <c r="C4" s="1">
        <f>(195*10^5)/0.09</f>
        <v>216666666.66666669</v>
      </c>
      <c r="D4" s="1">
        <f>(153*10^4)/0.09</f>
        <v>17000000</v>
      </c>
      <c r="E4" s="1">
        <f>D4/C4</f>
        <v>7.8461538461538458E-2</v>
      </c>
      <c r="F4" s="1">
        <f>(133*10^4)/0.1</f>
        <v>13300000</v>
      </c>
      <c r="G4" s="1">
        <f>(114*10^3)/0.1</f>
        <v>1140000</v>
      </c>
      <c r="H4" s="1">
        <f>G4/F4</f>
        <v>8.5714285714285715E-2</v>
      </c>
      <c r="I4" s="1">
        <f>(116*10^5)/0.1</f>
        <v>116000000</v>
      </c>
      <c r="J4" s="1">
        <f>(280*10^4)/0.1</f>
        <v>28000000</v>
      </c>
      <c r="K4" s="1">
        <f>J4/I4</f>
        <v>0.2413793103448276</v>
      </c>
      <c r="L4" s="1" t="s">
        <v>15</v>
      </c>
      <c r="M4" s="1">
        <f>AVERAGE(C4:C6)/100</f>
        <v>2133333.3333333335</v>
      </c>
      <c r="N4" s="1">
        <f>AVERAGE(F4:F6)</f>
        <v>12200000</v>
      </c>
      <c r="O4" s="1">
        <f>AVERAGE(I4:I6)</f>
        <v>104666666.66666667</v>
      </c>
      <c r="P4" s="1">
        <v>1</v>
      </c>
      <c r="Q4" s="1">
        <f>C4/100</f>
        <v>2166666.666666667</v>
      </c>
      <c r="R4" s="1">
        <f>F4</f>
        <v>13300000</v>
      </c>
      <c r="S4" s="1">
        <f>I4</f>
        <v>116000000</v>
      </c>
      <c r="T4" s="1">
        <v>1</v>
      </c>
      <c r="U4" s="1">
        <f>E4</f>
        <v>7.8461538461538458E-2</v>
      </c>
      <c r="V4" s="1">
        <f>H4</f>
        <v>8.5714285714285715E-2</v>
      </c>
      <c r="W4" s="1">
        <f>K4</f>
        <v>0.2413793103448276</v>
      </c>
    </row>
    <row r="5" spans="1:23" x14ac:dyDescent="0.25">
      <c r="A5" s="10"/>
      <c r="B5" s="1">
        <v>2</v>
      </c>
      <c r="C5" s="1">
        <f>(197*10^5)/0.09</f>
        <v>218888888.8888889</v>
      </c>
      <c r="D5" s="1">
        <f>(58*10^5)/0.09</f>
        <v>64444444.444444448</v>
      </c>
      <c r="E5" s="1">
        <f t="shared" ref="E5:E6" si="0">D5/C5</f>
        <v>0.29441624365482233</v>
      </c>
      <c r="F5" s="1">
        <f>(119*10^4)/0.1</f>
        <v>11900000</v>
      </c>
      <c r="G5" s="1">
        <f>(108*10^3)/0.1</f>
        <v>1080000</v>
      </c>
      <c r="H5" s="1">
        <f t="shared" ref="H5:H6" si="1">G5/F5</f>
        <v>9.07563025210084E-2</v>
      </c>
      <c r="I5" s="1">
        <f>(132*10^5)/0.1</f>
        <v>132000000</v>
      </c>
      <c r="J5" s="1">
        <f>(22*10^4)/0.1</f>
        <v>2200000</v>
      </c>
      <c r="K5" s="1">
        <f t="shared" ref="K5:K6" si="2">J5/I5</f>
        <v>1.6666666666666666E-2</v>
      </c>
      <c r="P5" s="1">
        <v>2</v>
      </c>
      <c r="Q5" s="1">
        <f t="shared" ref="Q5:Q6" si="3">C5/100</f>
        <v>2188888.888888889</v>
      </c>
      <c r="R5" s="1">
        <f t="shared" ref="R5:R6" si="4">F5</f>
        <v>11900000</v>
      </c>
      <c r="S5" s="1">
        <f t="shared" ref="S5:S6" si="5">I5</f>
        <v>132000000</v>
      </c>
      <c r="T5" s="1">
        <v>2</v>
      </c>
      <c r="U5" s="1">
        <f t="shared" ref="U5:U6" si="6">E5</f>
        <v>0.29441624365482233</v>
      </c>
      <c r="V5" s="1">
        <f t="shared" ref="V5:V6" si="7">H5</f>
        <v>9.07563025210084E-2</v>
      </c>
      <c r="W5" s="1">
        <f t="shared" ref="W5:W6" si="8">K5</f>
        <v>1.6666666666666666E-2</v>
      </c>
    </row>
    <row r="6" spans="1:23" x14ac:dyDescent="0.25">
      <c r="A6" s="10"/>
      <c r="B6" s="1">
        <v>3</v>
      </c>
      <c r="C6" s="1">
        <f>(184*10^5)/0.09</f>
        <v>204444444.44444445</v>
      </c>
      <c r="D6" s="1">
        <f>(10*10^3)/0.09</f>
        <v>111111.11111111111</v>
      </c>
      <c r="E6" s="1">
        <f t="shared" si="0"/>
        <v>5.4347826086956522E-4</v>
      </c>
      <c r="F6" s="1">
        <f>(114*10^4)/0.1</f>
        <v>11400000</v>
      </c>
      <c r="G6" s="1">
        <f>(1*10)/0.1</f>
        <v>100</v>
      </c>
      <c r="H6" s="1">
        <f t="shared" si="1"/>
        <v>8.7719298245614029E-6</v>
      </c>
      <c r="I6" s="1">
        <f>(66*10^5)/0.1</f>
        <v>66000000</v>
      </c>
      <c r="J6" s="1">
        <f>(2*10^4)/0.1</f>
        <v>200000</v>
      </c>
      <c r="K6" s="1">
        <f t="shared" si="2"/>
        <v>3.0303030303030303E-3</v>
      </c>
      <c r="P6" s="1">
        <v>3</v>
      </c>
      <c r="Q6" s="1">
        <f t="shared" si="3"/>
        <v>2044444.4444444445</v>
      </c>
      <c r="R6" s="1">
        <f t="shared" si="4"/>
        <v>11400000</v>
      </c>
      <c r="S6" s="1">
        <f t="shared" si="5"/>
        <v>66000000</v>
      </c>
      <c r="T6" s="1">
        <v>3</v>
      </c>
      <c r="U6" s="1">
        <f t="shared" si="6"/>
        <v>5.4347826086956522E-4</v>
      </c>
      <c r="V6" s="1">
        <f t="shared" si="7"/>
        <v>8.7719298245614029E-6</v>
      </c>
      <c r="W6" s="1">
        <f t="shared" si="8"/>
        <v>3.0303030303030303E-3</v>
      </c>
    </row>
    <row r="7" spans="1:23" x14ac:dyDescent="0.25">
      <c r="A7" s="2"/>
      <c r="B7" s="2" t="s">
        <v>16</v>
      </c>
      <c r="C7" s="2" t="s">
        <v>11</v>
      </c>
      <c r="D7" s="2" t="s">
        <v>12</v>
      </c>
      <c r="E7" s="2" t="s">
        <v>13</v>
      </c>
      <c r="F7" s="2" t="s">
        <v>11</v>
      </c>
      <c r="G7" s="2" t="s">
        <v>12</v>
      </c>
      <c r="H7" s="2" t="s">
        <v>13</v>
      </c>
      <c r="I7" s="2" t="s">
        <v>11</v>
      </c>
      <c r="J7" s="2" t="s">
        <v>12</v>
      </c>
      <c r="K7" s="2" t="s">
        <v>13</v>
      </c>
      <c r="L7" s="2"/>
      <c r="M7" s="2">
        <v>0</v>
      </c>
      <c r="N7" s="2">
        <v>1</v>
      </c>
      <c r="O7" s="2">
        <v>2</v>
      </c>
      <c r="Q7" s="2">
        <v>0</v>
      </c>
      <c r="R7" s="2">
        <v>1</v>
      </c>
      <c r="S7" s="2">
        <v>2</v>
      </c>
      <c r="T7" s="2"/>
      <c r="U7" s="2">
        <v>0</v>
      </c>
      <c r="V7" s="2">
        <v>1</v>
      </c>
      <c r="W7" s="2">
        <v>2</v>
      </c>
    </row>
    <row r="8" spans="1:23" x14ac:dyDescent="0.25">
      <c r="A8" s="10" t="s">
        <v>14</v>
      </c>
      <c r="B8" s="1">
        <v>1</v>
      </c>
      <c r="C8" s="1">
        <f>(118*10^5)/0.09</f>
        <v>131111111.11111112</v>
      </c>
      <c r="D8" s="1">
        <f>(115*10^4)/0.09</f>
        <v>12777777.777777778</v>
      </c>
      <c r="E8" s="1">
        <f>D8/C8</f>
        <v>9.7457627118644058E-2</v>
      </c>
      <c r="F8" s="1">
        <f>(31*10^4)/0.09</f>
        <v>3444444.4444444445</v>
      </c>
      <c r="G8" s="1">
        <f>(1*10^3)/0.09</f>
        <v>11111.111111111111</v>
      </c>
      <c r="H8" s="1">
        <f>G8/F8</f>
        <v>3.2258064516129032E-3</v>
      </c>
      <c r="I8" s="1">
        <f>(28*10^5)/0.09</f>
        <v>31111111.111111112</v>
      </c>
      <c r="J8" s="1">
        <f>(4*10^4)/0.09</f>
        <v>444444.44444444444</v>
      </c>
      <c r="K8" s="1">
        <f>J8/I8</f>
        <v>1.4285714285714285E-2</v>
      </c>
      <c r="L8" s="1" t="s">
        <v>17</v>
      </c>
      <c r="M8" s="1">
        <f>AVERAGE(C8:C10)/100</f>
        <v>1129629.6296296299</v>
      </c>
      <c r="N8" s="1">
        <f>AVERAGE(F8:F10)</f>
        <v>3777777.777777778</v>
      </c>
      <c r="O8" s="1">
        <f>AVERAGE(I8:I10)</f>
        <v>22962962.962962966</v>
      </c>
      <c r="P8" s="1">
        <v>1</v>
      </c>
      <c r="Q8" s="1">
        <f>C8/100</f>
        <v>1311111.1111111112</v>
      </c>
      <c r="R8" s="1">
        <f>F8</f>
        <v>3444444.4444444445</v>
      </c>
      <c r="S8" s="1">
        <f>I8</f>
        <v>31111111.111111112</v>
      </c>
      <c r="T8" s="1">
        <v>1</v>
      </c>
      <c r="U8" s="1">
        <f>E8</f>
        <v>9.7457627118644058E-2</v>
      </c>
      <c r="V8" s="1">
        <f>H8</f>
        <v>3.2258064516129032E-3</v>
      </c>
      <c r="W8" s="1">
        <f>K8</f>
        <v>1.4285714285714285E-2</v>
      </c>
    </row>
    <row r="9" spans="1:23" x14ac:dyDescent="0.25">
      <c r="A9" s="10"/>
      <c r="B9" s="1">
        <v>2</v>
      </c>
      <c r="C9" s="1">
        <f>(103*10^5)/0.09</f>
        <v>114444444.44444445</v>
      </c>
      <c r="D9" s="1">
        <f>(80*10^4)/0.09</f>
        <v>8888888.8888888899</v>
      </c>
      <c r="E9" s="1">
        <f t="shared" ref="E9:E10" si="9">D9/C9</f>
        <v>7.7669902912621366E-2</v>
      </c>
      <c r="F9" s="1">
        <f>(39*10^4)/0.09</f>
        <v>4333333.333333334</v>
      </c>
      <c r="G9" s="1">
        <f>(13*10^3)/0.09</f>
        <v>144444.44444444444</v>
      </c>
      <c r="H9" s="1">
        <f t="shared" ref="H9:H10" si="10">G9/F9</f>
        <v>3.3333333333333326E-2</v>
      </c>
      <c r="I9" s="1">
        <f>(25*10^5)/0.09</f>
        <v>27777777.77777778</v>
      </c>
      <c r="J9" s="1">
        <f>(22*10^4)/0.09</f>
        <v>2444444.4444444445</v>
      </c>
      <c r="K9" s="1">
        <f t="shared" ref="K9:K10" si="11">J9/I9</f>
        <v>8.7999999999999995E-2</v>
      </c>
      <c r="P9" s="1">
        <v>2</v>
      </c>
      <c r="Q9" s="1">
        <f t="shared" ref="Q9:Q10" si="12">C9/100</f>
        <v>1144444.4444444445</v>
      </c>
      <c r="R9" s="1">
        <f t="shared" ref="R9:R10" si="13">F9</f>
        <v>4333333.333333334</v>
      </c>
      <c r="S9" s="1">
        <f t="shared" ref="S9:S10" si="14">I9</f>
        <v>27777777.77777778</v>
      </c>
      <c r="T9" s="1">
        <v>2</v>
      </c>
      <c r="U9" s="1">
        <f t="shared" ref="U9:U10" si="15">E9</f>
        <v>7.7669902912621366E-2</v>
      </c>
      <c r="V9" s="1">
        <f t="shared" ref="V9:V10" si="16">H9</f>
        <v>3.3333333333333326E-2</v>
      </c>
      <c r="W9" s="1">
        <f t="shared" ref="W9:W10" si="17">K9</f>
        <v>8.7999999999999995E-2</v>
      </c>
    </row>
    <row r="10" spans="1:23" x14ac:dyDescent="0.25">
      <c r="A10" s="10"/>
      <c r="B10" s="1">
        <v>3</v>
      </c>
      <c r="C10" s="1">
        <f>(84*10^5)/0.09</f>
        <v>93333333.333333343</v>
      </c>
      <c r="D10" s="1">
        <f>(76*10^4)/0.09</f>
        <v>8444444.444444444</v>
      </c>
      <c r="E10" s="1">
        <f t="shared" si="9"/>
        <v>9.047619047619046E-2</v>
      </c>
      <c r="F10" s="1">
        <f>(32*10^4)/0.09</f>
        <v>3555555.5555555555</v>
      </c>
      <c r="G10" s="1">
        <f>(3*10^3)/0.09</f>
        <v>33333.333333333336</v>
      </c>
      <c r="H10" s="1">
        <f t="shared" si="10"/>
        <v>9.3750000000000014E-3</v>
      </c>
      <c r="I10" s="1">
        <f>(9*10^5)/0.09</f>
        <v>10000000</v>
      </c>
      <c r="J10" s="1">
        <f>(11*10^4)/0.09</f>
        <v>1222222.2222222222</v>
      </c>
      <c r="K10" s="1">
        <f t="shared" si="11"/>
        <v>0.12222222222222222</v>
      </c>
      <c r="P10" s="1">
        <v>3</v>
      </c>
      <c r="Q10" s="1">
        <f t="shared" si="12"/>
        <v>933333.33333333349</v>
      </c>
      <c r="R10" s="1">
        <f t="shared" si="13"/>
        <v>3555555.5555555555</v>
      </c>
      <c r="S10" s="1">
        <f t="shared" si="14"/>
        <v>10000000</v>
      </c>
      <c r="T10" s="1">
        <v>3</v>
      </c>
      <c r="U10" s="1">
        <f t="shared" si="15"/>
        <v>9.047619047619046E-2</v>
      </c>
      <c r="V10" s="1">
        <f t="shared" si="16"/>
        <v>9.3750000000000014E-3</v>
      </c>
      <c r="W10" s="1">
        <f t="shared" si="17"/>
        <v>0.12222222222222222</v>
      </c>
    </row>
    <row r="11" spans="1:23" x14ac:dyDescent="0.25">
      <c r="A11" s="2"/>
      <c r="B11" s="2" t="s">
        <v>18</v>
      </c>
      <c r="C11" s="2" t="s">
        <v>11</v>
      </c>
      <c r="D11" s="2" t="s">
        <v>12</v>
      </c>
      <c r="E11" s="2" t="s">
        <v>13</v>
      </c>
      <c r="F11" s="2" t="s">
        <v>11</v>
      </c>
      <c r="G11" s="2" t="s">
        <v>12</v>
      </c>
      <c r="H11" s="2" t="s">
        <v>13</v>
      </c>
      <c r="I11" s="2" t="s">
        <v>11</v>
      </c>
      <c r="J11" s="2" t="s">
        <v>12</v>
      </c>
      <c r="K11" s="2" t="s">
        <v>13</v>
      </c>
      <c r="L11" s="2"/>
      <c r="M11" s="2">
        <v>0</v>
      </c>
      <c r="N11" s="2">
        <v>1</v>
      </c>
      <c r="O11" s="2">
        <v>2</v>
      </c>
      <c r="Q11" s="2">
        <v>0</v>
      </c>
      <c r="R11" s="2">
        <v>1</v>
      </c>
      <c r="S11" s="2">
        <v>2</v>
      </c>
      <c r="T11" s="2"/>
      <c r="U11" s="2">
        <v>0</v>
      </c>
      <c r="V11" s="2">
        <v>1</v>
      </c>
      <c r="W11" s="2">
        <v>2</v>
      </c>
    </row>
    <row r="12" spans="1:23" x14ac:dyDescent="0.25">
      <c r="A12" s="10" t="s">
        <v>14</v>
      </c>
      <c r="B12" s="1">
        <v>1</v>
      </c>
      <c r="C12" s="1">
        <f>(218*10^5)/0.09</f>
        <v>242222222.22222224</v>
      </c>
      <c r="D12" s="1">
        <f>(105*10^5)/0.09</f>
        <v>116666666.66666667</v>
      </c>
      <c r="E12" s="1">
        <f>D12/C12</f>
        <v>0.48165137614678899</v>
      </c>
      <c r="F12" s="1">
        <f>(58*10^4)/0.09</f>
        <v>6444444.444444445</v>
      </c>
      <c r="G12" s="1">
        <f>(76*10^3)/0.09</f>
        <v>844444.4444444445</v>
      </c>
      <c r="H12" s="1">
        <f>G12/F12</f>
        <v>0.13103448275862067</v>
      </c>
      <c r="I12" s="1">
        <f>(12*10^5)/0.09</f>
        <v>13333333.333333334</v>
      </c>
      <c r="J12" s="1">
        <f>(80*10^4)/0.09</f>
        <v>8888888.8888888899</v>
      </c>
      <c r="K12" s="1">
        <f t="shared" ref="K12" si="18">J12/I12</f>
        <v>0.66666666666666674</v>
      </c>
      <c r="L12" s="1" t="s">
        <v>19</v>
      </c>
      <c r="M12" s="1">
        <f>AVERAGE(C12:C14)/100</f>
        <v>1685185.1851851854</v>
      </c>
      <c r="N12" s="1">
        <f>AVERAGE(F12:F14)</f>
        <v>4111111.1111111119</v>
      </c>
      <c r="O12" s="1">
        <f>AVERAGE(I12:I14)</f>
        <v>15185185.185185185</v>
      </c>
      <c r="P12" s="1">
        <v>1</v>
      </c>
      <c r="Q12" s="1">
        <f>C12/100</f>
        <v>2422222.2222222225</v>
      </c>
      <c r="R12" s="1">
        <f>F12</f>
        <v>6444444.444444445</v>
      </c>
      <c r="S12" s="1">
        <f>I12</f>
        <v>13333333.333333334</v>
      </c>
      <c r="T12" s="1">
        <v>1</v>
      </c>
      <c r="U12" s="1">
        <f>E12</f>
        <v>0.48165137614678899</v>
      </c>
      <c r="V12" s="1">
        <f>H12</f>
        <v>0.13103448275862067</v>
      </c>
      <c r="W12" s="1">
        <f>K12</f>
        <v>0.66666666666666674</v>
      </c>
    </row>
    <row r="13" spans="1:23" x14ac:dyDescent="0.25">
      <c r="A13" s="10"/>
      <c r="B13" s="1">
        <v>2</v>
      </c>
      <c r="C13" s="1">
        <f>(138*10^5)/0.09</f>
        <v>153333333.33333334</v>
      </c>
      <c r="D13" s="1">
        <f>(510*10^4)/0.09</f>
        <v>56666666.666666672</v>
      </c>
      <c r="E13" s="1">
        <f>D13/C13</f>
        <v>0.36956521739130438</v>
      </c>
      <c r="F13" s="1">
        <f>(25*10^4)/0.09</f>
        <v>2777777.777777778</v>
      </c>
      <c r="G13" s="1">
        <f>(19*10^3)/0.09</f>
        <v>211111.11111111112</v>
      </c>
      <c r="H13" s="1">
        <f>G13/F13</f>
        <v>7.5999999999999998E-2</v>
      </c>
      <c r="I13" s="1">
        <f>(24*10^5)/0.09</f>
        <v>26666666.666666668</v>
      </c>
      <c r="J13" s="1">
        <f>(29*10^4)/0.09</f>
        <v>3222222.2222222225</v>
      </c>
      <c r="K13" s="1">
        <f>J13/I13</f>
        <v>0.12083333333333333</v>
      </c>
      <c r="P13" s="1">
        <v>2</v>
      </c>
      <c r="Q13" s="1">
        <f t="shared" ref="Q13:Q14" si="19">C13/100</f>
        <v>1533333.3333333335</v>
      </c>
      <c r="R13" s="1">
        <f t="shared" ref="R13:R14" si="20">F13</f>
        <v>2777777.777777778</v>
      </c>
      <c r="S13" s="1">
        <f t="shared" ref="S13:S14" si="21">I13</f>
        <v>26666666.666666668</v>
      </c>
      <c r="T13" s="1">
        <v>2</v>
      </c>
      <c r="U13" s="1">
        <f t="shared" ref="U13:U14" si="22">E13</f>
        <v>0.36956521739130438</v>
      </c>
      <c r="V13" s="1">
        <f t="shared" ref="V13:V14" si="23">H13</f>
        <v>7.5999999999999998E-2</v>
      </c>
      <c r="W13" s="1">
        <f t="shared" ref="W13:W14" si="24">K13</f>
        <v>0.12083333333333333</v>
      </c>
    </row>
    <row r="14" spans="1:23" x14ac:dyDescent="0.25">
      <c r="A14" s="10"/>
      <c r="B14" s="1">
        <v>3</v>
      </c>
      <c r="C14" s="1">
        <f>(99*10^5)/0.09</f>
        <v>110000000</v>
      </c>
      <c r="D14" s="1">
        <f>(333*10^4)/0.09</f>
        <v>37000000</v>
      </c>
      <c r="E14" s="1">
        <f>D14/C14</f>
        <v>0.33636363636363636</v>
      </c>
      <c r="F14" s="1">
        <f>(28*10^4)/0.09</f>
        <v>3111111.111111111</v>
      </c>
      <c r="G14" s="1">
        <f>(24*10^3)/0.09</f>
        <v>266666.66666666669</v>
      </c>
      <c r="H14" s="1">
        <f>G14/F14</f>
        <v>8.5714285714285729E-2</v>
      </c>
      <c r="I14" s="1">
        <f>(5*10^5)/0.09</f>
        <v>5555555.555555556</v>
      </c>
      <c r="J14" s="1">
        <f>(19*10^4)/0.09</f>
        <v>2111111.111111111</v>
      </c>
      <c r="K14" s="1">
        <f>J14/I14</f>
        <v>0.37999999999999995</v>
      </c>
      <c r="P14" s="1">
        <v>3</v>
      </c>
      <c r="Q14" s="1">
        <f t="shared" si="19"/>
        <v>1100000</v>
      </c>
      <c r="R14" s="1">
        <f t="shared" si="20"/>
        <v>3111111.111111111</v>
      </c>
      <c r="S14" s="1">
        <f t="shared" si="21"/>
        <v>5555555.555555556</v>
      </c>
      <c r="T14" s="1">
        <v>3</v>
      </c>
      <c r="U14" s="1">
        <f t="shared" si="22"/>
        <v>0.33636363636363636</v>
      </c>
      <c r="V14" s="1">
        <f t="shared" si="23"/>
        <v>8.5714285714285729E-2</v>
      </c>
      <c r="W14" s="1">
        <f t="shared" si="24"/>
        <v>0.37999999999999995</v>
      </c>
    </row>
    <row r="15" spans="1:23" x14ac:dyDescent="0.25">
      <c r="A15" s="2"/>
      <c r="B15" s="2" t="s">
        <v>20</v>
      </c>
      <c r="C15" s="2" t="s">
        <v>11</v>
      </c>
      <c r="D15" s="2" t="s">
        <v>12</v>
      </c>
      <c r="E15" s="2" t="s">
        <v>13</v>
      </c>
      <c r="F15" s="2" t="s">
        <v>11</v>
      </c>
      <c r="G15" s="2" t="s">
        <v>12</v>
      </c>
      <c r="H15" s="2" t="s">
        <v>13</v>
      </c>
      <c r="I15" s="2" t="s">
        <v>11</v>
      </c>
      <c r="J15" s="2" t="s">
        <v>12</v>
      </c>
      <c r="K15" s="2" t="s">
        <v>13</v>
      </c>
      <c r="L15" s="2"/>
      <c r="M15" s="2">
        <v>0</v>
      </c>
      <c r="N15" s="2">
        <v>1</v>
      </c>
      <c r="O15" s="2">
        <v>2</v>
      </c>
      <c r="Q15" s="2">
        <v>0</v>
      </c>
      <c r="R15" s="2">
        <v>1</v>
      </c>
      <c r="S15" s="2">
        <v>2</v>
      </c>
      <c r="T15" s="2"/>
      <c r="U15" s="2">
        <v>0</v>
      </c>
      <c r="V15" s="2">
        <v>1</v>
      </c>
      <c r="W15" s="2">
        <v>2</v>
      </c>
    </row>
    <row r="16" spans="1:23" x14ac:dyDescent="0.25">
      <c r="A16" s="10" t="s">
        <v>14</v>
      </c>
      <c r="B16" s="3">
        <v>1</v>
      </c>
      <c r="C16" s="1">
        <f>(213*10^5)/0.09</f>
        <v>236666666.66666669</v>
      </c>
      <c r="D16" s="1">
        <f>(85*10^4)/0.09</f>
        <v>9444444.444444444</v>
      </c>
      <c r="E16" s="1">
        <f>D16/C16</f>
        <v>3.990610328638497E-2</v>
      </c>
      <c r="F16" s="1">
        <f>(261*10^4)/0.1</f>
        <v>26100000</v>
      </c>
      <c r="G16" s="1">
        <f>(180*10^3)/0.1</f>
        <v>1800000</v>
      </c>
      <c r="H16" s="1">
        <f>G16/F16</f>
        <v>6.8965517241379309E-2</v>
      </c>
      <c r="I16" s="1">
        <f>(96*10^5)/0.1</f>
        <v>96000000</v>
      </c>
      <c r="J16" s="1">
        <f>(218*10^4)/0.1</f>
        <v>21800000</v>
      </c>
      <c r="K16" s="1">
        <f>J16/I16</f>
        <v>0.22708333333333333</v>
      </c>
      <c r="L16" s="1" t="s">
        <v>21</v>
      </c>
      <c r="M16" s="1">
        <f>AVERAGE(C16:C18)/100</f>
        <v>1981481.4814814816</v>
      </c>
      <c r="N16" s="1">
        <f>AVERAGE(F16:F18)</f>
        <v>22033333.333333332</v>
      </c>
      <c r="O16" s="1">
        <f>AVERAGE(I16:I18)</f>
        <v>73666666.666666672</v>
      </c>
      <c r="P16" s="1">
        <v>1</v>
      </c>
      <c r="Q16" s="1">
        <f>C16/100</f>
        <v>2366666.666666667</v>
      </c>
      <c r="R16" s="1">
        <f>F16</f>
        <v>26100000</v>
      </c>
      <c r="S16" s="1">
        <f>I16</f>
        <v>96000000</v>
      </c>
      <c r="T16" s="1">
        <v>1</v>
      </c>
      <c r="U16" s="1">
        <f>E16</f>
        <v>3.990610328638497E-2</v>
      </c>
      <c r="V16" s="1">
        <f>H16</f>
        <v>6.8965517241379309E-2</v>
      </c>
      <c r="W16" s="1">
        <f>K16</f>
        <v>0.22708333333333333</v>
      </c>
    </row>
    <row r="17" spans="1:23" x14ac:dyDescent="0.25">
      <c r="A17" s="10"/>
      <c r="B17" s="3">
        <v>2</v>
      </c>
      <c r="C17" s="1">
        <f>(129*10^5)/0.09</f>
        <v>143333333.33333334</v>
      </c>
      <c r="D17" s="1">
        <f>(28*10^4)/0.09</f>
        <v>3111111.111111111</v>
      </c>
      <c r="E17" s="1">
        <f t="shared" ref="E17:E18" si="25">D17/C17</f>
        <v>2.1705426356589144E-2</v>
      </c>
      <c r="F17" s="1">
        <f>(182*10^4)/0.1</f>
        <v>18200000</v>
      </c>
      <c r="G17" s="1">
        <f>(120*10^3)/0.1</f>
        <v>1200000</v>
      </c>
      <c r="H17" s="1">
        <f t="shared" ref="H17:H18" si="26">G17/F17</f>
        <v>6.5934065934065936E-2</v>
      </c>
      <c r="I17" s="1">
        <f>(24*10^5)/0.1</f>
        <v>24000000</v>
      </c>
      <c r="J17" s="1">
        <f>(93*10^4)/0.1</f>
        <v>9300000</v>
      </c>
      <c r="K17" s="1">
        <f t="shared" ref="K17:K18" si="27">J17/I17</f>
        <v>0.38750000000000001</v>
      </c>
      <c r="P17" s="1">
        <v>2</v>
      </c>
      <c r="Q17" s="1">
        <f t="shared" ref="Q17:Q18" si="28">C17/100</f>
        <v>1433333.3333333335</v>
      </c>
      <c r="R17" s="1">
        <f t="shared" ref="R17:R18" si="29">F17</f>
        <v>18200000</v>
      </c>
      <c r="S17" s="1">
        <f t="shared" ref="S17:S18" si="30">I17</f>
        <v>24000000</v>
      </c>
      <c r="T17" s="1">
        <v>2</v>
      </c>
      <c r="U17" s="1">
        <f t="shared" ref="U17:U18" si="31">E17</f>
        <v>2.1705426356589144E-2</v>
      </c>
      <c r="V17" s="1">
        <f t="shared" ref="V17:V18" si="32">H17</f>
        <v>6.5934065934065936E-2</v>
      </c>
      <c r="W17" s="1">
        <f t="shared" ref="W17:W18" si="33">K17</f>
        <v>0.38750000000000001</v>
      </c>
    </row>
    <row r="18" spans="1:23" x14ac:dyDescent="0.25">
      <c r="A18" s="10"/>
      <c r="B18" s="3">
        <v>3</v>
      </c>
      <c r="C18" s="1">
        <f>(193*10^5)/0.09</f>
        <v>214444444.44444445</v>
      </c>
      <c r="D18" s="1">
        <f>(90*10^4)/0.09</f>
        <v>10000000</v>
      </c>
      <c r="E18" s="1">
        <f t="shared" si="25"/>
        <v>4.6632124352331605E-2</v>
      </c>
      <c r="F18" s="1">
        <f>(218*10^4)/0.1</f>
        <v>21800000</v>
      </c>
      <c r="G18" s="1">
        <f>(268*10^3)/0.1</f>
        <v>2680000</v>
      </c>
      <c r="H18" s="1">
        <f t="shared" si="26"/>
        <v>0.12293577981651377</v>
      </c>
      <c r="I18" s="1">
        <f>(101*10^5)/0.1</f>
        <v>101000000</v>
      </c>
      <c r="J18" s="1">
        <f>(290*10^4)/0.1</f>
        <v>29000000</v>
      </c>
      <c r="K18" s="1">
        <f t="shared" si="27"/>
        <v>0.28712871287128711</v>
      </c>
      <c r="P18" s="1">
        <v>3</v>
      </c>
      <c r="Q18" s="1">
        <f t="shared" si="28"/>
        <v>2144444.4444444445</v>
      </c>
      <c r="R18" s="1">
        <f t="shared" si="29"/>
        <v>21800000</v>
      </c>
      <c r="S18" s="1">
        <f t="shared" si="30"/>
        <v>101000000</v>
      </c>
      <c r="T18" s="1">
        <v>3</v>
      </c>
      <c r="U18" s="1">
        <f t="shared" si="31"/>
        <v>4.6632124352331605E-2</v>
      </c>
      <c r="V18" s="1">
        <f t="shared" si="32"/>
        <v>0.12293577981651377</v>
      </c>
      <c r="W18" s="1">
        <f t="shared" si="33"/>
        <v>0.28712871287128711</v>
      </c>
    </row>
    <row r="19" spans="1:23" x14ac:dyDescent="0.25">
      <c r="A19" s="2"/>
      <c r="B19" s="2" t="s">
        <v>22</v>
      </c>
      <c r="C19" s="2" t="s">
        <v>11</v>
      </c>
      <c r="D19" s="2" t="s">
        <v>12</v>
      </c>
      <c r="E19" s="2" t="s">
        <v>13</v>
      </c>
      <c r="F19" s="2" t="s">
        <v>11</v>
      </c>
      <c r="G19" s="2" t="s">
        <v>12</v>
      </c>
      <c r="H19" s="2" t="s">
        <v>13</v>
      </c>
      <c r="I19" s="2" t="s">
        <v>11</v>
      </c>
      <c r="J19" s="2" t="s">
        <v>12</v>
      </c>
      <c r="K19" s="2" t="s">
        <v>13</v>
      </c>
      <c r="L19" s="2"/>
      <c r="M19" s="2">
        <v>0</v>
      </c>
      <c r="N19" s="2">
        <v>1</v>
      </c>
      <c r="O19" s="2">
        <v>2</v>
      </c>
      <c r="Q19" s="2">
        <v>0</v>
      </c>
      <c r="R19" s="2">
        <v>1</v>
      </c>
      <c r="S19" s="2">
        <v>2</v>
      </c>
      <c r="T19" s="2"/>
      <c r="U19" s="2">
        <v>0</v>
      </c>
      <c r="V19" s="2">
        <v>1</v>
      </c>
      <c r="W19" s="2">
        <v>2</v>
      </c>
    </row>
    <row r="20" spans="1:23" x14ac:dyDescent="0.25">
      <c r="A20" s="10" t="s">
        <v>14</v>
      </c>
      <c r="B20" s="3">
        <v>1</v>
      </c>
      <c r="C20" s="1">
        <f>(183*10^5)/0.09</f>
        <v>203333333.33333334</v>
      </c>
      <c r="D20" s="1">
        <f>(232*10^4)/0.09</f>
        <v>25777777.77777778</v>
      </c>
      <c r="E20" s="1">
        <f>D20/C20</f>
        <v>0.126775956284153</v>
      </c>
      <c r="F20" s="1">
        <f>(41*10^4)/0.09</f>
        <v>4555555.555555556</v>
      </c>
      <c r="G20" s="1">
        <f>(34*10^4)/0.09</f>
        <v>3777777.777777778</v>
      </c>
      <c r="H20" s="1">
        <f>G20/F20</f>
        <v>0.82926829268292679</v>
      </c>
      <c r="I20" s="1">
        <f>(25*10^5)/0.09</f>
        <v>27777777.77777778</v>
      </c>
      <c r="J20" s="1">
        <f>(18*10^5)/0.09</f>
        <v>20000000</v>
      </c>
      <c r="K20" s="1">
        <f>J20/I20</f>
        <v>0.72</v>
      </c>
      <c r="L20" s="1" t="s">
        <v>23</v>
      </c>
      <c r="M20" s="1">
        <f>AVERAGE(C20:C22)/100</f>
        <v>1781481.4814814816</v>
      </c>
      <c r="N20" s="1">
        <f>AVERAGE(F20:F22)</f>
        <v>3666666.6666666665</v>
      </c>
      <c r="O20" s="1">
        <f>AVERAGE(I20:I22)</f>
        <v>14814814.814814815</v>
      </c>
      <c r="P20" s="1">
        <v>1</v>
      </c>
      <c r="Q20" s="1">
        <f>C20/100</f>
        <v>2033333.3333333335</v>
      </c>
      <c r="R20" s="1">
        <f>F20</f>
        <v>4555555.555555556</v>
      </c>
      <c r="S20" s="1">
        <f>I20</f>
        <v>27777777.77777778</v>
      </c>
      <c r="T20" s="1">
        <v>1</v>
      </c>
      <c r="U20" s="1">
        <f>E20</f>
        <v>0.126775956284153</v>
      </c>
      <c r="V20" s="1">
        <f>H20</f>
        <v>0.82926829268292679</v>
      </c>
      <c r="W20" s="1">
        <f>K20</f>
        <v>0.72</v>
      </c>
    </row>
    <row r="21" spans="1:23" x14ac:dyDescent="0.25">
      <c r="A21" s="10"/>
      <c r="B21" s="3">
        <v>2</v>
      </c>
      <c r="C21" s="1">
        <f>(208*10^5)/0.09</f>
        <v>231111111.11111113</v>
      </c>
      <c r="D21" s="1">
        <f>(197*10^5)/0.09</f>
        <v>218888888.8888889</v>
      </c>
      <c r="E21" s="1">
        <f t="shared" ref="E21:E22" si="34">D21/C21</f>
        <v>0.94711538461538458</v>
      </c>
      <c r="F21" s="1">
        <f>(38*10^4)/0.09</f>
        <v>4222222.222222222</v>
      </c>
      <c r="G21" s="1">
        <f>(32*10^4)/0.09</f>
        <v>3555555.5555555555</v>
      </c>
      <c r="H21" s="1">
        <f t="shared" ref="H21:H22" si="35">G21/F21</f>
        <v>0.8421052631578948</v>
      </c>
      <c r="I21" s="1">
        <f>(11*10^5)/0.09</f>
        <v>12222222.222222222</v>
      </c>
      <c r="J21" s="1">
        <f>(5*10^5)/0.09</f>
        <v>5555555.555555556</v>
      </c>
      <c r="K21" s="1">
        <f t="shared" ref="K21:K22" si="36">J21/I21</f>
        <v>0.45454545454545459</v>
      </c>
      <c r="P21" s="1">
        <v>2</v>
      </c>
      <c r="Q21" s="1">
        <f t="shared" ref="Q21:Q22" si="37">C21/100</f>
        <v>2311111.1111111115</v>
      </c>
      <c r="R21" s="1">
        <f t="shared" ref="R21:R22" si="38">F21</f>
        <v>4222222.222222222</v>
      </c>
      <c r="S21" s="1">
        <f t="shared" ref="S21:S22" si="39">I21</f>
        <v>12222222.222222222</v>
      </c>
      <c r="T21" s="1">
        <v>2</v>
      </c>
      <c r="U21" s="1">
        <f t="shared" ref="U21:U22" si="40">E21</f>
        <v>0.94711538461538458</v>
      </c>
      <c r="V21" s="1">
        <f t="shared" ref="V21:V22" si="41">H21</f>
        <v>0.8421052631578948</v>
      </c>
      <c r="W21" s="1">
        <f t="shared" ref="W21:W22" si="42">K21</f>
        <v>0.45454545454545459</v>
      </c>
    </row>
    <row r="22" spans="1:23" x14ac:dyDescent="0.25">
      <c r="A22" s="10"/>
      <c r="B22" s="3">
        <v>3</v>
      </c>
      <c r="C22" s="1">
        <f>(90*10^5)/0.09</f>
        <v>100000000</v>
      </c>
      <c r="D22" s="1">
        <f>(162*10^4)/0.09</f>
        <v>18000000</v>
      </c>
      <c r="E22" s="1">
        <f t="shared" si="34"/>
        <v>0.18</v>
      </c>
      <c r="F22" s="1">
        <f>(20*10^4)/0.09</f>
        <v>2222222.2222222225</v>
      </c>
      <c r="G22" s="1">
        <f>(100*10^3)/0.09</f>
        <v>1111111.1111111112</v>
      </c>
      <c r="H22" s="1">
        <f t="shared" si="35"/>
        <v>0.5</v>
      </c>
      <c r="I22" s="1">
        <f>(4*10^5)/0.09</f>
        <v>4444444.444444445</v>
      </c>
      <c r="J22" s="1">
        <f>(19*10^4)/0.09</f>
        <v>2111111.111111111</v>
      </c>
      <c r="K22" s="1">
        <f t="shared" si="36"/>
        <v>0.47499999999999992</v>
      </c>
      <c r="P22" s="1">
        <v>3</v>
      </c>
      <c r="Q22" s="1">
        <f t="shared" si="37"/>
        <v>1000000</v>
      </c>
      <c r="R22" s="1">
        <f t="shared" si="38"/>
        <v>2222222.2222222225</v>
      </c>
      <c r="S22" s="1">
        <f t="shared" si="39"/>
        <v>4444444.444444445</v>
      </c>
      <c r="T22" s="1">
        <v>3</v>
      </c>
      <c r="U22" s="1">
        <f t="shared" si="40"/>
        <v>0.18</v>
      </c>
      <c r="V22" s="1">
        <f t="shared" si="41"/>
        <v>0.5</v>
      </c>
      <c r="W22" s="1">
        <f t="shared" si="42"/>
        <v>0.47499999999999992</v>
      </c>
    </row>
    <row r="23" spans="1:23" x14ac:dyDescent="0.25">
      <c r="A23" s="2"/>
      <c r="B23" s="2" t="s">
        <v>24</v>
      </c>
      <c r="C23" s="2" t="s">
        <v>11</v>
      </c>
      <c r="D23" s="2" t="s">
        <v>12</v>
      </c>
      <c r="E23" s="2" t="s">
        <v>13</v>
      </c>
      <c r="F23" s="2" t="s">
        <v>11</v>
      </c>
      <c r="G23" s="2" t="s">
        <v>12</v>
      </c>
      <c r="H23" s="2" t="s">
        <v>13</v>
      </c>
      <c r="I23" s="2" t="s">
        <v>11</v>
      </c>
      <c r="J23" s="2" t="s">
        <v>12</v>
      </c>
      <c r="K23" s="2" t="s">
        <v>13</v>
      </c>
      <c r="L23" s="2"/>
      <c r="M23" s="2">
        <v>0</v>
      </c>
      <c r="N23" s="2">
        <v>1</v>
      </c>
      <c r="O23" s="2">
        <v>2</v>
      </c>
      <c r="Q23" s="2">
        <v>0</v>
      </c>
      <c r="R23" s="2">
        <v>1</v>
      </c>
      <c r="S23" s="2">
        <v>2</v>
      </c>
      <c r="T23" s="2"/>
      <c r="U23" s="2">
        <v>0</v>
      </c>
      <c r="V23" s="2">
        <v>1</v>
      </c>
      <c r="W23" s="2">
        <v>2</v>
      </c>
    </row>
    <row r="24" spans="1:23" x14ac:dyDescent="0.25">
      <c r="A24" s="10" t="s">
        <v>14</v>
      </c>
      <c r="B24" s="3">
        <v>1</v>
      </c>
      <c r="C24" s="1">
        <f>(198*10^5)/0.09</f>
        <v>220000000</v>
      </c>
      <c r="D24" s="1">
        <f>(1*10^2)/0.09</f>
        <v>1111.1111111111111</v>
      </c>
      <c r="E24" s="1">
        <f>D24/C24</f>
        <v>5.0505050505050507E-6</v>
      </c>
      <c r="F24" s="1">
        <f>(109*10^4)/0.1</f>
        <v>10900000</v>
      </c>
      <c r="G24" s="1">
        <f>(0*10)/0.1</f>
        <v>0</v>
      </c>
      <c r="H24" s="1">
        <f>G24/F24</f>
        <v>0</v>
      </c>
      <c r="I24" s="1">
        <f>(59*10^5)/0.1</f>
        <v>59000000</v>
      </c>
      <c r="J24" s="1">
        <f>(0*10)/0.1</f>
        <v>0</v>
      </c>
      <c r="K24" s="1">
        <f>J24/I24</f>
        <v>0</v>
      </c>
      <c r="L24" s="1" t="s">
        <v>25</v>
      </c>
      <c r="M24" s="1">
        <f>AVERAGE(C24:C26)/100</f>
        <v>1903703.7037037038</v>
      </c>
      <c r="N24" s="1">
        <f>AVERAGE(F24:F26)</f>
        <v>11066666.666666666</v>
      </c>
      <c r="O24" s="1">
        <f>AVERAGE(I24:I26)</f>
        <v>58000000</v>
      </c>
      <c r="P24" s="1">
        <v>1</v>
      </c>
      <c r="Q24" s="1">
        <f>C24/100</f>
        <v>2200000</v>
      </c>
      <c r="R24" s="1">
        <f>F24</f>
        <v>10900000</v>
      </c>
      <c r="S24" s="1">
        <f>I24</f>
        <v>59000000</v>
      </c>
      <c r="T24" s="1">
        <v>1</v>
      </c>
      <c r="U24" s="1">
        <f>E24</f>
        <v>5.0505050505050507E-6</v>
      </c>
      <c r="V24" s="1">
        <f>H24</f>
        <v>0</v>
      </c>
      <c r="W24" s="1">
        <f>K24</f>
        <v>0</v>
      </c>
    </row>
    <row r="25" spans="1:23" x14ac:dyDescent="0.25">
      <c r="A25" s="10"/>
      <c r="B25" s="3">
        <v>2</v>
      </c>
      <c r="C25" s="1">
        <f>(218*10^5)/0.09</f>
        <v>242222222.22222224</v>
      </c>
      <c r="D25" s="1">
        <f>(78*10^4)/0.09</f>
        <v>8666666.6666666679</v>
      </c>
      <c r="E25" s="1">
        <f t="shared" ref="E25:E26" si="43">D25/C25</f>
        <v>3.577981651376147E-2</v>
      </c>
      <c r="F25" s="1">
        <f>(117*10^4)/0.1</f>
        <v>11700000</v>
      </c>
      <c r="G25" s="1">
        <f>(243*10^2)/0.1</f>
        <v>243000</v>
      </c>
      <c r="H25" s="1">
        <f t="shared" ref="H25:H26" si="44">G25/F25</f>
        <v>2.0769230769230769E-2</v>
      </c>
      <c r="I25" s="1">
        <f>(46*10^5)/0.1</f>
        <v>46000000</v>
      </c>
      <c r="J25" s="1">
        <f>(63*10)/0.1</f>
        <v>6300</v>
      </c>
      <c r="K25" s="1">
        <f t="shared" ref="K25:K26" si="45">J25/I25</f>
        <v>1.3695652173913042E-4</v>
      </c>
      <c r="P25" s="1">
        <v>2</v>
      </c>
      <c r="Q25" s="1">
        <f t="shared" ref="Q25:Q26" si="46">C25/100</f>
        <v>2422222.2222222225</v>
      </c>
      <c r="R25" s="1">
        <f t="shared" ref="R25:R26" si="47">F25</f>
        <v>11700000</v>
      </c>
      <c r="S25" s="1">
        <f t="shared" ref="S25:S26" si="48">I25</f>
        <v>46000000</v>
      </c>
      <c r="T25" s="1">
        <v>2</v>
      </c>
      <c r="U25" s="1">
        <f t="shared" ref="U25:U26" si="49">E25</f>
        <v>3.577981651376147E-2</v>
      </c>
      <c r="V25" s="1">
        <f t="shared" ref="V25:V26" si="50">H25</f>
        <v>2.0769230769230769E-2</v>
      </c>
      <c r="W25" s="1">
        <f t="shared" ref="W25:W26" si="51">K25</f>
        <v>1.3695652173913042E-4</v>
      </c>
    </row>
    <row r="26" spans="1:23" x14ac:dyDescent="0.25">
      <c r="A26" s="10"/>
      <c r="B26" s="3">
        <v>3</v>
      </c>
      <c r="C26" s="1">
        <f>(98*10^5)/0.09</f>
        <v>108888888.8888889</v>
      </c>
      <c r="D26" s="1">
        <f>(4*10^3)/0.09</f>
        <v>44444.444444444445</v>
      </c>
      <c r="E26" s="1">
        <f t="shared" si="43"/>
        <v>4.0816326530612241E-4</v>
      </c>
      <c r="F26" s="1">
        <f>(106*10^4)/0.1</f>
        <v>10600000</v>
      </c>
      <c r="G26" s="1">
        <f t="shared" ref="G26" si="52">(0*10)/0.1</f>
        <v>0</v>
      </c>
      <c r="H26" s="1">
        <f t="shared" si="44"/>
        <v>0</v>
      </c>
      <c r="I26" s="1">
        <f>(69*10^5)/0.1</f>
        <v>69000000</v>
      </c>
      <c r="J26" s="1">
        <f>(0*10)/0.1</f>
        <v>0</v>
      </c>
      <c r="K26" s="1">
        <f t="shared" si="45"/>
        <v>0</v>
      </c>
      <c r="P26" s="1">
        <v>3</v>
      </c>
      <c r="Q26" s="1">
        <f t="shared" si="46"/>
        <v>1088888.888888889</v>
      </c>
      <c r="R26" s="1">
        <f t="shared" si="47"/>
        <v>10600000</v>
      </c>
      <c r="S26" s="1">
        <f t="shared" si="48"/>
        <v>69000000</v>
      </c>
      <c r="T26" s="1">
        <v>3</v>
      </c>
      <c r="U26" s="1">
        <f t="shared" si="49"/>
        <v>4.0816326530612241E-4</v>
      </c>
      <c r="V26" s="1">
        <f t="shared" si="50"/>
        <v>0</v>
      </c>
      <c r="W26" s="1">
        <f t="shared" si="51"/>
        <v>0</v>
      </c>
    </row>
    <row r="27" spans="1:23" x14ac:dyDescent="0.25">
      <c r="A27" s="2"/>
      <c r="B27" s="2" t="s">
        <v>26</v>
      </c>
      <c r="C27" s="2" t="s">
        <v>11</v>
      </c>
      <c r="D27" s="2" t="s">
        <v>12</v>
      </c>
      <c r="E27" s="2" t="s">
        <v>13</v>
      </c>
      <c r="F27" s="2" t="s">
        <v>11</v>
      </c>
      <c r="G27" s="2" t="s">
        <v>12</v>
      </c>
      <c r="H27" s="2" t="s">
        <v>13</v>
      </c>
      <c r="I27" s="2" t="s">
        <v>11</v>
      </c>
      <c r="J27" s="2" t="s">
        <v>12</v>
      </c>
      <c r="K27" s="2" t="s">
        <v>13</v>
      </c>
      <c r="L27" s="2"/>
      <c r="M27" s="2">
        <v>0</v>
      </c>
      <c r="N27" s="2">
        <v>1</v>
      </c>
      <c r="O27" s="2">
        <v>2</v>
      </c>
      <c r="Q27" s="2">
        <v>0</v>
      </c>
      <c r="R27" s="2">
        <v>1</v>
      </c>
      <c r="S27" s="2">
        <v>2</v>
      </c>
      <c r="T27" s="2"/>
      <c r="U27" s="2">
        <v>0</v>
      </c>
      <c r="V27" s="2">
        <v>1</v>
      </c>
      <c r="W27" s="2">
        <v>2</v>
      </c>
    </row>
    <row r="28" spans="1:23" x14ac:dyDescent="0.25">
      <c r="A28" s="10" t="s">
        <v>14</v>
      </c>
      <c r="B28" s="3">
        <v>1</v>
      </c>
      <c r="C28" s="1">
        <f>(295*10^5)/0.09</f>
        <v>327777777.77777779</v>
      </c>
      <c r="D28" s="1">
        <f>(292*10^5)/0.09</f>
        <v>324444444.44444448</v>
      </c>
      <c r="E28" s="1">
        <f>D28/C28</f>
        <v>0.98983050847457632</v>
      </c>
      <c r="F28" s="1">
        <f>(64*10^4)/0.09</f>
        <v>7111111.111111111</v>
      </c>
      <c r="G28" s="1">
        <f>(56*10^4)/0.09</f>
        <v>6222222.222222222</v>
      </c>
      <c r="H28" s="1">
        <f>G28/F28</f>
        <v>0.875</v>
      </c>
      <c r="I28" s="1">
        <f>(80*10^5)/0.09</f>
        <v>88888888.888888896</v>
      </c>
      <c r="J28" s="1">
        <f>(60*10^5)/0.09</f>
        <v>66666666.666666672</v>
      </c>
      <c r="K28" s="1">
        <f>J28/I28</f>
        <v>0.75</v>
      </c>
      <c r="L28" s="1" t="s">
        <v>26</v>
      </c>
      <c r="M28" s="1">
        <f>AVERAGE(C28:C30)/100</f>
        <v>3074074.0740740746</v>
      </c>
      <c r="N28" s="1">
        <f>AVERAGE(F28:F30)</f>
        <v>6185185.1851851856</v>
      </c>
      <c r="O28" s="1">
        <f>AVERAGE(I28:I30)</f>
        <v>54814814.814814813</v>
      </c>
      <c r="P28" s="1">
        <v>1</v>
      </c>
      <c r="Q28" s="1">
        <f>C28/100</f>
        <v>3277777.777777778</v>
      </c>
      <c r="R28" s="1">
        <f>F28</f>
        <v>7111111.111111111</v>
      </c>
      <c r="S28" s="1">
        <f>I28</f>
        <v>88888888.888888896</v>
      </c>
      <c r="T28" s="1">
        <v>1</v>
      </c>
      <c r="U28" s="1">
        <f>E28</f>
        <v>0.98983050847457632</v>
      </c>
      <c r="V28" s="1">
        <f>H28</f>
        <v>0.875</v>
      </c>
      <c r="W28" s="1">
        <f>K28</f>
        <v>0.75</v>
      </c>
    </row>
    <row r="29" spans="1:23" x14ac:dyDescent="0.25">
      <c r="A29" s="10"/>
      <c r="B29" s="3">
        <v>2</v>
      </c>
      <c r="C29" s="1">
        <f>(287*10^5)/0.09</f>
        <v>318888888.8888889</v>
      </c>
      <c r="D29" s="1">
        <f>(280*10^5)/0.09</f>
        <v>311111111.1111111</v>
      </c>
      <c r="E29" s="1">
        <f t="shared" ref="E29:E30" si="53">D29/C29</f>
        <v>0.97560975609756095</v>
      </c>
      <c r="F29" s="1">
        <f>(65*10^4)/0.09</f>
        <v>7222222.2222222229</v>
      </c>
      <c r="G29" s="1">
        <f>(43*10^4)/0.09</f>
        <v>4777777.777777778</v>
      </c>
      <c r="H29" s="1">
        <f t="shared" ref="H29:H30" si="54">G29/F29</f>
        <v>0.66153846153846152</v>
      </c>
      <c r="I29" s="1">
        <f>(50*10^5)/0.09</f>
        <v>55555555.55555556</v>
      </c>
      <c r="J29" s="1">
        <f>(48*10^5)/0.09</f>
        <v>53333333.333333336</v>
      </c>
      <c r="K29" s="1">
        <f t="shared" ref="K29:K30" si="55">J29/I29</f>
        <v>0.96</v>
      </c>
      <c r="P29" s="1">
        <v>2</v>
      </c>
      <c r="Q29" s="1">
        <f t="shared" ref="Q29:Q30" si="56">C29/100</f>
        <v>3188888.888888889</v>
      </c>
      <c r="R29" s="1">
        <f t="shared" ref="R29:R30" si="57">F29</f>
        <v>7222222.2222222229</v>
      </c>
      <c r="S29" s="1">
        <f t="shared" ref="S29:S30" si="58">I29</f>
        <v>55555555.55555556</v>
      </c>
      <c r="T29" s="1">
        <v>2</v>
      </c>
      <c r="U29" s="1">
        <f t="shared" ref="U29:U30" si="59">E29</f>
        <v>0.97560975609756095</v>
      </c>
      <c r="V29" s="1">
        <f t="shared" ref="V29:V30" si="60">H29</f>
        <v>0.66153846153846152</v>
      </c>
      <c r="W29" s="1">
        <f t="shared" ref="W29:W30" si="61">K29</f>
        <v>0.96</v>
      </c>
    </row>
    <row r="30" spans="1:23" x14ac:dyDescent="0.25">
      <c r="A30" s="10"/>
      <c r="B30" s="3">
        <v>3</v>
      </c>
      <c r="C30" s="1">
        <f>(248*10^5)/0.09</f>
        <v>275555555.55555558</v>
      </c>
      <c r="D30" s="1">
        <f>(239*10^5)/0.09</f>
        <v>265555555.55555555</v>
      </c>
      <c r="E30" s="1">
        <f t="shared" si="53"/>
        <v>0.96370967741935476</v>
      </c>
      <c r="F30" s="1">
        <f>(38*10^4)/0.09</f>
        <v>4222222.222222222</v>
      </c>
      <c r="G30" s="1">
        <f>(26*10^4)/0.09</f>
        <v>2888888.888888889</v>
      </c>
      <c r="H30" s="1">
        <f t="shared" si="54"/>
        <v>0.68421052631578949</v>
      </c>
      <c r="I30" s="1">
        <f>(18*10^5)/0.09</f>
        <v>20000000</v>
      </c>
      <c r="J30" s="1">
        <f>(101*10^4)/0.09</f>
        <v>11222222.222222222</v>
      </c>
      <c r="K30" s="1">
        <f t="shared" si="55"/>
        <v>0.56111111111111112</v>
      </c>
      <c r="P30" s="1">
        <v>3</v>
      </c>
      <c r="Q30" s="1">
        <f t="shared" si="56"/>
        <v>2755555.555555556</v>
      </c>
      <c r="R30" s="1">
        <f t="shared" si="57"/>
        <v>4222222.222222222</v>
      </c>
      <c r="S30" s="1">
        <f t="shared" si="58"/>
        <v>20000000</v>
      </c>
      <c r="T30" s="1">
        <v>3</v>
      </c>
      <c r="U30" s="1">
        <f t="shared" si="59"/>
        <v>0.96370967741935476</v>
      </c>
      <c r="V30" s="1">
        <f t="shared" si="60"/>
        <v>0.68421052631578949</v>
      </c>
      <c r="W30" s="1">
        <f t="shared" si="61"/>
        <v>0.56111111111111112</v>
      </c>
    </row>
    <row r="31" spans="1:23" x14ac:dyDescent="0.25">
      <c r="A31" s="2"/>
      <c r="B31" s="2" t="s">
        <v>27</v>
      </c>
      <c r="C31" s="2" t="s">
        <v>11</v>
      </c>
      <c r="D31" s="2" t="s">
        <v>12</v>
      </c>
      <c r="E31" s="2" t="s">
        <v>13</v>
      </c>
      <c r="F31" s="2" t="s">
        <v>11</v>
      </c>
      <c r="G31" s="2" t="s">
        <v>12</v>
      </c>
      <c r="H31" s="2" t="s">
        <v>13</v>
      </c>
      <c r="I31" s="2" t="s">
        <v>11</v>
      </c>
      <c r="J31" s="2" t="s">
        <v>12</v>
      </c>
      <c r="K31" s="2" t="s">
        <v>13</v>
      </c>
      <c r="L31" s="2"/>
      <c r="M31" s="2">
        <v>0</v>
      </c>
      <c r="N31" s="2">
        <v>1</v>
      </c>
      <c r="O31" s="2">
        <v>2</v>
      </c>
      <c r="Q31" s="2">
        <v>0</v>
      </c>
      <c r="R31" s="2">
        <v>1</v>
      </c>
      <c r="S31" s="2">
        <v>2</v>
      </c>
      <c r="T31" s="2"/>
      <c r="U31" s="2">
        <v>0</v>
      </c>
      <c r="V31" s="2">
        <v>1</v>
      </c>
      <c r="W31" s="2">
        <v>2</v>
      </c>
    </row>
    <row r="32" spans="1:23" x14ac:dyDescent="0.25">
      <c r="A32" s="10" t="s">
        <v>14</v>
      </c>
      <c r="B32" s="3">
        <v>1</v>
      </c>
      <c r="C32" s="1">
        <f>(199*10^5)/0.09</f>
        <v>221111111.1111111</v>
      </c>
      <c r="D32" s="1">
        <f>(2*10^3)/0.09</f>
        <v>22222.222222222223</v>
      </c>
      <c r="E32" s="1">
        <f>D32/C32</f>
        <v>1.0050251256281407E-4</v>
      </c>
      <c r="F32" s="1">
        <f>(99*10^4)/0.1</f>
        <v>9900000</v>
      </c>
      <c r="G32" s="1">
        <f>(1*10)/0.1</f>
        <v>100</v>
      </c>
      <c r="H32" s="1">
        <f>G32/F32</f>
        <v>1.0101010101010101E-5</v>
      </c>
      <c r="I32" s="1">
        <f>(41*10^5)/0.1</f>
        <v>41000000</v>
      </c>
      <c r="J32" s="1">
        <f>(39*10^5)/0.1</f>
        <v>39000000</v>
      </c>
      <c r="K32" s="1">
        <f>J32/I32</f>
        <v>0.95121951219512191</v>
      </c>
      <c r="L32" s="1" t="s">
        <v>27</v>
      </c>
      <c r="M32" s="1">
        <f>AVERAGE(C32:C34)/100</f>
        <v>2718518.5185185187</v>
      </c>
      <c r="N32" s="1">
        <f>AVERAGE(F32:F34)</f>
        <v>10233333.333333334</v>
      </c>
      <c r="O32" s="1">
        <f>AVERAGE(I32:I34)</f>
        <v>64333333.333333336</v>
      </c>
      <c r="P32" s="1">
        <v>1</v>
      </c>
      <c r="Q32" s="1">
        <f>C32/100</f>
        <v>2211111.111111111</v>
      </c>
      <c r="R32" s="1">
        <f>F32</f>
        <v>9900000</v>
      </c>
      <c r="S32" s="1">
        <f>I32</f>
        <v>41000000</v>
      </c>
      <c r="T32" s="1">
        <v>1</v>
      </c>
      <c r="U32" s="1">
        <f>E32</f>
        <v>1.0050251256281407E-4</v>
      </c>
      <c r="V32" s="1">
        <f>H32</f>
        <v>1.0101010101010101E-5</v>
      </c>
      <c r="W32" s="1">
        <f>K32</f>
        <v>0.95121951219512191</v>
      </c>
    </row>
    <row r="33" spans="1:23" x14ac:dyDescent="0.25">
      <c r="A33" s="10"/>
      <c r="B33" s="3">
        <v>2</v>
      </c>
      <c r="C33" s="1">
        <f>(288*10^5)/0.09</f>
        <v>320000000</v>
      </c>
      <c r="D33" s="1">
        <f>(9*10^5)/0.09</f>
        <v>10000000</v>
      </c>
      <c r="E33" s="1">
        <f t="shared" ref="E33:E34" si="62">D33/C33</f>
        <v>3.125E-2</v>
      </c>
      <c r="F33" s="1">
        <f>(103*10^4)/0.1</f>
        <v>10300000</v>
      </c>
      <c r="G33" s="1">
        <f>(175*10^2)/0.1</f>
        <v>175000</v>
      </c>
      <c r="H33" s="1">
        <f t="shared" ref="H33:H34" si="63">G33/F33</f>
        <v>1.6990291262135922E-2</v>
      </c>
      <c r="I33" s="1">
        <f>(108*10^5)/0.1</f>
        <v>108000000</v>
      </c>
      <c r="J33" s="1">
        <f>(18*10^5)/0.1</f>
        <v>18000000</v>
      </c>
      <c r="K33" s="1">
        <f t="shared" ref="K33:K34" si="64">J33/I33</f>
        <v>0.16666666666666666</v>
      </c>
      <c r="P33" s="1">
        <v>2</v>
      </c>
      <c r="Q33" s="1">
        <f t="shared" ref="Q33:Q34" si="65">C33/100</f>
        <v>3200000</v>
      </c>
      <c r="R33" s="1">
        <f t="shared" ref="R33:R34" si="66">F33</f>
        <v>10300000</v>
      </c>
      <c r="S33" s="1">
        <f t="shared" ref="S33:S34" si="67">I33</f>
        <v>108000000</v>
      </c>
      <c r="T33" s="1">
        <v>2</v>
      </c>
      <c r="U33" s="1">
        <f t="shared" ref="U33:U34" si="68">E33</f>
        <v>3.125E-2</v>
      </c>
      <c r="V33" s="1">
        <f t="shared" ref="V33:V34" si="69">H33</f>
        <v>1.6990291262135922E-2</v>
      </c>
      <c r="W33" s="1">
        <f t="shared" ref="W33:W34" si="70">K33</f>
        <v>0.16666666666666666</v>
      </c>
    </row>
    <row r="34" spans="1:23" x14ac:dyDescent="0.25">
      <c r="A34" s="10"/>
      <c r="B34" s="3">
        <v>3</v>
      </c>
      <c r="C34" s="1">
        <f>(247*10^5)/0.09</f>
        <v>274444444.44444448</v>
      </c>
      <c r="D34" s="1">
        <f>(2*10^3)/0.09</f>
        <v>22222.222222222223</v>
      </c>
      <c r="E34" s="1">
        <f t="shared" si="62"/>
        <v>8.0971659919028326E-5</v>
      </c>
      <c r="F34" s="1">
        <f>(105*10^4)/0.1</f>
        <v>10500000</v>
      </c>
      <c r="G34" s="1">
        <f>(2*10)/0.1</f>
        <v>200</v>
      </c>
      <c r="H34" s="1">
        <f t="shared" si="63"/>
        <v>1.9047619047619046E-5</v>
      </c>
      <c r="I34" s="1">
        <f>(44*10^5)/0.1</f>
        <v>44000000</v>
      </c>
      <c r="J34" s="1">
        <f>(37*10^5)/0.1</f>
        <v>37000000</v>
      </c>
      <c r="K34" s="1">
        <f t="shared" si="64"/>
        <v>0.84090909090909094</v>
      </c>
      <c r="P34" s="1">
        <v>3</v>
      </c>
      <c r="Q34" s="1">
        <f t="shared" si="65"/>
        <v>2744444.444444445</v>
      </c>
      <c r="R34" s="1">
        <f t="shared" si="66"/>
        <v>10500000</v>
      </c>
      <c r="S34" s="1">
        <f t="shared" si="67"/>
        <v>44000000</v>
      </c>
      <c r="T34" s="1">
        <v>3</v>
      </c>
      <c r="U34" s="1">
        <f t="shared" si="68"/>
        <v>8.0971659919028326E-5</v>
      </c>
      <c r="V34" s="1">
        <f t="shared" si="69"/>
        <v>1.9047619047619046E-5</v>
      </c>
      <c r="W34" s="1">
        <f t="shared" si="70"/>
        <v>0.84090909090909094</v>
      </c>
    </row>
    <row r="35" spans="1:23" x14ac:dyDescent="0.25">
      <c r="A35" s="2"/>
      <c r="B35" s="2" t="s">
        <v>28</v>
      </c>
      <c r="C35" s="2" t="s">
        <v>11</v>
      </c>
      <c r="D35" s="2" t="s">
        <v>12</v>
      </c>
      <c r="E35" s="2" t="s">
        <v>13</v>
      </c>
      <c r="F35" s="2" t="s">
        <v>11</v>
      </c>
      <c r="G35" s="2" t="s">
        <v>12</v>
      </c>
      <c r="H35" s="2" t="s">
        <v>13</v>
      </c>
      <c r="I35" s="2" t="s">
        <v>11</v>
      </c>
      <c r="J35" s="2" t="s">
        <v>12</v>
      </c>
      <c r="K35" s="2" t="s">
        <v>13</v>
      </c>
      <c r="L35" s="2"/>
      <c r="M35" s="2">
        <v>0</v>
      </c>
      <c r="N35" s="2">
        <v>1</v>
      </c>
      <c r="O35" s="2">
        <v>2</v>
      </c>
      <c r="Q35" s="2">
        <v>0</v>
      </c>
      <c r="R35" s="2">
        <v>1</v>
      </c>
      <c r="S35" s="2">
        <v>2</v>
      </c>
      <c r="T35" s="2"/>
      <c r="U35" s="2">
        <v>0</v>
      </c>
      <c r="V35" s="2">
        <v>1</v>
      </c>
      <c r="W35" s="2">
        <v>2</v>
      </c>
    </row>
    <row r="36" spans="1:23" x14ac:dyDescent="0.25">
      <c r="A36" s="10" t="s">
        <v>14</v>
      </c>
      <c r="B36" s="3">
        <v>1</v>
      </c>
      <c r="C36" s="1">
        <f>(240*10^5)/0.09</f>
        <v>266666666.66666669</v>
      </c>
      <c r="D36" s="1">
        <f>(0*10^2)/0.09</f>
        <v>0</v>
      </c>
      <c r="E36" s="1">
        <f>D36/C36</f>
        <v>0</v>
      </c>
      <c r="F36" s="1">
        <f>(110*10^4)/0.1</f>
        <v>11000000</v>
      </c>
      <c r="G36" s="1">
        <f>(0*10)/0.1</f>
        <v>0</v>
      </c>
      <c r="H36" s="1">
        <f>G36/F36</f>
        <v>0</v>
      </c>
      <c r="I36" s="1">
        <f>(76*10^5)/0.1</f>
        <v>76000000</v>
      </c>
      <c r="J36" s="1">
        <f>(0*10)/0.1</f>
        <v>0</v>
      </c>
      <c r="K36" s="1">
        <f>J36/I36</f>
        <v>0</v>
      </c>
      <c r="L36" s="1" t="s">
        <v>29</v>
      </c>
      <c r="M36" s="1">
        <f>AVERAGE(C36:C38)/100</f>
        <v>2666666.6666666665</v>
      </c>
      <c r="N36" s="1">
        <f>AVERAGE(F36:F38)</f>
        <v>9700000</v>
      </c>
      <c r="O36" s="1">
        <f>AVERAGE(I36:I38)</f>
        <v>75000000</v>
      </c>
      <c r="P36" s="1">
        <v>1</v>
      </c>
      <c r="Q36" s="1">
        <f>C36/100</f>
        <v>2666666.666666667</v>
      </c>
      <c r="R36" s="1">
        <f>F36</f>
        <v>11000000</v>
      </c>
      <c r="S36" s="1">
        <f>I36</f>
        <v>76000000</v>
      </c>
      <c r="T36" s="1">
        <v>1</v>
      </c>
      <c r="U36" s="1">
        <f>E36</f>
        <v>0</v>
      </c>
      <c r="V36" s="1">
        <f>H36</f>
        <v>0</v>
      </c>
      <c r="W36" s="1">
        <f>K36</f>
        <v>0</v>
      </c>
    </row>
    <row r="37" spans="1:23" x14ac:dyDescent="0.25">
      <c r="A37" s="10"/>
      <c r="B37" s="3">
        <v>2</v>
      </c>
      <c r="C37" s="1">
        <f>(216*10^5)/0.09</f>
        <v>240000000</v>
      </c>
      <c r="D37" s="1">
        <f t="shared" ref="D37:D38" si="71">(0*10^2)/0.09</f>
        <v>0</v>
      </c>
      <c r="E37" s="1">
        <f t="shared" ref="E37:E38" si="72">D37/C37</f>
        <v>0</v>
      </c>
      <c r="F37" s="1">
        <f>(88*10^4)/0.1</f>
        <v>8800000</v>
      </c>
      <c r="G37" s="1">
        <f>(0*10)/0.1</f>
        <v>0</v>
      </c>
      <c r="H37" s="1">
        <f t="shared" ref="H37:H38" si="73">G37/F37</f>
        <v>0</v>
      </c>
      <c r="I37" s="1">
        <f>(65*10^5)/0.1</f>
        <v>65000000</v>
      </c>
      <c r="J37" s="1">
        <f>(0*10)/0.1</f>
        <v>0</v>
      </c>
      <c r="K37" s="1">
        <f t="shared" ref="K37:K38" si="74">J37/I37</f>
        <v>0</v>
      </c>
      <c r="P37" s="1">
        <v>2</v>
      </c>
      <c r="Q37" s="1">
        <f t="shared" ref="Q37:Q38" si="75">C37/100</f>
        <v>2400000</v>
      </c>
      <c r="R37" s="1">
        <f t="shared" ref="R37:R38" si="76">F37</f>
        <v>8800000</v>
      </c>
      <c r="S37" s="1">
        <f t="shared" ref="S37:S38" si="77">I37</f>
        <v>65000000</v>
      </c>
      <c r="T37" s="1">
        <v>2</v>
      </c>
      <c r="U37" s="1">
        <f t="shared" ref="U37:U38" si="78">E37</f>
        <v>0</v>
      </c>
      <c r="V37" s="1">
        <f t="shared" ref="V37:V38" si="79">H37</f>
        <v>0</v>
      </c>
      <c r="W37" s="1">
        <f t="shared" ref="W37:W38" si="80">K37</f>
        <v>0</v>
      </c>
    </row>
    <row r="38" spans="1:23" x14ac:dyDescent="0.25">
      <c r="A38" s="10"/>
      <c r="B38" s="3">
        <v>3</v>
      </c>
      <c r="C38" s="1">
        <f>(264*10^5)/0.09</f>
        <v>293333333.33333337</v>
      </c>
      <c r="D38" s="1">
        <f t="shared" si="71"/>
        <v>0</v>
      </c>
      <c r="E38" s="1">
        <f t="shared" si="72"/>
        <v>0</v>
      </c>
      <c r="F38" s="1">
        <f>(93*10^4)/0.1</f>
        <v>9300000</v>
      </c>
      <c r="G38" s="1">
        <f t="shared" ref="G38" si="81">(0*10)/0.1</f>
        <v>0</v>
      </c>
      <c r="H38" s="1">
        <f t="shared" si="73"/>
        <v>0</v>
      </c>
      <c r="I38" s="1">
        <f>(84*10^5)/0.1</f>
        <v>84000000</v>
      </c>
      <c r="J38" s="1">
        <f>(0*10)/0.1</f>
        <v>0</v>
      </c>
      <c r="K38" s="1">
        <f t="shared" si="74"/>
        <v>0</v>
      </c>
      <c r="P38" s="1">
        <v>3</v>
      </c>
      <c r="Q38" s="1">
        <f t="shared" si="75"/>
        <v>2933333.333333334</v>
      </c>
      <c r="R38" s="1">
        <f t="shared" si="76"/>
        <v>9300000</v>
      </c>
      <c r="S38" s="1">
        <f t="shared" si="77"/>
        <v>84000000</v>
      </c>
      <c r="T38" s="1">
        <v>3</v>
      </c>
      <c r="U38" s="1">
        <f t="shared" si="78"/>
        <v>0</v>
      </c>
      <c r="V38" s="1">
        <f t="shared" si="79"/>
        <v>0</v>
      </c>
      <c r="W38" s="1">
        <f t="shared" si="80"/>
        <v>0</v>
      </c>
    </row>
    <row r="39" spans="1:23" x14ac:dyDescent="0.25">
      <c r="A39" s="2"/>
      <c r="B39" s="2" t="s">
        <v>30</v>
      </c>
      <c r="C39" s="2" t="s">
        <v>11</v>
      </c>
      <c r="D39" s="2" t="s">
        <v>12</v>
      </c>
      <c r="E39" s="2" t="s">
        <v>13</v>
      </c>
      <c r="F39" s="2" t="s">
        <v>11</v>
      </c>
      <c r="G39" s="2" t="s">
        <v>12</v>
      </c>
      <c r="H39" s="2" t="s">
        <v>13</v>
      </c>
      <c r="I39" s="2" t="s">
        <v>11</v>
      </c>
      <c r="J39" s="2" t="s">
        <v>12</v>
      </c>
      <c r="K39" s="2" t="s">
        <v>13</v>
      </c>
      <c r="L39" s="2"/>
      <c r="M39" s="2">
        <v>0</v>
      </c>
      <c r="N39" s="2">
        <v>1</v>
      </c>
      <c r="O39" s="2">
        <v>2</v>
      </c>
      <c r="Q39" s="2">
        <v>0</v>
      </c>
      <c r="R39" s="2">
        <v>1</v>
      </c>
      <c r="S39" s="2">
        <v>2</v>
      </c>
      <c r="T39" s="2"/>
      <c r="U39" s="2">
        <v>0</v>
      </c>
      <c r="V39" s="2">
        <v>1</v>
      </c>
      <c r="W39" s="2">
        <v>2</v>
      </c>
    </row>
    <row r="40" spans="1:23" x14ac:dyDescent="0.25">
      <c r="A40" s="10" t="s">
        <v>14</v>
      </c>
      <c r="B40" s="3">
        <v>1</v>
      </c>
      <c r="C40" s="1">
        <f>(178*10^5)/0.09</f>
        <v>197777777.77777779</v>
      </c>
      <c r="D40" s="1">
        <f>(2*10^3)/0.09</f>
        <v>22222.222222222223</v>
      </c>
      <c r="E40" s="1">
        <f>D40/C40</f>
        <v>1.1235955056179774E-4</v>
      </c>
      <c r="F40" s="1">
        <f>(76*10^4)/0.1</f>
        <v>7600000</v>
      </c>
      <c r="G40" s="1">
        <f>(1*10)/0.1</f>
        <v>100</v>
      </c>
      <c r="H40" s="1">
        <f>G40/F40</f>
        <v>1.3157894736842106E-5</v>
      </c>
      <c r="I40" s="1">
        <f>(57*10^5)/0.1</f>
        <v>57000000</v>
      </c>
      <c r="J40" s="1">
        <f>(0*10^2)/0.1</f>
        <v>0</v>
      </c>
      <c r="K40" s="1">
        <f>J40/I40</f>
        <v>0</v>
      </c>
      <c r="L40" s="1" t="s">
        <v>30</v>
      </c>
      <c r="M40" s="1">
        <f>AVERAGE(C40:C42)/100</f>
        <v>2285185.1851851852</v>
      </c>
      <c r="N40" s="1">
        <f>AVERAGE(F40:F42)</f>
        <v>8733333.333333334</v>
      </c>
      <c r="O40" s="1">
        <f>AVERAGE(I40:I42)</f>
        <v>79000000</v>
      </c>
      <c r="P40" s="1">
        <v>1</v>
      </c>
      <c r="Q40" s="1">
        <f>C40/100</f>
        <v>1977777.777777778</v>
      </c>
      <c r="R40" s="1">
        <f>F40</f>
        <v>7600000</v>
      </c>
      <c r="S40" s="1">
        <f>I40</f>
        <v>57000000</v>
      </c>
      <c r="T40" s="1">
        <v>1</v>
      </c>
      <c r="U40" s="1">
        <f>E40</f>
        <v>1.1235955056179774E-4</v>
      </c>
      <c r="V40" s="1">
        <f>H40</f>
        <v>1.3157894736842106E-5</v>
      </c>
      <c r="W40" s="1">
        <f>K40</f>
        <v>0</v>
      </c>
    </row>
    <row r="41" spans="1:23" x14ac:dyDescent="0.25">
      <c r="A41" s="10"/>
      <c r="B41" s="3">
        <v>2</v>
      </c>
      <c r="C41" s="1">
        <f>(218*10^5)/0.09</f>
        <v>242222222.22222224</v>
      </c>
      <c r="D41" s="1">
        <f>(5*10^3)/0.09</f>
        <v>55555.555555555555</v>
      </c>
      <c r="E41" s="1">
        <f t="shared" ref="E41:E42" si="82">D41/C41</f>
        <v>2.293577981651376E-4</v>
      </c>
      <c r="F41" s="1">
        <f>(89*10^4)/0.1</f>
        <v>8900000</v>
      </c>
      <c r="G41" s="1">
        <f>(1*10^2)/0.1</f>
        <v>1000</v>
      </c>
      <c r="H41" s="1">
        <f t="shared" ref="H41:H42" si="83">G41/F41</f>
        <v>1.1235955056179776E-4</v>
      </c>
      <c r="I41" s="1">
        <f>(92*10^5)/0.1</f>
        <v>92000000</v>
      </c>
      <c r="J41" s="1">
        <f>(2*10^0)/0.1</f>
        <v>20</v>
      </c>
      <c r="K41" s="1">
        <f t="shared" ref="K41:K42" si="84">J41/I41</f>
        <v>2.1739130434782609E-7</v>
      </c>
      <c r="P41" s="1">
        <v>2</v>
      </c>
      <c r="Q41" s="1">
        <f t="shared" ref="Q41:Q42" si="85">C41/100</f>
        <v>2422222.2222222225</v>
      </c>
      <c r="R41" s="1">
        <f t="shared" ref="R41:R42" si="86">F41</f>
        <v>8900000</v>
      </c>
      <c r="S41" s="1">
        <f t="shared" ref="S41:S42" si="87">I41</f>
        <v>92000000</v>
      </c>
      <c r="T41" s="1">
        <v>2</v>
      </c>
      <c r="U41" s="1">
        <f t="shared" ref="U41:U42" si="88">E41</f>
        <v>2.293577981651376E-4</v>
      </c>
      <c r="V41" s="1">
        <f t="shared" ref="V41:V42" si="89">H41</f>
        <v>1.1235955056179776E-4</v>
      </c>
      <c r="W41" s="1">
        <f t="shared" ref="W41:W42" si="90">K41</f>
        <v>2.1739130434782609E-7</v>
      </c>
    </row>
    <row r="42" spans="1:23" x14ac:dyDescent="0.25">
      <c r="A42" s="10"/>
      <c r="B42" s="3">
        <v>3</v>
      </c>
      <c r="C42" s="1">
        <f>(221*10^5)/0.09</f>
        <v>245555555.55555555</v>
      </c>
      <c r="D42" s="1">
        <f>(10*10^3)/0.09</f>
        <v>111111.11111111111</v>
      </c>
      <c r="E42" s="1">
        <f t="shared" si="82"/>
        <v>4.5248868778280545E-4</v>
      </c>
      <c r="F42" s="1">
        <f>(97*10^4)/0.1</f>
        <v>9700000</v>
      </c>
      <c r="G42" s="1">
        <f>(1*10^2)/0.1</f>
        <v>1000</v>
      </c>
      <c r="H42" s="1">
        <f t="shared" si="83"/>
        <v>1.0309278350515464E-4</v>
      </c>
      <c r="I42" s="1">
        <f>(88*10^5)/0.1</f>
        <v>88000000</v>
      </c>
      <c r="J42" s="1">
        <f>(7*10)/0.1</f>
        <v>700</v>
      </c>
      <c r="K42" s="1">
        <f t="shared" si="84"/>
        <v>7.9545454545454551E-6</v>
      </c>
      <c r="P42" s="1">
        <v>3</v>
      </c>
      <c r="Q42" s="1">
        <f t="shared" si="85"/>
        <v>2455555.5555555555</v>
      </c>
      <c r="R42" s="1">
        <f t="shared" si="86"/>
        <v>9700000</v>
      </c>
      <c r="S42" s="1">
        <f t="shared" si="87"/>
        <v>88000000</v>
      </c>
      <c r="T42" s="1">
        <v>3</v>
      </c>
      <c r="U42" s="1">
        <f t="shared" si="88"/>
        <v>4.5248868778280545E-4</v>
      </c>
      <c r="V42" s="1">
        <f t="shared" si="89"/>
        <v>1.0309278350515464E-4</v>
      </c>
      <c r="W42" s="1">
        <f t="shared" si="90"/>
        <v>7.9545454545454551E-6</v>
      </c>
    </row>
    <row r="43" spans="1:23" x14ac:dyDescent="0.25">
      <c r="B43" s="2"/>
      <c r="C43" s="11" t="s">
        <v>5</v>
      </c>
      <c r="D43" s="11"/>
      <c r="E43" s="11"/>
      <c r="F43" s="11" t="s">
        <v>6</v>
      </c>
      <c r="G43" s="11"/>
      <c r="H43" s="11"/>
      <c r="I43" s="11" t="s">
        <v>7</v>
      </c>
      <c r="J43" s="11"/>
      <c r="K43" s="11"/>
    </row>
    <row r="44" spans="1:23" x14ac:dyDescent="0.25">
      <c r="A44" s="2" t="s">
        <v>31</v>
      </c>
      <c r="B44" s="2" t="s">
        <v>32</v>
      </c>
      <c r="C44" s="2" t="s">
        <v>11</v>
      </c>
      <c r="D44" s="2" t="s">
        <v>12</v>
      </c>
      <c r="E44" s="2" t="s">
        <v>13</v>
      </c>
      <c r="F44" s="2" t="s">
        <v>11</v>
      </c>
      <c r="G44" s="2" t="s">
        <v>12</v>
      </c>
      <c r="H44" s="2" t="s">
        <v>13</v>
      </c>
      <c r="I44" s="2" t="s">
        <v>11</v>
      </c>
      <c r="J44" s="2" t="s">
        <v>12</v>
      </c>
      <c r="K44" s="2" t="s">
        <v>13</v>
      </c>
      <c r="L44" s="2"/>
      <c r="M44" s="2">
        <v>0</v>
      </c>
      <c r="N44" s="2">
        <v>1</v>
      </c>
      <c r="O44" s="2">
        <v>2</v>
      </c>
      <c r="Q44" s="2">
        <v>0</v>
      </c>
      <c r="R44" s="2">
        <v>1</v>
      </c>
      <c r="S44" s="2">
        <v>2</v>
      </c>
      <c r="T44" s="2"/>
      <c r="U44" s="2">
        <v>0</v>
      </c>
      <c r="V44" s="2">
        <v>1</v>
      </c>
      <c r="W44" s="2">
        <v>2</v>
      </c>
    </row>
    <row r="45" spans="1:23" x14ac:dyDescent="0.25">
      <c r="A45" s="10" t="s">
        <v>14</v>
      </c>
      <c r="B45" s="3">
        <v>1</v>
      </c>
      <c r="C45" s="1">
        <f>(223*10^5)/0.09</f>
        <v>247777777.77777779</v>
      </c>
      <c r="D45" s="1">
        <f>(202*10^5)/0.09</f>
        <v>224444444.44444445</v>
      </c>
      <c r="E45" s="1">
        <f>D45/C45</f>
        <v>0.905829596412556</v>
      </c>
      <c r="F45" s="1">
        <f>(65*10^4)/0.09</f>
        <v>7222222.2222222229</v>
      </c>
      <c r="G45" s="1">
        <f>(59*10^4)/0.09</f>
        <v>6555555.555555556</v>
      </c>
      <c r="H45" s="1">
        <f>G45/F45</f>
        <v>0.90769230769230769</v>
      </c>
      <c r="I45" s="1">
        <f>(30*10^5)/0.09</f>
        <v>33333333.333333336</v>
      </c>
      <c r="J45" s="1">
        <f>(29*10^5)/0.09</f>
        <v>32222222.222222224</v>
      </c>
      <c r="K45" s="1">
        <f>J45/I45</f>
        <v>0.96666666666666667</v>
      </c>
      <c r="L45" s="1" t="s">
        <v>32</v>
      </c>
      <c r="M45" s="1">
        <f>AVERAGE(C45:C47)/100</f>
        <v>2477777.777777778</v>
      </c>
      <c r="N45" s="1">
        <f>AVERAGE(F45:F47)</f>
        <v>8259259.2592592603</v>
      </c>
      <c r="O45" s="1">
        <f>AVERAGE(I45:I47)</f>
        <v>36666666.666666664</v>
      </c>
      <c r="P45" s="1">
        <v>1</v>
      </c>
      <c r="Q45" s="1">
        <f>C45/100</f>
        <v>2477777.777777778</v>
      </c>
      <c r="R45" s="1">
        <f>F45</f>
        <v>7222222.2222222229</v>
      </c>
      <c r="S45" s="1">
        <f>I45</f>
        <v>33333333.333333336</v>
      </c>
      <c r="T45" s="1">
        <v>1</v>
      </c>
      <c r="U45" s="1">
        <f>E45</f>
        <v>0.905829596412556</v>
      </c>
      <c r="V45" s="1">
        <f>H45</f>
        <v>0.90769230769230769</v>
      </c>
      <c r="W45" s="1">
        <f>K45</f>
        <v>0.96666666666666667</v>
      </c>
    </row>
    <row r="46" spans="1:23" x14ac:dyDescent="0.25">
      <c r="A46" s="10"/>
      <c r="B46" s="3">
        <v>2</v>
      </c>
      <c r="C46" s="1">
        <f>(206*10^5)/0.09</f>
        <v>228888888.8888889</v>
      </c>
      <c r="D46" s="1">
        <f>(198*10^5)/0.09</f>
        <v>220000000</v>
      </c>
      <c r="E46" s="1">
        <f t="shared" ref="E46:E47" si="91">D46/C46</f>
        <v>0.96116504854368934</v>
      </c>
      <c r="F46" s="1">
        <f>(95*10^4)/0.09</f>
        <v>10555555.555555556</v>
      </c>
      <c r="G46" s="1">
        <f>(91*10^4)/0.09</f>
        <v>10111111.111111112</v>
      </c>
      <c r="H46" s="1">
        <f t="shared" ref="H46:H47" si="92">G46/F46</f>
        <v>0.95789473684210535</v>
      </c>
      <c r="I46" s="1">
        <f>(33*10^5)/0.09</f>
        <v>36666666.666666672</v>
      </c>
      <c r="J46" s="1">
        <f>(10*10^5)/0.09</f>
        <v>11111111.111111112</v>
      </c>
      <c r="K46" s="1">
        <f t="shared" ref="K46:K47" si="93">J46/I46</f>
        <v>0.30303030303030304</v>
      </c>
      <c r="P46" s="1">
        <v>2</v>
      </c>
      <c r="Q46" s="1">
        <f t="shared" ref="Q46:Q47" si="94">C46/100</f>
        <v>2288888.888888889</v>
      </c>
      <c r="R46" s="1">
        <f t="shared" ref="R46:R47" si="95">F46</f>
        <v>10555555.555555556</v>
      </c>
      <c r="S46" s="1">
        <f t="shared" ref="S46:S47" si="96">I46</f>
        <v>36666666.666666672</v>
      </c>
      <c r="T46" s="1">
        <v>2</v>
      </c>
      <c r="U46" s="1">
        <f t="shared" ref="U46:U47" si="97">E46</f>
        <v>0.96116504854368934</v>
      </c>
      <c r="V46" s="1">
        <f t="shared" ref="V46:V47" si="98">H46</f>
        <v>0.95789473684210535</v>
      </c>
      <c r="W46" s="1">
        <f t="shared" ref="W46:W47" si="99">K46</f>
        <v>0.30303030303030304</v>
      </c>
    </row>
    <row r="47" spans="1:23" x14ac:dyDescent="0.25">
      <c r="A47" s="10"/>
      <c r="B47" s="3">
        <v>3</v>
      </c>
      <c r="C47" s="1">
        <f>(240*10^5)/0.09</f>
        <v>266666666.66666669</v>
      </c>
      <c r="D47" s="1">
        <f>(208*10^5)/0.09</f>
        <v>231111111.11111113</v>
      </c>
      <c r="E47" s="1">
        <f t="shared" si="91"/>
        <v>0.8666666666666667</v>
      </c>
      <c r="F47" s="1">
        <f>(63*10^4)/0.09</f>
        <v>7000000</v>
      </c>
      <c r="G47" s="1">
        <f>(54*10^4)/0.09</f>
        <v>6000000</v>
      </c>
      <c r="H47" s="1">
        <f t="shared" si="92"/>
        <v>0.8571428571428571</v>
      </c>
      <c r="I47" s="1">
        <f>(36*10^5)/0.09</f>
        <v>40000000</v>
      </c>
      <c r="J47" s="1">
        <f>(21*10^5)/0.09</f>
        <v>23333333.333333336</v>
      </c>
      <c r="K47" s="1">
        <f t="shared" si="93"/>
        <v>0.58333333333333337</v>
      </c>
      <c r="P47" s="1">
        <v>3</v>
      </c>
      <c r="Q47" s="1">
        <f t="shared" si="94"/>
        <v>2666666.666666667</v>
      </c>
      <c r="R47" s="1">
        <f t="shared" si="95"/>
        <v>7000000</v>
      </c>
      <c r="S47" s="1">
        <f t="shared" si="96"/>
        <v>40000000</v>
      </c>
      <c r="T47" s="1">
        <v>3</v>
      </c>
      <c r="U47" s="1">
        <f t="shared" si="97"/>
        <v>0.8666666666666667</v>
      </c>
      <c r="V47" s="1">
        <f t="shared" si="98"/>
        <v>0.8571428571428571</v>
      </c>
      <c r="W47" s="1">
        <f t="shared" si="99"/>
        <v>0.58333333333333337</v>
      </c>
    </row>
    <row r="48" spans="1:23" x14ac:dyDescent="0.25">
      <c r="A48" s="2"/>
      <c r="B48" s="2" t="s">
        <v>33</v>
      </c>
      <c r="C48" s="2" t="s">
        <v>11</v>
      </c>
      <c r="D48" s="2" t="s">
        <v>12</v>
      </c>
      <c r="E48" s="2" t="s">
        <v>13</v>
      </c>
      <c r="F48" s="2" t="s">
        <v>11</v>
      </c>
      <c r="G48" s="2" t="s">
        <v>12</v>
      </c>
      <c r="H48" s="2" t="s">
        <v>13</v>
      </c>
      <c r="I48" s="2" t="s">
        <v>11</v>
      </c>
      <c r="J48" s="2" t="s">
        <v>12</v>
      </c>
      <c r="K48" s="2" t="s">
        <v>13</v>
      </c>
      <c r="L48" s="2"/>
      <c r="M48" s="2">
        <v>0</v>
      </c>
      <c r="N48" s="2">
        <v>1</v>
      </c>
      <c r="O48" s="2">
        <v>2</v>
      </c>
      <c r="Q48" s="2">
        <v>0</v>
      </c>
      <c r="R48" s="2">
        <v>1</v>
      </c>
      <c r="S48" s="2">
        <v>2</v>
      </c>
      <c r="T48" s="2"/>
      <c r="U48" s="2">
        <v>0</v>
      </c>
      <c r="V48" s="2">
        <v>1</v>
      </c>
      <c r="W48" s="2">
        <v>2</v>
      </c>
    </row>
    <row r="49" spans="1:23" x14ac:dyDescent="0.25">
      <c r="A49" s="10" t="s">
        <v>14</v>
      </c>
      <c r="B49" s="3">
        <v>1</v>
      </c>
      <c r="C49" s="1">
        <f>(250*10^5)/0.09</f>
        <v>277777777.77777779</v>
      </c>
      <c r="D49" s="1">
        <f>(247*10^5)/0.09</f>
        <v>274444444.44444448</v>
      </c>
      <c r="E49" s="1">
        <f>D49/C49</f>
        <v>0.9880000000000001</v>
      </c>
      <c r="F49" s="1">
        <f>(46*10^4)/0.09</f>
        <v>5111111.111111111</v>
      </c>
      <c r="G49" s="1">
        <f>(42*10^4)/0.09</f>
        <v>4666666.666666667</v>
      </c>
      <c r="H49" s="1">
        <f>G49/F49</f>
        <v>0.91304347826086962</v>
      </c>
      <c r="I49" s="1">
        <f>(45*10^5)/0.09</f>
        <v>50000000</v>
      </c>
      <c r="J49" s="1">
        <f>(42*10^5)/0.09</f>
        <v>46666666.666666672</v>
      </c>
      <c r="K49" s="1">
        <f>J49/I49</f>
        <v>0.93333333333333346</v>
      </c>
      <c r="L49" s="1" t="s">
        <v>33</v>
      </c>
      <c r="M49" s="1">
        <f>AVERAGE(C49:C51)/100</f>
        <v>2874074.0740740742</v>
      </c>
      <c r="N49" s="1">
        <f>AVERAGE(F49:F51)</f>
        <v>4592592.5925925924</v>
      </c>
      <c r="O49" s="1">
        <f>AVERAGE(I49:I51)</f>
        <v>42222222.222222224</v>
      </c>
      <c r="P49" s="1">
        <v>1</v>
      </c>
      <c r="Q49" s="1">
        <f>C49/100</f>
        <v>2777777.777777778</v>
      </c>
      <c r="R49" s="1">
        <f>F49</f>
        <v>5111111.111111111</v>
      </c>
      <c r="S49" s="1">
        <f>I49</f>
        <v>50000000</v>
      </c>
      <c r="T49" s="1">
        <v>1</v>
      </c>
      <c r="U49" s="1">
        <f>E49</f>
        <v>0.9880000000000001</v>
      </c>
      <c r="V49" s="1">
        <f>H49</f>
        <v>0.91304347826086962</v>
      </c>
      <c r="W49" s="1">
        <f>K49</f>
        <v>0.93333333333333346</v>
      </c>
    </row>
    <row r="50" spans="1:23" x14ac:dyDescent="0.25">
      <c r="A50" s="10"/>
      <c r="B50" s="3">
        <v>2</v>
      </c>
      <c r="C50" s="1">
        <f>(308*10^5)/0.09</f>
        <v>342222222.22222221</v>
      </c>
      <c r="D50" s="1">
        <f>(298*10^5)/0.09</f>
        <v>331111111.1111111</v>
      </c>
      <c r="E50" s="1">
        <f t="shared" ref="E50:E51" si="100">D50/C50</f>
        <v>0.96753246753246758</v>
      </c>
      <c r="F50" s="1">
        <f>(52*10^4)/0.09</f>
        <v>5777777.777777778</v>
      </c>
      <c r="G50" s="1">
        <f>(49*10^4)/0.09</f>
        <v>5444444.444444445</v>
      </c>
      <c r="H50" s="1">
        <f t="shared" ref="H50:H51" si="101">G50/F50</f>
        <v>0.9423076923076924</v>
      </c>
      <c r="I50" s="1">
        <f>(49*10^5)/0.09</f>
        <v>54444444.444444448</v>
      </c>
      <c r="J50" s="1">
        <f>(44*10^5)/0.09</f>
        <v>48888888.888888888</v>
      </c>
      <c r="K50" s="1">
        <f t="shared" ref="K50:K51" si="102">J50/I50</f>
        <v>0.89795918367346927</v>
      </c>
      <c r="P50" s="1">
        <v>2</v>
      </c>
      <c r="Q50" s="1">
        <f t="shared" ref="Q50:Q51" si="103">C50/100</f>
        <v>3422222.222222222</v>
      </c>
      <c r="R50" s="1">
        <f t="shared" ref="R50:R51" si="104">F50</f>
        <v>5777777.777777778</v>
      </c>
      <c r="S50" s="1">
        <f t="shared" ref="S50:S51" si="105">I50</f>
        <v>54444444.444444448</v>
      </c>
      <c r="T50" s="1">
        <v>2</v>
      </c>
      <c r="U50" s="1">
        <f t="shared" ref="U50:U51" si="106">E50</f>
        <v>0.96753246753246758</v>
      </c>
      <c r="V50" s="1">
        <f t="shared" ref="V50:V51" si="107">H50</f>
        <v>0.9423076923076924</v>
      </c>
      <c r="W50" s="1">
        <f t="shared" ref="W50:W51" si="108">K50</f>
        <v>0.89795918367346927</v>
      </c>
    </row>
    <row r="51" spans="1:23" x14ac:dyDescent="0.25">
      <c r="A51" s="10"/>
      <c r="B51" s="3">
        <v>3</v>
      </c>
      <c r="C51" s="1">
        <f>(218*10^5)/0.09</f>
        <v>242222222.22222224</v>
      </c>
      <c r="D51" s="1">
        <f>(202*10^5)/0.09</f>
        <v>224444444.44444445</v>
      </c>
      <c r="E51" s="1">
        <f t="shared" si="100"/>
        <v>0.92660550458715596</v>
      </c>
      <c r="F51" s="1">
        <f>(26*10^4)/0.09</f>
        <v>2888888.888888889</v>
      </c>
      <c r="G51" s="1">
        <f>(24*10^4)/0.09</f>
        <v>2666666.666666667</v>
      </c>
      <c r="H51" s="1">
        <f t="shared" si="101"/>
        <v>0.92307692307692313</v>
      </c>
      <c r="I51" s="1">
        <f>(20*10^5)/0.09</f>
        <v>22222222.222222224</v>
      </c>
      <c r="J51" s="1">
        <f>(12*10^5)/0.09</f>
        <v>13333333.333333334</v>
      </c>
      <c r="K51" s="1">
        <f t="shared" si="102"/>
        <v>0.6</v>
      </c>
      <c r="P51" s="1">
        <v>3</v>
      </c>
      <c r="Q51" s="1">
        <f t="shared" si="103"/>
        <v>2422222.2222222225</v>
      </c>
      <c r="R51" s="1">
        <f t="shared" si="104"/>
        <v>2888888.888888889</v>
      </c>
      <c r="S51" s="1">
        <f t="shared" si="105"/>
        <v>22222222.222222224</v>
      </c>
      <c r="T51" s="1">
        <v>3</v>
      </c>
      <c r="U51" s="1">
        <f t="shared" si="106"/>
        <v>0.92660550458715596</v>
      </c>
      <c r="V51" s="1">
        <f t="shared" si="107"/>
        <v>0.92307692307692313</v>
      </c>
      <c r="W51" s="1">
        <f t="shared" si="108"/>
        <v>0.6</v>
      </c>
    </row>
    <row r="52" spans="1:23" x14ac:dyDescent="0.25">
      <c r="A52" s="2"/>
      <c r="B52" s="2" t="s">
        <v>34</v>
      </c>
      <c r="C52" s="2" t="s">
        <v>11</v>
      </c>
      <c r="D52" s="2" t="s">
        <v>12</v>
      </c>
      <c r="E52" s="2" t="s">
        <v>13</v>
      </c>
      <c r="F52" s="2" t="s">
        <v>11</v>
      </c>
      <c r="G52" s="2" t="s">
        <v>12</v>
      </c>
      <c r="H52" s="2" t="s">
        <v>13</v>
      </c>
      <c r="I52" s="2" t="s">
        <v>11</v>
      </c>
      <c r="J52" s="2" t="s">
        <v>12</v>
      </c>
      <c r="K52" s="2" t="s">
        <v>13</v>
      </c>
      <c r="L52" s="2"/>
      <c r="M52" s="2">
        <v>0</v>
      </c>
      <c r="N52" s="2">
        <v>1</v>
      </c>
      <c r="O52" s="2">
        <v>2</v>
      </c>
      <c r="Q52" s="2">
        <v>0</v>
      </c>
      <c r="R52" s="2">
        <v>1</v>
      </c>
      <c r="S52" s="2">
        <v>2</v>
      </c>
      <c r="T52" s="2"/>
      <c r="U52" s="2">
        <v>0</v>
      </c>
      <c r="V52" s="2">
        <v>1</v>
      </c>
      <c r="W52" s="2">
        <v>2</v>
      </c>
    </row>
    <row r="53" spans="1:23" x14ac:dyDescent="0.25">
      <c r="A53" s="10" t="s">
        <v>14</v>
      </c>
      <c r="B53" s="3">
        <v>1</v>
      </c>
      <c r="C53" s="1">
        <f>(194*10^5)/0.09</f>
        <v>215555555.55555555</v>
      </c>
      <c r="D53" s="1">
        <f>(179*10^5)/0.09</f>
        <v>198888888.8888889</v>
      </c>
      <c r="E53" s="1">
        <f>D53/C53</f>
        <v>0.92268041237113407</v>
      </c>
      <c r="F53" s="1">
        <f>(41*10^4)/0.09</f>
        <v>4555555.555555556</v>
      </c>
      <c r="G53" s="1">
        <f>(37*10^4)/0.09</f>
        <v>4111111.1111111115</v>
      </c>
      <c r="H53" s="1">
        <f>G53/F53</f>
        <v>0.90243902439024393</v>
      </c>
      <c r="I53" s="1">
        <f>(23*10^5)/0.09</f>
        <v>25555555.555555556</v>
      </c>
      <c r="J53" s="1">
        <f>(9*10^5)/0.09</f>
        <v>10000000</v>
      </c>
      <c r="K53" s="1">
        <f t="shared" ref="K53:K54" si="109">J53/I53</f>
        <v>0.39130434782608697</v>
      </c>
      <c r="L53" s="1" t="s">
        <v>34</v>
      </c>
      <c r="M53" s="1">
        <f>AVERAGE(C53:C55)/100</f>
        <v>1629629.6296296297</v>
      </c>
      <c r="N53" s="1">
        <f>AVERAGE(F53:F55)</f>
        <v>8037037.0370370373</v>
      </c>
      <c r="O53" s="1">
        <f>AVERAGE(I53:I55)</f>
        <v>38518518.518518515</v>
      </c>
      <c r="P53" s="1">
        <v>1</v>
      </c>
      <c r="Q53" s="1">
        <f>C53/100</f>
        <v>2155555.5555555555</v>
      </c>
      <c r="R53" s="1">
        <f>F53</f>
        <v>4555555.555555556</v>
      </c>
      <c r="S53" s="1">
        <f>I53</f>
        <v>25555555.555555556</v>
      </c>
      <c r="T53" s="1">
        <v>1</v>
      </c>
      <c r="U53" s="1">
        <f>E53</f>
        <v>0.92268041237113407</v>
      </c>
      <c r="V53" s="1">
        <f>H53</f>
        <v>0.90243902439024393</v>
      </c>
      <c r="W53" s="1">
        <f>K53</f>
        <v>0.39130434782608697</v>
      </c>
    </row>
    <row r="54" spans="1:23" x14ac:dyDescent="0.25">
      <c r="A54" s="10"/>
      <c r="B54" s="3">
        <v>2</v>
      </c>
      <c r="C54" s="1">
        <f>(198*10^5)/0.09</f>
        <v>220000000</v>
      </c>
      <c r="D54" s="1">
        <f>(178*10^5)/0.09</f>
        <v>197777777.77777779</v>
      </c>
      <c r="E54" s="1">
        <f t="shared" ref="E54" si="110">D54/C54</f>
        <v>0.89898989898989901</v>
      </c>
      <c r="F54" s="1">
        <f>(36*10^4)/0.09</f>
        <v>4000000</v>
      </c>
      <c r="G54" s="1">
        <f>(33*10^4)/0.09</f>
        <v>3666666.666666667</v>
      </c>
      <c r="H54" s="1">
        <f t="shared" ref="H54" si="111">G54/F54</f>
        <v>0.91666666666666674</v>
      </c>
      <c r="I54" s="1">
        <f>(26*10^5)/0.09</f>
        <v>28888888.888888892</v>
      </c>
      <c r="J54" s="1">
        <f>(20*10^5)/0.09</f>
        <v>22222222.222222224</v>
      </c>
      <c r="K54" s="1">
        <f t="shared" si="109"/>
        <v>0.76923076923076916</v>
      </c>
      <c r="P54" s="1">
        <v>2</v>
      </c>
      <c r="Q54" s="1">
        <f t="shared" ref="Q54:Q55" si="112">C54/100</f>
        <v>2200000</v>
      </c>
      <c r="R54" s="1">
        <f t="shared" ref="R54:R55" si="113">F54</f>
        <v>4000000</v>
      </c>
      <c r="S54" s="1">
        <f t="shared" ref="S54:S55" si="114">I54</f>
        <v>28888888.888888892</v>
      </c>
      <c r="T54" s="1">
        <v>2</v>
      </c>
      <c r="U54" s="1">
        <f t="shared" ref="U54:U55" si="115">E54</f>
        <v>0.89898989898989901</v>
      </c>
      <c r="V54" s="1">
        <f t="shared" ref="V54:V55" si="116">H54</f>
        <v>0.91666666666666674</v>
      </c>
      <c r="W54" s="1">
        <f t="shared" ref="W54:W55" si="117">K54</f>
        <v>0.76923076923076916</v>
      </c>
    </row>
    <row r="55" spans="1:23" x14ac:dyDescent="0.25">
      <c r="A55" s="10"/>
      <c r="B55" s="3">
        <v>3</v>
      </c>
      <c r="C55" s="1">
        <f>(48*10^5)/0.09</f>
        <v>53333333.333333336</v>
      </c>
      <c r="D55" s="1">
        <f>(0*10^5)/0.09</f>
        <v>0</v>
      </c>
      <c r="E55" s="1">
        <f>D55/C55</f>
        <v>0</v>
      </c>
      <c r="F55" s="1">
        <f>(140*10^4)/0.09</f>
        <v>15555555.555555556</v>
      </c>
      <c r="G55" s="1">
        <f>(0*10^3)/0.09</f>
        <v>0</v>
      </c>
      <c r="H55" s="1">
        <f>G55/F55</f>
        <v>0</v>
      </c>
      <c r="I55" s="1">
        <f>(55*10^5)/0.09</f>
        <v>61111111.111111112</v>
      </c>
      <c r="J55" s="1">
        <f>(0*10^4)/0.09</f>
        <v>0</v>
      </c>
      <c r="K55" s="1">
        <f>J55/I55</f>
        <v>0</v>
      </c>
      <c r="P55" s="1">
        <v>3</v>
      </c>
      <c r="Q55" s="1">
        <f t="shared" si="112"/>
        <v>533333.33333333337</v>
      </c>
      <c r="R55" s="1">
        <f t="shared" si="113"/>
        <v>15555555.555555556</v>
      </c>
      <c r="S55" s="1">
        <f t="shared" si="114"/>
        <v>61111111.111111112</v>
      </c>
      <c r="T55" s="1">
        <v>3</v>
      </c>
      <c r="U55" s="1">
        <f t="shared" si="115"/>
        <v>0</v>
      </c>
      <c r="V55" s="1">
        <f t="shared" si="116"/>
        <v>0</v>
      </c>
      <c r="W55" s="1">
        <f t="shared" si="117"/>
        <v>0</v>
      </c>
    </row>
    <row r="56" spans="1:23" x14ac:dyDescent="0.25">
      <c r="A56" s="2"/>
      <c r="B56" s="2" t="s">
        <v>35</v>
      </c>
      <c r="C56" s="2" t="s">
        <v>11</v>
      </c>
      <c r="D56" s="2" t="s">
        <v>12</v>
      </c>
      <c r="E56" s="2" t="s">
        <v>13</v>
      </c>
      <c r="F56" s="2" t="s">
        <v>11</v>
      </c>
      <c r="G56" s="2" t="s">
        <v>12</v>
      </c>
      <c r="H56" s="2" t="s">
        <v>13</v>
      </c>
      <c r="I56" s="2" t="s">
        <v>11</v>
      </c>
      <c r="J56" s="2" t="s">
        <v>12</v>
      </c>
      <c r="K56" s="2" t="s">
        <v>13</v>
      </c>
      <c r="L56" s="2"/>
      <c r="M56" s="2">
        <v>0</v>
      </c>
      <c r="N56" s="2">
        <v>1</v>
      </c>
      <c r="O56" s="2">
        <v>2</v>
      </c>
      <c r="Q56" s="2">
        <v>0</v>
      </c>
      <c r="R56" s="2">
        <v>1</v>
      </c>
      <c r="S56" s="2">
        <v>2</v>
      </c>
      <c r="T56" s="2"/>
      <c r="U56" s="2">
        <v>0</v>
      </c>
      <c r="V56" s="2">
        <v>1</v>
      </c>
      <c r="W56" s="2">
        <v>2</v>
      </c>
    </row>
    <row r="57" spans="1:23" x14ac:dyDescent="0.25">
      <c r="A57" s="10" t="s">
        <v>14</v>
      </c>
      <c r="B57" s="3">
        <v>1</v>
      </c>
      <c r="C57" s="1">
        <f>(270*10^5)/0.09</f>
        <v>300000000</v>
      </c>
      <c r="D57" s="1">
        <f>(238*10^5)/0.09</f>
        <v>264444444.44444445</v>
      </c>
      <c r="E57" s="1">
        <f>D57/C57</f>
        <v>0.88148148148148153</v>
      </c>
      <c r="F57" s="1">
        <f>(37*10^4)/0.09</f>
        <v>4111111.1111111115</v>
      </c>
      <c r="G57" s="1">
        <f>(34*10^4)/0.09</f>
        <v>3777777.777777778</v>
      </c>
      <c r="H57" s="1">
        <f>G57/F57</f>
        <v>0.91891891891891886</v>
      </c>
      <c r="I57" s="1">
        <f>(27*10^5)/0.09</f>
        <v>30000000</v>
      </c>
      <c r="J57" s="1">
        <f>(24*10^5)/0.09</f>
        <v>26666666.666666668</v>
      </c>
      <c r="K57" s="1">
        <f>J57/I57</f>
        <v>0.88888888888888895</v>
      </c>
      <c r="L57" s="1" t="s">
        <v>35</v>
      </c>
      <c r="M57" s="1">
        <f>AVERAGE(C57:C59)/100</f>
        <v>2903703.7037037038</v>
      </c>
      <c r="N57" s="1">
        <f>AVERAGE(F57:F59)</f>
        <v>5777777.7777777789</v>
      </c>
      <c r="O57" s="1">
        <f>AVERAGE(I57:I59)</f>
        <v>80000000</v>
      </c>
      <c r="P57" s="1">
        <v>1</v>
      </c>
      <c r="Q57" s="1">
        <f>C57/100</f>
        <v>3000000</v>
      </c>
      <c r="R57" s="1">
        <f>F57</f>
        <v>4111111.1111111115</v>
      </c>
      <c r="S57" s="1">
        <f>I57</f>
        <v>30000000</v>
      </c>
      <c r="T57" s="1">
        <v>1</v>
      </c>
      <c r="U57" s="1">
        <f>E57</f>
        <v>0.88148148148148153</v>
      </c>
      <c r="V57" s="1">
        <f>H57</f>
        <v>0.91891891891891886</v>
      </c>
      <c r="W57" s="1">
        <f>K57</f>
        <v>0.88888888888888895</v>
      </c>
    </row>
    <row r="58" spans="1:23" x14ac:dyDescent="0.25">
      <c r="A58" s="10"/>
      <c r="B58" s="3">
        <v>2</v>
      </c>
      <c r="C58" s="1">
        <f>(254*10^5)/0.09</f>
        <v>282222222.22222221</v>
      </c>
      <c r="D58" s="1">
        <f>(219*10^5)/0.09</f>
        <v>243333333.33333334</v>
      </c>
      <c r="E58" s="1">
        <f t="shared" ref="E58:E59" si="118">D58/C58</f>
        <v>0.86220472440944884</v>
      </c>
      <c r="F58" s="1">
        <f>(75*10^4)/0.09</f>
        <v>8333333.333333334</v>
      </c>
      <c r="G58" s="1">
        <f>(56*10^4)/0.09</f>
        <v>6222222.222222222</v>
      </c>
      <c r="H58" s="1">
        <f t="shared" ref="H58:H59" si="119">G58/F58</f>
        <v>0.74666666666666659</v>
      </c>
      <c r="I58" s="1">
        <f>(90*10^5)/0.09</f>
        <v>100000000</v>
      </c>
      <c r="J58" s="1">
        <f>(68*10^5)/0.09</f>
        <v>75555555.555555552</v>
      </c>
      <c r="K58" s="1">
        <f t="shared" ref="K58:K59" si="120">J58/I58</f>
        <v>0.75555555555555554</v>
      </c>
      <c r="P58" s="1">
        <v>2</v>
      </c>
      <c r="Q58" s="1">
        <f t="shared" ref="Q58:Q59" si="121">C58/100</f>
        <v>2822222.222222222</v>
      </c>
      <c r="R58" s="1">
        <f t="shared" ref="R58:R59" si="122">F58</f>
        <v>8333333.333333334</v>
      </c>
      <c r="S58" s="1">
        <f t="shared" ref="S58:S59" si="123">I58</f>
        <v>100000000</v>
      </c>
      <c r="T58" s="1">
        <v>2</v>
      </c>
      <c r="U58" s="1">
        <f t="shared" ref="U58:U59" si="124">E58</f>
        <v>0.86220472440944884</v>
      </c>
      <c r="V58" s="1">
        <f t="shared" ref="V58:V59" si="125">H58</f>
        <v>0.74666666666666659</v>
      </c>
      <c r="W58" s="1">
        <f t="shared" ref="W58:W59" si="126">K58</f>
        <v>0.75555555555555554</v>
      </c>
    </row>
    <row r="59" spans="1:23" x14ac:dyDescent="0.25">
      <c r="A59" s="10"/>
      <c r="B59" s="3">
        <v>3</v>
      </c>
      <c r="C59" s="1">
        <f>(260*10^5)/0.09</f>
        <v>288888888.8888889</v>
      </c>
      <c r="D59" s="1">
        <f>(251*10^5)/0.09</f>
        <v>278888888.8888889</v>
      </c>
      <c r="E59" s="1">
        <f t="shared" si="118"/>
        <v>0.9653846153846154</v>
      </c>
      <c r="F59" s="1">
        <f>(44*10^4)/0.09</f>
        <v>4888888.888888889</v>
      </c>
      <c r="G59" s="1">
        <f>(31*10^4)/0.09</f>
        <v>3444444.4444444445</v>
      </c>
      <c r="H59" s="1">
        <f t="shared" si="119"/>
        <v>0.70454545454545459</v>
      </c>
      <c r="I59" s="1">
        <f>(99*10^5)/0.09</f>
        <v>110000000</v>
      </c>
      <c r="J59" s="1">
        <f>(60*10^5)/0.09</f>
        <v>66666666.666666672</v>
      </c>
      <c r="K59" s="1">
        <f t="shared" si="120"/>
        <v>0.60606060606060608</v>
      </c>
      <c r="P59" s="1">
        <v>3</v>
      </c>
      <c r="Q59" s="1">
        <f t="shared" si="121"/>
        <v>2888888.888888889</v>
      </c>
      <c r="R59" s="1">
        <f t="shared" si="122"/>
        <v>4888888.888888889</v>
      </c>
      <c r="S59" s="1">
        <f t="shared" si="123"/>
        <v>110000000</v>
      </c>
      <c r="T59" s="1">
        <v>3</v>
      </c>
      <c r="U59" s="1">
        <f t="shared" si="124"/>
        <v>0.9653846153846154</v>
      </c>
      <c r="V59" s="1">
        <f t="shared" si="125"/>
        <v>0.70454545454545459</v>
      </c>
      <c r="W59" s="1">
        <f t="shared" si="126"/>
        <v>0.60606060606060608</v>
      </c>
    </row>
    <row r="60" spans="1:23" x14ac:dyDescent="0.25">
      <c r="A60" s="2"/>
      <c r="B60" s="2" t="s">
        <v>36</v>
      </c>
      <c r="C60" s="2" t="s">
        <v>11</v>
      </c>
      <c r="D60" s="2" t="s">
        <v>12</v>
      </c>
      <c r="E60" s="2" t="s">
        <v>13</v>
      </c>
      <c r="F60" s="2" t="s">
        <v>11</v>
      </c>
      <c r="G60" s="2" t="s">
        <v>12</v>
      </c>
      <c r="H60" s="2" t="s">
        <v>13</v>
      </c>
      <c r="I60" s="2" t="s">
        <v>11</v>
      </c>
      <c r="J60" s="2" t="s">
        <v>12</v>
      </c>
      <c r="K60" s="2" t="s">
        <v>13</v>
      </c>
      <c r="L60" s="2"/>
      <c r="M60" s="2">
        <v>0</v>
      </c>
      <c r="N60" s="2">
        <v>1</v>
      </c>
      <c r="O60" s="2">
        <v>2</v>
      </c>
      <c r="Q60" s="2">
        <v>0</v>
      </c>
      <c r="R60" s="2">
        <v>1</v>
      </c>
      <c r="S60" s="2">
        <v>2</v>
      </c>
      <c r="T60" s="2"/>
      <c r="U60" s="2">
        <v>0</v>
      </c>
      <c r="V60" s="2">
        <v>1</v>
      </c>
      <c r="W60" s="2">
        <v>2</v>
      </c>
    </row>
    <row r="61" spans="1:23" x14ac:dyDescent="0.25">
      <c r="A61" s="10" t="s">
        <v>14</v>
      </c>
      <c r="B61" s="3">
        <v>1</v>
      </c>
      <c r="C61" s="1">
        <f>(284*10^5)/0.09</f>
        <v>315555555.55555558</v>
      </c>
      <c r="D61" s="1">
        <f>(277*10^5)/0.09</f>
        <v>307777777.77777779</v>
      </c>
      <c r="E61" s="1">
        <f>D61/C61</f>
        <v>0.97535211267605626</v>
      </c>
      <c r="F61" s="1">
        <f>(42*10^4)/0.09</f>
        <v>4666666.666666667</v>
      </c>
      <c r="G61" s="1">
        <f>(39*10^4)/0.09</f>
        <v>4333333.333333334</v>
      </c>
      <c r="H61" s="1">
        <f>G61/F61</f>
        <v>0.9285714285714286</v>
      </c>
      <c r="I61" s="1">
        <f>(22*10^5)/0.09</f>
        <v>24444444.444444444</v>
      </c>
      <c r="J61" s="1">
        <f>(17*10^5)/0.09</f>
        <v>18888888.888888888</v>
      </c>
      <c r="K61" s="1">
        <f>J61/I61</f>
        <v>0.77272727272727271</v>
      </c>
      <c r="L61" s="1" t="s">
        <v>36</v>
      </c>
      <c r="M61" s="1">
        <f>AVERAGE(C61:C63)/100</f>
        <v>2711111.111111111</v>
      </c>
      <c r="N61" s="1">
        <f>AVERAGE(F61:F63)</f>
        <v>7518518.5185185196</v>
      </c>
      <c r="O61" s="1">
        <f>AVERAGE(I61:I63)</f>
        <v>25555555.555555552</v>
      </c>
      <c r="P61" s="1">
        <v>1</v>
      </c>
      <c r="Q61" s="1">
        <f>C61/100</f>
        <v>3155555.555555556</v>
      </c>
      <c r="R61" s="1">
        <f>F61</f>
        <v>4666666.666666667</v>
      </c>
      <c r="S61" s="1">
        <f>I61</f>
        <v>24444444.444444444</v>
      </c>
      <c r="T61" s="1">
        <v>1</v>
      </c>
      <c r="U61" s="1">
        <f>E61</f>
        <v>0.97535211267605626</v>
      </c>
      <c r="V61" s="1">
        <f>H61</f>
        <v>0.9285714285714286</v>
      </c>
      <c r="W61" s="1">
        <f>K61</f>
        <v>0.77272727272727271</v>
      </c>
    </row>
    <row r="62" spans="1:23" x14ac:dyDescent="0.25">
      <c r="A62" s="10"/>
      <c r="B62" s="3">
        <v>2</v>
      </c>
      <c r="C62" s="1">
        <f>(245*10^5)/0.09</f>
        <v>272222222.22222221</v>
      </c>
      <c r="D62" s="1">
        <f>(228*10^5)/0.09</f>
        <v>253333333.33333334</v>
      </c>
      <c r="E62" s="1">
        <f t="shared" ref="E62:E63" si="127">D62/C62</f>
        <v>0.93061224489795924</v>
      </c>
      <c r="F62" s="1">
        <f>(31*10^4)/0.09</f>
        <v>3444444.4444444445</v>
      </c>
      <c r="G62" s="1">
        <f>(28*10^4)/0.09</f>
        <v>3111111.111111111</v>
      </c>
      <c r="H62" s="1">
        <f t="shared" ref="H62:H63" si="128">G62/F62</f>
        <v>0.90322580645161288</v>
      </c>
      <c r="I62" s="1">
        <f>(17*10^5)/0.09</f>
        <v>18888888.888888888</v>
      </c>
      <c r="J62" s="1">
        <f>(15*10^5)/0.09</f>
        <v>16666666.666666668</v>
      </c>
      <c r="K62" s="1">
        <f t="shared" ref="K62:K63" si="129">J62/I62</f>
        <v>0.88235294117647067</v>
      </c>
      <c r="P62" s="1">
        <v>2</v>
      </c>
      <c r="Q62" s="1">
        <f t="shared" ref="Q62:Q63" si="130">C62/100</f>
        <v>2722222.222222222</v>
      </c>
      <c r="R62" s="1">
        <f t="shared" ref="R62:R63" si="131">F62</f>
        <v>3444444.4444444445</v>
      </c>
      <c r="S62" s="1">
        <f t="shared" ref="S62:S63" si="132">I62</f>
        <v>18888888.888888888</v>
      </c>
      <c r="T62" s="1">
        <v>2</v>
      </c>
      <c r="U62" s="1">
        <f t="shared" ref="U62:U63" si="133">E62</f>
        <v>0.93061224489795924</v>
      </c>
      <c r="V62" s="1">
        <f t="shared" ref="V62:V63" si="134">H62</f>
        <v>0.90322580645161288</v>
      </c>
      <c r="W62" s="1">
        <f t="shared" ref="W62:W63" si="135">K62</f>
        <v>0.88235294117647067</v>
      </c>
    </row>
    <row r="63" spans="1:23" x14ac:dyDescent="0.25">
      <c r="A63" s="10"/>
      <c r="B63" s="3">
        <v>3</v>
      </c>
      <c r="C63" s="1">
        <f>(203*10^5)/0.09</f>
        <v>225555555.55555555</v>
      </c>
      <c r="D63" s="1">
        <f>(197*10^5)/0.09</f>
        <v>218888888.8888889</v>
      </c>
      <c r="E63" s="1">
        <f t="shared" si="127"/>
        <v>0.97044334975369462</v>
      </c>
      <c r="F63" s="1">
        <f>(130*10^4)/0.09</f>
        <v>14444444.444444446</v>
      </c>
      <c r="G63" s="1">
        <f>(88*10^4)/0.09</f>
        <v>9777777.777777778</v>
      </c>
      <c r="H63" s="1">
        <f t="shared" si="128"/>
        <v>0.67692307692307685</v>
      </c>
      <c r="I63" s="1">
        <f>(30*10^5)/0.09</f>
        <v>33333333.333333336</v>
      </c>
      <c r="J63" s="1">
        <f>(25*10^5)/0.09</f>
        <v>27777777.77777778</v>
      </c>
      <c r="K63" s="1">
        <f t="shared" si="129"/>
        <v>0.83333333333333337</v>
      </c>
      <c r="P63" s="1">
        <v>3</v>
      </c>
      <c r="Q63" s="1">
        <f t="shared" si="130"/>
        <v>2255555.5555555555</v>
      </c>
      <c r="R63" s="1">
        <f t="shared" si="131"/>
        <v>14444444.444444446</v>
      </c>
      <c r="S63" s="1">
        <f t="shared" si="132"/>
        <v>33333333.333333336</v>
      </c>
      <c r="T63" s="1">
        <v>3</v>
      </c>
      <c r="U63" s="1">
        <f t="shared" si="133"/>
        <v>0.97044334975369462</v>
      </c>
      <c r="V63" s="1">
        <f t="shared" si="134"/>
        <v>0.67692307692307685</v>
      </c>
      <c r="W63" s="1">
        <f t="shared" si="135"/>
        <v>0.83333333333333337</v>
      </c>
    </row>
    <row r="64" spans="1:23" x14ac:dyDescent="0.25">
      <c r="A64" s="2"/>
      <c r="B64" s="2" t="s">
        <v>37</v>
      </c>
      <c r="C64" s="2" t="s">
        <v>11</v>
      </c>
      <c r="D64" s="2" t="s">
        <v>12</v>
      </c>
      <c r="E64" s="2" t="s">
        <v>13</v>
      </c>
      <c r="F64" s="2" t="s">
        <v>11</v>
      </c>
      <c r="G64" s="2" t="s">
        <v>12</v>
      </c>
      <c r="H64" s="2" t="s">
        <v>13</v>
      </c>
      <c r="I64" s="2" t="s">
        <v>11</v>
      </c>
      <c r="J64" s="2" t="s">
        <v>12</v>
      </c>
      <c r="K64" s="2" t="s">
        <v>13</v>
      </c>
      <c r="L64" s="2"/>
      <c r="M64" s="2">
        <v>0</v>
      </c>
      <c r="N64" s="2">
        <v>1</v>
      </c>
      <c r="O64" s="2">
        <v>2</v>
      </c>
      <c r="Q64" s="2">
        <v>0</v>
      </c>
      <c r="R64" s="2">
        <v>1</v>
      </c>
      <c r="S64" s="2">
        <v>2</v>
      </c>
      <c r="T64" s="2"/>
      <c r="U64" s="2">
        <v>0</v>
      </c>
      <c r="V64" s="2">
        <v>1</v>
      </c>
      <c r="W64" s="2">
        <v>2</v>
      </c>
    </row>
    <row r="65" spans="1:23" x14ac:dyDescent="0.25">
      <c r="A65" s="10" t="s">
        <v>14</v>
      </c>
      <c r="B65" s="3">
        <v>1</v>
      </c>
      <c r="C65" s="1">
        <f>(209*10^5)/0.09</f>
        <v>232222222.22222224</v>
      </c>
      <c r="D65" s="1">
        <f>(201*10^5)/0.09</f>
        <v>223333333.33333334</v>
      </c>
      <c r="E65" s="1">
        <f>D65/C65</f>
        <v>0.96172248803827753</v>
      </c>
      <c r="F65" s="1">
        <f>(60*10^4)/0.09</f>
        <v>6666666.666666667</v>
      </c>
      <c r="G65" s="1">
        <f>(54*10^4)/0.09</f>
        <v>6000000</v>
      </c>
      <c r="H65" s="1">
        <f>G65/F65</f>
        <v>0.89999999999999991</v>
      </c>
      <c r="I65" s="1">
        <f>(22*10^5)/0.09</f>
        <v>24444444.444444444</v>
      </c>
      <c r="J65" s="1">
        <f>(12*10^5)/0.09</f>
        <v>13333333.333333334</v>
      </c>
      <c r="K65" s="1">
        <f>J65/I65</f>
        <v>0.54545454545454553</v>
      </c>
      <c r="L65" s="1" t="s">
        <v>38</v>
      </c>
      <c r="M65" s="1">
        <f>AVERAGE(C65:C67)/100</f>
        <v>2329629.6296296297</v>
      </c>
      <c r="N65" s="1">
        <f>AVERAGE(F65:F67)</f>
        <v>5592592.5925925924</v>
      </c>
      <c r="O65" s="1">
        <f>AVERAGE(I65:I67)</f>
        <v>26666666.666666668</v>
      </c>
      <c r="P65" s="1">
        <v>1</v>
      </c>
      <c r="Q65" s="1">
        <f>C65/100</f>
        <v>2322222.2222222225</v>
      </c>
      <c r="R65" s="1">
        <f>F65</f>
        <v>6666666.666666667</v>
      </c>
      <c r="S65" s="1">
        <f>I65</f>
        <v>24444444.444444444</v>
      </c>
      <c r="T65" s="1">
        <v>1</v>
      </c>
      <c r="U65" s="1">
        <f>E65</f>
        <v>0.96172248803827753</v>
      </c>
      <c r="V65" s="1">
        <f>H65</f>
        <v>0.89999999999999991</v>
      </c>
      <c r="W65" s="1">
        <f>K65</f>
        <v>0.54545454545454553</v>
      </c>
    </row>
    <row r="66" spans="1:23" x14ac:dyDescent="0.25">
      <c r="A66" s="10"/>
      <c r="B66" s="3">
        <v>2</v>
      </c>
      <c r="C66" s="1">
        <f>(222*10^5)/0.09</f>
        <v>246666666.66666669</v>
      </c>
      <c r="D66" s="1">
        <f>(213*10^5)/0.09</f>
        <v>236666666.66666669</v>
      </c>
      <c r="E66" s="1">
        <f t="shared" ref="E66:E67" si="136">D66/C66</f>
        <v>0.95945945945945943</v>
      </c>
      <c r="F66" s="1">
        <f>(56*10^4)/0.09</f>
        <v>6222222.222222222</v>
      </c>
      <c r="G66" s="1">
        <f>(49*10^4)/0.09</f>
        <v>5444444.444444445</v>
      </c>
      <c r="H66" s="1">
        <f t="shared" ref="H66:H67" si="137">G66/F66</f>
        <v>0.87500000000000011</v>
      </c>
      <c r="I66" s="1">
        <f>(36*10^5)/0.09</f>
        <v>40000000</v>
      </c>
      <c r="J66" s="1">
        <f>(18*10^5)/0.09</f>
        <v>20000000</v>
      </c>
      <c r="K66" s="1">
        <f t="shared" ref="K66:K67" si="138">J66/I66</f>
        <v>0.5</v>
      </c>
      <c r="P66" s="1">
        <v>2</v>
      </c>
      <c r="Q66" s="1">
        <f t="shared" ref="Q66:Q67" si="139">C66/100</f>
        <v>2466666.666666667</v>
      </c>
      <c r="R66" s="1">
        <f t="shared" ref="R66:R67" si="140">F66</f>
        <v>6222222.222222222</v>
      </c>
      <c r="S66" s="1">
        <f t="shared" ref="S66:S67" si="141">I66</f>
        <v>40000000</v>
      </c>
      <c r="T66" s="1">
        <v>2</v>
      </c>
      <c r="U66" s="1">
        <f t="shared" ref="U66:U67" si="142">E66</f>
        <v>0.95945945945945943</v>
      </c>
      <c r="V66" s="1">
        <f t="shared" ref="V66:V67" si="143">H66</f>
        <v>0.87500000000000011</v>
      </c>
      <c r="W66" s="1">
        <f t="shared" ref="W66:W67" si="144">K66</f>
        <v>0.5</v>
      </c>
    </row>
    <row r="67" spans="1:23" x14ac:dyDescent="0.25">
      <c r="A67" s="10"/>
      <c r="B67" s="3">
        <v>3</v>
      </c>
      <c r="C67" s="1">
        <f>(198*10^5)/0.09</f>
        <v>220000000</v>
      </c>
      <c r="D67" s="1">
        <f>(182*10^5)/0.09</f>
        <v>202222222.22222224</v>
      </c>
      <c r="E67" s="1">
        <f t="shared" si="136"/>
        <v>0.91919191919191923</v>
      </c>
      <c r="F67" s="1">
        <f>(35*10^4)/0.09</f>
        <v>3888888.888888889</v>
      </c>
      <c r="G67" s="1">
        <f>(29*10^4)/0.09</f>
        <v>3222222.2222222225</v>
      </c>
      <c r="H67" s="1">
        <f t="shared" si="137"/>
        <v>0.82857142857142863</v>
      </c>
      <c r="I67" s="1">
        <f>(14*10^5)/0.09</f>
        <v>15555555.555555556</v>
      </c>
      <c r="J67" s="1">
        <f>(5*10^5)/0.09</f>
        <v>5555555.555555556</v>
      </c>
      <c r="K67" s="1">
        <f t="shared" si="138"/>
        <v>0.35714285714285715</v>
      </c>
      <c r="P67" s="1">
        <v>3</v>
      </c>
      <c r="Q67" s="1">
        <f t="shared" si="139"/>
        <v>2200000</v>
      </c>
      <c r="R67" s="1">
        <f t="shared" si="140"/>
        <v>3888888.888888889</v>
      </c>
      <c r="S67" s="1">
        <f t="shared" si="141"/>
        <v>15555555.555555556</v>
      </c>
      <c r="T67" s="1">
        <v>3</v>
      </c>
      <c r="U67" s="1">
        <f t="shared" si="142"/>
        <v>0.91919191919191923</v>
      </c>
      <c r="V67" s="1">
        <f t="shared" si="143"/>
        <v>0.82857142857142863</v>
      </c>
      <c r="W67" s="1">
        <f t="shared" si="144"/>
        <v>0.35714285714285715</v>
      </c>
    </row>
    <row r="68" spans="1:23" x14ac:dyDescent="0.25">
      <c r="A68" s="2"/>
      <c r="B68" s="2" t="s">
        <v>39</v>
      </c>
      <c r="C68" s="2" t="s">
        <v>11</v>
      </c>
      <c r="D68" s="2" t="s">
        <v>12</v>
      </c>
      <c r="E68" s="2" t="s">
        <v>13</v>
      </c>
      <c r="F68" s="2" t="s">
        <v>11</v>
      </c>
      <c r="G68" s="2" t="s">
        <v>12</v>
      </c>
      <c r="H68" s="2" t="s">
        <v>13</v>
      </c>
      <c r="I68" s="2" t="s">
        <v>11</v>
      </c>
      <c r="J68" s="2" t="s">
        <v>12</v>
      </c>
      <c r="K68" s="2" t="s">
        <v>13</v>
      </c>
      <c r="L68" s="2"/>
      <c r="M68" s="2">
        <v>0</v>
      </c>
      <c r="N68" s="2">
        <v>1</v>
      </c>
      <c r="O68" s="2">
        <v>2</v>
      </c>
      <c r="Q68" s="2">
        <v>0</v>
      </c>
      <c r="R68" s="2">
        <v>1</v>
      </c>
      <c r="S68" s="2">
        <v>2</v>
      </c>
      <c r="T68" s="2"/>
      <c r="U68" s="2">
        <v>0</v>
      </c>
      <c r="V68" s="2">
        <v>1</v>
      </c>
      <c r="W68" s="2">
        <v>2</v>
      </c>
    </row>
    <row r="69" spans="1:23" x14ac:dyDescent="0.25">
      <c r="A69" s="10" t="s">
        <v>14</v>
      </c>
      <c r="B69" s="3">
        <v>1</v>
      </c>
      <c r="C69" s="1">
        <f>(252*10^5)/0.09</f>
        <v>280000000</v>
      </c>
      <c r="D69" s="1">
        <f>(2*10^3)/0.09</f>
        <v>22222.222222222223</v>
      </c>
      <c r="E69" s="1">
        <f>D69/C69</f>
        <v>7.9365079365079365E-5</v>
      </c>
      <c r="F69" s="1">
        <f>(111*10^4)/0.1</f>
        <v>11100000</v>
      </c>
      <c r="G69" s="1">
        <f>(1*10^2)/0.1</f>
        <v>1000</v>
      </c>
      <c r="H69" s="1">
        <f>G69/F69</f>
        <v>9.0090090090090091E-5</v>
      </c>
      <c r="I69" s="1">
        <f>(101*10^5)/0.1</f>
        <v>101000000</v>
      </c>
      <c r="J69" s="1">
        <f>(0*10)/0.1</f>
        <v>0</v>
      </c>
      <c r="K69" s="1">
        <f>J69/I69</f>
        <v>0</v>
      </c>
      <c r="L69" s="1" t="s">
        <v>39</v>
      </c>
      <c r="M69" s="1">
        <f>AVERAGE(C69:C71)/100</f>
        <v>2422222.222222222</v>
      </c>
      <c r="N69" s="1">
        <f>AVERAGE(F69:F71)</f>
        <v>10566666.666666666</v>
      </c>
      <c r="O69" s="1">
        <f>AVERAGE(I69:I71)</f>
        <v>109333333.33333333</v>
      </c>
      <c r="P69" s="1">
        <v>1</v>
      </c>
      <c r="Q69" s="1">
        <f>C69/100</f>
        <v>2800000</v>
      </c>
      <c r="R69" s="1">
        <f>F69</f>
        <v>11100000</v>
      </c>
      <c r="S69" s="1">
        <f>I69</f>
        <v>101000000</v>
      </c>
      <c r="T69" s="1">
        <v>1</v>
      </c>
      <c r="U69" s="1">
        <f>E69</f>
        <v>7.9365079365079365E-5</v>
      </c>
      <c r="V69" s="1">
        <f>H69</f>
        <v>9.0090090090090091E-5</v>
      </c>
      <c r="W69" s="1">
        <f>K69</f>
        <v>0</v>
      </c>
    </row>
    <row r="70" spans="1:23" x14ac:dyDescent="0.25">
      <c r="A70" s="10"/>
      <c r="B70" s="3">
        <v>2</v>
      </c>
      <c r="C70" s="1">
        <f>(163*10^5)/0.09</f>
        <v>181111111.1111111</v>
      </c>
      <c r="D70" s="1">
        <f>(1*10^2)/0.09</f>
        <v>1111.1111111111111</v>
      </c>
      <c r="E70" s="1">
        <f t="shared" ref="E70:E71" si="145">D70/C70</f>
        <v>6.1349693251533741E-6</v>
      </c>
      <c r="F70" s="1">
        <f>(85*10^4)/0.1</f>
        <v>8500000</v>
      </c>
      <c r="G70" s="1">
        <f>(0*10)/0.1</f>
        <v>0</v>
      </c>
      <c r="H70" s="1">
        <f t="shared" ref="H70:H71" si="146">G70/F70</f>
        <v>0</v>
      </c>
      <c r="I70" s="1">
        <f>(107*10^5)/0.1</f>
        <v>107000000</v>
      </c>
      <c r="J70" s="1">
        <f>(0*10)/0.1</f>
        <v>0</v>
      </c>
      <c r="K70" s="1">
        <f t="shared" ref="K70:K71" si="147">J70/I70</f>
        <v>0</v>
      </c>
      <c r="P70" s="1">
        <v>2</v>
      </c>
      <c r="Q70" s="1">
        <f t="shared" ref="Q70:Q71" si="148">C70/100</f>
        <v>1811111.111111111</v>
      </c>
      <c r="R70" s="1">
        <f t="shared" ref="R70:R71" si="149">F70</f>
        <v>8500000</v>
      </c>
      <c r="S70" s="1">
        <f t="shared" ref="S70:S71" si="150">I70</f>
        <v>107000000</v>
      </c>
      <c r="T70" s="1">
        <v>2</v>
      </c>
      <c r="U70" s="1">
        <f t="shared" ref="U70:U71" si="151">E70</f>
        <v>6.1349693251533741E-6</v>
      </c>
      <c r="V70" s="1">
        <f t="shared" ref="V70:V71" si="152">H70</f>
        <v>0</v>
      </c>
      <c r="W70" s="1">
        <f t="shared" ref="W70:W71" si="153">K70</f>
        <v>0</v>
      </c>
    </row>
    <row r="71" spans="1:23" x14ac:dyDescent="0.25">
      <c r="A71" s="10"/>
      <c r="B71" s="3">
        <v>3</v>
      </c>
      <c r="C71" s="1">
        <f>(239*10^5)/0.09</f>
        <v>265555555.55555555</v>
      </c>
      <c r="D71" s="1">
        <f>(276*10^4)/0.09</f>
        <v>30666666.666666668</v>
      </c>
      <c r="E71" s="1">
        <f t="shared" si="145"/>
        <v>0.11548117154811716</v>
      </c>
      <c r="F71" s="1">
        <f>(121*10^4)/0.1</f>
        <v>12100000</v>
      </c>
      <c r="G71" s="1">
        <f>(220*10^2)/0.1</f>
        <v>220000</v>
      </c>
      <c r="H71" s="1">
        <f t="shared" si="146"/>
        <v>1.8181818181818181E-2</v>
      </c>
      <c r="I71" s="1">
        <f>(120*10^5)/0.1</f>
        <v>120000000</v>
      </c>
      <c r="J71" s="1">
        <f>(203*10^3)/0.1</f>
        <v>2030000</v>
      </c>
      <c r="K71" s="1">
        <f t="shared" si="147"/>
        <v>1.6916666666666667E-2</v>
      </c>
      <c r="P71" s="1">
        <v>3</v>
      </c>
      <c r="Q71" s="1">
        <f t="shared" si="148"/>
        <v>2655555.5555555555</v>
      </c>
      <c r="R71" s="1">
        <f t="shared" si="149"/>
        <v>12100000</v>
      </c>
      <c r="S71" s="1">
        <f t="shared" si="150"/>
        <v>120000000</v>
      </c>
      <c r="T71" s="1">
        <v>3</v>
      </c>
      <c r="U71" s="1">
        <f t="shared" si="151"/>
        <v>0.11548117154811716</v>
      </c>
      <c r="V71" s="1">
        <f t="shared" si="152"/>
        <v>1.8181818181818181E-2</v>
      </c>
      <c r="W71" s="1">
        <f t="shared" si="153"/>
        <v>1.6916666666666667E-2</v>
      </c>
    </row>
    <row r="72" spans="1:23" x14ac:dyDescent="0.25">
      <c r="A72" s="2"/>
      <c r="B72" s="2" t="s">
        <v>40</v>
      </c>
      <c r="C72" s="2" t="s">
        <v>11</v>
      </c>
      <c r="D72" s="2" t="s">
        <v>12</v>
      </c>
      <c r="E72" s="2" t="s">
        <v>13</v>
      </c>
      <c r="F72" s="2" t="s">
        <v>11</v>
      </c>
      <c r="G72" s="2" t="s">
        <v>12</v>
      </c>
      <c r="H72" s="2" t="s">
        <v>13</v>
      </c>
      <c r="I72" s="2" t="s">
        <v>11</v>
      </c>
      <c r="J72" s="2" t="s">
        <v>12</v>
      </c>
      <c r="K72" s="2" t="s">
        <v>13</v>
      </c>
      <c r="L72" s="2"/>
      <c r="M72" s="2">
        <v>0</v>
      </c>
      <c r="N72" s="2">
        <v>1</v>
      </c>
      <c r="O72" s="2">
        <v>2</v>
      </c>
      <c r="Q72" s="2">
        <v>0</v>
      </c>
      <c r="R72" s="2">
        <v>1</v>
      </c>
      <c r="S72" s="2">
        <v>2</v>
      </c>
      <c r="T72" s="2"/>
      <c r="U72" s="2">
        <v>0</v>
      </c>
      <c r="V72" s="2">
        <v>1</v>
      </c>
      <c r="W72" s="2">
        <v>2</v>
      </c>
    </row>
    <row r="73" spans="1:23" x14ac:dyDescent="0.25">
      <c r="A73" s="10" t="s">
        <v>14</v>
      </c>
      <c r="B73" s="3">
        <v>1</v>
      </c>
      <c r="C73" s="1">
        <f>(180*10^5)/0.09</f>
        <v>200000000</v>
      </c>
      <c r="D73" s="1">
        <f>(0*10^4)/0.09</f>
        <v>0</v>
      </c>
      <c r="E73" s="1">
        <f>D73/C73</f>
        <v>0</v>
      </c>
      <c r="F73" s="1">
        <f>(120*10^4)/0.09</f>
        <v>13333333.333333334</v>
      </c>
      <c r="G73" s="1">
        <f>(0*10^2)/0.09</f>
        <v>0</v>
      </c>
      <c r="H73" s="1">
        <f>G73/F73</f>
        <v>0</v>
      </c>
      <c r="I73" s="1">
        <f>(63*10^5)/0.09</f>
        <v>70000000</v>
      </c>
      <c r="J73" s="1">
        <f>(0*10^3)/0.09</f>
        <v>0</v>
      </c>
      <c r="K73" s="1">
        <f>J73/I73</f>
        <v>0</v>
      </c>
      <c r="L73" s="1" t="s">
        <v>41</v>
      </c>
      <c r="M73" s="1">
        <f>AVERAGE(C73:C75)/100</f>
        <v>2192592.5925925924</v>
      </c>
      <c r="N73" s="1">
        <f>AVERAGE(F73:F75)</f>
        <v>12370370.370370371</v>
      </c>
      <c r="O73" s="1">
        <f>AVERAGE(I73:I75)</f>
        <v>71481481.481481478</v>
      </c>
      <c r="P73" s="1">
        <v>1</v>
      </c>
      <c r="Q73" s="1">
        <f>C73/100</f>
        <v>2000000</v>
      </c>
      <c r="R73" s="1">
        <f>F73</f>
        <v>13333333.333333334</v>
      </c>
      <c r="S73" s="1">
        <f>I73</f>
        <v>70000000</v>
      </c>
      <c r="T73" s="1">
        <v>1</v>
      </c>
      <c r="U73" s="1">
        <f>E73</f>
        <v>0</v>
      </c>
      <c r="V73" s="1">
        <f>H73</f>
        <v>0</v>
      </c>
      <c r="W73" s="1">
        <f>K73</f>
        <v>0</v>
      </c>
    </row>
    <row r="74" spans="1:23" x14ac:dyDescent="0.25">
      <c r="A74" s="10"/>
      <c r="B74" s="3">
        <v>2</v>
      </c>
      <c r="C74" s="1">
        <f>(212*10^5)/0.09</f>
        <v>235555555.55555555</v>
      </c>
      <c r="D74" s="1">
        <f>(1*10^3)/0.09</f>
        <v>11111.111111111111</v>
      </c>
      <c r="E74" s="1">
        <f t="shared" ref="E74:E75" si="154">D74/C74</f>
        <v>4.7169811320754721E-5</v>
      </c>
      <c r="F74" s="1">
        <f>(105*10^4)/0.09</f>
        <v>11666666.666666668</v>
      </c>
      <c r="G74" s="1">
        <f t="shared" ref="G74:G75" si="155">(0*10^2)/0.09</f>
        <v>0</v>
      </c>
      <c r="H74" s="1">
        <f t="shared" ref="H74:H75" si="156">G74/F74</f>
        <v>0</v>
      </c>
      <c r="I74" s="1">
        <f>(72*10^5)/0.09</f>
        <v>80000000</v>
      </c>
      <c r="J74" s="1">
        <f t="shared" ref="J74:J75" si="157">(0*10^3)/0.09</f>
        <v>0</v>
      </c>
      <c r="K74" s="1">
        <f t="shared" ref="K74:K75" si="158">J74/I74</f>
        <v>0</v>
      </c>
      <c r="P74" s="1">
        <v>2</v>
      </c>
      <c r="Q74" s="1">
        <f t="shared" ref="Q74:Q75" si="159">C74/100</f>
        <v>2355555.5555555555</v>
      </c>
      <c r="R74" s="1">
        <f t="shared" ref="R74:R75" si="160">F74</f>
        <v>11666666.666666668</v>
      </c>
      <c r="S74" s="1">
        <f t="shared" ref="S74:S75" si="161">I74</f>
        <v>80000000</v>
      </c>
      <c r="T74" s="1">
        <v>2</v>
      </c>
      <c r="U74" s="1">
        <f t="shared" ref="U74:U75" si="162">E74</f>
        <v>4.7169811320754721E-5</v>
      </c>
      <c r="V74" s="1">
        <f t="shared" ref="V74:V75" si="163">H74</f>
        <v>0</v>
      </c>
      <c r="W74" s="1">
        <f t="shared" ref="W74:W75" si="164">K74</f>
        <v>0</v>
      </c>
    </row>
    <row r="75" spans="1:23" x14ac:dyDescent="0.25">
      <c r="A75" s="10"/>
      <c r="B75" s="3">
        <v>3</v>
      </c>
      <c r="C75" s="1">
        <f>(200*10^5)/0.09</f>
        <v>222222222.22222224</v>
      </c>
      <c r="D75" s="1">
        <f>(0*10^5)/0.09</f>
        <v>0</v>
      </c>
      <c r="E75" s="1">
        <f t="shared" si="154"/>
        <v>0</v>
      </c>
      <c r="F75" s="1">
        <f>(109*10^4)/0.09</f>
        <v>12111111.111111112</v>
      </c>
      <c r="G75" s="1">
        <f t="shared" si="155"/>
        <v>0</v>
      </c>
      <c r="H75" s="1">
        <f t="shared" si="156"/>
        <v>0</v>
      </c>
      <c r="I75" s="1">
        <f>(58*10^5)/0.09</f>
        <v>64444444.444444448</v>
      </c>
      <c r="J75" s="1">
        <f t="shared" si="157"/>
        <v>0</v>
      </c>
      <c r="K75" s="1">
        <f t="shared" si="158"/>
        <v>0</v>
      </c>
      <c r="P75" s="1">
        <v>3</v>
      </c>
      <c r="Q75" s="1">
        <f t="shared" si="159"/>
        <v>2222222.2222222225</v>
      </c>
      <c r="R75" s="1">
        <f t="shared" si="160"/>
        <v>12111111.111111112</v>
      </c>
      <c r="S75" s="1">
        <f t="shared" si="161"/>
        <v>64444444.444444448</v>
      </c>
      <c r="T75" s="1">
        <v>3</v>
      </c>
      <c r="U75" s="1">
        <f t="shared" si="162"/>
        <v>0</v>
      </c>
      <c r="V75" s="1">
        <f t="shared" si="163"/>
        <v>0</v>
      </c>
      <c r="W75" s="1">
        <f t="shared" si="164"/>
        <v>0</v>
      </c>
    </row>
    <row r="76" spans="1:23" x14ac:dyDescent="0.25">
      <c r="A76" s="2"/>
      <c r="B76" s="2" t="s">
        <v>42</v>
      </c>
      <c r="C76" s="2" t="s">
        <v>11</v>
      </c>
      <c r="D76" s="2" t="s">
        <v>12</v>
      </c>
      <c r="E76" s="2" t="s">
        <v>13</v>
      </c>
      <c r="F76" s="2" t="s">
        <v>11</v>
      </c>
      <c r="G76" s="2" t="s">
        <v>12</v>
      </c>
      <c r="H76" s="2" t="s">
        <v>13</v>
      </c>
      <c r="I76" s="2" t="s">
        <v>11</v>
      </c>
      <c r="J76" s="2" t="s">
        <v>12</v>
      </c>
      <c r="K76" s="2" t="s">
        <v>13</v>
      </c>
      <c r="L76" s="2"/>
      <c r="M76" s="2">
        <v>0</v>
      </c>
      <c r="N76" s="2">
        <v>1</v>
      </c>
      <c r="O76" s="2">
        <v>2</v>
      </c>
      <c r="Q76" s="2">
        <v>0</v>
      </c>
      <c r="R76" s="2">
        <v>1</v>
      </c>
      <c r="S76" s="2">
        <v>2</v>
      </c>
      <c r="T76" s="2"/>
      <c r="U76" s="2">
        <v>0</v>
      </c>
      <c r="V76" s="2">
        <v>1</v>
      </c>
      <c r="W76" s="2">
        <v>2</v>
      </c>
    </row>
    <row r="77" spans="1:23" x14ac:dyDescent="0.25">
      <c r="A77" s="10" t="s">
        <v>14</v>
      </c>
      <c r="B77" s="3">
        <v>1</v>
      </c>
      <c r="C77" s="1">
        <f>(208*10^5)/0.09</f>
        <v>231111111.11111113</v>
      </c>
      <c r="D77" s="1">
        <f>(204*10^5)/0.09</f>
        <v>226666666.66666669</v>
      </c>
      <c r="E77" s="1">
        <f>D77/C77</f>
        <v>0.98076923076923073</v>
      </c>
      <c r="F77" s="1">
        <f>(29*10^4)/0.09</f>
        <v>3222222.2222222225</v>
      </c>
      <c r="G77" s="1">
        <f>(26*10^4)/0.09</f>
        <v>2888888.888888889</v>
      </c>
      <c r="H77" s="1">
        <f>G77/F77</f>
        <v>0.89655172413793105</v>
      </c>
      <c r="I77" s="1">
        <f>(18*10^5)/0.09</f>
        <v>20000000</v>
      </c>
      <c r="J77" s="1">
        <f>(16*10^5)/0.09</f>
        <v>17777777.77777778</v>
      </c>
      <c r="K77" s="1">
        <f>J77/I77</f>
        <v>0.88888888888888895</v>
      </c>
      <c r="L77" s="1" t="s">
        <v>43</v>
      </c>
      <c r="M77" s="1">
        <f>AVERAGE(C77:C79)/100</f>
        <v>2307407.4074074076</v>
      </c>
      <c r="N77" s="1">
        <f>AVERAGE(F77:F79)</f>
        <v>2814814.8148148148</v>
      </c>
      <c r="O77" s="1">
        <f>AVERAGE(I77:I79)</f>
        <v>34814814.814814813</v>
      </c>
      <c r="P77" s="1">
        <v>1</v>
      </c>
      <c r="Q77" s="1">
        <f>C77/100</f>
        <v>2311111.1111111115</v>
      </c>
      <c r="R77" s="1">
        <f>F77</f>
        <v>3222222.2222222225</v>
      </c>
      <c r="S77" s="1">
        <f>I77</f>
        <v>20000000</v>
      </c>
      <c r="T77" s="1">
        <v>1</v>
      </c>
      <c r="U77" s="1">
        <f>E77</f>
        <v>0.98076923076923073</v>
      </c>
      <c r="V77" s="1">
        <f>H77</f>
        <v>0.89655172413793105</v>
      </c>
      <c r="W77" s="1">
        <f>K77</f>
        <v>0.88888888888888895</v>
      </c>
    </row>
    <row r="78" spans="1:23" x14ac:dyDescent="0.25">
      <c r="A78" s="10"/>
      <c r="B78" s="3">
        <v>2</v>
      </c>
      <c r="C78" s="1">
        <f>(199*10^5)/0.09</f>
        <v>221111111.1111111</v>
      </c>
      <c r="D78" s="1">
        <f>(158*10^5)/0.09</f>
        <v>175555555.55555555</v>
      </c>
      <c r="E78" s="1">
        <f t="shared" ref="E78:E79" si="165">D78/C78</f>
        <v>0.79396984924623115</v>
      </c>
      <c r="F78" s="1">
        <f>(18*10^4)/0.09</f>
        <v>2000000</v>
      </c>
      <c r="G78" s="1">
        <f>(113*10^3)/0.09</f>
        <v>1255555.5555555555</v>
      </c>
      <c r="H78" s="1">
        <f t="shared" ref="H78:H79" si="166">G78/F78</f>
        <v>0.62777777777777777</v>
      </c>
      <c r="I78" s="1">
        <f>(34*10^5)/0.09</f>
        <v>37777777.777777776</v>
      </c>
      <c r="J78" s="1">
        <f>(21*10^5)/0.09</f>
        <v>23333333.333333336</v>
      </c>
      <c r="K78" s="1">
        <f t="shared" ref="K78:K79" si="167">J78/I78</f>
        <v>0.61764705882352955</v>
      </c>
      <c r="P78" s="1">
        <v>2</v>
      </c>
      <c r="Q78" s="1">
        <f t="shared" ref="Q78:Q79" si="168">C78/100</f>
        <v>2211111.111111111</v>
      </c>
      <c r="R78" s="1">
        <f t="shared" ref="R78:R79" si="169">F78</f>
        <v>2000000</v>
      </c>
      <c r="S78" s="1">
        <f t="shared" ref="S78:S79" si="170">I78</f>
        <v>37777777.777777776</v>
      </c>
      <c r="T78" s="1">
        <v>2</v>
      </c>
      <c r="U78" s="1">
        <f t="shared" ref="U78:U79" si="171">E78</f>
        <v>0.79396984924623115</v>
      </c>
      <c r="V78" s="1">
        <f t="shared" ref="V78:V79" si="172">H78</f>
        <v>0.62777777777777777</v>
      </c>
      <c r="W78" s="1">
        <f t="shared" ref="W78:W79" si="173">K78</f>
        <v>0.61764705882352955</v>
      </c>
    </row>
    <row r="79" spans="1:23" x14ac:dyDescent="0.25">
      <c r="A79" s="10"/>
      <c r="B79" s="3">
        <v>3</v>
      </c>
      <c r="C79" s="1">
        <f>(216*10^5)/0.09</f>
        <v>240000000</v>
      </c>
      <c r="D79" s="1">
        <f>(200*10^5)/0.09</f>
        <v>222222222.22222224</v>
      </c>
      <c r="E79" s="1">
        <f t="shared" si="165"/>
        <v>0.92592592592592604</v>
      </c>
      <c r="F79" s="1">
        <f>(29*10^4)/0.09</f>
        <v>3222222.2222222225</v>
      </c>
      <c r="G79" s="1">
        <f>(159*10^3)/0.09</f>
        <v>1766666.6666666667</v>
      </c>
      <c r="H79" s="1">
        <f t="shared" si="166"/>
        <v>0.5482758620689655</v>
      </c>
      <c r="I79" s="1">
        <f>(42*10^5)/0.09</f>
        <v>46666666.666666672</v>
      </c>
      <c r="J79" s="1">
        <f>(32*10^5)/0.09</f>
        <v>35555555.55555556</v>
      </c>
      <c r="K79" s="1">
        <f t="shared" si="167"/>
        <v>0.76190476190476186</v>
      </c>
      <c r="P79" s="1">
        <v>3</v>
      </c>
      <c r="Q79" s="1">
        <f t="shared" si="168"/>
        <v>2400000</v>
      </c>
      <c r="R79" s="1">
        <f t="shared" si="169"/>
        <v>3222222.2222222225</v>
      </c>
      <c r="S79" s="1">
        <f t="shared" si="170"/>
        <v>46666666.666666672</v>
      </c>
      <c r="T79" s="1">
        <v>3</v>
      </c>
      <c r="U79" s="1">
        <f t="shared" si="171"/>
        <v>0.92592592592592604</v>
      </c>
      <c r="V79" s="1">
        <f t="shared" si="172"/>
        <v>0.5482758620689655</v>
      </c>
      <c r="W79" s="1">
        <f t="shared" si="173"/>
        <v>0.76190476190476186</v>
      </c>
    </row>
    <row r="80" spans="1:23" x14ac:dyDescent="0.25">
      <c r="A80" s="2"/>
      <c r="B80" s="2" t="s">
        <v>44</v>
      </c>
      <c r="C80" s="2" t="s">
        <v>11</v>
      </c>
      <c r="D80" s="2" t="s">
        <v>12</v>
      </c>
      <c r="E80" s="2" t="s">
        <v>13</v>
      </c>
      <c r="F80" s="2" t="s">
        <v>11</v>
      </c>
      <c r="G80" s="2" t="s">
        <v>12</v>
      </c>
      <c r="H80" s="2" t="s">
        <v>13</v>
      </c>
      <c r="I80" s="2" t="s">
        <v>11</v>
      </c>
      <c r="J80" s="2" t="s">
        <v>12</v>
      </c>
      <c r="K80" s="2" t="s">
        <v>13</v>
      </c>
      <c r="L80" s="2"/>
      <c r="M80" s="2">
        <v>0</v>
      </c>
      <c r="N80" s="2">
        <v>1</v>
      </c>
      <c r="O80" s="2">
        <v>2</v>
      </c>
      <c r="Q80" s="2">
        <v>0</v>
      </c>
      <c r="R80" s="2">
        <v>1</v>
      </c>
      <c r="S80" s="2">
        <v>2</v>
      </c>
      <c r="T80" s="2"/>
      <c r="U80" s="2">
        <v>0</v>
      </c>
      <c r="V80" s="2">
        <v>1</v>
      </c>
      <c r="W80" s="2">
        <v>2</v>
      </c>
    </row>
    <row r="81" spans="1:23" x14ac:dyDescent="0.25">
      <c r="A81" s="10" t="s">
        <v>14</v>
      </c>
      <c r="B81" s="3">
        <v>1</v>
      </c>
      <c r="C81" s="1">
        <f>(197*10^5)/0.09</f>
        <v>218888888.8888889</v>
      </c>
      <c r="D81" s="1">
        <f>(174*10^5)/0.09</f>
        <v>193333333.33333334</v>
      </c>
      <c r="E81" s="1">
        <f>D81/C81</f>
        <v>0.88324873096446699</v>
      </c>
      <c r="F81" s="1">
        <f>(57*10^4)/0.09</f>
        <v>6333333.333333334</v>
      </c>
      <c r="G81" s="1">
        <f>(50*10^4)/0.09</f>
        <v>5555555.555555556</v>
      </c>
      <c r="H81" s="1">
        <f>G81/F81</f>
        <v>0.8771929824561403</v>
      </c>
      <c r="I81" s="1">
        <f>(43*10^5)/0.09</f>
        <v>47777777.777777776</v>
      </c>
      <c r="J81" s="1">
        <f>(39*10^5)/0.09</f>
        <v>43333333.333333336</v>
      </c>
      <c r="K81" s="1">
        <f>J81/I81</f>
        <v>0.90697674418604657</v>
      </c>
      <c r="L81" s="1" t="s">
        <v>44</v>
      </c>
      <c r="M81" s="1">
        <f>AVERAGE(C81:C83)/100</f>
        <v>2062962.9629629634</v>
      </c>
      <c r="N81" s="1">
        <f>AVERAGE(F81:F83)</f>
        <v>6296296.2962962957</v>
      </c>
      <c r="O81" s="1">
        <f>AVERAGE(I81:I83)</f>
        <v>45925925.925925933</v>
      </c>
      <c r="P81" s="1">
        <v>1</v>
      </c>
      <c r="Q81" s="1">
        <f>C81/100</f>
        <v>2188888.888888889</v>
      </c>
      <c r="R81" s="1">
        <f>F81</f>
        <v>6333333.333333334</v>
      </c>
      <c r="S81" s="1">
        <f>I81</f>
        <v>47777777.777777776</v>
      </c>
      <c r="T81" s="1">
        <v>1</v>
      </c>
      <c r="U81" s="1">
        <f>E81</f>
        <v>0.88324873096446699</v>
      </c>
      <c r="V81" s="1">
        <f>H81</f>
        <v>0.8771929824561403</v>
      </c>
      <c r="W81" s="1">
        <f>K81</f>
        <v>0.90697674418604657</v>
      </c>
    </row>
    <row r="82" spans="1:23" x14ac:dyDescent="0.25">
      <c r="A82" s="10"/>
      <c r="B82" s="3">
        <v>2</v>
      </c>
      <c r="C82" s="1">
        <f>(178*10^5)/0.09</f>
        <v>197777777.77777779</v>
      </c>
      <c r="D82" s="1">
        <f>(166*10^5)/0.09</f>
        <v>184444444.44444445</v>
      </c>
      <c r="E82" s="1">
        <f t="shared" ref="E82:E83" si="174">D82/C82</f>
        <v>0.93258426966292129</v>
      </c>
      <c r="F82" s="1">
        <f>(74*10^4)/0.09</f>
        <v>8222222.2222222229</v>
      </c>
      <c r="G82" s="1">
        <f>(45*10^4)/0.09</f>
        <v>5000000</v>
      </c>
      <c r="H82" s="1">
        <f t="shared" ref="H82:H83" si="175">G82/F82</f>
        <v>0.608108108108108</v>
      </c>
      <c r="I82" s="1">
        <f>(40*10^5)/0.09</f>
        <v>44444444.444444448</v>
      </c>
      <c r="J82" s="1">
        <f>(18*10^5)/0.09</f>
        <v>20000000</v>
      </c>
      <c r="K82" s="1">
        <f t="shared" ref="K82:K83" si="176">J82/I82</f>
        <v>0.44999999999999996</v>
      </c>
      <c r="P82" s="1">
        <v>2</v>
      </c>
      <c r="Q82" s="1">
        <f t="shared" ref="Q82:Q83" si="177">C82/100</f>
        <v>1977777.777777778</v>
      </c>
      <c r="R82" s="1">
        <f t="shared" ref="R82:R83" si="178">F82</f>
        <v>8222222.2222222229</v>
      </c>
      <c r="S82" s="1">
        <f t="shared" ref="S82:S83" si="179">I82</f>
        <v>44444444.444444448</v>
      </c>
      <c r="T82" s="1">
        <v>2</v>
      </c>
      <c r="U82" s="1">
        <f t="shared" ref="U82:U83" si="180">E82</f>
        <v>0.93258426966292129</v>
      </c>
      <c r="V82" s="1">
        <f t="shared" ref="V82:V83" si="181">H82</f>
        <v>0.608108108108108</v>
      </c>
      <c r="W82" s="1">
        <f t="shared" ref="W82:W83" si="182">K82</f>
        <v>0.44999999999999996</v>
      </c>
    </row>
    <row r="83" spans="1:23" x14ac:dyDescent="0.25">
      <c r="A83" s="10"/>
      <c r="B83" s="3">
        <v>3</v>
      </c>
      <c r="C83" s="1">
        <f>(182*10^5)/0.09</f>
        <v>202222222.22222224</v>
      </c>
      <c r="D83" s="1">
        <f>(179*10^5)/0.09</f>
        <v>198888888.8888889</v>
      </c>
      <c r="E83" s="1">
        <f t="shared" si="174"/>
        <v>0.98351648351648346</v>
      </c>
      <c r="F83" s="1">
        <f>(39*10^4)/0.09</f>
        <v>4333333.333333334</v>
      </c>
      <c r="G83" s="1">
        <f>(37*10^4)/0.09</f>
        <v>4111111.1111111115</v>
      </c>
      <c r="H83" s="1">
        <f t="shared" si="175"/>
        <v>0.94871794871794868</v>
      </c>
      <c r="I83" s="1">
        <f>(41*10^5)/0.09</f>
        <v>45555555.55555556</v>
      </c>
      <c r="J83" s="1">
        <f>(37*10^5)/0.09</f>
        <v>41111111.111111112</v>
      </c>
      <c r="K83" s="1">
        <f t="shared" si="176"/>
        <v>0.90243902439024382</v>
      </c>
      <c r="P83" s="1">
        <v>3</v>
      </c>
      <c r="Q83" s="1">
        <f t="shared" si="177"/>
        <v>2022222.2222222225</v>
      </c>
      <c r="R83" s="1">
        <f t="shared" si="178"/>
        <v>4333333.333333334</v>
      </c>
      <c r="S83" s="1">
        <f t="shared" si="179"/>
        <v>45555555.55555556</v>
      </c>
      <c r="T83" s="1">
        <v>3</v>
      </c>
      <c r="U83" s="1">
        <f t="shared" si="180"/>
        <v>0.98351648351648346</v>
      </c>
      <c r="V83" s="1">
        <f t="shared" si="181"/>
        <v>0.94871794871794868</v>
      </c>
      <c r="W83" s="1">
        <f t="shared" si="182"/>
        <v>0.90243902439024382</v>
      </c>
    </row>
  </sheetData>
  <mergeCells count="28">
    <mergeCell ref="A32:A34"/>
    <mergeCell ref="C2:E2"/>
    <mergeCell ref="F2:H2"/>
    <mergeCell ref="I2:K2"/>
    <mergeCell ref="M2:O2"/>
    <mergeCell ref="A4:A6"/>
    <mergeCell ref="A8:A10"/>
    <mergeCell ref="A12:A14"/>
    <mergeCell ref="A16:A18"/>
    <mergeCell ref="A20:A22"/>
    <mergeCell ref="A24:A26"/>
    <mergeCell ref="A28:A30"/>
    <mergeCell ref="A73:A75"/>
    <mergeCell ref="A77:A79"/>
    <mergeCell ref="A81:A83"/>
    <mergeCell ref="U2:W2"/>
    <mergeCell ref="A49:A51"/>
    <mergeCell ref="A53:A55"/>
    <mergeCell ref="A57:A59"/>
    <mergeCell ref="A61:A63"/>
    <mergeCell ref="A65:A67"/>
    <mergeCell ref="A69:A71"/>
    <mergeCell ref="A36:A38"/>
    <mergeCell ref="A40:A42"/>
    <mergeCell ref="C43:E43"/>
    <mergeCell ref="F43:H43"/>
    <mergeCell ref="I43:K43"/>
    <mergeCell ref="A45:A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0CB9-B925-4147-B352-116FE1A4CA54}">
  <dimension ref="A1:K36"/>
  <sheetViews>
    <sheetView workbookViewId="0">
      <selection activeCell="C5" sqref="C5"/>
    </sheetView>
  </sheetViews>
  <sheetFormatPr defaultColWidth="10.875" defaultRowHeight="15.75" x14ac:dyDescent="0.25"/>
  <cols>
    <col min="1" max="1" width="14.625" style="1" bestFit="1" customWidth="1"/>
    <col min="2" max="2" width="14" style="1" bestFit="1" customWidth="1"/>
    <col min="3" max="3" width="14" style="1" customWidth="1"/>
    <col min="4" max="4" width="14.375" style="1" bestFit="1" customWidth="1"/>
    <col min="5" max="5" width="12.125" style="1" bestFit="1" customWidth="1"/>
    <col min="6" max="7" width="10.875" style="1"/>
    <col min="8" max="8" width="14.5" style="1" bestFit="1" customWidth="1"/>
    <col min="9" max="10" width="10.875" style="1"/>
    <col min="11" max="11" width="14.5" style="1" bestFit="1" customWidth="1"/>
    <col min="12" max="16" width="10.875" style="1"/>
    <col min="17" max="17" width="14.5" style="1" bestFit="1" customWidth="1"/>
    <col min="18" max="16384" width="10.875" style="1"/>
  </cols>
  <sheetData>
    <row r="1" spans="1:11" s="2" customFormat="1" x14ac:dyDescent="0.25">
      <c r="A1" s="2" t="s">
        <v>69</v>
      </c>
      <c r="B1" s="2" t="s">
        <v>70</v>
      </c>
      <c r="D1" s="2" t="s">
        <v>71</v>
      </c>
      <c r="E1" s="2" t="s">
        <v>70</v>
      </c>
      <c r="G1" s="2" t="s">
        <v>47</v>
      </c>
      <c r="J1" s="2" t="s">
        <v>49</v>
      </c>
    </row>
    <row r="2" spans="1:11" x14ac:dyDescent="0.25">
      <c r="A2" s="1" t="s">
        <v>10</v>
      </c>
      <c r="B2" s="4">
        <v>0.59551402499999995</v>
      </c>
      <c r="C2" s="4"/>
      <c r="D2" s="1" t="s">
        <v>10</v>
      </c>
      <c r="E2" s="1">
        <v>0.59551402499999995</v>
      </c>
      <c r="G2" s="1" t="s">
        <v>4</v>
      </c>
      <c r="H2" s="1" t="s">
        <v>48</v>
      </c>
      <c r="J2" s="1" t="s">
        <v>4</v>
      </c>
      <c r="K2" s="1" t="s">
        <v>48</v>
      </c>
    </row>
    <row r="3" spans="1:11" x14ac:dyDescent="0.25">
      <c r="A3" s="1" t="s">
        <v>51</v>
      </c>
      <c r="B3" s="4">
        <v>0.58079437999999994</v>
      </c>
      <c r="C3" s="4"/>
      <c r="D3" s="1" t="s">
        <v>51</v>
      </c>
      <c r="E3" s="1">
        <v>0.52822172000000001</v>
      </c>
      <c r="G3" s="1" t="s">
        <v>10</v>
      </c>
      <c r="H3" s="1">
        <v>0.97528245451482021</v>
      </c>
      <c r="J3" s="1" t="s">
        <v>10</v>
      </c>
      <c r="K3" s="1">
        <v>0.88700130949896616</v>
      </c>
    </row>
    <row r="4" spans="1:11" x14ac:dyDescent="0.25">
      <c r="A4" s="1" t="s">
        <v>16</v>
      </c>
      <c r="B4" s="4">
        <v>0.59624202999999998</v>
      </c>
      <c r="C4" s="4"/>
      <c r="D4" s="1" t="s">
        <v>16</v>
      </c>
      <c r="E4" s="1">
        <v>0.58444854000000002</v>
      </c>
      <c r="G4" s="1" t="s">
        <v>16</v>
      </c>
      <c r="H4" s="1">
        <v>0.81743823057894793</v>
      </c>
      <c r="J4" s="1" t="s">
        <v>16</v>
      </c>
      <c r="K4" s="1">
        <v>0.76848031821586882</v>
      </c>
    </row>
    <row r="5" spans="1:11" x14ac:dyDescent="0.25">
      <c r="A5" s="1" t="s">
        <v>53</v>
      </c>
      <c r="B5" s="4">
        <v>0.48739102999999995</v>
      </c>
      <c r="C5" s="4"/>
      <c r="D5" s="1" t="s">
        <v>53</v>
      </c>
      <c r="E5" s="1">
        <v>0.44913719999999996</v>
      </c>
      <c r="G5" s="1" t="s">
        <v>18</v>
      </c>
      <c r="H5" s="1">
        <v>0.86479949256868693</v>
      </c>
      <c r="J5" s="1" t="s">
        <v>18</v>
      </c>
      <c r="K5" s="1">
        <v>0.81492086694123966</v>
      </c>
    </row>
    <row r="6" spans="1:11" x14ac:dyDescent="0.25">
      <c r="A6" s="1" t="s">
        <v>18</v>
      </c>
      <c r="B6" s="4">
        <v>0.60946968000000001</v>
      </c>
      <c r="C6" s="4"/>
      <c r="D6" s="1" t="s">
        <v>18</v>
      </c>
      <c r="E6" s="1">
        <v>0.60946968000000001</v>
      </c>
      <c r="G6" s="1" t="s">
        <v>20</v>
      </c>
      <c r="H6" s="1">
        <v>0.93100430370582354</v>
      </c>
      <c r="J6" s="1" t="s">
        <v>20</v>
      </c>
      <c r="K6" s="1">
        <v>0.8185899760692753</v>
      </c>
    </row>
    <row r="7" spans="1:11" x14ac:dyDescent="0.25">
      <c r="A7" s="1" t="s">
        <v>55</v>
      </c>
      <c r="B7" s="4">
        <v>0.52706907000000003</v>
      </c>
      <c r="C7" s="4"/>
      <c r="D7" s="1" t="s">
        <v>55</v>
      </c>
      <c r="E7" s="1">
        <v>0.49666955999999995</v>
      </c>
      <c r="G7" s="1" t="s">
        <v>22</v>
      </c>
      <c r="H7" s="1">
        <v>0.92046732006930454</v>
      </c>
      <c r="J7" s="1" t="s">
        <v>22</v>
      </c>
      <c r="K7" s="1">
        <v>0.74687434606138736</v>
      </c>
    </row>
    <row r="8" spans="1:11" x14ac:dyDescent="0.25">
      <c r="A8" s="1" t="s">
        <v>20</v>
      </c>
      <c r="B8" s="4">
        <v>0.59613740000000004</v>
      </c>
      <c r="C8" s="4"/>
      <c r="D8" s="1" t="s">
        <v>20</v>
      </c>
      <c r="E8" s="1">
        <v>0.59613740000000004</v>
      </c>
      <c r="G8" s="1" t="s">
        <v>24</v>
      </c>
      <c r="H8" s="1">
        <v>0.84855455140254843</v>
      </c>
      <c r="J8" s="1" t="s">
        <v>24</v>
      </c>
      <c r="K8" s="1">
        <v>0.87642628626386154</v>
      </c>
    </row>
    <row r="9" spans="1:11" x14ac:dyDescent="0.25">
      <c r="A9" s="1" t="s">
        <v>57</v>
      </c>
      <c r="B9" s="4">
        <v>0.55500648500000005</v>
      </c>
      <c r="C9" s="4"/>
      <c r="D9" s="1" t="s">
        <v>57</v>
      </c>
      <c r="E9" s="1">
        <v>0.48799210000000004</v>
      </c>
      <c r="G9" s="1" t="s">
        <v>26</v>
      </c>
      <c r="H9" s="1">
        <v>0.91968390095806007</v>
      </c>
      <c r="J9" s="1" t="s">
        <v>26</v>
      </c>
      <c r="K9" s="1">
        <v>0.98318624349612216</v>
      </c>
    </row>
    <row r="10" spans="1:11" x14ac:dyDescent="0.25">
      <c r="A10" s="1" t="s">
        <v>22</v>
      </c>
      <c r="B10" s="1">
        <v>0.60823751999999998</v>
      </c>
      <c r="D10" s="1" t="s">
        <v>22</v>
      </c>
      <c r="E10" s="1">
        <v>0.60823751999999998</v>
      </c>
      <c r="G10" s="1" t="s">
        <v>27</v>
      </c>
      <c r="H10" s="1">
        <v>0.9213252253095352</v>
      </c>
      <c r="J10" s="1" t="s">
        <v>27</v>
      </c>
      <c r="K10" s="1">
        <v>1.0730582652446732</v>
      </c>
    </row>
    <row r="11" spans="1:11" x14ac:dyDescent="0.25">
      <c r="A11" s="1" t="s">
        <v>58</v>
      </c>
      <c r="B11" s="1">
        <v>0.55986276000000001</v>
      </c>
      <c r="D11" s="1" t="s">
        <v>58</v>
      </c>
      <c r="E11" s="1">
        <v>0.45427699999999999</v>
      </c>
      <c r="G11" s="1" t="s">
        <v>29</v>
      </c>
      <c r="H11" s="1">
        <v>0.95106297900000003</v>
      </c>
      <c r="J11" s="1" t="s">
        <v>29</v>
      </c>
      <c r="K11" s="1">
        <v>1.0037588944697327</v>
      </c>
    </row>
    <row r="12" spans="1:11" x14ac:dyDescent="0.25">
      <c r="A12" s="1" t="s">
        <v>24</v>
      </c>
      <c r="B12" s="4">
        <v>0.58638473999999996</v>
      </c>
      <c r="C12" s="4"/>
      <c r="D12" s="1" t="s">
        <v>24</v>
      </c>
      <c r="E12" s="1">
        <v>0.58638473999999996</v>
      </c>
      <c r="G12" s="1" t="s">
        <v>30</v>
      </c>
      <c r="H12" s="1">
        <v>1.0627727487617442</v>
      </c>
      <c r="J12" s="1" t="s">
        <v>30</v>
      </c>
      <c r="K12" s="1">
        <v>1.0513677163427109</v>
      </c>
    </row>
    <row r="13" spans="1:11" x14ac:dyDescent="0.25">
      <c r="A13" s="1" t="s">
        <v>59</v>
      </c>
      <c r="B13" s="4">
        <v>0.49757943999999998</v>
      </c>
      <c r="C13" s="4"/>
      <c r="D13" s="1" t="s">
        <v>59</v>
      </c>
      <c r="E13" s="1">
        <v>0.51392300000000002</v>
      </c>
      <c r="G13" s="1" t="s">
        <v>32</v>
      </c>
      <c r="H13" s="1">
        <v>1.0106240239742292</v>
      </c>
      <c r="J13" s="1" t="s">
        <v>32</v>
      </c>
      <c r="K13" s="1">
        <v>0.95868973000179847</v>
      </c>
    </row>
    <row r="14" spans="1:11" x14ac:dyDescent="0.25">
      <c r="A14" s="1" t="s">
        <v>26</v>
      </c>
      <c r="B14" s="4">
        <v>0.51325811999999993</v>
      </c>
      <c r="C14" s="4"/>
      <c r="D14" s="1" t="s">
        <v>26</v>
      </c>
      <c r="E14" s="1">
        <v>0.51325811999999993</v>
      </c>
      <c r="G14" s="1" t="s">
        <v>33</v>
      </c>
      <c r="H14" s="1">
        <v>0.94227929711348568</v>
      </c>
      <c r="J14" s="1" t="s">
        <v>33</v>
      </c>
      <c r="K14" s="1">
        <v>0.95697961742223325</v>
      </c>
    </row>
    <row r="15" spans="1:11" x14ac:dyDescent="0.25">
      <c r="A15" s="1" t="s">
        <v>60</v>
      </c>
      <c r="B15" s="4">
        <v>0.47203523000000003</v>
      </c>
      <c r="C15" s="4"/>
      <c r="D15" s="1" t="s">
        <v>60</v>
      </c>
      <c r="E15" s="1">
        <v>0.50462832294668181</v>
      </c>
      <c r="G15" s="1" t="s">
        <v>34</v>
      </c>
      <c r="H15" s="1">
        <v>0.97884082822615659</v>
      </c>
      <c r="J15" s="1" t="s">
        <v>34</v>
      </c>
      <c r="K15" s="1">
        <v>0.93855879612535165</v>
      </c>
    </row>
    <row r="16" spans="1:11" x14ac:dyDescent="0.25">
      <c r="A16" s="1" t="s">
        <v>32</v>
      </c>
      <c r="B16" s="4">
        <v>0.59523915000000005</v>
      </c>
      <c r="C16" s="4"/>
      <c r="D16" s="1" t="s">
        <v>32</v>
      </c>
      <c r="E16" s="1">
        <v>0.59523915000000005</v>
      </c>
      <c r="G16" s="1" t="s">
        <v>35</v>
      </c>
      <c r="H16" s="1">
        <v>0.97115788710824458</v>
      </c>
      <c r="J16" s="1" t="s">
        <v>35</v>
      </c>
      <c r="K16" s="1">
        <v>0.93861610788781125</v>
      </c>
    </row>
    <row r="17" spans="1:11" x14ac:dyDescent="0.25">
      <c r="A17" s="1" t="s">
        <v>50</v>
      </c>
      <c r="B17" s="4">
        <v>0.60156298499999994</v>
      </c>
      <c r="C17" s="4"/>
      <c r="D17" s="1" t="s">
        <v>50</v>
      </c>
      <c r="E17" s="1">
        <v>0.57064966000000006</v>
      </c>
      <c r="G17" s="1" t="s">
        <v>36</v>
      </c>
      <c r="H17" s="1">
        <v>0.92861009930979588</v>
      </c>
      <c r="J17" s="1" t="s">
        <v>36</v>
      </c>
      <c r="K17" s="1">
        <v>0.75987864653033133</v>
      </c>
    </row>
    <row r="18" spans="1:11" x14ac:dyDescent="0.25">
      <c r="A18" s="1" t="s">
        <v>33</v>
      </c>
      <c r="B18" s="4">
        <v>0.57286915000000005</v>
      </c>
      <c r="C18" s="4"/>
      <c r="D18" s="1" t="s">
        <v>33</v>
      </c>
      <c r="E18" s="1">
        <v>0.57286915000000005</v>
      </c>
      <c r="G18" s="1" t="s">
        <v>37</v>
      </c>
      <c r="H18" s="1">
        <v>1.0551260716157032</v>
      </c>
      <c r="J18" s="1" t="s">
        <v>37</v>
      </c>
      <c r="K18" s="1">
        <v>0.66650626602167218</v>
      </c>
    </row>
    <row r="19" spans="1:11" x14ac:dyDescent="0.25">
      <c r="A19" s="1" t="s">
        <v>52</v>
      </c>
      <c r="B19" s="4">
        <v>0.53980274000000006</v>
      </c>
      <c r="C19" s="4"/>
      <c r="D19" s="1" t="s">
        <v>52</v>
      </c>
      <c r="E19" s="1">
        <v>0.54822409999999999</v>
      </c>
      <c r="G19" s="1" t="s">
        <v>39</v>
      </c>
      <c r="H19" s="1">
        <v>1.0051112703038789</v>
      </c>
      <c r="J19" s="1" t="s">
        <v>39</v>
      </c>
      <c r="K19" s="1">
        <v>0.94519968691259648</v>
      </c>
    </row>
    <row r="20" spans="1:11" x14ac:dyDescent="0.25">
      <c r="A20" s="1" t="s">
        <v>34</v>
      </c>
      <c r="B20" s="4">
        <v>0.61795802500000008</v>
      </c>
      <c r="C20" s="4"/>
      <c r="D20" s="1" t="s">
        <v>34</v>
      </c>
      <c r="E20" s="1">
        <v>0.61795802500000008</v>
      </c>
      <c r="G20" s="1" t="s">
        <v>40</v>
      </c>
      <c r="H20" s="1">
        <v>0.72567618881333029</v>
      </c>
      <c r="J20" s="1" t="s">
        <v>40</v>
      </c>
      <c r="K20" s="1">
        <v>0.49440238809929615</v>
      </c>
    </row>
    <row r="21" spans="1:11" x14ac:dyDescent="0.25">
      <c r="A21" s="1" t="s">
        <v>54</v>
      </c>
      <c r="B21" s="4">
        <v>0.60488254500000005</v>
      </c>
      <c r="C21" s="4"/>
      <c r="D21" s="1" t="s">
        <v>54</v>
      </c>
      <c r="E21" s="1">
        <v>0.57998994000000004</v>
      </c>
      <c r="G21" s="1" t="s">
        <v>42</v>
      </c>
      <c r="H21" s="1">
        <v>0.95616392580754417</v>
      </c>
      <c r="J21" s="1" t="s">
        <v>42</v>
      </c>
      <c r="K21" s="1">
        <v>0.77926057174373731</v>
      </c>
    </row>
    <row r="22" spans="1:11" x14ac:dyDescent="0.25">
      <c r="A22" s="1" t="s">
        <v>35</v>
      </c>
      <c r="B22" s="4">
        <v>0.58850577500000001</v>
      </c>
      <c r="C22" s="4"/>
      <c r="D22" s="1" t="s">
        <v>35</v>
      </c>
      <c r="E22" s="1">
        <v>0.58850577500000001</v>
      </c>
      <c r="G22" s="1" t="s">
        <v>44</v>
      </c>
      <c r="H22" s="1">
        <v>0.95605891547508415</v>
      </c>
      <c r="J22" s="1" t="s">
        <v>44</v>
      </c>
      <c r="K22" s="1">
        <v>0.92790113484107861</v>
      </c>
    </row>
    <row r="23" spans="1:11" x14ac:dyDescent="0.25">
      <c r="A23" s="1" t="s">
        <v>56</v>
      </c>
      <c r="B23" s="4">
        <v>0.571532025</v>
      </c>
      <c r="C23" s="4"/>
      <c r="D23" s="1" t="s">
        <v>56</v>
      </c>
      <c r="E23" s="1">
        <v>0.55238100000000001</v>
      </c>
    </row>
    <row r="24" spans="1:11" x14ac:dyDescent="0.25">
      <c r="A24" s="1" t="s">
        <v>36</v>
      </c>
      <c r="B24" s="4">
        <v>0.59926263499999999</v>
      </c>
      <c r="C24" s="4"/>
      <c r="D24" s="1" t="s">
        <v>36</v>
      </c>
      <c r="E24" s="1">
        <v>0.59926263499999999</v>
      </c>
    </row>
    <row r="25" spans="1:11" x14ac:dyDescent="0.25">
      <c r="A25" s="1" t="s">
        <v>61</v>
      </c>
      <c r="B25" s="4">
        <v>0.55648133499999997</v>
      </c>
      <c r="C25" s="4"/>
      <c r="D25" s="1" t="s">
        <v>61</v>
      </c>
      <c r="E25" s="1">
        <v>0.45536687999999997</v>
      </c>
    </row>
    <row r="26" spans="1:11" x14ac:dyDescent="0.25">
      <c r="A26" s="1" t="s">
        <v>37</v>
      </c>
      <c r="B26" s="4">
        <v>0.51651912</v>
      </c>
      <c r="C26" s="4"/>
      <c r="D26" s="1" t="s">
        <v>37</v>
      </c>
      <c r="E26" s="1">
        <v>0.51651912</v>
      </c>
    </row>
    <row r="27" spans="1:11" x14ac:dyDescent="0.25">
      <c r="A27" s="1" t="s">
        <v>62</v>
      </c>
      <c r="B27" s="4">
        <v>0.54499279</v>
      </c>
      <c r="C27" s="4"/>
      <c r="D27" s="1" t="s">
        <v>62</v>
      </c>
      <c r="E27" s="1">
        <v>0.34426323000000003</v>
      </c>
    </row>
    <row r="28" spans="1:11" x14ac:dyDescent="0.25">
      <c r="A28" s="1" t="s">
        <v>39</v>
      </c>
      <c r="B28" s="4">
        <v>0.50911023</v>
      </c>
      <c r="C28" s="4"/>
      <c r="D28" s="1" t="s">
        <v>39</v>
      </c>
      <c r="E28" s="1">
        <v>0.50911023</v>
      </c>
    </row>
    <row r="29" spans="1:11" x14ac:dyDescent="0.25">
      <c r="A29" s="1" t="s">
        <v>63</v>
      </c>
      <c r="B29" s="4">
        <v>0.51171243</v>
      </c>
      <c r="C29" s="4"/>
      <c r="D29" s="1" t="s">
        <v>63</v>
      </c>
      <c r="E29" s="1">
        <v>0.48121082999999998</v>
      </c>
    </row>
    <row r="30" spans="1:11" x14ac:dyDescent="0.25">
      <c r="A30" s="1" t="s">
        <v>40</v>
      </c>
      <c r="B30" s="4">
        <v>0.73883024999999991</v>
      </c>
      <c r="C30" s="4"/>
      <c r="D30" s="1" t="s">
        <v>40</v>
      </c>
      <c r="E30" s="1">
        <v>0.73883024999999991</v>
      </c>
    </row>
    <row r="31" spans="1:11" x14ac:dyDescent="0.25">
      <c r="A31" s="1" t="s">
        <v>64</v>
      </c>
      <c r="B31" s="4">
        <v>0.53615151999999999</v>
      </c>
      <c r="C31" s="4"/>
      <c r="D31" s="1" t="s">
        <v>64</v>
      </c>
      <c r="E31" s="1">
        <v>0.36527943999999996</v>
      </c>
    </row>
    <row r="32" spans="1:11" x14ac:dyDescent="0.25">
      <c r="A32" s="1" t="s">
        <v>42</v>
      </c>
      <c r="B32" s="5">
        <v>0.53022426</v>
      </c>
      <c r="C32" s="5"/>
      <c r="D32" s="1" t="s">
        <v>42</v>
      </c>
      <c r="E32" s="1">
        <v>0.53022426</v>
      </c>
    </row>
    <row r="33" spans="1:5" x14ac:dyDescent="0.25">
      <c r="A33" s="1" t="s">
        <v>65</v>
      </c>
      <c r="B33" s="1">
        <v>0.50698131000000002</v>
      </c>
      <c r="D33" s="1" t="s">
        <v>65</v>
      </c>
      <c r="E33" s="1">
        <v>0.41318286000000004</v>
      </c>
    </row>
    <row r="34" spans="1:5" x14ac:dyDescent="0.25">
      <c r="A34" s="1" t="s">
        <v>44</v>
      </c>
      <c r="B34" s="4">
        <v>0.64383287999999994</v>
      </c>
      <c r="C34" s="4"/>
      <c r="D34" s="1" t="s">
        <v>44</v>
      </c>
      <c r="E34" s="1">
        <v>0.64383287999999994</v>
      </c>
    </row>
    <row r="35" spans="1:5" x14ac:dyDescent="0.25">
      <c r="A35" s="1" t="s">
        <v>66</v>
      </c>
      <c r="B35" s="4">
        <v>0.61554216499999992</v>
      </c>
      <c r="C35" s="4"/>
      <c r="D35" s="1" t="s">
        <v>66</v>
      </c>
      <c r="E35" s="1">
        <v>0.59741325999999995</v>
      </c>
    </row>
    <row r="36" spans="1:5" x14ac:dyDescent="0.25">
      <c r="A36" s="6" t="s">
        <v>67</v>
      </c>
      <c r="B36" s="7">
        <v>0.58700357999999997</v>
      </c>
      <c r="C36" s="8"/>
      <c r="D36" s="6" t="s">
        <v>68</v>
      </c>
      <c r="E36" s="6">
        <v>0.56553099000000007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Growth_rates_for_R</vt:lpstr>
      <vt:lpstr>Donor1</vt:lpstr>
      <vt:lpstr>For_R</vt:lpstr>
      <vt:lpstr>Donor2</vt:lpstr>
      <vt:lpstr>Growth_rates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Buffoni, Matteo</dc:creator>
  <cp:lastModifiedBy>Fischer, E.A.J. (Egil)</cp:lastModifiedBy>
  <dcterms:created xsi:type="dcterms:W3CDTF">2024-10-25T09:30:42Z</dcterms:created>
  <dcterms:modified xsi:type="dcterms:W3CDTF">2024-12-16T14:08:23Z</dcterms:modified>
</cp:coreProperties>
</file>